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pate/Desktop/ISYE 7406 Project/Data/"/>
    </mc:Choice>
  </mc:AlternateContent>
  <xr:revisionPtr revIDLastSave="0" documentId="13_ncr:1_{FC208A83-29A2-1B40-8311-FBB0F6C94E4E}" xr6:coauthVersionLast="47" xr6:coauthVersionMax="47" xr10:uidLastSave="{00000000-0000-0000-0000-000000000000}"/>
  <bookViews>
    <workbookView xWindow="280" yWindow="760" windowWidth="13600" windowHeight="17160" firstSheet="6" activeTab="11" xr2:uid="{F1ED104B-D2DA-42E7-B3F8-E08E09549968}"/>
  </bookViews>
  <sheets>
    <sheet name="2022" sheetId="2" r:id="rId1"/>
    <sheet name="2021" sheetId="4" r:id="rId2"/>
    <sheet name="2019" sheetId="5" r:id="rId3"/>
    <sheet name="2018" sheetId="6" r:id="rId4"/>
    <sheet name="2017" sheetId="7" r:id="rId5"/>
    <sheet name="2016" sheetId="8" r:id="rId6"/>
    <sheet name="2015" sheetId="9" r:id="rId7"/>
    <sheet name="2014" sheetId="10" r:id="rId8"/>
    <sheet name="2013" sheetId="30" r:id="rId9"/>
    <sheet name="2012" sheetId="12" r:id="rId10"/>
    <sheet name="2011" sheetId="13" r:id="rId11"/>
    <sheet name="2010" sheetId="14" r:id="rId12"/>
    <sheet name="2009" sheetId="15" r:id="rId13"/>
    <sheet name="2008" sheetId="16" r:id="rId14"/>
    <sheet name="2007" sheetId="17" r:id="rId15"/>
    <sheet name="2006" sheetId="18" r:id="rId16"/>
    <sheet name="2005" sheetId="19" r:id="rId17"/>
    <sheet name="2004" sheetId="20" r:id="rId18"/>
    <sheet name="2003" sheetId="21" r:id="rId19"/>
    <sheet name="2002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2" l="1"/>
  <c r="C221" i="12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8" i="30"/>
  <c r="C259" i="30"/>
  <c r="C260" i="30"/>
  <c r="C261" i="30"/>
  <c r="C262" i="30"/>
  <c r="C263" i="30"/>
  <c r="C264" i="30"/>
  <c r="C265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8" i="30"/>
  <c r="C309" i="30"/>
  <c r="C310" i="30"/>
  <c r="C311" i="30"/>
  <c r="C312" i="30"/>
  <c r="C313" i="30"/>
  <c r="C314" i="30"/>
  <c r="C315" i="30"/>
  <c r="C316" i="30"/>
  <c r="C317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2" i="30"/>
  <c r="C333" i="30"/>
  <c r="C334" i="30"/>
  <c r="C335" i="30"/>
  <c r="C336" i="30"/>
  <c r="C337" i="30"/>
  <c r="C338" i="30"/>
  <c r="C340" i="30"/>
  <c r="C341" i="30"/>
  <c r="C342" i="30"/>
  <c r="C343" i="30"/>
  <c r="C346" i="30"/>
  <c r="C347" i="30"/>
  <c r="C348" i="30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5" i="12"/>
  <c r="C156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5" i="12"/>
  <c r="C176" i="12"/>
  <c r="C177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5" i="12"/>
  <c r="C206" i="12"/>
  <c r="C207" i="12"/>
  <c r="C208" i="12"/>
  <c r="C209" i="12"/>
  <c r="C210" i="12"/>
  <c r="C211" i="12"/>
  <c r="C213" i="12"/>
  <c r="C214" i="12"/>
  <c r="C215" i="12"/>
  <c r="C216" i="12"/>
  <c r="C217" i="12"/>
  <c r="C218" i="12"/>
  <c r="C219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9" i="12"/>
  <c r="C240" i="12"/>
  <c r="C241" i="12"/>
  <c r="C242" i="12"/>
  <c r="C243" i="12"/>
  <c r="C245" i="12"/>
  <c r="C246" i="12"/>
  <c r="C247" i="12"/>
  <c r="C248" i="12"/>
  <c r="C249" i="12"/>
  <c r="C250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4" i="12"/>
  <c r="C305" i="12"/>
  <c r="C306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9" i="12"/>
  <c r="C330" i="12"/>
  <c r="C331" i="12"/>
  <c r="C332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1" i="8"/>
  <c r="C42" i="8"/>
  <c r="C43" i="8"/>
  <c r="C44" i="8"/>
  <c r="C45" i="8"/>
  <c r="C46" i="8"/>
  <c r="C47" i="8"/>
  <c r="C48" i="8"/>
  <c r="C49" i="8"/>
  <c r="C50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9" i="8"/>
  <c r="C160" i="8"/>
  <c r="C161" i="8"/>
  <c r="C162" i="8"/>
  <c r="C163" i="8"/>
  <c r="C164" i="8"/>
  <c r="C165" i="8"/>
  <c r="C166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6" i="8"/>
  <c r="C277" i="8"/>
  <c r="C278" i="8"/>
  <c r="C279" i="8"/>
  <c r="C280" i="8"/>
  <c r="C281" i="8"/>
  <c r="C282" i="8"/>
  <c r="C283" i="8"/>
  <c r="C284" i="8"/>
  <c r="C285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9" i="8"/>
  <c r="C320" i="8"/>
  <c r="C321" i="8"/>
  <c r="C322" i="8"/>
  <c r="C323" i="8"/>
  <c r="C324" i="8"/>
  <c r="C325" i="8"/>
  <c r="C326" i="8"/>
  <c r="C327" i="8"/>
  <c r="C329" i="8"/>
  <c r="C330" i="8"/>
  <c r="C331" i="8"/>
  <c r="C332" i="8"/>
  <c r="C333" i="8"/>
  <c r="C334" i="8"/>
  <c r="C335" i="8"/>
  <c r="C336" i="8"/>
  <c r="C338" i="8"/>
  <c r="C339" i="8"/>
  <c r="C340" i="8"/>
  <c r="C341" i="8"/>
  <c r="C342" i="8"/>
  <c r="C343" i="8"/>
  <c r="C344" i="8"/>
  <c r="C345" i="8"/>
  <c r="C347" i="8"/>
  <c r="C348" i="8"/>
  <c r="C349" i="8"/>
  <c r="C350" i="8"/>
  <c r="C352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3" i="7"/>
  <c r="C74" i="7"/>
  <c r="C75" i="7"/>
  <c r="C76" i="7"/>
  <c r="C77" i="7"/>
  <c r="C78" i="7"/>
  <c r="C79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5" i="7"/>
  <c r="C276" i="7"/>
  <c r="C277" i="7"/>
  <c r="C278" i="7"/>
  <c r="C279" i="7"/>
  <c r="C280" i="7"/>
  <c r="C281" i="7"/>
  <c r="C282" i="7"/>
  <c r="C283" i="7"/>
  <c r="C284" i="7"/>
  <c r="C285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10" i="7"/>
  <c r="C311" i="7"/>
  <c r="C312" i="7"/>
  <c r="C313" i="7"/>
  <c r="C314" i="7"/>
  <c r="C315" i="7"/>
  <c r="C316" i="7"/>
  <c r="C317" i="7"/>
  <c r="C318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1" i="7"/>
  <c r="C342" i="7"/>
  <c r="C343" i="7"/>
  <c r="C345" i="7"/>
  <c r="C346" i="7"/>
  <c r="C347" i="7"/>
  <c r="C348" i="7"/>
  <c r="C349" i="7"/>
  <c r="C350" i="7"/>
  <c r="C35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4" i="6"/>
  <c r="C85" i="6"/>
  <c r="C86" i="6"/>
  <c r="C87" i="6"/>
  <c r="C88" i="6"/>
  <c r="C89" i="6"/>
  <c r="C90" i="6"/>
  <c r="C91" i="6"/>
  <c r="C92" i="6"/>
  <c r="C93" i="6"/>
  <c r="C94" i="6"/>
  <c r="C96" i="6"/>
  <c r="C97" i="6"/>
  <c r="C98" i="6"/>
  <c r="C99" i="6"/>
  <c r="C100" i="6"/>
  <c r="C101" i="6"/>
  <c r="C102" i="6"/>
  <c r="C103" i="6"/>
  <c r="C104" i="6"/>
  <c r="C105" i="6"/>
  <c r="C106" i="6"/>
  <c r="C108" i="6"/>
  <c r="C109" i="6"/>
  <c r="C110" i="6"/>
  <c r="C111" i="6"/>
  <c r="C112" i="6"/>
  <c r="C113" i="6"/>
  <c r="C114" i="6"/>
  <c r="C116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4" i="6"/>
  <c r="C265" i="6"/>
  <c r="C266" i="6"/>
  <c r="C269" i="6"/>
  <c r="C271" i="6"/>
  <c r="C272" i="6"/>
  <c r="C273" i="6"/>
  <c r="C274" i="6"/>
  <c r="C275" i="6"/>
  <c r="C276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9" i="6"/>
  <c r="C340" i="6"/>
  <c r="C341" i="6"/>
  <c r="C342" i="6"/>
  <c r="C343" i="6"/>
  <c r="C344" i="6"/>
  <c r="C345" i="6"/>
  <c r="C346" i="6"/>
  <c r="C347" i="6"/>
  <c r="C349" i="6"/>
  <c r="C351" i="6"/>
  <c r="C35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3" i="5"/>
  <c r="C215" i="5"/>
  <c r="C216" i="5"/>
  <c r="C217" i="5"/>
  <c r="C218" i="5"/>
  <c r="C219" i="5"/>
  <c r="C220" i="5"/>
  <c r="C221" i="5"/>
  <c r="C222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5" i="5"/>
  <c r="C296" i="5"/>
  <c r="C297" i="5"/>
  <c r="C298" i="5"/>
  <c r="C299" i="5"/>
  <c r="C300" i="5"/>
  <c r="C301" i="5"/>
  <c r="C302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3" i="5"/>
  <c r="C354" i="5"/>
  <c r="C2" i="4"/>
  <c r="C3" i="4"/>
  <c r="C4" i="4"/>
  <c r="C5" i="4"/>
  <c r="C6" i="4"/>
  <c r="C7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6" i="4"/>
  <c r="C337" i="4"/>
  <c r="C338" i="4"/>
  <c r="C340" i="4"/>
  <c r="C341" i="4"/>
  <c r="C342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7" i="4"/>
</calcChain>
</file>

<file path=xl/sharedStrings.xml><?xml version="1.0" encoding="utf-8"?>
<sst xmlns="http://schemas.openxmlformats.org/spreadsheetml/2006/main" count="8697" uniqueCount="909">
  <si>
    <t>Gonzaga</t>
  </si>
  <si>
    <t>WEST COAST</t>
  </si>
  <si>
    <t>Kansas</t>
  </si>
  <si>
    <t>BIG 12</t>
  </si>
  <si>
    <t>Houston</t>
  </si>
  <si>
    <t>AMER. ATHLETIC</t>
  </si>
  <si>
    <t>Arizona</t>
  </si>
  <si>
    <t>PAC-12</t>
  </si>
  <si>
    <t>Baylor</t>
  </si>
  <si>
    <t>Duke</t>
  </si>
  <si>
    <t>ATLANTIC COAST</t>
  </si>
  <si>
    <t>Villanova</t>
  </si>
  <si>
    <t>BIG EAST</t>
  </si>
  <si>
    <t>Tennessee</t>
  </si>
  <si>
    <t>SOUTHEASTERN</t>
  </si>
  <si>
    <t>Kentucky</t>
  </si>
  <si>
    <t>Purdue</t>
  </si>
  <si>
    <t>BIG TEN</t>
  </si>
  <si>
    <t>Rank</t>
  </si>
  <si>
    <t>Team</t>
  </si>
  <si>
    <t>Rating</t>
  </si>
  <si>
    <t>W</t>
  </si>
  <si>
    <t>L</t>
  </si>
  <si>
    <t>SOS</t>
  </si>
  <si>
    <t>Top 25 W</t>
  </si>
  <si>
    <t>Top 25 L</t>
  </si>
  <si>
    <t>Top 50 W</t>
  </si>
  <si>
    <t>Top 50 L</t>
  </si>
  <si>
    <t>Predictor</t>
  </si>
  <si>
    <t>Golden Mean</t>
  </si>
  <si>
    <t>UCLA</t>
  </si>
  <si>
    <t>Texas Tech</t>
  </si>
  <si>
    <t>Iowa</t>
  </si>
  <si>
    <t>Auburn</t>
  </si>
  <si>
    <t>Illinois</t>
  </si>
  <si>
    <t>Arkansas</t>
  </si>
  <si>
    <t>North Carolina</t>
  </si>
  <si>
    <t>Connecticut</t>
  </si>
  <si>
    <t>Texas</t>
  </si>
  <si>
    <t>Michigan</t>
  </si>
  <si>
    <t>Memphis</t>
  </si>
  <si>
    <t>Virginia Tech</t>
  </si>
  <si>
    <t>Alabama</t>
  </si>
  <si>
    <t>Wisconsin</t>
  </si>
  <si>
    <t>Providence</t>
  </si>
  <si>
    <t>Oklahoma</t>
  </si>
  <si>
    <t>Indiana</t>
  </si>
  <si>
    <t>San Francisco</t>
  </si>
  <si>
    <t>Seton Hall</t>
  </si>
  <si>
    <t>TCU</t>
  </si>
  <si>
    <t>Loyola-Chicago</t>
  </si>
  <si>
    <t>Xavier-Ohio</t>
  </si>
  <si>
    <t>Creighton</t>
  </si>
  <si>
    <t>Wake Forest</t>
  </si>
  <si>
    <t>Notre Dame</t>
  </si>
  <si>
    <t>St. John's</t>
  </si>
  <si>
    <t>MOUNTAIN WEST</t>
  </si>
  <si>
    <t>Texas A&amp;M</t>
  </si>
  <si>
    <t>BYU</t>
  </si>
  <si>
    <t>Oregon</t>
  </si>
  <si>
    <t>Florida</t>
  </si>
  <si>
    <t>SMU</t>
  </si>
  <si>
    <t>Dayton</t>
  </si>
  <si>
    <t>ATLANTIC 10</t>
  </si>
  <si>
    <t>Davidson</t>
  </si>
  <si>
    <t>Marquette</t>
  </si>
  <si>
    <t>UAB</t>
  </si>
  <si>
    <t>CONFERENCE USA</t>
  </si>
  <si>
    <t>St. Bonaventure</t>
  </si>
  <si>
    <t>Colorado</t>
  </si>
  <si>
    <t>Virginia</t>
  </si>
  <si>
    <t>Rutgers</t>
  </si>
  <si>
    <t>West Virginia</t>
  </si>
  <si>
    <t>Syracuse</t>
  </si>
  <si>
    <t>Saint Louis</t>
  </si>
  <si>
    <t>Maryland</t>
  </si>
  <si>
    <t>Vanderbilt</t>
  </si>
  <si>
    <t>OHIO VALLEY</t>
  </si>
  <si>
    <t>Clemson</t>
  </si>
  <si>
    <t>Northwestern</t>
  </si>
  <si>
    <t>Richmond</t>
  </si>
  <si>
    <t>WESTERN ATHLETIC</t>
  </si>
  <si>
    <t>SUMMIT LEAGUE</t>
  </si>
  <si>
    <t>North Texas</t>
  </si>
  <si>
    <t>MISSOURI VALLEY</t>
  </si>
  <si>
    <t>Chattanooga</t>
  </si>
  <si>
    <t>SOUTHERN</t>
  </si>
  <si>
    <t>Belmont</t>
  </si>
  <si>
    <t>Santa Clara</t>
  </si>
  <si>
    <t>Vermont</t>
  </si>
  <si>
    <t>AMERICA EAST</t>
  </si>
  <si>
    <t>Drake</t>
  </si>
  <si>
    <t>Wyoming</t>
  </si>
  <si>
    <t>Toledo</t>
  </si>
  <si>
    <t>MAC</t>
  </si>
  <si>
    <t>Furman</t>
  </si>
  <si>
    <t>South Carolina</t>
  </si>
  <si>
    <t>DePaul</t>
  </si>
  <si>
    <t>Stanford</t>
  </si>
  <si>
    <t>Cincinnati</t>
  </si>
  <si>
    <t>Mississippi</t>
  </si>
  <si>
    <t>Louisiana Tech</t>
  </si>
  <si>
    <t>Northern Iowa</t>
  </si>
  <si>
    <t>Minnesota</t>
  </si>
  <si>
    <t>Louisville</t>
  </si>
  <si>
    <t>Grand Canyon</t>
  </si>
  <si>
    <t>Butler</t>
  </si>
  <si>
    <t>METRO ATLANTIC</t>
  </si>
  <si>
    <t>Towson</t>
  </si>
  <si>
    <t>COLONIAL</t>
  </si>
  <si>
    <t>Tulane</t>
  </si>
  <si>
    <t>Washington</t>
  </si>
  <si>
    <t>Temple</t>
  </si>
  <si>
    <t>Utah</t>
  </si>
  <si>
    <t>Bradley</t>
  </si>
  <si>
    <t>UNLV</t>
  </si>
  <si>
    <t>Buffalo</t>
  </si>
  <si>
    <t>Missouri</t>
  </si>
  <si>
    <t>George Mason</t>
  </si>
  <si>
    <t>Nevada</t>
  </si>
  <si>
    <t>Nebraska</t>
  </si>
  <si>
    <t>Western Kentucky</t>
  </si>
  <si>
    <t>Boston College</t>
  </si>
  <si>
    <t>Wofford</t>
  </si>
  <si>
    <t>Princeton</t>
  </si>
  <si>
    <t>IVY LEAGUE</t>
  </si>
  <si>
    <t>Ohio</t>
  </si>
  <si>
    <t>Saint Peter's</t>
  </si>
  <si>
    <t>Middle Tennessee</t>
  </si>
  <si>
    <t>Rhode Island</t>
  </si>
  <si>
    <t>Georgia Tech</t>
  </si>
  <si>
    <t>California</t>
  </si>
  <si>
    <t>Abilene Christian</t>
  </si>
  <si>
    <t>Akron</t>
  </si>
  <si>
    <t>UC Irvine</t>
  </si>
  <si>
    <t>BIG WEST</t>
  </si>
  <si>
    <t>Southern Illinois</t>
  </si>
  <si>
    <t>Liberty</t>
  </si>
  <si>
    <t>ATLANTIC SUN</t>
  </si>
  <si>
    <t>Stephen F. Austin</t>
  </si>
  <si>
    <t>Colgate</t>
  </si>
  <si>
    <t>PATRIOT</t>
  </si>
  <si>
    <t>Hofstra</t>
  </si>
  <si>
    <t>UC Santa Barbara</t>
  </si>
  <si>
    <t>Yale</t>
  </si>
  <si>
    <t>SUN BELT</t>
  </si>
  <si>
    <t>Utah Valley</t>
  </si>
  <si>
    <t>Georgetown</t>
  </si>
  <si>
    <t>Florida Atlantic</t>
  </si>
  <si>
    <t>Tulsa</t>
  </si>
  <si>
    <t>Delaware</t>
  </si>
  <si>
    <t>BIG SKY</t>
  </si>
  <si>
    <t>Seattle</t>
  </si>
  <si>
    <t>Pittsburgh</t>
  </si>
  <si>
    <t>NC Wilmington</t>
  </si>
  <si>
    <t>Winthrop</t>
  </si>
  <si>
    <t>BIG SOUTH-S</t>
  </si>
  <si>
    <t>College of Charleston</t>
  </si>
  <si>
    <t>South Alabama</t>
  </si>
  <si>
    <t>Coastal Carolina</t>
  </si>
  <si>
    <t>Oral Roberts</t>
  </si>
  <si>
    <t>Monmouth-NJ</t>
  </si>
  <si>
    <t>Drexel</t>
  </si>
  <si>
    <t>UTEP</t>
  </si>
  <si>
    <t>Southern Utah</t>
  </si>
  <si>
    <t>Massachusetts</t>
  </si>
  <si>
    <t>Wagner</t>
  </si>
  <si>
    <t>NORTHEAST</t>
  </si>
  <si>
    <t>UC Riverside</t>
  </si>
  <si>
    <t>CS Fullerton</t>
  </si>
  <si>
    <t>Longwood</t>
  </si>
  <si>
    <t>BIG SOUTH-N</t>
  </si>
  <si>
    <t>Loyola Marymount</t>
  </si>
  <si>
    <t>Dartmouth</t>
  </si>
  <si>
    <t>James Madison</t>
  </si>
  <si>
    <t>Bryant</t>
  </si>
  <si>
    <t>Florida Gulf Coast</t>
  </si>
  <si>
    <t>Portland</t>
  </si>
  <si>
    <t>La Salle</t>
  </si>
  <si>
    <t>SOUTHLAND</t>
  </si>
  <si>
    <t>Niagara</t>
  </si>
  <si>
    <t>Marshall</t>
  </si>
  <si>
    <t>NC Asheville</t>
  </si>
  <si>
    <t>South Florida</t>
  </si>
  <si>
    <t>Eastern Washington</t>
  </si>
  <si>
    <t>Detroit Mercy</t>
  </si>
  <si>
    <t>HORIZON</t>
  </si>
  <si>
    <t>George Washington</t>
  </si>
  <si>
    <t>Fairfield</t>
  </si>
  <si>
    <t>Campbell</t>
  </si>
  <si>
    <t>Marist</t>
  </si>
  <si>
    <t>UT Arlington</t>
  </si>
  <si>
    <t>Montana</t>
  </si>
  <si>
    <t>UMBC</t>
  </si>
  <si>
    <t>Northeastern</t>
  </si>
  <si>
    <t>Rider</t>
  </si>
  <si>
    <t>Siena</t>
  </si>
  <si>
    <t>New Hampshire</t>
  </si>
  <si>
    <t>The Citadel</t>
  </si>
  <si>
    <t>Eastern Kentucky</t>
  </si>
  <si>
    <t>Georgia Southern</t>
  </si>
  <si>
    <t>Pepperdine</t>
  </si>
  <si>
    <t>Elon</t>
  </si>
  <si>
    <t>Quinnipiac</t>
  </si>
  <si>
    <t>SOUTHWESTERN</t>
  </si>
  <si>
    <t>Duquesne</t>
  </si>
  <si>
    <t>Western Illinois</t>
  </si>
  <si>
    <t>Bowling Green</t>
  </si>
  <si>
    <t>UMass Lowell</t>
  </si>
  <si>
    <t>Lipscomb</t>
  </si>
  <si>
    <t>CS Bakersfield</t>
  </si>
  <si>
    <t>High Point</t>
  </si>
  <si>
    <t>Canisius</t>
  </si>
  <si>
    <t>Mount St. Mary's</t>
  </si>
  <si>
    <t>Manhattan</t>
  </si>
  <si>
    <t>UC San Diego</t>
  </si>
  <si>
    <t>Air Force</t>
  </si>
  <si>
    <t>Loyola-Maryland</t>
  </si>
  <si>
    <t>Pacific</t>
  </si>
  <si>
    <t>New Orleans</t>
  </si>
  <si>
    <t>Tennessee Tech</t>
  </si>
  <si>
    <t>Illinois-Chicago</t>
  </si>
  <si>
    <t>Hartford</t>
  </si>
  <si>
    <t>Radford</t>
  </si>
  <si>
    <t>Howard</t>
  </si>
  <si>
    <t>MEAC</t>
  </si>
  <si>
    <t>Western Carolina</t>
  </si>
  <si>
    <t>SE Louisiana</t>
  </si>
  <si>
    <t>Austin Peay</t>
  </si>
  <si>
    <t>NC A&amp;T</t>
  </si>
  <si>
    <t>Merrimack</t>
  </si>
  <si>
    <t>USC Upstate</t>
  </si>
  <si>
    <t>UTSA</t>
  </si>
  <si>
    <t>Stetson</t>
  </si>
  <si>
    <t>Evansville</t>
  </si>
  <si>
    <t>Prairie View A&amp;M</t>
  </si>
  <si>
    <t>Northern Illinois</t>
  </si>
  <si>
    <t>Lehigh</t>
  </si>
  <si>
    <t>Eastern Michigan</t>
  </si>
  <si>
    <t>Little Rock</t>
  </si>
  <si>
    <t>NC Central</t>
  </si>
  <si>
    <t>Denver</t>
  </si>
  <si>
    <t>North Alabama</t>
  </si>
  <si>
    <t>Central Michigan</t>
  </si>
  <si>
    <t>Lafayette</t>
  </si>
  <si>
    <t>Western Michigan</t>
  </si>
  <si>
    <t>Sacred Heart</t>
  </si>
  <si>
    <t>Florida A&amp;M</t>
  </si>
  <si>
    <t>CS Northridge</t>
  </si>
  <si>
    <t>Milwaukee</t>
  </si>
  <si>
    <t>American U.</t>
  </si>
  <si>
    <t>Robert Morris</t>
  </si>
  <si>
    <t>Bucknell</t>
  </si>
  <si>
    <t>Hampton</t>
  </si>
  <si>
    <t>Northern Arizona</t>
  </si>
  <si>
    <t>Southern Miss</t>
  </si>
  <si>
    <t>Central Arkansas</t>
  </si>
  <si>
    <t>Idaho</t>
  </si>
  <si>
    <t>William &amp; Mary</t>
  </si>
  <si>
    <t>Green Bay</t>
  </si>
  <si>
    <t>Alabama A&amp;M</t>
  </si>
  <si>
    <t>Houston Baptist</t>
  </si>
  <si>
    <t>Lamar</t>
  </si>
  <si>
    <t>Holy Cross</t>
  </si>
  <si>
    <t>Columbia</t>
  </si>
  <si>
    <t>North Dakota</t>
  </si>
  <si>
    <t>Fairleigh Dickinson</t>
  </si>
  <si>
    <t>Maine</t>
  </si>
  <si>
    <t>Charleston Southern</t>
  </si>
  <si>
    <t>Incarnate Word</t>
  </si>
  <si>
    <t>Ark.-Pine Bluff</t>
  </si>
  <si>
    <t>Eastern Illinois</t>
  </si>
  <si>
    <t>IUPUI</t>
  </si>
  <si>
    <t>LSU</t>
  </si>
  <si>
    <t>1  1</t>
  </si>
  <si>
    <t>East Carolina</t>
  </si>
  <si>
    <t>New Mexico</t>
  </si>
  <si>
    <t>Hawai'i</t>
  </si>
  <si>
    <t>NC Greensboro</t>
  </si>
  <si>
    <t>VMI</t>
  </si>
  <si>
    <t>Old Dominion</t>
  </si>
  <si>
    <t>Louisiana</t>
  </si>
  <si>
    <t>Mercer</t>
  </si>
  <si>
    <t>Navy</t>
  </si>
  <si>
    <t>Valparaiso</t>
  </si>
  <si>
    <t>Charlotte</t>
  </si>
  <si>
    <t>Georgia</t>
  </si>
  <si>
    <t>Pennsylvania</t>
  </si>
  <si>
    <t>Fordham</t>
  </si>
  <si>
    <t>Samford</t>
  </si>
  <si>
    <t>Northern Kentucky</t>
  </si>
  <si>
    <t>Gardner-Webb</t>
  </si>
  <si>
    <t>Bellarmine</t>
  </si>
  <si>
    <t>Northern Colorado</t>
  </si>
  <si>
    <t>Troy</t>
  </si>
  <si>
    <t>Cornell</t>
  </si>
  <si>
    <t>Jacksonville</t>
  </si>
  <si>
    <t>Harvard</t>
  </si>
  <si>
    <t>Brown</t>
  </si>
  <si>
    <t>Texas Southern</t>
  </si>
  <si>
    <t>Rice</t>
  </si>
  <si>
    <t>UC Davis</t>
  </si>
  <si>
    <t>San Diego</t>
  </si>
  <si>
    <t>South Dakota</t>
  </si>
  <si>
    <t>Recent</t>
  </si>
  <si>
    <t>Conference</t>
  </si>
  <si>
    <t>BIG SOUTH</t>
  </si>
  <si>
    <t>SUN BELT-E</t>
  </si>
  <si>
    <t>SUN BELT-W</t>
  </si>
  <si>
    <t>MEAC-North</t>
  </si>
  <si>
    <t>MEAC-South</t>
  </si>
  <si>
    <t>MAC(east)</t>
  </si>
  <si>
    <t>MAC(west)</t>
  </si>
  <si>
    <t>MID-EASTERN</t>
  </si>
  <si>
    <t>76.74  1</t>
  </si>
  <si>
    <t>76.58  1</t>
  </si>
  <si>
    <t>76.54  1</t>
  </si>
  <si>
    <t>76.51  1</t>
  </si>
  <si>
    <t>76.71  1</t>
  </si>
  <si>
    <t>75.86  1</t>
  </si>
  <si>
    <t>76.13  1</t>
  </si>
  <si>
    <t>75.70  1</t>
  </si>
  <si>
    <t>76.43  1</t>
  </si>
  <si>
    <t>75.29  1</t>
  </si>
  <si>
    <t>75.14  1</t>
  </si>
  <si>
    <t>75.12  1</t>
  </si>
  <si>
    <t>75.16  1</t>
  </si>
  <si>
    <t>74.68  1</t>
  </si>
  <si>
    <t>75.07  1</t>
  </si>
  <si>
    <t>75.99  1</t>
  </si>
  <si>
    <t>75.80  1</t>
  </si>
  <si>
    <t>75.54  1</t>
  </si>
  <si>
    <t>75.15  1</t>
  </si>
  <si>
    <t>74.78  1</t>
  </si>
  <si>
    <t>74.54  1</t>
  </si>
  <si>
    <t>75.69  1</t>
  </si>
  <si>
    <t>75.59  1</t>
  </si>
  <si>
    <t>74.53  1</t>
  </si>
  <si>
    <t>74.22  1</t>
  </si>
  <si>
    <t>74.56  1</t>
  </si>
  <si>
    <t>74.63  1</t>
  </si>
  <si>
    <t>73.30  1</t>
  </si>
  <si>
    <t>75.63  1</t>
  </si>
  <si>
    <t>74.36  1</t>
  </si>
  <si>
    <t>73.11  1</t>
  </si>
  <si>
    <t>74.82  1</t>
  </si>
  <si>
    <t>74.93  1</t>
  </si>
  <si>
    <t>73.89  1</t>
  </si>
  <si>
    <t>73.71  1</t>
  </si>
  <si>
    <t>72.68  1</t>
  </si>
  <si>
    <t>73.38  1</t>
  </si>
  <si>
    <t>73.42  1</t>
  </si>
  <si>
    <t>73.32  1</t>
  </si>
  <si>
    <t>73.77  1</t>
  </si>
  <si>
    <t>73.46  1</t>
  </si>
  <si>
    <t>72.95  1</t>
  </si>
  <si>
    <t>73.62  1</t>
  </si>
  <si>
    <t>73.99  1</t>
  </si>
  <si>
    <t>73.05  1</t>
  </si>
  <si>
    <t>72.67  1</t>
  </si>
  <si>
    <t>73.55  1</t>
  </si>
  <si>
    <t>72.47  1</t>
  </si>
  <si>
    <t>72.69  1</t>
  </si>
  <si>
    <t>73.09  1</t>
  </si>
  <si>
    <t>72.23  1</t>
  </si>
  <si>
    <t>72.73  1</t>
  </si>
  <si>
    <t>72.18  1</t>
  </si>
  <si>
    <t>73.27  1</t>
  </si>
  <si>
    <t>72.30  1</t>
  </si>
  <si>
    <t>72.00  1</t>
  </si>
  <si>
    <t>72.43  1</t>
  </si>
  <si>
    <t>73.00  1</t>
  </si>
  <si>
    <t>72.58  1</t>
  </si>
  <si>
    <t>72.17  1</t>
  </si>
  <si>
    <t>71.77  1</t>
  </si>
  <si>
    <t>71.38  1</t>
  </si>
  <si>
    <t>71.10  1</t>
  </si>
  <si>
    <t>70.62  1</t>
  </si>
  <si>
    <t>71.42  1</t>
  </si>
  <si>
    <t>71.01  1</t>
  </si>
  <si>
    <t>71.65  1</t>
  </si>
  <si>
    <t>71.22  1</t>
  </si>
  <si>
    <t>71.23  1</t>
  </si>
  <si>
    <t>71.74  1</t>
  </si>
  <si>
    <t>70.55  1</t>
  </si>
  <si>
    <t>71.93  1</t>
  </si>
  <si>
    <t>71.66  1</t>
  </si>
  <si>
    <t>72.16  1</t>
  </si>
  <si>
    <t>71.46  1</t>
  </si>
  <si>
    <t>71.52  1</t>
  </si>
  <si>
    <t>70.63  1</t>
  </si>
  <si>
    <t>70.50  1</t>
  </si>
  <si>
    <t>69.98  1</t>
  </si>
  <si>
    <t>70.08  1</t>
  </si>
  <si>
    <t>70.39  1</t>
  </si>
  <si>
    <t>71.29  1</t>
  </si>
  <si>
    <t>70.04  1</t>
  </si>
  <si>
    <t>70.22  1</t>
  </si>
  <si>
    <t>68.73  2</t>
  </si>
  <si>
    <t>70.32  1</t>
  </si>
  <si>
    <t>70.25  1</t>
  </si>
  <si>
    <t>68.67  2</t>
  </si>
  <si>
    <t>69.08  1</t>
  </si>
  <si>
    <t>68.84  2</t>
  </si>
  <si>
    <t>69.16  1</t>
  </si>
  <si>
    <t>69.34  1</t>
  </si>
  <si>
    <t>68.79  2</t>
  </si>
  <si>
    <t>69.73  1</t>
  </si>
  <si>
    <t>68.90  2</t>
  </si>
  <si>
    <t>68.70  2</t>
  </si>
  <si>
    <t>68.06  2</t>
  </si>
  <si>
    <t>69.77  1</t>
  </si>
  <si>
    <t>69.02  2</t>
  </si>
  <si>
    <t>68.19  2</t>
  </si>
  <si>
    <t>68.82  2</t>
  </si>
  <si>
    <t>68.58  2</t>
  </si>
  <si>
    <t>68.59  2</t>
  </si>
  <si>
    <t>67.75  2</t>
  </si>
  <si>
    <t>67.94  2</t>
  </si>
  <si>
    <t>68.48  2</t>
  </si>
  <si>
    <t>68.89  2</t>
  </si>
  <si>
    <t>66.94  2</t>
  </si>
  <si>
    <t>67.52  2</t>
  </si>
  <si>
    <t>67.81  2</t>
  </si>
  <si>
    <t>68.97  2</t>
  </si>
  <si>
    <t>67.79  2</t>
  </si>
  <si>
    <t>68.72  2</t>
  </si>
  <si>
    <t>67.50  2</t>
  </si>
  <si>
    <t>68.04  2</t>
  </si>
  <si>
    <t>68.41  2</t>
  </si>
  <si>
    <t>68.49  2</t>
  </si>
  <si>
    <t>67.37  2</t>
  </si>
  <si>
    <t>66.51  2</t>
  </si>
  <si>
    <t>67.41  2</t>
  </si>
  <si>
    <t>67.20  2</t>
  </si>
  <si>
    <t>66.08  2</t>
  </si>
  <si>
    <t>67.36  2</t>
  </si>
  <si>
    <t>67.32  2</t>
  </si>
  <si>
    <t>66.16  2</t>
  </si>
  <si>
    <t>67.19  2</t>
  </si>
  <si>
    <t>65.73  2</t>
  </si>
  <si>
    <t>67.05  2</t>
  </si>
  <si>
    <t>67.21  2</t>
  </si>
  <si>
    <t>66.56  2</t>
  </si>
  <si>
    <t>66.62  2</t>
  </si>
  <si>
    <t>66.92  2</t>
  </si>
  <si>
    <t>66.58  2</t>
  </si>
  <si>
    <t>65.08  2</t>
  </si>
  <si>
    <t>66.37  2</t>
  </si>
  <si>
    <t>66.99  2</t>
  </si>
  <si>
    <t>65.39  2</t>
  </si>
  <si>
    <t>64.14  2</t>
  </si>
  <si>
    <t>65.59  2</t>
  </si>
  <si>
    <t>65.80  2</t>
  </si>
  <si>
    <t>65.22  2</t>
  </si>
  <si>
    <t>65.52  2</t>
  </si>
  <si>
    <t>64.84  2</t>
  </si>
  <si>
    <t>65.06  2</t>
  </si>
  <si>
    <t>66.09  2</t>
  </si>
  <si>
    <t>64.70  2</t>
  </si>
  <si>
    <t>64.77  2</t>
  </si>
  <si>
    <t>64.60  2</t>
  </si>
  <si>
    <t>64.24  2</t>
  </si>
  <si>
    <t>64.99  2</t>
  </si>
  <si>
    <t>64.68  2</t>
  </si>
  <si>
    <t>64.54  2</t>
  </si>
  <si>
    <t>65.21  2</t>
  </si>
  <si>
    <t>64.63  2</t>
  </si>
  <si>
    <t>63.67  2</t>
  </si>
  <si>
    <t>64.51  2</t>
  </si>
  <si>
    <t>63.55  2</t>
  </si>
  <si>
    <t>64.96  2</t>
  </si>
  <si>
    <t>64.82  2</t>
  </si>
  <si>
    <t>64.19  2</t>
  </si>
  <si>
    <t>64.29  2</t>
  </si>
  <si>
    <t>64.94  2</t>
  </si>
  <si>
    <t>63.26  2</t>
  </si>
  <si>
    <t>63.96  2</t>
  </si>
  <si>
    <t>64.47  2</t>
  </si>
  <si>
    <t>64.27  2</t>
  </si>
  <si>
    <t>63.63  2</t>
  </si>
  <si>
    <t>63.69  2</t>
  </si>
  <si>
    <t>65.18  2</t>
  </si>
  <si>
    <t>63.51  2</t>
  </si>
  <si>
    <t>63.33  2</t>
  </si>
  <si>
    <t>63.66  2</t>
  </si>
  <si>
    <t>62.98  2</t>
  </si>
  <si>
    <t>64.42  2</t>
  </si>
  <si>
    <t>62.80  3</t>
  </si>
  <si>
    <t>63.17  2</t>
  </si>
  <si>
    <t>63.05  2</t>
  </si>
  <si>
    <t>63.35  2</t>
  </si>
  <si>
    <t>63.08  2</t>
  </si>
  <si>
    <t>62.50  3</t>
  </si>
  <si>
    <t>62.02  3</t>
  </si>
  <si>
    <t>62.93  2</t>
  </si>
  <si>
    <t>62.93  3</t>
  </si>
  <si>
    <t>63.58  2</t>
  </si>
  <si>
    <t>62.38  3</t>
  </si>
  <si>
    <t>62.17  3</t>
  </si>
  <si>
    <t>61.95  3</t>
  </si>
  <si>
    <t>63.23  2</t>
  </si>
  <si>
    <t>61.91  3</t>
  </si>
  <si>
    <t>61.64  3</t>
  </si>
  <si>
    <t>62.20  3</t>
  </si>
  <si>
    <t>62.07  3</t>
  </si>
  <si>
    <t>60.96  3</t>
  </si>
  <si>
    <t>62.04  3</t>
  </si>
  <si>
    <t>61.60  3</t>
  </si>
  <si>
    <t>61.39  3</t>
  </si>
  <si>
    <t>61.63  3</t>
  </si>
  <si>
    <t>61.79  3</t>
  </si>
  <si>
    <t>60.75  3</t>
  </si>
  <si>
    <t>61.71  3</t>
  </si>
  <si>
    <t>61.44  3</t>
  </si>
  <si>
    <t>60.97  3</t>
  </si>
  <si>
    <t>61.49  3</t>
  </si>
  <si>
    <t>60.93  3</t>
  </si>
  <si>
    <t>61.30  3</t>
  </si>
  <si>
    <t>60.92  3</t>
  </si>
  <si>
    <t>60.05  3</t>
  </si>
  <si>
    <t>59.99  3</t>
  </si>
  <si>
    <t>60.19  3</t>
  </si>
  <si>
    <t>58.91  3</t>
  </si>
  <si>
    <t>58.76  3</t>
  </si>
  <si>
    <t>58.12  3</t>
  </si>
  <si>
    <t>58.16  3</t>
  </si>
  <si>
    <t>58.58  3</t>
  </si>
  <si>
    <t>58.71  3</t>
  </si>
  <si>
    <t>58.85  3</t>
  </si>
  <si>
    <t>56.76  3</t>
  </si>
  <si>
    <t>58.28  3</t>
  </si>
  <si>
    <t>57.32  3</t>
  </si>
  <si>
    <t>57.22  3</t>
  </si>
  <si>
    <t>56.19  3</t>
  </si>
  <si>
    <t>55.82  3</t>
  </si>
  <si>
    <t>56.42  3</t>
  </si>
  <si>
    <t>54.87  3</t>
  </si>
  <si>
    <t>55.87  3</t>
  </si>
  <si>
    <t>56.72  3</t>
  </si>
  <si>
    <t>56.14  3</t>
  </si>
  <si>
    <t>53.43  3</t>
  </si>
  <si>
    <t>52.44  3</t>
  </si>
  <si>
    <t>53.65  3</t>
  </si>
  <si>
    <t>53.15  3</t>
  </si>
  <si>
    <t>50.64  3</t>
  </si>
  <si>
    <t>50.17  3</t>
  </si>
  <si>
    <t>Ranking</t>
  </si>
  <si>
    <t>Iona</t>
  </si>
  <si>
    <t>Army</t>
  </si>
  <si>
    <t>Detroit</t>
  </si>
  <si>
    <t>Louisiana-Lafayette</t>
  </si>
  <si>
    <t>Ark.-Little Rock</t>
  </si>
  <si>
    <t>East Tennessee State</t>
  </si>
  <si>
    <t>Long Island U.</t>
  </si>
  <si>
    <t>Ark.-Little Rock(UALR)</t>
  </si>
  <si>
    <t>Hawaii</t>
  </si>
  <si>
    <t>IPFW</t>
  </si>
  <si>
    <t>UMKC</t>
  </si>
  <si>
    <t>Long Island Univer</t>
  </si>
  <si>
    <t>Ohio University</t>
  </si>
  <si>
    <t>American Universit</t>
  </si>
  <si>
    <t>Boston University</t>
  </si>
  <si>
    <t>Centenary</t>
  </si>
  <si>
    <t>Texas-San Antonio</t>
  </si>
  <si>
    <t>75.97  1</t>
  </si>
  <si>
    <t>75.93  1</t>
  </si>
  <si>
    <t>75.24  1</t>
  </si>
  <si>
    <t>75.85  1</t>
  </si>
  <si>
    <t>75.09  1</t>
  </si>
  <si>
    <t>75.45  1</t>
  </si>
  <si>
    <t>75.84  1</t>
  </si>
  <si>
    <t>75.60  1</t>
  </si>
  <si>
    <t>75.36  1</t>
  </si>
  <si>
    <t>74.66  1</t>
  </si>
  <si>
    <t>74.94  1</t>
  </si>
  <si>
    <t>75.64  1</t>
  </si>
  <si>
    <t>75.46  1</t>
  </si>
  <si>
    <t>75.67  1</t>
  </si>
  <si>
    <t>73.80  1</t>
  </si>
  <si>
    <t>74.16  1</t>
  </si>
  <si>
    <t>73.19  1</t>
  </si>
  <si>
    <t>72.84  1</t>
  </si>
  <si>
    <t>71.26  1</t>
  </si>
  <si>
    <t>73.76  1</t>
  </si>
  <si>
    <t>76.22  1</t>
  </si>
  <si>
    <t>72.83  1</t>
  </si>
  <si>
    <t>74.89  1</t>
  </si>
  <si>
    <t>73.25  1</t>
  </si>
  <si>
    <t>72.14  1</t>
  </si>
  <si>
    <t>73.45  1</t>
  </si>
  <si>
    <t>72.92  1</t>
  </si>
  <si>
    <t>73.31  1</t>
  </si>
  <si>
    <t>74.55  1</t>
  </si>
  <si>
    <t>74.43  1</t>
  </si>
  <si>
    <t>73.08  1</t>
  </si>
  <si>
    <t>72.31  1</t>
  </si>
  <si>
    <t>72.41  1</t>
  </si>
  <si>
    <t>73.73  1</t>
  </si>
  <si>
    <t>75.90  1</t>
  </si>
  <si>
    <t>74.02  1</t>
  </si>
  <si>
    <t>72.91  1</t>
  </si>
  <si>
    <t>73.20  1</t>
  </si>
  <si>
    <t>73.92  1</t>
  </si>
  <si>
    <t>72.39  1</t>
  </si>
  <si>
    <t>71.62  1</t>
  </si>
  <si>
    <t>72.34  1</t>
  </si>
  <si>
    <t>71.27  1</t>
  </si>
  <si>
    <t>70.89  1</t>
  </si>
  <si>
    <t>74.27  1</t>
  </si>
  <si>
    <t>73.10  1</t>
  </si>
  <si>
    <t>74.12  1</t>
  </si>
  <si>
    <t>72.07  1</t>
  </si>
  <si>
    <t>72.11  1</t>
  </si>
  <si>
    <t>71.75  1</t>
  </si>
  <si>
    <t>72.22  1</t>
  </si>
  <si>
    <t>70.99  1</t>
  </si>
  <si>
    <t>70.83  1</t>
  </si>
  <si>
    <t>70.46  1</t>
  </si>
  <si>
    <t>72.46  1</t>
  </si>
  <si>
    <t>69.76  1</t>
  </si>
  <si>
    <t>71.82  1</t>
  </si>
  <si>
    <t>72.98  1</t>
  </si>
  <si>
    <t>70.77  1</t>
  </si>
  <si>
    <t>70.05  1</t>
  </si>
  <si>
    <t>70.66  1</t>
  </si>
  <si>
    <t>71.17  1</t>
  </si>
  <si>
    <t>71.43  1</t>
  </si>
  <si>
    <t>71.69  1</t>
  </si>
  <si>
    <t>70.68  1</t>
  </si>
  <si>
    <t>71.94  1</t>
  </si>
  <si>
    <t>69.83  1</t>
  </si>
  <si>
    <t>70.51  1</t>
  </si>
  <si>
    <t>70.16  1</t>
  </si>
  <si>
    <t>70.74  1</t>
  </si>
  <si>
    <t>72.20  1</t>
  </si>
  <si>
    <t>70.48  1</t>
  </si>
  <si>
    <t>70.09  1</t>
  </si>
  <si>
    <t>69.67  1</t>
  </si>
  <si>
    <t>70.54  1</t>
  </si>
  <si>
    <t>68.98  2</t>
  </si>
  <si>
    <t>70.84  1</t>
  </si>
  <si>
    <t>70.12  1</t>
  </si>
  <si>
    <t>67.67  2</t>
  </si>
  <si>
    <t>69.23  2</t>
  </si>
  <si>
    <t>69.07  2</t>
  </si>
  <si>
    <t>68.21  2</t>
  </si>
  <si>
    <t>67.65  2</t>
  </si>
  <si>
    <t>69.60  1</t>
  </si>
  <si>
    <t>69.40  1</t>
  </si>
  <si>
    <t>68.60  2</t>
  </si>
  <si>
    <t>70.37  1</t>
  </si>
  <si>
    <t>67.14  2</t>
  </si>
  <si>
    <t>68.50  2</t>
  </si>
  <si>
    <t>68.74  2</t>
  </si>
  <si>
    <t>68.14  2</t>
  </si>
  <si>
    <t>67.97  2</t>
  </si>
  <si>
    <t>69.68  1</t>
  </si>
  <si>
    <t>69.36  2</t>
  </si>
  <si>
    <t>68.55  2</t>
  </si>
  <si>
    <t>68.80  2</t>
  </si>
  <si>
    <t>67.88  2</t>
  </si>
  <si>
    <t>68.35  2</t>
  </si>
  <si>
    <t>68.52  2</t>
  </si>
  <si>
    <t>70.19  1</t>
  </si>
  <si>
    <t>67.57  2</t>
  </si>
  <si>
    <t>70.07  1</t>
  </si>
  <si>
    <t>68.75  2</t>
  </si>
  <si>
    <t>67.15  2</t>
  </si>
  <si>
    <t>68.61  2</t>
  </si>
  <si>
    <t>69.03  2</t>
  </si>
  <si>
    <t>67.68  2</t>
  </si>
  <si>
    <t>66.93  2</t>
  </si>
  <si>
    <t>67.01  2</t>
  </si>
  <si>
    <t>67.55  2</t>
  </si>
  <si>
    <t>67.86  2</t>
  </si>
  <si>
    <t>66.14  2</t>
  </si>
  <si>
    <t>66.78  2</t>
  </si>
  <si>
    <t>65.57  2</t>
  </si>
  <si>
    <t>68.12  2</t>
  </si>
  <si>
    <t>66.11  2</t>
  </si>
  <si>
    <t>67.61  2</t>
  </si>
  <si>
    <t>67.04  2</t>
  </si>
  <si>
    <t>68.01  2</t>
  </si>
  <si>
    <t>69.15  2</t>
  </si>
  <si>
    <t>67.58  2</t>
  </si>
  <si>
    <t>66.52  2</t>
  </si>
  <si>
    <t>65.17  2</t>
  </si>
  <si>
    <t>64.79  2</t>
  </si>
  <si>
    <t>67.82  2</t>
  </si>
  <si>
    <t>67.69  2</t>
  </si>
  <si>
    <t>65.97  2</t>
  </si>
  <si>
    <t>66.63  2</t>
  </si>
  <si>
    <t>67.48  2</t>
  </si>
  <si>
    <t>64.17  2</t>
  </si>
  <si>
    <t>67.60  2</t>
  </si>
  <si>
    <t>65.96  2</t>
  </si>
  <si>
    <t>66.03  2</t>
  </si>
  <si>
    <t>64.21  2</t>
  </si>
  <si>
    <t>64.36  2</t>
  </si>
  <si>
    <t>64.85  2</t>
  </si>
  <si>
    <t>65.98  2</t>
  </si>
  <si>
    <t>66.39  2</t>
  </si>
  <si>
    <t>65.27  2</t>
  </si>
  <si>
    <t>64.90  2</t>
  </si>
  <si>
    <t>66.24  2</t>
  </si>
  <si>
    <t>65.38  2</t>
  </si>
  <si>
    <t>64.92  2</t>
  </si>
  <si>
    <t>66.26  2</t>
  </si>
  <si>
    <t>63.44  2</t>
  </si>
  <si>
    <t>65.28  2</t>
  </si>
  <si>
    <t>64.46  2</t>
  </si>
  <si>
    <t>67.42  2</t>
  </si>
  <si>
    <t>63.70  2</t>
  </si>
  <si>
    <t>65.24  2</t>
  </si>
  <si>
    <t>63.95  2</t>
  </si>
  <si>
    <t>65.16  2</t>
  </si>
  <si>
    <t>66.07  2</t>
  </si>
  <si>
    <t>65.41  2</t>
  </si>
  <si>
    <t>62.69  3</t>
  </si>
  <si>
    <t>64.95  2</t>
  </si>
  <si>
    <t>65.03  2</t>
  </si>
  <si>
    <t>64.33  2</t>
  </si>
  <si>
    <t>62.84  2</t>
  </si>
  <si>
    <t>64.97  2</t>
  </si>
  <si>
    <t>63.64  2</t>
  </si>
  <si>
    <t>64.44  2</t>
  </si>
  <si>
    <t>64.74  2</t>
  </si>
  <si>
    <t>64.64  2</t>
  </si>
  <si>
    <t>64.45  2</t>
  </si>
  <si>
    <t>63.37  2</t>
  </si>
  <si>
    <t>61.45  3</t>
  </si>
  <si>
    <t>64.65  2</t>
  </si>
  <si>
    <t>63.06  2</t>
  </si>
  <si>
    <t>65.02  2</t>
  </si>
  <si>
    <t>63.21  2</t>
  </si>
  <si>
    <t>61.42  3</t>
  </si>
  <si>
    <t>61.90  3</t>
  </si>
  <si>
    <t>62.32  3</t>
  </si>
  <si>
    <t>62.75  2</t>
  </si>
  <si>
    <t>61.89  3</t>
  </si>
  <si>
    <t>63.16  2</t>
  </si>
  <si>
    <t>61.94  3</t>
  </si>
  <si>
    <t>63.24  2</t>
  </si>
  <si>
    <t>62.13  3</t>
  </si>
  <si>
    <t>60.62  3</t>
  </si>
  <si>
    <t>62.21  3</t>
  </si>
  <si>
    <t>60.11  3</t>
  </si>
  <si>
    <t>62.95  2</t>
  </si>
  <si>
    <t>60.78  3</t>
  </si>
  <si>
    <t>60.95  3</t>
  </si>
  <si>
    <t>61.55  3</t>
  </si>
  <si>
    <t>61.01  3</t>
  </si>
  <si>
    <t>60.56  3</t>
  </si>
  <si>
    <t>62.08  3</t>
  </si>
  <si>
    <t>61.66  3</t>
  </si>
  <si>
    <t>60.41  3</t>
  </si>
  <si>
    <t>59.84  3</t>
  </si>
  <si>
    <t>60.16  3</t>
  </si>
  <si>
    <t>60.29  3</t>
  </si>
  <si>
    <t>60.52  3</t>
  </si>
  <si>
    <t>61.82  3</t>
  </si>
  <si>
    <t>59.32  3</t>
  </si>
  <si>
    <t>60.09  3</t>
  </si>
  <si>
    <t>58.83  3</t>
  </si>
  <si>
    <t>59.93  3</t>
  </si>
  <si>
    <t>59.45  3</t>
  </si>
  <si>
    <t>57.63  3</t>
  </si>
  <si>
    <t>59.54  3</t>
  </si>
  <si>
    <t>60.10  3</t>
  </si>
  <si>
    <t>58.40  3</t>
  </si>
  <si>
    <t>57.98  3</t>
  </si>
  <si>
    <t>53.60  3</t>
  </si>
  <si>
    <t>57.01  3</t>
  </si>
  <si>
    <t>53.89  3</t>
  </si>
  <si>
    <t>54.18  3</t>
  </si>
  <si>
    <t>53.58  3</t>
  </si>
  <si>
    <t>56.16  3</t>
  </si>
  <si>
    <t>53.55  3</t>
  </si>
  <si>
    <t>52.83  3</t>
  </si>
  <si>
    <t>50.84  3</t>
  </si>
  <si>
    <t>49.53  3</t>
  </si>
  <si>
    <t>47.62  3</t>
  </si>
  <si>
    <t>Saint Joseph's</t>
  </si>
  <si>
    <t>Va. Commonwealth</t>
  </si>
  <si>
    <t>UMBC(Md-Balt)</t>
  </si>
  <si>
    <t>Ohio U.</t>
  </si>
  <si>
    <t>Cent. Connecticut</t>
  </si>
  <si>
    <t>UCF(Central Florid</t>
  </si>
  <si>
    <t>N.C. A&amp;T</t>
  </si>
  <si>
    <t>Oklahoma St.</t>
  </si>
  <si>
    <t>Mississippi St.</t>
  </si>
  <si>
    <t>No. Carolina St.</t>
  </si>
  <si>
    <t>Florida St.</t>
  </si>
  <si>
    <t>Michigan St.</t>
  </si>
  <si>
    <t>Iowa St.</t>
  </si>
  <si>
    <t>Utah St.</t>
  </si>
  <si>
    <t>Boise St.</t>
  </si>
  <si>
    <t>Murray St.</t>
  </si>
  <si>
    <t>East Tennessee St.</t>
  </si>
  <si>
    <t>Troy St.</t>
  </si>
  <si>
    <t>Wichita St.</t>
  </si>
  <si>
    <t>Kansas St.</t>
  </si>
  <si>
    <t>Kent St.</t>
  </si>
  <si>
    <t>Fresno St.</t>
  </si>
  <si>
    <t>San Diego St.</t>
  </si>
  <si>
    <t>Southern Cal</t>
  </si>
  <si>
    <t>Washington St.</t>
  </si>
  <si>
    <t>Georgia St.</t>
  </si>
  <si>
    <t>Ohio St.</t>
  </si>
  <si>
    <t>Colorado St.</t>
  </si>
  <si>
    <t>Arizona St.</t>
  </si>
  <si>
    <t>Oregon St.</t>
  </si>
  <si>
    <t>Ball St.</t>
  </si>
  <si>
    <t>Wright St.</t>
  </si>
  <si>
    <t>Arkansas St.</t>
  </si>
  <si>
    <t>Weber St.</t>
  </si>
  <si>
    <t>Penn St.</t>
  </si>
  <si>
    <t>Illinois St.</t>
  </si>
  <si>
    <t>New Mexico St.</t>
  </si>
  <si>
    <t>Morehead St.</t>
  </si>
  <si>
    <t>Indiana St.</t>
  </si>
  <si>
    <t>Sacramento St.</t>
  </si>
  <si>
    <t>Montana St.</t>
  </si>
  <si>
    <t>Chicago St.</t>
  </si>
  <si>
    <t>Portland St.</t>
  </si>
  <si>
    <t>Appalachian St.</t>
  </si>
  <si>
    <t>So. Carolina St.</t>
  </si>
  <si>
    <t>San Jose St.</t>
  </si>
  <si>
    <t>Jacksonville St.</t>
  </si>
  <si>
    <t>Idaho St.</t>
  </si>
  <si>
    <t>Youngstown St.</t>
  </si>
  <si>
    <t>Coppin St.</t>
  </si>
  <si>
    <t>McNeese St.</t>
  </si>
  <si>
    <t>Alabama St.</t>
  </si>
  <si>
    <t>Delaware St.</t>
  </si>
  <si>
    <t>Tennessee St.</t>
  </si>
  <si>
    <t>Sam Houston St.</t>
  </si>
  <si>
    <t>Jackson St.</t>
  </si>
  <si>
    <t>Long Beach St.</t>
  </si>
  <si>
    <t>Cleveland St.</t>
  </si>
  <si>
    <t>Morgan St.</t>
  </si>
  <si>
    <t>Alcorn St.</t>
  </si>
  <si>
    <t>Norfolk St.</t>
  </si>
  <si>
    <t>Savannah St.</t>
  </si>
  <si>
    <t>Nicholls St.</t>
  </si>
  <si>
    <t>MVSU (Miss. Valley</t>
  </si>
  <si>
    <t>UMBC (Md-Balt)</t>
  </si>
  <si>
    <t>Morris Brown</t>
  </si>
  <si>
    <t>Central Conn. St.</t>
  </si>
  <si>
    <t>Cal Poly</t>
  </si>
  <si>
    <t>Texas A&amp;M-Corpus C</t>
  </si>
  <si>
    <t>Miss. Valley St.</t>
  </si>
  <si>
    <t>St. Peter's</t>
  </si>
  <si>
    <t>Elo Chess</t>
  </si>
  <si>
    <t>Top 30 L</t>
  </si>
  <si>
    <t>Top 30 W</t>
  </si>
  <si>
    <t>Top 10 L</t>
  </si>
  <si>
    <t>Top 10 W</t>
  </si>
  <si>
    <t>South Dakota St.</t>
  </si>
  <si>
    <t>Missouri St.</t>
  </si>
  <si>
    <t>Texas St.</t>
  </si>
  <si>
    <t>North Dakota St.</t>
  </si>
  <si>
    <t>East Tennessee St.(ETS</t>
  </si>
  <si>
    <t>Tarleton St.</t>
  </si>
  <si>
    <t>Kennesaw St.</t>
  </si>
  <si>
    <t>Dixie St.</t>
  </si>
  <si>
    <t>Grambling St.</t>
  </si>
  <si>
    <t>Northwestern St.</t>
  </si>
  <si>
    <t>Utah Valley St.</t>
  </si>
  <si>
    <t>N.C. State</t>
  </si>
  <si>
    <t>LIU Brooklyn</t>
  </si>
  <si>
    <t>Miami FL</t>
  </si>
  <si>
    <t>Miami OH</t>
  </si>
  <si>
    <t>UCF</t>
  </si>
  <si>
    <t>Saint Mary's</t>
  </si>
  <si>
    <t>VCU</t>
  </si>
  <si>
    <t>USC</t>
  </si>
  <si>
    <t>Oakland</t>
  </si>
  <si>
    <t>Fort Wayne</t>
  </si>
  <si>
    <t>North Florida</t>
  </si>
  <si>
    <t>FIU</t>
  </si>
  <si>
    <t>NJIT</t>
  </si>
  <si>
    <t>Presbyterian</t>
  </si>
  <si>
    <t>Central Connecticut</t>
  </si>
  <si>
    <t>Mississippi Valley</t>
  </si>
  <si>
    <t>Maryland Eastern Shore</t>
  </si>
  <si>
    <t>Texas A&amp;M Corpus Chris</t>
  </si>
  <si>
    <t>North Carolina A&amp;T</t>
  </si>
  <si>
    <t>Southeast Missouri St.</t>
  </si>
  <si>
    <t>Louisiana Monroe</t>
  </si>
  <si>
    <t>Tennessee Martin</t>
  </si>
  <si>
    <t>St. Francis Ny</t>
  </si>
  <si>
    <t>St. Francis PA</t>
  </si>
  <si>
    <t>Boston</t>
  </si>
  <si>
    <t>Bethune Cookman</t>
  </si>
  <si>
    <t>Birmingham Southern</t>
  </si>
  <si>
    <t>UT Rio Grande Valley</t>
  </si>
  <si>
    <t>Southern</t>
  </si>
  <si>
    <t>Winston Salem St.</t>
  </si>
  <si>
    <t>South Carolina St.</t>
  </si>
  <si>
    <t>Binghamton</t>
  </si>
  <si>
    <t>SIU Edwardsville</t>
  </si>
  <si>
    <t>Albany</t>
  </si>
  <si>
    <t>Nebraska Omaha</t>
  </si>
  <si>
    <t>Mississippi Valley St.</t>
  </si>
  <si>
    <t>Cal Baptist</t>
  </si>
  <si>
    <t>Stony Brook</t>
  </si>
  <si>
    <t>St.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</si>
</sst>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22222"/>
      <name val="Courier New"/>
      <family val="3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A866-ADE6-4C4C-9853-9C246AEF733E}">
  <dimension ref="A1:N359"/>
  <sheetViews>
    <sheetView topLeftCell="A331" workbookViewId="0">
      <selection activeCell="A360" sqref="A360"/>
    </sheetView>
  </sheetViews>
  <sheetFormatPr baseColWidth="10" defaultColWidth="8.83203125" defaultRowHeight="15" x14ac:dyDescent="0.2"/>
  <cols>
    <col min="2" max="2" width="19.33203125" bestFit="1" customWidth="1"/>
  </cols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  <c r="N1" t="s">
        <v>305</v>
      </c>
    </row>
    <row r="2" spans="1:14" x14ac:dyDescent="0.2">
      <c r="A2" s="1">
        <v>1</v>
      </c>
      <c r="B2" t="s">
        <v>0</v>
      </c>
      <c r="C2">
        <v>94.61</v>
      </c>
      <c r="D2">
        <v>28</v>
      </c>
      <c r="E2">
        <v>4</v>
      </c>
      <c r="F2">
        <v>75.92</v>
      </c>
      <c r="G2">
        <v>6</v>
      </c>
      <c r="H2">
        <v>3</v>
      </c>
      <c r="I2">
        <v>11</v>
      </c>
      <c r="J2">
        <v>4</v>
      </c>
      <c r="K2">
        <v>95.15</v>
      </c>
      <c r="L2">
        <v>94.2</v>
      </c>
      <c r="M2">
        <v>90.63</v>
      </c>
      <c r="N2" t="s">
        <v>1</v>
      </c>
    </row>
    <row r="3" spans="1:14" x14ac:dyDescent="0.2">
      <c r="A3" s="1">
        <v>2</v>
      </c>
      <c r="B3" t="s">
        <v>2</v>
      </c>
      <c r="C3">
        <v>91.78</v>
      </c>
      <c r="D3">
        <v>32</v>
      </c>
      <c r="E3">
        <v>6</v>
      </c>
      <c r="F3">
        <v>81.510000000000005</v>
      </c>
      <c r="G3">
        <v>4</v>
      </c>
      <c r="H3">
        <v>4</v>
      </c>
      <c r="I3">
        <v>14</v>
      </c>
      <c r="J3">
        <v>5</v>
      </c>
      <c r="K3">
        <v>91.46</v>
      </c>
      <c r="L3">
        <v>92.16</v>
      </c>
      <c r="M3">
        <v>94.67</v>
      </c>
      <c r="N3" t="s">
        <v>3</v>
      </c>
    </row>
    <row r="4" spans="1:14" x14ac:dyDescent="0.2">
      <c r="A4" s="1">
        <v>3</v>
      </c>
      <c r="B4" t="s">
        <v>4</v>
      </c>
      <c r="C4">
        <v>91.77</v>
      </c>
      <c r="D4">
        <v>32</v>
      </c>
      <c r="E4">
        <v>6</v>
      </c>
      <c r="F4">
        <v>77.75</v>
      </c>
      <c r="G4">
        <v>3</v>
      </c>
      <c r="H4">
        <v>3</v>
      </c>
      <c r="I4">
        <v>5</v>
      </c>
      <c r="J4">
        <v>5</v>
      </c>
      <c r="K4">
        <v>91.84</v>
      </c>
      <c r="L4">
        <v>91.2</v>
      </c>
      <c r="M4">
        <v>92.52</v>
      </c>
      <c r="N4" t="s">
        <v>5</v>
      </c>
    </row>
    <row r="5" spans="1:14" x14ac:dyDescent="0.2">
      <c r="A5" s="1">
        <v>4</v>
      </c>
      <c r="B5" t="s">
        <v>6</v>
      </c>
      <c r="C5">
        <v>91.52</v>
      </c>
      <c r="D5">
        <v>33</v>
      </c>
      <c r="E5">
        <v>4</v>
      </c>
      <c r="F5">
        <v>78.53</v>
      </c>
      <c r="G5">
        <v>4</v>
      </c>
      <c r="H5">
        <v>3</v>
      </c>
      <c r="I5">
        <v>9</v>
      </c>
      <c r="J5">
        <v>3</v>
      </c>
      <c r="K5">
        <v>91.63</v>
      </c>
      <c r="L5">
        <v>91.18</v>
      </c>
      <c r="M5">
        <v>90.27</v>
      </c>
      <c r="N5" t="s">
        <v>7</v>
      </c>
    </row>
    <row r="6" spans="1:14" x14ac:dyDescent="0.2">
      <c r="A6" s="1">
        <v>5</v>
      </c>
      <c r="B6" t="s">
        <v>8</v>
      </c>
      <c r="C6">
        <v>90.94</v>
      </c>
      <c r="D6">
        <v>27</v>
      </c>
      <c r="E6">
        <v>7</v>
      </c>
      <c r="F6">
        <v>81.010000000000005</v>
      </c>
      <c r="G6">
        <v>4</v>
      </c>
      <c r="H6">
        <v>4</v>
      </c>
      <c r="I6">
        <v>11</v>
      </c>
      <c r="J6">
        <v>7</v>
      </c>
      <c r="K6">
        <v>91.24</v>
      </c>
      <c r="L6">
        <v>90.89</v>
      </c>
      <c r="M6">
        <v>87.12</v>
      </c>
      <c r="N6" t="s">
        <v>3</v>
      </c>
    </row>
    <row r="7" spans="1:14" x14ac:dyDescent="0.2">
      <c r="A7" s="1">
        <v>6</v>
      </c>
      <c r="B7" t="s">
        <v>9</v>
      </c>
      <c r="C7">
        <v>90.57</v>
      </c>
      <c r="D7">
        <v>32</v>
      </c>
      <c r="E7">
        <v>6</v>
      </c>
      <c r="F7">
        <v>79</v>
      </c>
      <c r="G7">
        <v>6</v>
      </c>
      <c r="H7">
        <v>3</v>
      </c>
      <c r="I7">
        <v>10</v>
      </c>
      <c r="J7">
        <v>3</v>
      </c>
      <c r="K7">
        <v>90.33</v>
      </c>
      <c r="L7">
        <v>90.89</v>
      </c>
      <c r="M7">
        <v>91.22</v>
      </c>
      <c r="N7" t="s">
        <v>10</v>
      </c>
    </row>
    <row r="8" spans="1:14" x14ac:dyDescent="0.2">
      <c r="A8" s="1">
        <v>7</v>
      </c>
      <c r="B8" t="s">
        <v>11</v>
      </c>
      <c r="C8">
        <v>90.39</v>
      </c>
      <c r="D8">
        <v>30</v>
      </c>
      <c r="E8">
        <v>7</v>
      </c>
      <c r="F8">
        <v>81.63</v>
      </c>
      <c r="G8">
        <v>6</v>
      </c>
      <c r="H8">
        <v>4</v>
      </c>
      <c r="I8">
        <v>17</v>
      </c>
      <c r="J8">
        <v>5</v>
      </c>
      <c r="K8">
        <v>90.11</v>
      </c>
      <c r="L8">
        <v>90.45</v>
      </c>
      <c r="M8">
        <v>95.54</v>
      </c>
      <c r="N8" t="s">
        <v>12</v>
      </c>
    </row>
    <row r="9" spans="1:14" x14ac:dyDescent="0.2">
      <c r="A9" s="1">
        <v>8</v>
      </c>
      <c r="B9" t="s">
        <v>13</v>
      </c>
      <c r="C9">
        <v>90.05</v>
      </c>
      <c r="D9">
        <v>27</v>
      </c>
      <c r="E9">
        <v>8</v>
      </c>
      <c r="F9">
        <v>81.27</v>
      </c>
      <c r="G9">
        <v>7</v>
      </c>
      <c r="H9">
        <v>7</v>
      </c>
      <c r="I9">
        <v>11</v>
      </c>
      <c r="J9">
        <v>8</v>
      </c>
      <c r="K9">
        <v>90.13</v>
      </c>
      <c r="L9">
        <v>89.41</v>
      </c>
      <c r="M9">
        <v>91.04</v>
      </c>
      <c r="N9" t="s">
        <v>14</v>
      </c>
    </row>
    <row r="10" spans="1:14" x14ac:dyDescent="0.2">
      <c r="A10" s="1">
        <v>9</v>
      </c>
      <c r="B10" t="s">
        <v>15</v>
      </c>
      <c r="C10">
        <v>89.72</v>
      </c>
      <c r="D10">
        <v>26</v>
      </c>
      <c r="E10">
        <v>8</v>
      </c>
      <c r="F10">
        <v>79.47</v>
      </c>
      <c r="G10">
        <v>4</v>
      </c>
      <c r="H10">
        <v>6</v>
      </c>
      <c r="I10">
        <v>8</v>
      </c>
      <c r="J10">
        <v>7</v>
      </c>
      <c r="K10">
        <v>89.89</v>
      </c>
      <c r="L10">
        <v>89.93</v>
      </c>
      <c r="M10">
        <v>86.01</v>
      </c>
      <c r="N10" t="s">
        <v>14</v>
      </c>
    </row>
    <row r="11" spans="1:14" x14ac:dyDescent="0.2">
      <c r="A11" s="1">
        <v>10</v>
      </c>
      <c r="B11" t="s">
        <v>16</v>
      </c>
      <c r="C11">
        <v>89.71</v>
      </c>
      <c r="D11">
        <v>29</v>
      </c>
      <c r="E11">
        <v>8</v>
      </c>
      <c r="F11">
        <v>80.489999999999995</v>
      </c>
      <c r="G11">
        <v>9</v>
      </c>
      <c r="H11">
        <v>2</v>
      </c>
      <c r="I11">
        <v>11</v>
      </c>
      <c r="J11">
        <v>6</v>
      </c>
      <c r="K11">
        <v>89.74</v>
      </c>
      <c r="L11">
        <v>89.9</v>
      </c>
      <c r="M11">
        <v>87.33</v>
      </c>
      <c r="N11" t="s">
        <v>17</v>
      </c>
    </row>
    <row r="12" spans="1:14" x14ac:dyDescent="0.2">
      <c r="A12" s="1">
        <v>11</v>
      </c>
      <c r="B12" t="s">
        <v>30</v>
      </c>
      <c r="C12">
        <v>89.59</v>
      </c>
      <c r="D12">
        <v>27</v>
      </c>
      <c r="E12">
        <v>8</v>
      </c>
      <c r="F12">
        <v>79.760000000000005</v>
      </c>
      <c r="G12">
        <v>3</v>
      </c>
      <c r="H12">
        <v>4</v>
      </c>
      <c r="I12">
        <v>7</v>
      </c>
      <c r="J12">
        <v>7</v>
      </c>
      <c r="K12">
        <v>89.6</v>
      </c>
      <c r="L12">
        <v>89.49</v>
      </c>
      <c r="M12">
        <v>88.53</v>
      </c>
      <c r="N12" t="s">
        <v>7</v>
      </c>
    </row>
    <row r="13" spans="1:14" x14ac:dyDescent="0.2">
      <c r="A13" s="1">
        <v>12</v>
      </c>
      <c r="B13" t="s">
        <v>31</v>
      </c>
      <c r="C13">
        <v>89.31</v>
      </c>
      <c r="D13">
        <v>27</v>
      </c>
      <c r="E13">
        <v>10</v>
      </c>
      <c r="F13">
        <v>80.760000000000005</v>
      </c>
      <c r="G13">
        <v>6</v>
      </c>
      <c r="H13">
        <v>4</v>
      </c>
      <c r="I13">
        <v>12</v>
      </c>
      <c r="J13">
        <v>8</v>
      </c>
      <c r="K13">
        <v>89.43</v>
      </c>
      <c r="L13">
        <v>89.12</v>
      </c>
      <c r="M13">
        <v>87.34</v>
      </c>
      <c r="N13" t="s">
        <v>3</v>
      </c>
    </row>
    <row r="14" spans="1:14" x14ac:dyDescent="0.2">
      <c r="A14" s="1">
        <v>13</v>
      </c>
      <c r="B14" t="s">
        <v>32</v>
      </c>
      <c r="C14">
        <v>88.66</v>
      </c>
      <c r="D14">
        <v>26</v>
      </c>
      <c r="E14">
        <v>10</v>
      </c>
      <c r="F14">
        <v>79.430000000000007</v>
      </c>
      <c r="G14">
        <v>3</v>
      </c>
      <c r="H14">
        <v>5</v>
      </c>
      <c r="I14">
        <v>6</v>
      </c>
      <c r="J14">
        <v>6</v>
      </c>
      <c r="K14">
        <v>88.79</v>
      </c>
      <c r="L14">
        <v>87.88</v>
      </c>
      <c r="M14">
        <v>89.87</v>
      </c>
      <c r="N14" t="s">
        <v>17</v>
      </c>
    </row>
    <row r="15" spans="1:14" x14ac:dyDescent="0.2">
      <c r="A15" s="1">
        <v>14</v>
      </c>
      <c r="B15" t="s">
        <v>33</v>
      </c>
      <c r="C15">
        <v>88.6</v>
      </c>
      <c r="D15">
        <v>28</v>
      </c>
      <c r="E15">
        <v>6</v>
      </c>
      <c r="F15">
        <v>79.150000000000006</v>
      </c>
      <c r="G15">
        <v>2</v>
      </c>
      <c r="H15">
        <v>3</v>
      </c>
      <c r="I15">
        <v>8</v>
      </c>
      <c r="J15">
        <v>4</v>
      </c>
      <c r="K15">
        <v>88.96</v>
      </c>
      <c r="L15">
        <v>88.84</v>
      </c>
      <c r="M15">
        <v>83.4</v>
      </c>
      <c r="N15" t="s">
        <v>14</v>
      </c>
    </row>
    <row r="16" spans="1:14" x14ac:dyDescent="0.2">
      <c r="A16" s="1">
        <v>15</v>
      </c>
      <c r="B16" t="s">
        <v>34</v>
      </c>
      <c r="C16">
        <v>87.41</v>
      </c>
      <c r="D16">
        <v>23</v>
      </c>
      <c r="E16">
        <v>10</v>
      </c>
      <c r="F16">
        <v>81.45</v>
      </c>
      <c r="G16">
        <v>4</v>
      </c>
      <c r="H16">
        <v>5</v>
      </c>
      <c r="I16">
        <v>9</v>
      </c>
      <c r="J16">
        <v>6</v>
      </c>
      <c r="K16">
        <v>87.47</v>
      </c>
      <c r="L16">
        <v>87.27</v>
      </c>
      <c r="M16">
        <v>85.83</v>
      </c>
      <c r="N16" t="s">
        <v>17</v>
      </c>
    </row>
    <row r="17" spans="1:14" x14ac:dyDescent="0.2">
      <c r="A17" s="1">
        <v>16</v>
      </c>
      <c r="B17" t="s">
        <v>35</v>
      </c>
      <c r="C17">
        <v>87.01</v>
      </c>
      <c r="D17">
        <v>28</v>
      </c>
      <c r="E17">
        <v>9</v>
      </c>
      <c r="F17">
        <v>79.52</v>
      </c>
      <c r="G17">
        <v>7</v>
      </c>
      <c r="H17">
        <v>2</v>
      </c>
      <c r="I17">
        <v>9</v>
      </c>
      <c r="J17">
        <v>7</v>
      </c>
      <c r="K17">
        <v>86.85</v>
      </c>
      <c r="L17">
        <v>86.98</v>
      </c>
      <c r="M17">
        <v>88.47</v>
      </c>
      <c r="N17" t="s">
        <v>14</v>
      </c>
    </row>
    <row r="18" spans="1:14" x14ac:dyDescent="0.2">
      <c r="A18" s="1">
        <v>17</v>
      </c>
      <c r="B18" t="s">
        <v>36</v>
      </c>
      <c r="C18">
        <v>86.8</v>
      </c>
      <c r="D18">
        <v>28</v>
      </c>
      <c r="E18">
        <v>9</v>
      </c>
      <c r="F18">
        <v>79.61</v>
      </c>
      <c r="G18">
        <v>6</v>
      </c>
      <c r="H18">
        <v>5</v>
      </c>
      <c r="I18">
        <v>6</v>
      </c>
      <c r="J18">
        <v>7</v>
      </c>
      <c r="K18">
        <v>86.51</v>
      </c>
      <c r="L18">
        <v>86.84</v>
      </c>
      <c r="M18">
        <v>92.43</v>
      </c>
      <c r="N18" t="s">
        <v>10</v>
      </c>
    </row>
    <row r="19" spans="1:14" x14ac:dyDescent="0.2">
      <c r="A19" s="1">
        <v>18</v>
      </c>
      <c r="B19" t="s">
        <v>37</v>
      </c>
      <c r="C19">
        <v>86.78</v>
      </c>
      <c r="D19">
        <v>23</v>
      </c>
      <c r="E19">
        <v>10</v>
      </c>
      <c r="F19">
        <v>79.52</v>
      </c>
      <c r="G19">
        <v>2</v>
      </c>
      <c r="H19">
        <v>2</v>
      </c>
      <c r="I19">
        <v>7</v>
      </c>
      <c r="J19">
        <v>8</v>
      </c>
      <c r="K19">
        <v>86.9</v>
      </c>
      <c r="L19">
        <v>86.51</v>
      </c>
      <c r="M19">
        <v>85.01</v>
      </c>
      <c r="N19" t="s">
        <v>12</v>
      </c>
    </row>
    <row r="20" spans="1:14" x14ac:dyDescent="0.2">
      <c r="A20" s="1">
        <v>19</v>
      </c>
      <c r="B20" t="s">
        <v>38</v>
      </c>
      <c r="C20">
        <v>86.7</v>
      </c>
      <c r="D20">
        <v>22</v>
      </c>
      <c r="E20">
        <v>12</v>
      </c>
      <c r="F20">
        <v>80.760000000000005</v>
      </c>
      <c r="G20">
        <v>3</v>
      </c>
      <c r="H20">
        <v>7</v>
      </c>
      <c r="I20">
        <v>8</v>
      </c>
      <c r="J20">
        <v>10</v>
      </c>
      <c r="K20">
        <v>86.82</v>
      </c>
      <c r="L20">
        <v>86.61</v>
      </c>
      <c r="M20">
        <v>84.11</v>
      </c>
      <c r="N20" t="s">
        <v>3</v>
      </c>
    </row>
    <row r="21" spans="1:14" x14ac:dyDescent="0.2">
      <c r="A21" s="1">
        <v>20</v>
      </c>
      <c r="B21" t="s">
        <v>39</v>
      </c>
      <c r="C21">
        <v>86.01</v>
      </c>
      <c r="D21">
        <v>19</v>
      </c>
      <c r="E21">
        <v>15</v>
      </c>
      <c r="F21">
        <v>82.67</v>
      </c>
      <c r="G21">
        <v>4</v>
      </c>
      <c r="H21">
        <v>8</v>
      </c>
      <c r="I21">
        <v>8</v>
      </c>
      <c r="J21">
        <v>12</v>
      </c>
      <c r="K21">
        <v>85.88</v>
      </c>
      <c r="L21">
        <v>85.82</v>
      </c>
      <c r="M21">
        <v>87.9</v>
      </c>
      <c r="N21" t="s">
        <v>17</v>
      </c>
    </row>
    <row r="22" spans="1:14" x14ac:dyDescent="0.2">
      <c r="A22" s="1">
        <v>21</v>
      </c>
      <c r="B22" t="s">
        <v>273</v>
      </c>
      <c r="C22">
        <v>85.88</v>
      </c>
      <c r="D22">
        <v>22</v>
      </c>
      <c r="E22">
        <v>12</v>
      </c>
      <c r="F22">
        <v>79.77</v>
      </c>
      <c r="G22">
        <v>2</v>
      </c>
      <c r="H22">
        <v>6</v>
      </c>
      <c r="I22">
        <v>7</v>
      </c>
      <c r="J22">
        <v>8</v>
      </c>
      <c r="K22">
        <v>86.66</v>
      </c>
      <c r="L22">
        <v>85.61</v>
      </c>
      <c r="M22">
        <v>78.83</v>
      </c>
      <c r="N22" t="s">
        <v>14</v>
      </c>
    </row>
    <row r="23" spans="1:14" x14ac:dyDescent="0.2">
      <c r="A23" s="1">
        <v>22</v>
      </c>
      <c r="B23" t="s">
        <v>809</v>
      </c>
      <c r="C23">
        <v>85.62</v>
      </c>
      <c r="D23">
        <v>20</v>
      </c>
      <c r="E23">
        <v>12</v>
      </c>
      <c r="F23">
        <v>81.180000000000007</v>
      </c>
      <c r="G23">
        <v>3</v>
      </c>
      <c r="H23">
        <v>4</v>
      </c>
      <c r="I23">
        <v>8</v>
      </c>
      <c r="J23">
        <v>7</v>
      </c>
      <c r="K23">
        <v>85.85</v>
      </c>
      <c r="L23">
        <v>85.64</v>
      </c>
      <c r="M23">
        <v>81.599999999999994</v>
      </c>
      <c r="N23" t="s">
        <v>17</v>
      </c>
    </row>
    <row r="24" spans="1:14" x14ac:dyDescent="0.2">
      <c r="A24" s="1">
        <v>23</v>
      </c>
      <c r="B24" t="s">
        <v>40</v>
      </c>
      <c r="C24">
        <v>85.45</v>
      </c>
      <c r="D24">
        <v>22</v>
      </c>
      <c r="E24">
        <v>11</v>
      </c>
      <c r="F24">
        <v>78.489999999999995</v>
      </c>
      <c r="G24">
        <v>3</v>
      </c>
      <c r="H24">
        <v>2</v>
      </c>
      <c r="I24">
        <v>5</v>
      </c>
      <c r="J24">
        <v>2</v>
      </c>
      <c r="K24">
        <v>85.39</v>
      </c>
      <c r="L24">
        <v>85.11</v>
      </c>
      <c r="M24">
        <v>86.97</v>
      </c>
      <c r="N24" t="s">
        <v>5</v>
      </c>
    </row>
    <row r="25" spans="1:14" x14ac:dyDescent="0.2">
      <c r="A25" s="1">
        <v>24</v>
      </c>
      <c r="B25" t="s">
        <v>875</v>
      </c>
      <c r="C25">
        <v>85.28</v>
      </c>
      <c r="D25">
        <v>25</v>
      </c>
      <c r="E25">
        <v>8</v>
      </c>
      <c r="F25">
        <v>77.849999999999994</v>
      </c>
      <c r="G25">
        <v>1</v>
      </c>
      <c r="H25">
        <v>3</v>
      </c>
      <c r="I25">
        <v>7</v>
      </c>
      <c r="J25">
        <v>7</v>
      </c>
      <c r="K25">
        <v>85.06</v>
      </c>
      <c r="L25">
        <v>85.5</v>
      </c>
      <c r="M25">
        <v>86.29</v>
      </c>
      <c r="N25" t="s">
        <v>1</v>
      </c>
    </row>
    <row r="26" spans="1:14" x14ac:dyDescent="0.2">
      <c r="A26" s="1">
        <v>25</v>
      </c>
      <c r="B26" t="s">
        <v>41</v>
      </c>
      <c r="C26">
        <v>85.18</v>
      </c>
      <c r="D26">
        <v>23</v>
      </c>
      <c r="E26">
        <v>13</v>
      </c>
      <c r="F26">
        <v>79.14</v>
      </c>
      <c r="G26">
        <v>2</v>
      </c>
      <c r="H26">
        <v>5</v>
      </c>
      <c r="I26">
        <v>4</v>
      </c>
      <c r="J26">
        <v>7</v>
      </c>
      <c r="K26">
        <v>85.24</v>
      </c>
      <c r="L26">
        <v>84.54</v>
      </c>
      <c r="M26">
        <v>86.43</v>
      </c>
      <c r="N26" t="s">
        <v>10</v>
      </c>
    </row>
    <row r="27" spans="1:14" x14ac:dyDescent="0.2">
      <c r="A27" s="1">
        <v>26</v>
      </c>
      <c r="B27" t="s">
        <v>42</v>
      </c>
      <c r="C27">
        <v>84.75</v>
      </c>
      <c r="D27">
        <v>19</v>
      </c>
      <c r="E27">
        <v>14</v>
      </c>
      <c r="F27">
        <v>81.91</v>
      </c>
      <c r="G27">
        <v>6</v>
      </c>
      <c r="H27">
        <v>6</v>
      </c>
      <c r="I27">
        <v>7</v>
      </c>
      <c r="J27">
        <v>9</v>
      </c>
      <c r="K27">
        <v>85.49</v>
      </c>
      <c r="L27">
        <v>85.02</v>
      </c>
      <c r="M27">
        <v>76.319999999999993</v>
      </c>
      <c r="N27" t="s">
        <v>14</v>
      </c>
    </row>
    <row r="28" spans="1:14" x14ac:dyDescent="0.2">
      <c r="A28" s="1">
        <v>27</v>
      </c>
      <c r="B28" t="s">
        <v>43</v>
      </c>
      <c r="C28">
        <v>84.71</v>
      </c>
      <c r="D28">
        <v>25</v>
      </c>
      <c r="E28">
        <v>8</v>
      </c>
      <c r="F28">
        <v>81.08</v>
      </c>
      <c r="G28">
        <v>7</v>
      </c>
      <c r="H28">
        <v>2</v>
      </c>
      <c r="I28">
        <v>11</v>
      </c>
      <c r="J28">
        <v>5</v>
      </c>
      <c r="K28">
        <v>84.28</v>
      </c>
      <c r="L28">
        <v>86.14</v>
      </c>
      <c r="M28">
        <v>83.4</v>
      </c>
      <c r="N28" t="s">
        <v>17</v>
      </c>
    </row>
    <row r="29" spans="1:14" x14ac:dyDescent="0.2">
      <c r="A29" s="1">
        <v>28</v>
      </c>
      <c r="B29" t="s">
        <v>794</v>
      </c>
      <c r="C29">
        <v>84.65</v>
      </c>
      <c r="D29">
        <v>23</v>
      </c>
      <c r="E29">
        <v>13</v>
      </c>
      <c r="F29">
        <v>81.94</v>
      </c>
      <c r="G29">
        <v>3</v>
      </c>
      <c r="H29">
        <v>9</v>
      </c>
      <c r="I29">
        <v>7</v>
      </c>
      <c r="J29">
        <v>10</v>
      </c>
      <c r="K29">
        <v>84.48</v>
      </c>
      <c r="L29">
        <v>85.22</v>
      </c>
      <c r="M29">
        <v>83.01</v>
      </c>
      <c r="N29" t="s">
        <v>17</v>
      </c>
    </row>
    <row r="30" spans="1:14" x14ac:dyDescent="0.2">
      <c r="A30" s="1">
        <v>29</v>
      </c>
      <c r="B30" t="s">
        <v>44</v>
      </c>
      <c r="C30">
        <v>84.59</v>
      </c>
      <c r="D30">
        <v>27</v>
      </c>
      <c r="E30">
        <v>6</v>
      </c>
      <c r="F30">
        <v>79.37</v>
      </c>
      <c r="G30">
        <v>2</v>
      </c>
      <c r="H30">
        <v>3</v>
      </c>
      <c r="I30">
        <v>9</v>
      </c>
      <c r="J30">
        <v>4</v>
      </c>
      <c r="K30">
        <v>84.09</v>
      </c>
      <c r="L30">
        <v>85.44</v>
      </c>
      <c r="M30">
        <v>88.21</v>
      </c>
      <c r="N30" t="s">
        <v>12</v>
      </c>
    </row>
    <row r="31" spans="1:14" x14ac:dyDescent="0.2">
      <c r="A31" s="1">
        <v>30</v>
      </c>
      <c r="B31" t="s">
        <v>877</v>
      </c>
      <c r="C31">
        <v>84.3</v>
      </c>
      <c r="D31">
        <v>26</v>
      </c>
      <c r="E31">
        <v>8</v>
      </c>
      <c r="F31">
        <v>77.510000000000005</v>
      </c>
      <c r="G31">
        <v>1</v>
      </c>
      <c r="H31">
        <v>4</v>
      </c>
      <c r="I31">
        <v>5</v>
      </c>
      <c r="J31">
        <v>5</v>
      </c>
      <c r="K31">
        <v>84.2</v>
      </c>
      <c r="L31">
        <v>85.16</v>
      </c>
      <c r="M31">
        <v>80.83</v>
      </c>
      <c r="N31" t="s">
        <v>7</v>
      </c>
    </row>
    <row r="32" spans="1:14" x14ac:dyDescent="0.2">
      <c r="A32" s="1">
        <v>31</v>
      </c>
      <c r="B32" t="s">
        <v>45</v>
      </c>
      <c r="C32">
        <v>84.03</v>
      </c>
      <c r="D32">
        <v>19</v>
      </c>
      <c r="E32">
        <v>16</v>
      </c>
      <c r="F32">
        <v>81.3</v>
      </c>
      <c r="G32">
        <v>3</v>
      </c>
      <c r="H32">
        <v>9</v>
      </c>
      <c r="I32">
        <v>4</v>
      </c>
      <c r="J32">
        <v>12</v>
      </c>
      <c r="K32">
        <v>84.01</v>
      </c>
      <c r="L32">
        <v>83.74</v>
      </c>
      <c r="M32">
        <v>84.46</v>
      </c>
      <c r="N32" t="s">
        <v>3</v>
      </c>
    </row>
    <row r="33" spans="1:14" x14ac:dyDescent="0.2">
      <c r="A33" s="1">
        <v>32</v>
      </c>
      <c r="B33" t="s">
        <v>46</v>
      </c>
      <c r="C33">
        <v>83.99</v>
      </c>
      <c r="D33">
        <v>21</v>
      </c>
      <c r="E33">
        <v>14</v>
      </c>
      <c r="F33">
        <v>80.290000000000006</v>
      </c>
      <c r="G33">
        <v>4</v>
      </c>
      <c r="H33">
        <v>7</v>
      </c>
      <c r="I33">
        <v>6</v>
      </c>
      <c r="J33">
        <v>10</v>
      </c>
      <c r="K33">
        <v>84.13</v>
      </c>
      <c r="L33">
        <v>83.67</v>
      </c>
      <c r="M33">
        <v>82.14</v>
      </c>
      <c r="N33" t="s">
        <v>17</v>
      </c>
    </row>
    <row r="34" spans="1:14" x14ac:dyDescent="0.2">
      <c r="A34" s="1">
        <v>33</v>
      </c>
      <c r="B34" t="s">
        <v>805</v>
      </c>
      <c r="C34">
        <v>83.87</v>
      </c>
      <c r="D34">
        <v>23</v>
      </c>
      <c r="E34">
        <v>9</v>
      </c>
      <c r="F34">
        <v>77</v>
      </c>
      <c r="G34">
        <v>1</v>
      </c>
      <c r="H34">
        <v>1</v>
      </c>
      <c r="I34">
        <v>3</v>
      </c>
      <c r="J34">
        <v>8</v>
      </c>
      <c r="K34">
        <v>83.59</v>
      </c>
      <c r="L34">
        <v>84.22</v>
      </c>
      <c r="M34">
        <v>85.22</v>
      </c>
      <c r="N34" t="s">
        <v>56</v>
      </c>
    </row>
    <row r="35" spans="1:14" x14ac:dyDescent="0.2">
      <c r="A35" s="1">
        <v>34</v>
      </c>
      <c r="B35" t="s">
        <v>47</v>
      </c>
      <c r="C35">
        <v>83.62</v>
      </c>
      <c r="D35">
        <v>23</v>
      </c>
      <c r="E35">
        <v>10</v>
      </c>
      <c r="F35">
        <v>76.08</v>
      </c>
      <c r="G35">
        <v>0</v>
      </c>
      <c r="H35">
        <v>5</v>
      </c>
      <c r="I35">
        <v>2</v>
      </c>
      <c r="J35">
        <v>7</v>
      </c>
      <c r="K35">
        <v>83.69</v>
      </c>
      <c r="L35">
        <v>83.36</v>
      </c>
      <c r="M35">
        <v>82.5</v>
      </c>
      <c r="N35" t="s">
        <v>1</v>
      </c>
    </row>
    <row r="36" spans="1:14" x14ac:dyDescent="0.2">
      <c r="A36" s="1">
        <v>35</v>
      </c>
      <c r="B36" t="s">
        <v>48</v>
      </c>
      <c r="C36">
        <v>83.51</v>
      </c>
      <c r="D36">
        <v>20</v>
      </c>
      <c r="E36">
        <v>11</v>
      </c>
      <c r="F36">
        <v>80.42</v>
      </c>
      <c r="G36">
        <v>3</v>
      </c>
      <c r="H36">
        <v>5</v>
      </c>
      <c r="I36">
        <v>8</v>
      </c>
      <c r="J36">
        <v>8</v>
      </c>
      <c r="K36">
        <v>83.55</v>
      </c>
      <c r="L36">
        <v>83.76</v>
      </c>
      <c r="M36">
        <v>80.319999999999993</v>
      </c>
      <c r="N36" t="s">
        <v>12</v>
      </c>
    </row>
    <row r="37" spans="1:14" x14ac:dyDescent="0.2">
      <c r="A37" s="1">
        <v>36</v>
      </c>
      <c r="B37" t="s">
        <v>49</v>
      </c>
      <c r="C37">
        <v>83.33</v>
      </c>
      <c r="D37">
        <v>21</v>
      </c>
      <c r="E37">
        <v>13</v>
      </c>
      <c r="F37">
        <v>81.41</v>
      </c>
      <c r="G37">
        <v>4</v>
      </c>
      <c r="H37">
        <v>8</v>
      </c>
      <c r="I37">
        <v>9</v>
      </c>
      <c r="J37">
        <v>9</v>
      </c>
      <c r="K37">
        <v>83.11</v>
      </c>
      <c r="L37">
        <v>83.37</v>
      </c>
      <c r="M37">
        <v>85.4</v>
      </c>
      <c r="N37" t="s">
        <v>3</v>
      </c>
    </row>
    <row r="38" spans="1:14" x14ac:dyDescent="0.2">
      <c r="A38" s="1">
        <v>37</v>
      </c>
      <c r="B38" t="s">
        <v>50</v>
      </c>
      <c r="C38">
        <v>83.18</v>
      </c>
      <c r="D38">
        <v>24</v>
      </c>
      <c r="E38">
        <v>8</v>
      </c>
      <c r="F38">
        <v>74.92</v>
      </c>
      <c r="G38">
        <v>0</v>
      </c>
      <c r="H38">
        <v>2</v>
      </c>
      <c r="I38">
        <v>1</v>
      </c>
      <c r="J38">
        <v>3</v>
      </c>
      <c r="K38">
        <v>83.37</v>
      </c>
      <c r="L38">
        <v>82.79</v>
      </c>
      <c r="M38">
        <v>80.98</v>
      </c>
      <c r="N38" t="s">
        <v>84</v>
      </c>
    </row>
    <row r="39" spans="1:14" x14ac:dyDescent="0.2">
      <c r="A39" s="1">
        <v>38</v>
      </c>
      <c r="B39" t="s">
        <v>51</v>
      </c>
      <c r="C39">
        <v>83.16</v>
      </c>
      <c r="D39">
        <v>21</v>
      </c>
      <c r="E39">
        <v>13</v>
      </c>
      <c r="F39">
        <v>79.38</v>
      </c>
      <c r="G39">
        <v>3</v>
      </c>
      <c r="H39">
        <v>3</v>
      </c>
      <c r="I39">
        <v>6</v>
      </c>
      <c r="J39">
        <v>9</v>
      </c>
      <c r="K39">
        <v>83.39</v>
      </c>
      <c r="L39">
        <v>82.96</v>
      </c>
      <c r="M39">
        <v>79.66</v>
      </c>
      <c r="N39" t="s">
        <v>12</v>
      </c>
    </row>
    <row r="40" spans="1:14" x14ac:dyDescent="0.2">
      <c r="A40" s="1">
        <v>39</v>
      </c>
      <c r="B40" t="s">
        <v>52</v>
      </c>
      <c r="C40">
        <v>83.07</v>
      </c>
      <c r="D40">
        <v>23</v>
      </c>
      <c r="E40">
        <v>12</v>
      </c>
      <c r="F40">
        <v>80.290000000000006</v>
      </c>
      <c r="G40">
        <v>3</v>
      </c>
      <c r="H40">
        <v>3</v>
      </c>
      <c r="I40">
        <v>8</v>
      </c>
      <c r="J40">
        <v>9</v>
      </c>
      <c r="K40">
        <v>82.56</v>
      </c>
      <c r="L40">
        <v>83.87</v>
      </c>
      <c r="M40">
        <v>87.5</v>
      </c>
      <c r="N40" t="s">
        <v>12</v>
      </c>
    </row>
    <row r="41" spans="1:14" x14ac:dyDescent="0.2">
      <c r="A41" s="1">
        <v>40</v>
      </c>
      <c r="B41" t="s">
        <v>810</v>
      </c>
      <c r="C41">
        <v>83.06</v>
      </c>
      <c r="D41">
        <v>24</v>
      </c>
      <c r="E41">
        <v>6</v>
      </c>
      <c r="F41">
        <v>76.099999999999994</v>
      </c>
      <c r="G41">
        <v>1</v>
      </c>
      <c r="H41">
        <v>1</v>
      </c>
      <c r="I41">
        <v>6</v>
      </c>
      <c r="J41">
        <v>3</v>
      </c>
      <c r="K41">
        <v>82.83</v>
      </c>
      <c r="L41">
        <v>83.72</v>
      </c>
      <c r="M41">
        <v>81.72</v>
      </c>
      <c r="N41" t="s">
        <v>56</v>
      </c>
    </row>
    <row r="42" spans="1:14" x14ac:dyDescent="0.2">
      <c r="A42" s="1">
        <v>41</v>
      </c>
      <c r="B42" t="s">
        <v>790</v>
      </c>
      <c r="C42">
        <v>83.02</v>
      </c>
      <c r="D42">
        <v>15</v>
      </c>
      <c r="E42">
        <v>15</v>
      </c>
      <c r="F42">
        <v>81.28</v>
      </c>
      <c r="G42">
        <v>3</v>
      </c>
      <c r="H42">
        <v>6</v>
      </c>
      <c r="I42">
        <v>5</v>
      </c>
      <c r="J42">
        <v>9</v>
      </c>
      <c r="K42">
        <v>82.92</v>
      </c>
      <c r="L42">
        <v>82.7</v>
      </c>
      <c r="M42">
        <v>85.38</v>
      </c>
      <c r="N42" t="s">
        <v>3</v>
      </c>
    </row>
    <row r="43" spans="1:14" x14ac:dyDescent="0.2">
      <c r="A43" s="1">
        <v>42</v>
      </c>
      <c r="B43" t="s">
        <v>53</v>
      </c>
      <c r="C43">
        <v>82.99</v>
      </c>
      <c r="D43">
        <v>25</v>
      </c>
      <c r="E43">
        <v>10</v>
      </c>
      <c r="F43">
        <v>76.650000000000006</v>
      </c>
      <c r="G43">
        <v>2</v>
      </c>
      <c r="H43">
        <v>3</v>
      </c>
      <c r="I43">
        <v>3</v>
      </c>
      <c r="J43">
        <v>4</v>
      </c>
      <c r="K43">
        <v>83.17</v>
      </c>
      <c r="L43">
        <v>82.79</v>
      </c>
      <c r="M43">
        <v>80.11</v>
      </c>
      <c r="N43" t="s">
        <v>10</v>
      </c>
    </row>
    <row r="44" spans="1:14" x14ac:dyDescent="0.2">
      <c r="A44" s="1">
        <v>43</v>
      </c>
      <c r="B44" t="s">
        <v>807</v>
      </c>
      <c r="C44">
        <v>82.74</v>
      </c>
      <c r="D44">
        <v>22</v>
      </c>
      <c r="E44">
        <v>14</v>
      </c>
      <c r="F44">
        <v>77.31</v>
      </c>
      <c r="G44">
        <v>0</v>
      </c>
      <c r="H44">
        <v>3</v>
      </c>
      <c r="I44">
        <v>2</v>
      </c>
      <c r="J44">
        <v>7</v>
      </c>
      <c r="K44">
        <v>82.67</v>
      </c>
      <c r="L44">
        <v>82.17</v>
      </c>
      <c r="M44">
        <v>86.79</v>
      </c>
      <c r="N44" t="s">
        <v>7</v>
      </c>
    </row>
    <row r="45" spans="1:14" x14ac:dyDescent="0.2">
      <c r="A45" s="1">
        <v>44</v>
      </c>
      <c r="B45" t="s">
        <v>54</v>
      </c>
      <c r="C45">
        <v>82.73</v>
      </c>
      <c r="D45">
        <v>23</v>
      </c>
      <c r="E45">
        <v>11</v>
      </c>
      <c r="F45">
        <v>79.02</v>
      </c>
      <c r="G45">
        <v>2</v>
      </c>
      <c r="H45">
        <v>6</v>
      </c>
      <c r="I45">
        <v>3</v>
      </c>
      <c r="J45">
        <v>9</v>
      </c>
      <c r="K45">
        <v>82.49</v>
      </c>
      <c r="L45">
        <v>83.22</v>
      </c>
      <c r="M45">
        <v>82.39</v>
      </c>
      <c r="N45" t="s">
        <v>10</v>
      </c>
    </row>
    <row r="46" spans="1:14" x14ac:dyDescent="0.2">
      <c r="A46" s="1">
        <v>45</v>
      </c>
      <c r="B46" t="s">
        <v>55</v>
      </c>
      <c r="C46">
        <v>82.69</v>
      </c>
      <c r="D46">
        <v>17</v>
      </c>
      <c r="E46">
        <v>15</v>
      </c>
      <c r="F46">
        <v>78.81</v>
      </c>
      <c r="G46">
        <v>0</v>
      </c>
      <c r="H46">
        <v>6</v>
      </c>
      <c r="I46">
        <v>3</v>
      </c>
      <c r="J46">
        <v>12</v>
      </c>
      <c r="K46">
        <v>82.69</v>
      </c>
      <c r="L46">
        <v>82.34</v>
      </c>
      <c r="M46">
        <v>83.04</v>
      </c>
      <c r="N46" t="s">
        <v>12</v>
      </c>
    </row>
    <row r="47" spans="1:14" x14ac:dyDescent="0.2">
      <c r="A47" s="1">
        <v>46</v>
      </c>
      <c r="B47" t="s">
        <v>797</v>
      </c>
      <c r="C47">
        <v>82.54</v>
      </c>
      <c r="D47">
        <v>26</v>
      </c>
      <c r="E47">
        <v>8</v>
      </c>
      <c r="F47">
        <v>76.510000000000005</v>
      </c>
      <c r="G47">
        <v>0</v>
      </c>
      <c r="H47">
        <v>1</v>
      </c>
      <c r="I47">
        <v>4</v>
      </c>
      <c r="J47">
        <v>3</v>
      </c>
      <c r="K47">
        <v>82.3</v>
      </c>
      <c r="L47">
        <v>82.61</v>
      </c>
      <c r="M47">
        <v>85.09</v>
      </c>
      <c r="N47" t="s">
        <v>56</v>
      </c>
    </row>
    <row r="48" spans="1:14" x14ac:dyDescent="0.2">
      <c r="A48" s="1">
        <v>47</v>
      </c>
      <c r="B48" t="s">
        <v>791</v>
      </c>
      <c r="C48">
        <v>82.51</v>
      </c>
      <c r="D48">
        <v>18</v>
      </c>
      <c r="E48">
        <v>16</v>
      </c>
      <c r="F48">
        <v>79.150000000000006</v>
      </c>
      <c r="G48">
        <v>1</v>
      </c>
      <c r="H48">
        <v>7</v>
      </c>
      <c r="I48">
        <v>2</v>
      </c>
      <c r="J48">
        <v>10</v>
      </c>
      <c r="K48">
        <v>82.95</v>
      </c>
      <c r="L48">
        <v>81.53</v>
      </c>
      <c r="M48">
        <v>79.83</v>
      </c>
      <c r="N48" t="s">
        <v>14</v>
      </c>
    </row>
    <row r="49" spans="1:14" x14ac:dyDescent="0.2">
      <c r="A49" s="1">
        <v>48</v>
      </c>
      <c r="B49" t="s">
        <v>57</v>
      </c>
      <c r="C49">
        <v>82.46</v>
      </c>
      <c r="D49">
        <v>25</v>
      </c>
      <c r="E49">
        <v>12</v>
      </c>
      <c r="F49">
        <v>78.650000000000006</v>
      </c>
      <c r="G49">
        <v>3</v>
      </c>
      <c r="H49">
        <v>7</v>
      </c>
      <c r="I49">
        <v>8</v>
      </c>
      <c r="J49">
        <v>9</v>
      </c>
      <c r="K49">
        <v>82.04</v>
      </c>
      <c r="L49">
        <v>82.76</v>
      </c>
      <c r="M49">
        <v>88.94</v>
      </c>
      <c r="N49" t="s">
        <v>14</v>
      </c>
    </row>
    <row r="50" spans="1:14" x14ac:dyDescent="0.2">
      <c r="A50" s="1">
        <v>49</v>
      </c>
      <c r="B50" t="s">
        <v>58</v>
      </c>
      <c r="C50">
        <v>82.23</v>
      </c>
      <c r="D50">
        <v>22</v>
      </c>
      <c r="E50">
        <v>11</v>
      </c>
      <c r="F50">
        <v>76.38</v>
      </c>
      <c r="G50">
        <v>1</v>
      </c>
      <c r="H50">
        <v>3</v>
      </c>
      <c r="I50">
        <v>4</v>
      </c>
      <c r="J50">
        <v>7</v>
      </c>
      <c r="K50">
        <v>82.13</v>
      </c>
      <c r="L50">
        <v>82.83</v>
      </c>
      <c r="M50">
        <v>79.430000000000007</v>
      </c>
      <c r="N50" t="s">
        <v>1</v>
      </c>
    </row>
    <row r="51" spans="1:14" x14ac:dyDescent="0.2">
      <c r="A51" s="1">
        <v>50</v>
      </c>
      <c r="B51" t="s">
        <v>59</v>
      </c>
      <c r="C51">
        <v>82.21</v>
      </c>
      <c r="D51">
        <v>19</v>
      </c>
      <c r="E51">
        <v>15</v>
      </c>
      <c r="F51">
        <v>79.260000000000005</v>
      </c>
      <c r="G51">
        <v>2</v>
      </c>
      <c r="H51">
        <v>4</v>
      </c>
      <c r="I51">
        <v>4</v>
      </c>
      <c r="J51">
        <v>8</v>
      </c>
      <c r="K51">
        <v>82.49</v>
      </c>
      <c r="L51">
        <v>82.09</v>
      </c>
      <c r="M51">
        <v>77.73</v>
      </c>
      <c r="N51" t="s">
        <v>7</v>
      </c>
    </row>
    <row r="52" spans="1:14" x14ac:dyDescent="0.2">
      <c r="A52" s="1">
        <v>51</v>
      </c>
      <c r="B52" t="s">
        <v>872</v>
      </c>
      <c r="C52">
        <v>82.18</v>
      </c>
      <c r="D52">
        <v>26</v>
      </c>
      <c r="E52">
        <v>11</v>
      </c>
      <c r="F52">
        <v>79.430000000000007</v>
      </c>
      <c r="G52">
        <v>4</v>
      </c>
      <c r="H52">
        <v>3</v>
      </c>
      <c r="I52">
        <v>7</v>
      </c>
      <c r="J52">
        <v>5</v>
      </c>
      <c r="K52">
        <v>81.59</v>
      </c>
      <c r="L52">
        <v>83.19</v>
      </c>
      <c r="M52">
        <v>86.87</v>
      </c>
      <c r="N52" t="s">
        <v>10</v>
      </c>
    </row>
    <row r="53" spans="1:14" x14ac:dyDescent="0.2">
      <c r="A53" s="1">
        <v>52</v>
      </c>
      <c r="B53" t="s">
        <v>60</v>
      </c>
      <c r="C53">
        <v>82.17</v>
      </c>
      <c r="D53">
        <v>20</v>
      </c>
      <c r="E53">
        <v>14</v>
      </c>
      <c r="F53">
        <v>78.930000000000007</v>
      </c>
      <c r="G53">
        <v>2</v>
      </c>
      <c r="H53">
        <v>6</v>
      </c>
      <c r="I53">
        <v>4</v>
      </c>
      <c r="J53">
        <v>11</v>
      </c>
      <c r="K53">
        <v>82.61</v>
      </c>
      <c r="L53">
        <v>81.81</v>
      </c>
      <c r="M53">
        <v>77.05</v>
      </c>
      <c r="N53" t="s">
        <v>14</v>
      </c>
    </row>
    <row r="54" spans="1:14" x14ac:dyDescent="0.2">
      <c r="A54" s="1">
        <v>53</v>
      </c>
      <c r="B54" t="s">
        <v>61</v>
      </c>
      <c r="C54">
        <v>82.13</v>
      </c>
      <c r="D54">
        <v>24</v>
      </c>
      <c r="E54">
        <v>9</v>
      </c>
      <c r="F54">
        <v>75.48</v>
      </c>
      <c r="G54">
        <v>3</v>
      </c>
      <c r="H54">
        <v>2</v>
      </c>
      <c r="I54">
        <v>3</v>
      </c>
      <c r="J54">
        <v>4</v>
      </c>
      <c r="K54">
        <v>82.16</v>
      </c>
      <c r="L54">
        <v>82.21</v>
      </c>
      <c r="M54">
        <v>79.86</v>
      </c>
      <c r="N54" t="s">
        <v>5</v>
      </c>
    </row>
    <row r="55" spans="1:14" x14ac:dyDescent="0.2">
      <c r="A55" s="1">
        <v>54</v>
      </c>
      <c r="B55" t="s">
        <v>795</v>
      </c>
      <c r="C55">
        <v>81.96</v>
      </c>
      <c r="D55">
        <v>22</v>
      </c>
      <c r="E55">
        <v>13</v>
      </c>
      <c r="F55">
        <v>81.25</v>
      </c>
      <c r="G55">
        <v>5</v>
      </c>
      <c r="H55">
        <v>7</v>
      </c>
      <c r="I55">
        <v>11</v>
      </c>
      <c r="J55">
        <v>10</v>
      </c>
      <c r="K55">
        <v>81.8</v>
      </c>
      <c r="L55">
        <v>82.21</v>
      </c>
      <c r="M55">
        <v>81.48</v>
      </c>
      <c r="N55" t="s">
        <v>3</v>
      </c>
    </row>
    <row r="56" spans="1:14" x14ac:dyDescent="0.2">
      <c r="A56" s="1">
        <v>55</v>
      </c>
      <c r="B56" t="s">
        <v>62</v>
      </c>
      <c r="C56">
        <v>81.91</v>
      </c>
      <c r="D56">
        <v>24</v>
      </c>
      <c r="E56">
        <v>11</v>
      </c>
      <c r="F56">
        <v>74.599999999999994</v>
      </c>
      <c r="G56">
        <v>2</v>
      </c>
      <c r="H56">
        <v>0</v>
      </c>
      <c r="I56">
        <v>2</v>
      </c>
      <c r="J56">
        <v>0</v>
      </c>
      <c r="K56">
        <v>81.93</v>
      </c>
      <c r="L56">
        <v>81.36</v>
      </c>
      <c r="M56">
        <v>83.19</v>
      </c>
      <c r="N56" t="s">
        <v>63</v>
      </c>
    </row>
    <row r="57" spans="1:14" x14ac:dyDescent="0.2">
      <c r="A57" s="1">
        <v>56</v>
      </c>
      <c r="B57" t="s">
        <v>64</v>
      </c>
      <c r="C57">
        <v>81.89</v>
      </c>
      <c r="D57">
        <v>26</v>
      </c>
      <c r="E57">
        <v>7</v>
      </c>
      <c r="F57">
        <v>74.14</v>
      </c>
      <c r="G57">
        <v>0</v>
      </c>
      <c r="H57">
        <v>0</v>
      </c>
      <c r="I57">
        <v>1</v>
      </c>
      <c r="J57">
        <v>2</v>
      </c>
      <c r="K57">
        <v>81.58</v>
      </c>
      <c r="L57">
        <v>82.33</v>
      </c>
      <c r="M57">
        <v>83.06</v>
      </c>
      <c r="N57" t="s">
        <v>63</v>
      </c>
    </row>
    <row r="58" spans="1:14" x14ac:dyDescent="0.2">
      <c r="A58" s="1">
        <v>57</v>
      </c>
      <c r="B58" t="s">
        <v>65</v>
      </c>
      <c r="C58">
        <v>81.86</v>
      </c>
      <c r="D58">
        <v>19</v>
      </c>
      <c r="E58">
        <v>13</v>
      </c>
      <c r="F58">
        <v>80.98</v>
      </c>
      <c r="G58">
        <v>3</v>
      </c>
      <c r="H58">
        <v>4</v>
      </c>
      <c r="I58">
        <v>8</v>
      </c>
      <c r="J58">
        <v>10</v>
      </c>
      <c r="K58">
        <v>81.78</v>
      </c>
      <c r="L58">
        <v>82.41</v>
      </c>
      <c r="M58">
        <v>78.900000000000006</v>
      </c>
      <c r="N58" t="s">
        <v>12</v>
      </c>
    </row>
    <row r="59" spans="1:14" x14ac:dyDescent="0.2">
      <c r="A59" s="1">
        <v>58</v>
      </c>
      <c r="B59" t="s">
        <v>66</v>
      </c>
      <c r="C59">
        <v>81.849999999999994</v>
      </c>
      <c r="D59">
        <v>25</v>
      </c>
      <c r="E59">
        <v>8</v>
      </c>
      <c r="F59">
        <v>72.02</v>
      </c>
      <c r="G59">
        <v>0</v>
      </c>
      <c r="H59">
        <v>1</v>
      </c>
      <c r="I59">
        <v>0</v>
      </c>
      <c r="J59">
        <v>2</v>
      </c>
      <c r="K59">
        <v>81.87</v>
      </c>
      <c r="L59">
        <v>81.42</v>
      </c>
      <c r="M59">
        <v>82.35</v>
      </c>
      <c r="N59" t="s">
        <v>67</v>
      </c>
    </row>
    <row r="60" spans="1:14" x14ac:dyDescent="0.2">
      <c r="A60" s="1">
        <v>59</v>
      </c>
      <c r="B60" t="s">
        <v>68</v>
      </c>
      <c r="C60">
        <v>81.61</v>
      </c>
      <c r="D60">
        <v>23</v>
      </c>
      <c r="E60">
        <v>9</v>
      </c>
      <c r="F60">
        <v>76.650000000000006</v>
      </c>
      <c r="G60">
        <v>0</v>
      </c>
      <c r="H60">
        <v>2</v>
      </c>
      <c r="I60">
        <v>2</v>
      </c>
      <c r="J60">
        <v>2</v>
      </c>
      <c r="K60">
        <v>81.16</v>
      </c>
      <c r="L60">
        <v>82.21</v>
      </c>
      <c r="M60">
        <v>85.52</v>
      </c>
      <c r="N60" t="s">
        <v>63</v>
      </c>
    </row>
    <row r="61" spans="1:14" x14ac:dyDescent="0.2">
      <c r="A61" s="1">
        <v>60</v>
      </c>
      <c r="B61" t="s">
        <v>876</v>
      </c>
      <c r="C61">
        <v>81.58</v>
      </c>
      <c r="D61">
        <v>22</v>
      </c>
      <c r="E61">
        <v>10</v>
      </c>
      <c r="F61">
        <v>76.8</v>
      </c>
      <c r="G61">
        <v>0</v>
      </c>
      <c r="H61">
        <v>2</v>
      </c>
      <c r="I61">
        <v>0</v>
      </c>
      <c r="J61">
        <v>3</v>
      </c>
      <c r="K61">
        <v>81.63</v>
      </c>
      <c r="L61">
        <v>81.540000000000006</v>
      </c>
      <c r="M61">
        <v>79.510000000000005</v>
      </c>
      <c r="N61" t="s">
        <v>63</v>
      </c>
    </row>
    <row r="62" spans="1:14" x14ac:dyDescent="0.2">
      <c r="A62" s="1">
        <v>61</v>
      </c>
      <c r="B62" t="s">
        <v>69</v>
      </c>
      <c r="C62">
        <v>81.52</v>
      </c>
      <c r="D62">
        <v>21</v>
      </c>
      <c r="E62">
        <v>12</v>
      </c>
      <c r="F62">
        <v>77.62</v>
      </c>
      <c r="G62">
        <v>1</v>
      </c>
      <c r="H62">
        <v>5</v>
      </c>
      <c r="I62">
        <v>4</v>
      </c>
      <c r="J62">
        <v>8</v>
      </c>
      <c r="K62">
        <v>81.25</v>
      </c>
      <c r="L62">
        <v>82.16</v>
      </c>
      <c r="M62">
        <v>80.989999999999995</v>
      </c>
      <c r="N62" t="s">
        <v>7</v>
      </c>
    </row>
    <row r="63" spans="1:14" x14ac:dyDescent="0.2">
      <c r="A63" s="1">
        <v>62</v>
      </c>
      <c r="B63" t="s">
        <v>70</v>
      </c>
      <c r="C63">
        <v>81.45</v>
      </c>
      <c r="D63">
        <v>21</v>
      </c>
      <c r="E63">
        <v>14</v>
      </c>
      <c r="F63">
        <v>78.73</v>
      </c>
      <c r="G63">
        <v>2</v>
      </c>
      <c r="H63">
        <v>6</v>
      </c>
      <c r="I63">
        <v>4</v>
      </c>
      <c r="J63">
        <v>8</v>
      </c>
      <c r="K63">
        <v>81.19</v>
      </c>
      <c r="L63">
        <v>81.900000000000006</v>
      </c>
      <c r="M63">
        <v>81.7</v>
      </c>
      <c r="N63" t="s">
        <v>10</v>
      </c>
    </row>
    <row r="64" spans="1:14" x14ac:dyDescent="0.2">
      <c r="A64" s="1">
        <v>63</v>
      </c>
      <c r="B64" t="s">
        <v>71</v>
      </c>
      <c r="C64">
        <v>81.39</v>
      </c>
      <c r="D64">
        <v>18</v>
      </c>
      <c r="E64">
        <v>14</v>
      </c>
      <c r="F64">
        <v>80.12</v>
      </c>
      <c r="G64">
        <v>5</v>
      </c>
      <c r="H64">
        <v>4</v>
      </c>
      <c r="I64">
        <v>8</v>
      </c>
      <c r="J64">
        <v>7</v>
      </c>
      <c r="K64">
        <v>80.98</v>
      </c>
      <c r="L64">
        <v>82.19</v>
      </c>
      <c r="M64">
        <v>82.54</v>
      </c>
      <c r="N64" t="s">
        <v>17</v>
      </c>
    </row>
    <row r="65" spans="1:14" x14ac:dyDescent="0.2">
      <c r="A65" s="1">
        <v>64</v>
      </c>
      <c r="B65" t="s">
        <v>72</v>
      </c>
      <c r="C65">
        <v>81.349999999999994</v>
      </c>
      <c r="D65">
        <v>16</v>
      </c>
      <c r="E65">
        <v>17</v>
      </c>
      <c r="F65">
        <v>81.45</v>
      </c>
      <c r="G65" t="s">
        <v>274</v>
      </c>
      <c r="H65">
        <v>0</v>
      </c>
      <c r="I65">
        <v>3</v>
      </c>
      <c r="J65">
        <v>14</v>
      </c>
      <c r="K65">
        <v>81.37</v>
      </c>
      <c r="L65">
        <v>81.540000000000006</v>
      </c>
      <c r="M65">
        <v>78.540000000000006</v>
      </c>
      <c r="N65" t="s">
        <v>3</v>
      </c>
    </row>
    <row r="66" spans="1:14" x14ac:dyDescent="0.2">
      <c r="A66" s="1">
        <v>65</v>
      </c>
      <c r="B66" t="s">
        <v>73</v>
      </c>
      <c r="C66">
        <v>81.27</v>
      </c>
      <c r="D66">
        <v>16</v>
      </c>
      <c r="E66">
        <v>17</v>
      </c>
      <c r="F66">
        <v>79.42</v>
      </c>
      <c r="G66">
        <v>0</v>
      </c>
      <c r="H66">
        <v>7</v>
      </c>
      <c r="I66">
        <v>2</v>
      </c>
      <c r="J66">
        <v>9</v>
      </c>
      <c r="K66">
        <v>81.5</v>
      </c>
      <c r="L66">
        <v>80.63</v>
      </c>
      <c r="M66">
        <v>79.62</v>
      </c>
      <c r="N66" t="s">
        <v>10</v>
      </c>
    </row>
    <row r="67" spans="1:14" x14ac:dyDescent="0.2">
      <c r="A67" s="1">
        <v>66</v>
      </c>
      <c r="B67" t="s">
        <v>74</v>
      </c>
      <c r="C67">
        <v>81.25</v>
      </c>
      <c r="D67">
        <v>22</v>
      </c>
      <c r="E67">
        <v>12</v>
      </c>
      <c r="F67">
        <v>75.52</v>
      </c>
      <c r="G67">
        <v>0</v>
      </c>
      <c r="H67">
        <v>2</v>
      </c>
      <c r="I67">
        <v>1</v>
      </c>
      <c r="J67">
        <v>2</v>
      </c>
      <c r="K67">
        <v>81.7</v>
      </c>
      <c r="L67">
        <v>80.58</v>
      </c>
      <c r="M67">
        <v>77.13</v>
      </c>
      <c r="N67" t="s">
        <v>63</v>
      </c>
    </row>
    <row r="68" spans="1:14" x14ac:dyDescent="0.2">
      <c r="A68" s="1">
        <v>67</v>
      </c>
      <c r="B68" t="s">
        <v>75</v>
      </c>
      <c r="C68">
        <v>81.2</v>
      </c>
      <c r="D68">
        <v>15</v>
      </c>
      <c r="E68">
        <v>17</v>
      </c>
      <c r="F68">
        <v>80.66</v>
      </c>
      <c r="G68">
        <v>2</v>
      </c>
      <c r="H68">
        <v>7</v>
      </c>
      <c r="I68">
        <v>2</v>
      </c>
      <c r="J68">
        <v>13</v>
      </c>
      <c r="K68">
        <v>81.17</v>
      </c>
      <c r="L68">
        <v>81.39</v>
      </c>
      <c r="M68">
        <v>79.069999999999993</v>
      </c>
      <c r="N68" t="s">
        <v>17</v>
      </c>
    </row>
    <row r="69" spans="1:14" x14ac:dyDescent="0.2">
      <c r="A69" s="1">
        <v>68</v>
      </c>
      <c r="B69" t="s">
        <v>76</v>
      </c>
      <c r="C69">
        <v>80.88</v>
      </c>
      <c r="D69">
        <v>19</v>
      </c>
      <c r="E69">
        <v>17</v>
      </c>
      <c r="F69">
        <v>79.47</v>
      </c>
      <c r="G69">
        <v>2</v>
      </c>
      <c r="H69">
        <v>6</v>
      </c>
      <c r="I69">
        <v>5</v>
      </c>
      <c r="J69">
        <v>10</v>
      </c>
      <c r="K69">
        <v>81.14</v>
      </c>
      <c r="L69">
        <v>80</v>
      </c>
      <c r="M69">
        <v>80.23</v>
      </c>
      <c r="N69" t="s">
        <v>14</v>
      </c>
    </row>
    <row r="70" spans="1:14" x14ac:dyDescent="0.2">
      <c r="A70" s="1">
        <v>69</v>
      </c>
      <c r="B70" t="s">
        <v>798</v>
      </c>
      <c r="C70">
        <v>80.599999999999994</v>
      </c>
      <c r="D70">
        <v>28</v>
      </c>
      <c r="E70">
        <v>3</v>
      </c>
      <c r="F70">
        <v>69.36</v>
      </c>
      <c r="G70">
        <v>1</v>
      </c>
      <c r="H70">
        <v>1</v>
      </c>
      <c r="I70">
        <v>2</v>
      </c>
      <c r="J70">
        <v>1</v>
      </c>
      <c r="K70">
        <v>80.23</v>
      </c>
      <c r="L70">
        <v>80.84</v>
      </c>
      <c r="M70">
        <v>85.25</v>
      </c>
      <c r="N70" t="s">
        <v>77</v>
      </c>
    </row>
    <row r="71" spans="1:14" x14ac:dyDescent="0.2">
      <c r="A71" s="1">
        <v>70</v>
      </c>
      <c r="B71" t="s">
        <v>78</v>
      </c>
      <c r="C71">
        <v>80.569999999999993</v>
      </c>
      <c r="D71">
        <v>17</v>
      </c>
      <c r="E71">
        <v>16</v>
      </c>
      <c r="F71">
        <v>78.510000000000005</v>
      </c>
      <c r="G71">
        <v>1</v>
      </c>
      <c r="H71">
        <v>4</v>
      </c>
      <c r="I71">
        <v>2</v>
      </c>
      <c r="J71">
        <v>6</v>
      </c>
      <c r="K71">
        <v>80.61</v>
      </c>
      <c r="L71">
        <v>80.33</v>
      </c>
      <c r="M71">
        <v>79.61</v>
      </c>
      <c r="N71" t="s">
        <v>10</v>
      </c>
    </row>
    <row r="72" spans="1:14" x14ac:dyDescent="0.2">
      <c r="A72" s="1">
        <v>71</v>
      </c>
      <c r="B72" t="s">
        <v>817</v>
      </c>
      <c r="C72">
        <v>80.540000000000006</v>
      </c>
      <c r="D72">
        <v>14</v>
      </c>
      <c r="E72">
        <v>17</v>
      </c>
      <c r="F72">
        <v>81.05</v>
      </c>
      <c r="G72">
        <v>2</v>
      </c>
      <c r="H72">
        <v>8</v>
      </c>
      <c r="I72">
        <v>4</v>
      </c>
      <c r="J72">
        <v>11</v>
      </c>
      <c r="K72">
        <v>80.95</v>
      </c>
      <c r="L72">
        <v>79.91</v>
      </c>
      <c r="M72">
        <v>76.459999999999994</v>
      </c>
      <c r="N72" t="s">
        <v>17</v>
      </c>
    </row>
    <row r="73" spans="1:14" x14ac:dyDescent="0.2">
      <c r="A73" s="1">
        <v>72</v>
      </c>
      <c r="B73" t="s">
        <v>796</v>
      </c>
      <c r="C73">
        <v>80.22</v>
      </c>
      <c r="D73">
        <v>17</v>
      </c>
      <c r="E73">
        <v>16</v>
      </c>
      <c r="F73">
        <v>76.040000000000006</v>
      </c>
      <c r="G73">
        <v>0</v>
      </c>
      <c r="H73">
        <v>2</v>
      </c>
      <c r="I73">
        <v>2</v>
      </c>
      <c r="J73">
        <v>10</v>
      </c>
      <c r="K73">
        <v>80.89</v>
      </c>
      <c r="L73">
        <v>79.36</v>
      </c>
      <c r="M73">
        <v>74.27</v>
      </c>
      <c r="N73" t="s">
        <v>56</v>
      </c>
    </row>
    <row r="74" spans="1:14" x14ac:dyDescent="0.2">
      <c r="A74" s="1">
        <v>73</v>
      </c>
      <c r="B74" t="s">
        <v>79</v>
      </c>
      <c r="C74">
        <v>80.22</v>
      </c>
      <c r="D74">
        <v>14</v>
      </c>
      <c r="E74">
        <v>16</v>
      </c>
      <c r="F74">
        <v>80.03</v>
      </c>
      <c r="G74">
        <v>0</v>
      </c>
      <c r="H74">
        <v>8</v>
      </c>
      <c r="I74">
        <v>2</v>
      </c>
      <c r="J74">
        <v>12</v>
      </c>
      <c r="K74">
        <v>80.47</v>
      </c>
      <c r="L74">
        <v>79.61</v>
      </c>
      <c r="M74">
        <v>78.08</v>
      </c>
      <c r="N74" t="s">
        <v>17</v>
      </c>
    </row>
    <row r="75" spans="1:14" x14ac:dyDescent="0.2">
      <c r="A75" s="1">
        <v>74</v>
      </c>
      <c r="B75" t="s">
        <v>80</v>
      </c>
      <c r="C75">
        <v>80.150000000000006</v>
      </c>
      <c r="D75">
        <v>24</v>
      </c>
      <c r="E75">
        <v>13</v>
      </c>
      <c r="F75">
        <v>76.709999999999994</v>
      </c>
      <c r="G75">
        <v>1</v>
      </c>
      <c r="H75">
        <v>0</v>
      </c>
      <c r="I75">
        <v>1</v>
      </c>
      <c r="J75">
        <v>2</v>
      </c>
      <c r="K75">
        <v>79.87</v>
      </c>
      <c r="L75">
        <v>80.260000000000005</v>
      </c>
      <c r="M75">
        <v>83.24</v>
      </c>
      <c r="N75" t="s">
        <v>63</v>
      </c>
    </row>
    <row r="76" spans="1:14" x14ac:dyDescent="0.2">
      <c r="A76" s="1">
        <v>75</v>
      </c>
      <c r="B76" t="s">
        <v>802</v>
      </c>
      <c r="C76">
        <v>80.150000000000006</v>
      </c>
      <c r="D76">
        <v>14</v>
      </c>
      <c r="E76">
        <v>17</v>
      </c>
      <c r="F76">
        <v>81.47</v>
      </c>
      <c r="G76">
        <v>2</v>
      </c>
      <c r="H76">
        <v>8</v>
      </c>
      <c r="I76">
        <v>4</v>
      </c>
      <c r="J76">
        <v>12</v>
      </c>
      <c r="K76">
        <v>80.33</v>
      </c>
      <c r="L76">
        <v>79.97</v>
      </c>
      <c r="M76">
        <v>76.819999999999993</v>
      </c>
      <c r="N76" t="s">
        <v>3</v>
      </c>
    </row>
    <row r="77" spans="1:14" x14ac:dyDescent="0.2">
      <c r="A77" s="1">
        <v>76</v>
      </c>
      <c r="B77" t="s">
        <v>819</v>
      </c>
      <c r="C77">
        <v>79.98</v>
      </c>
      <c r="D77">
        <v>24</v>
      </c>
      <c r="E77">
        <v>7</v>
      </c>
      <c r="F77">
        <v>72.91</v>
      </c>
      <c r="G77">
        <v>1</v>
      </c>
      <c r="H77">
        <v>1</v>
      </c>
      <c r="I77">
        <v>2</v>
      </c>
      <c r="J77">
        <v>1</v>
      </c>
      <c r="K77">
        <v>79.569999999999993</v>
      </c>
      <c r="L77">
        <v>80.36</v>
      </c>
      <c r="M77">
        <v>84.44</v>
      </c>
      <c r="N77" t="s">
        <v>81</v>
      </c>
    </row>
    <row r="78" spans="1:14" x14ac:dyDescent="0.2">
      <c r="A78" s="1">
        <v>77</v>
      </c>
      <c r="B78" t="s">
        <v>859</v>
      </c>
      <c r="C78">
        <v>79.87</v>
      </c>
      <c r="D78">
        <v>28</v>
      </c>
      <c r="E78">
        <v>5</v>
      </c>
      <c r="F78">
        <v>69.13</v>
      </c>
      <c r="G78">
        <v>0</v>
      </c>
      <c r="H78">
        <v>0</v>
      </c>
      <c r="I78">
        <v>1</v>
      </c>
      <c r="J78">
        <v>2</v>
      </c>
      <c r="K78">
        <v>79.540000000000006</v>
      </c>
      <c r="L78">
        <v>80.27</v>
      </c>
      <c r="M78">
        <v>82.08</v>
      </c>
      <c r="N78" t="s">
        <v>82</v>
      </c>
    </row>
    <row r="79" spans="1:14" x14ac:dyDescent="0.2">
      <c r="A79" s="1">
        <v>78</v>
      </c>
      <c r="B79" t="s">
        <v>811</v>
      </c>
      <c r="C79">
        <v>79.63</v>
      </c>
      <c r="D79">
        <v>14</v>
      </c>
      <c r="E79">
        <v>17</v>
      </c>
      <c r="F79">
        <v>80.61</v>
      </c>
      <c r="G79">
        <v>1</v>
      </c>
      <c r="H79">
        <v>4</v>
      </c>
      <c r="I79">
        <v>5</v>
      </c>
      <c r="J79">
        <v>10</v>
      </c>
      <c r="K79">
        <v>79.58</v>
      </c>
      <c r="L79">
        <v>79.099999999999994</v>
      </c>
      <c r="M79">
        <v>82.49</v>
      </c>
      <c r="N79" t="s">
        <v>7</v>
      </c>
    </row>
    <row r="80" spans="1:14" x14ac:dyDescent="0.2">
      <c r="A80" s="1">
        <v>79</v>
      </c>
      <c r="B80" t="s">
        <v>83</v>
      </c>
      <c r="C80">
        <v>79.489999999999995</v>
      </c>
      <c r="D80">
        <v>23</v>
      </c>
      <c r="E80">
        <v>7</v>
      </c>
      <c r="F80">
        <v>73.16</v>
      </c>
      <c r="G80">
        <v>0</v>
      </c>
      <c r="H80">
        <v>1</v>
      </c>
      <c r="I80">
        <v>0</v>
      </c>
      <c r="J80">
        <v>1</v>
      </c>
      <c r="K80">
        <v>79.27</v>
      </c>
      <c r="L80">
        <v>79.819999999999993</v>
      </c>
      <c r="M80">
        <v>79.680000000000007</v>
      </c>
      <c r="N80" t="s">
        <v>67</v>
      </c>
    </row>
    <row r="81" spans="1:14" x14ac:dyDescent="0.2">
      <c r="A81" s="1">
        <v>80</v>
      </c>
      <c r="B81" t="s">
        <v>860</v>
      </c>
      <c r="C81">
        <v>79.45</v>
      </c>
      <c r="D81">
        <v>22</v>
      </c>
      <c r="E81">
        <v>11</v>
      </c>
      <c r="F81">
        <v>73.09</v>
      </c>
      <c r="G81">
        <v>0</v>
      </c>
      <c r="H81">
        <v>1</v>
      </c>
      <c r="I81">
        <v>1</v>
      </c>
      <c r="J81">
        <v>4</v>
      </c>
      <c r="K81">
        <v>79.55</v>
      </c>
      <c r="L81">
        <v>79.040000000000006</v>
      </c>
      <c r="M81">
        <v>78.48</v>
      </c>
      <c r="N81" t="s">
        <v>84</v>
      </c>
    </row>
    <row r="82" spans="1:14" x14ac:dyDescent="0.2">
      <c r="A82" s="1">
        <v>81</v>
      </c>
      <c r="B82" t="s">
        <v>85</v>
      </c>
      <c r="C82">
        <v>79.38</v>
      </c>
      <c r="D82">
        <v>25</v>
      </c>
      <c r="E82">
        <v>8</v>
      </c>
      <c r="F82">
        <v>72.23</v>
      </c>
      <c r="G82">
        <v>0</v>
      </c>
      <c r="H82">
        <v>1</v>
      </c>
      <c r="I82">
        <v>0</v>
      </c>
      <c r="J82">
        <v>1</v>
      </c>
      <c r="K82">
        <v>79.209999999999994</v>
      </c>
      <c r="L82">
        <v>79.28</v>
      </c>
      <c r="M82">
        <v>81.25</v>
      </c>
      <c r="N82" t="s">
        <v>86</v>
      </c>
    </row>
    <row r="83" spans="1:14" x14ac:dyDescent="0.2">
      <c r="A83" s="1">
        <v>82</v>
      </c>
      <c r="B83" t="s">
        <v>793</v>
      </c>
      <c r="C83">
        <v>79.27</v>
      </c>
      <c r="D83">
        <v>17</v>
      </c>
      <c r="E83">
        <v>14</v>
      </c>
      <c r="F83">
        <v>79</v>
      </c>
      <c r="G83">
        <v>1</v>
      </c>
      <c r="H83">
        <v>4</v>
      </c>
      <c r="I83">
        <v>2</v>
      </c>
      <c r="J83">
        <v>6</v>
      </c>
      <c r="K83">
        <v>79.400000000000006</v>
      </c>
      <c r="L83">
        <v>79.989999999999995</v>
      </c>
      <c r="M83">
        <v>72.819999999999993</v>
      </c>
      <c r="N83" t="s">
        <v>10</v>
      </c>
    </row>
    <row r="84" spans="1:14" x14ac:dyDescent="0.2">
      <c r="A84" s="1">
        <v>83</v>
      </c>
      <c r="B84" t="s">
        <v>87</v>
      </c>
      <c r="C84">
        <v>79.180000000000007</v>
      </c>
      <c r="D84">
        <v>24</v>
      </c>
      <c r="E84">
        <v>8</v>
      </c>
      <c r="F84">
        <v>70.099999999999994</v>
      </c>
      <c r="G84">
        <v>0</v>
      </c>
      <c r="H84">
        <v>1</v>
      </c>
      <c r="I84">
        <v>0</v>
      </c>
      <c r="J84">
        <v>1</v>
      </c>
      <c r="K84">
        <v>79.39</v>
      </c>
      <c r="L84">
        <v>78.83</v>
      </c>
      <c r="M84">
        <v>76.31</v>
      </c>
      <c r="N84" t="s">
        <v>77</v>
      </c>
    </row>
    <row r="85" spans="1:14" x14ac:dyDescent="0.2">
      <c r="A85" s="1">
        <v>84</v>
      </c>
      <c r="B85" t="s">
        <v>88</v>
      </c>
      <c r="C85">
        <v>79.14</v>
      </c>
      <c r="D85">
        <v>21</v>
      </c>
      <c r="E85">
        <v>12</v>
      </c>
      <c r="F85">
        <v>74.33</v>
      </c>
      <c r="G85">
        <v>1</v>
      </c>
      <c r="H85">
        <v>4</v>
      </c>
      <c r="I85">
        <v>3</v>
      </c>
      <c r="J85">
        <v>8</v>
      </c>
      <c r="K85">
        <v>79.150000000000006</v>
      </c>
      <c r="L85">
        <v>78.78</v>
      </c>
      <c r="M85">
        <v>79.28</v>
      </c>
      <c r="N85" t="s">
        <v>1</v>
      </c>
    </row>
    <row r="86" spans="1:14" x14ac:dyDescent="0.2">
      <c r="A86" s="1">
        <v>85</v>
      </c>
      <c r="B86" t="s">
        <v>89</v>
      </c>
      <c r="C86">
        <v>79.14</v>
      </c>
      <c r="D86">
        <v>27</v>
      </c>
      <c r="E86">
        <v>6</v>
      </c>
      <c r="F86">
        <v>67.400000000000006</v>
      </c>
      <c r="G86">
        <v>0</v>
      </c>
      <c r="H86">
        <v>1</v>
      </c>
      <c r="I86">
        <v>0</v>
      </c>
      <c r="J86">
        <v>2</v>
      </c>
      <c r="K86">
        <v>78.95</v>
      </c>
      <c r="L86">
        <v>79.05</v>
      </c>
      <c r="M86">
        <v>81.349999999999994</v>
      </c>
      <c r="N86" t="s">
        <v>90</v>
      </c>
    </row>
    <row r="87" spans="1:14" x14ac:dyDescent="0.2">
      <c r="A87" s="1">
        <v>86</v>
      </c>
      <c r="B87" t="s">
        <v>91</v>
      </c>
      <c r="C87">
        <v>79.010000000000005</v>
      </c>
      <c r="D87">
        <v>23</v>
      </c>
      <c r="E87">
        <v>11</v>
      </c>
      <c r="F87">
        <v>72.989999999999995</v>
      </c>
      <c r="G87">
        <v>0</v>
      </c>
      <c r="H87">
        <v>0</v>
      </c>
      <c r="I87">
        <v>2</v>
      </c>
      <c r="J87">
        <v>2</v>
      </c>
      <c r="K87">
        <v>78.83</v>
      </c>
      <c r="L87">
        <v>79.040000000000006</v>
      </c>
      <c r="M87">
        <v>80.45</v>
      </c>
      <c r="N87" t="s">
        <v>84</v>
      </c>
    </row>
    <row r="88" spans="1:14" x14ac:dyDescent="0.2">
      <c r="A88" s="1">
        <v>87</v>
      </c>
      <c r="B88" t="s">
        <v>801</v>
      </c>
      <c r="C88">
        <v>78.98</v>
      </c>
      <c r="D88">
        <v>15</v>
      </c>
      <c r="E88">
        <v>13</v>
      </c>
      <c r="F88">
        <v>76.33</v>
      </c>
      <c r="G88">
        <v>0</v>
      </c>
      <c r="H88">
        <v>5</v>
      </c>
      <c r="I88">
        <v>1</v>
      </c>
      <c r="J88">
        <v>5</v>
      </c>
      <c r="K88">
        <v>79.16</v>
      </c>
      <c r="L88">
        <v>79.040000000000006</v>
      </c>
      <c r="M88">
        <v>74.59</v>
      </c>
      <c r="N88" t="s">
        <v>5</v>
      </c>
    </row>
    <row r="89" spans="1:14" x14ac:dyDescent="0.2">
      <c r="A89" s="1">
        <v>88</v>
      </c>
      <c r="B89" t="s">
        <v>92</v>
      </c>
      <c r="C89">
        <v>78.849999999999994</v>
      </c>
      <c r="D89">
        <v>24</v>
      </c>
      <c r="E89">
        <v>9</v>
      </c>
      <c r="F89">
        <v>75.27</v>
      </c>
      <c r="G89">
        <v>0</v>
      </c>
      <c r="H89">
        <v>1</v>
      </c>
      <c r="I89">
        <v>2</v>
      </c>
      <c r="J89">
        <v>6</v>
      </c>
      <c r="K89">
        <v>78.72</v>
      </c>
      <c r="L89">
        <v>78.88</v>
      </c>
      <c r="M89">
        <v>79.14</v>
      </c>
      <c r="N89" t="s">
        <v>56</v>
      </c>
    </row>
    <row r="90" spans="1:14" x14ac:dyDescent="0.2">
      <c r="A90" s="1">
        <v>89</v>
      </c>
      <c r="B90" t="s">
        <v>93</v>
      </c>
      <c r="C90">
        <v>78.790000000000006</v>
      </c>
      <c r="D90">
        <v>25</v>
      </c>
      <c r="E90">
        <v>8</v>
      </c>
      <c r="F90">
        <v>70.25</v>
      </c>
      <c r="G90">
        <v>0</v>
      </c>
      <c r="H90">
        <v>0</v>
      </c>
      <c r="I90">
        <v>0</v>
      </c>
      <c r="J90">
        <v>1</v>
      </c>
      <c r="K90">
        <v>79.08</v>
      </c>
      <c r="L90">
        <v>78.099999999999994</v>
      </c>
      <c r="M90">
        <v>76.5</v>
      </c>
      <c r="N90" t="s">
        <v>94</v>
      </c>
    </row>
    <row r="91" spans="1:14" x14ac:dyDescent="0.2">
      <c r="A91" s="1">
        <v>90</v>
      </c>
      <c r="B91" t="s">
        <v>95</v>
      </c>
      <c r="C91">
        <v>78.64</v>
      </c>
      <c r="D91">
        <v>21</v>
      </c>
      <c r="E91">
        <v>12</v>
      </c>
      <c r="F91">
        <v>71.900000000000006</v>
      </c>
      <c r="G91">
        <v>0</v>
      </c>
      <c r="H91">
        <v>1</v>
      </c>
      <c r="I91">
        <v>0</v>
      </c>
      <c r="J91">
        <v>2</v>
      </c>
      <c r="K91">
        <v>78.78</v>
      </c>
      <c r="L91">
        <v>77.98</v>
      </c>
      <c r="M91">
        <v>78.41</v>
      </c>
      <c r="N91" t="s">
        <v>86</v>
      </c>
    </row>
    <row r="92" spans="1:14" x14ac:dyDescent="0.2">
      <c r="A92" s="1">
        <v>91</v>
      </c>
      <c r="B92" t="s">
        <v>96</v>
      </c>
      <c r="C92">
        <v>78.55</v>
      </c>
      <c r="D92">
        <v>17</v>
      </c>
      <c r="E92">
        <v>13</v>
      </c>
      <c r="F92">
        <v>79.489999999999995</v>
      </c>
      <c r="G92">
        <v>1</v>
      </c>
      <c r="H92">
        <v>6</v>
      </c>
      <c r="I92">
        <v>3</v>
      </c>
      <c r="J92">
        <v>9</v>
      </c>
      <c r="K92">
        <v>78.459999999999994</v>
      </c>
      <c r="L92">
        <v>78.98</v>
      </c>
      <c r="M92">
        <v>76.16</v>
      </c>
      <c r="N92" t="s">
        <v>14</v>
      </c>
    </row>
    <row r="93" spans="1:14" x14ac:dyDescent="0.2">
      <c r="A93" s="1">
        <v>92</v>
      </c>
      <c r="B93" t="s">
        <v>97</v>
      </c>
      <c r="C93">
        <v>78.400000000000006</v>
      </c>
      <c r="D93">
        <v>15</v>
      </c>
      <c r="E93">
        <v>16</v>
      </c>
      <c r="F93">
        <v>78.92</v>
      </c>
      <c r="G93">
        <v>0</v>
      </c>
      <c r="H93">
        <v>4</v>
      </c>
      <c r="I93">
        <v>3</v>
      </c>
      <c r="J93">
        <v>13</v>
      </c>
      <c r="K93">
        <v>78.48</v>
      </c>
      <c r="L93">
        <v>77.900000000000006</v>
      </c>
      <c r="M93">
        <v>78.209999999999994</v>
      </c>
      <c r="N93" t="s">
        <v>12</v>
      </c>
    </row>
    <row r="94" spans="1:14" x14ac:dyDescent="0.2">
      <c r="A94" s="1">
        <v>93</v>
      </c>
      <c r="B94" t="s">
        <v>98</v>
      </c>
      <c r="C94">
        <v>78.31</v>
      </c>
      <c r="D94">
        <v>16</v>
      </c>
      <c r="E94">
        <v>16</v>
      </c>
      <c r="F94">
        <v>79.790000000000006</v>
      </c>
      <c r="G94">
        <v>0</v>
      </c>
      <c r="H94">
        <v>7</v>
      </c>
      <c r="I94">
        <v>4</v>
      </c>
      <c r="J94">
        <v>9</v>
      </c>
      <c r="K94">
        <v>78.36</v>
      </c>
      <c r="L94">
        <v>78.64</v>
      </c>
      <c r="M94">
        <v>74.37</v>
      </c>
      <c r="N94" t="s">
        <v>7</v>
      </c>
    </row>
    <row r="95" spans="1:14" x14ac:dyDescent="0.2">
      <c r="A95" s="1">
        <v>94</v>
      </c>
      <c r="B95" t="s">
        <v>99</v>
      </c>
      <c r="C95">
        <v>78.17</v>
      </c>
      <c r="D95">
        <v>17</v>
      </c>
      <c r="E95">
        <v>15</v>
      </c>
      <c r="F95">
        <v>75.319999999999993</v>
      </c>
      <c r="G95">
        <v>1</v>
      </c>
      <c r="H95">
        <v>6</v>
      </c>
      <c r="I95">
        <v>1</v>
      </c>
      <c r="J95">
        <v>7</v>
      </c>
      <c r="K95">
        <v>78.33</v>
      </c>
      <c r="L95">
        <v>78.260000000000005</v>
      </c>
      <c r="M95">
        <v>73.72</v>
      </c>
      <c r="N95" t="s">
        <v>5</v>
      </c>
    </row>
    <row r="96" spans="1:14" x14ac:dyDescent="0.2">
      <c r="A96" s="1">
        <v>95</v>
      </c>
      <c r="B96" t="s">
        <v>804</v>
      </c>
      <c r="C96">
        <v>78.12</v>
      </c>
      <c r="D96">
        <v>21</v>
      </c>
      <c r="E96">
        <v>13</v>
      </c>
      <c r="F96">
        <v>73.36</v>
      </c>
      <c r="G96">
        <v>0</v>
      </c>
      <c r="H96">
        <v>0</v>
      </c>
      <c r="I96">
        <v>0</v>
      </c>
      <c r="J96">
        <v>7</v>
      </c>
      <c r="K96">
        <v>78.150000000000006</v>
      </c>
      <c r="L96">
        <v>77.62</v>
      </c>
      <c r="M96">
        <v>78.86</v>
      </c>
      <c r="N96" t="s">
        <v>56</v>
      </c>
    </row>
    <row r="97" spans="1:14" x14ac:dyDescent="0.2">
      <c r="A97" s="1">
        <v>96</v>
      </c>
      <c r="B97" t="s">
        <v>100</v>
      </c>
      <c r="C97">
        <v>77.98</v>
      </c>
      <c r="D97">
        <v>13</v>
      </c>
      <c r="E97">
        <v>19</v>
      </c>
      <c r="F97">
        <v>78.599999999999994</v>
      </c>
      <c r="G97">
        <v>2</v>
      </c>
      <c r="H97">
        <v>5</v>
      </c>
      <c r="I97">
        <v>3</v>
      </c>
      <c r="J97">
        <v>10</v>
      </c>
      <c r="K97">
        <v>78.62</v>
      </c>
      <c r="L97">
        <v>77.459999999999994</v>
      </c>
      <c r="M97">
        <v>69.86</v>
      </c>
      <c r="N97" t="s">
        <v>14</v>
      </c>
    </row>
    <row r="98" spans="1:14" x14ac:dyDescent="0.2">
      <c r="A98" s="1">
        <v>97</v>
      </c>
      <c r="B98" t="s">
        <v>101</v>
      </c>
      <c r="C98">
        <v>77.709999999999994</v>
      </c>
      <c r="D98">
        <v>21</v>
      </c>
      <c r="E98">
        <v>10</v>
      </c>
      <c r="F98">
        <v>72.180000000000007</v>
      </c>
      <c r="G98">
        <v>0</v>
      </c>
      <c r="H98">
        <v>1</v>
      </c>
      <c r="I98">
        <v>0</v>
      </c>
      <c r="J98">
        <v>2</v>
      </c>
      <c r="K98">
        <v>77.53</v>
      </c>
      <c r="L98">
        <v>77.8</v>
      </c>
      <c r="M98">
        <v>78.53</v>
      </c>
      <c r="N98" t="s">
        <v>67</v>
      </c>
    </row>
    <row r="99" spans="1:14" x14ac:dyDescent="0.2">
      <c r="A99" s="1">
        <v>98</v>
      </c>
      <c r="B99" t="s">
        <v>874</v>
      </c>
      <c r="C99">
        <v>77.7</v>
      </c>
      <c r="D99">
        <v>18</v>
      </c>
      <c r="E99">
        <v>12</v>
      </c>
      <c r="F99">
        <v>75.959999999999994</v>
      </c>
      <c r="G99">
        <v>2</v>
      </c>
      <c r="H99">
        <v>5</v>
      </c>
      <c r="I99">
        <v>2</v>
      </c>
      <c r="J99">
        <v>6</v>
      </c>
      <c r="K99">
        <v>77.5</v>
      </c>
      <c r="L99">
        <v>78.61</v>
      </c>
      <c r="M99">
        <v>74.63</v>
      </c>
      <c r="N99" t="s">
        <v>5</v>
      </c>
    </row>
    <row r="100" spans="1:14" x14ac:dyDescent="0.2">
      <c r="A100" s="1">
        <v>99</v>
      </c>
      <c r="B100" t="s">
        <v>102</v>
      </c>
      <c r="C100">
        <v>77.569999999999993</v>
      </c>
      <c r="D100">
        <v>19</v>
      </c>
      <c r="E100">
        <v>12</v>
      </c>
      <c r="F100">
        <v>75.38</v>
      </c>
      <c r="G100">
        <v>0</v>
      </c>
      <c r="H100">
        <v>1</v>
      </c>
      <c r="I100">
        <v>1</v>
      </c>
      <c r="J100">
        <v>4</v>
      </c>
      <c r="K100">
        <v>77.290000000000006</v>
      </c>
      <c r="L100">
        <v>77.95</v>
      </c>
      <c r="M100">
        <v>78.709999999999994</v>
      </c>
      <c r="N100" t="s">
        <v>84</v>
      </c>
    </row>
    <row r="101" spans="1:14" x14ac:dyDescent="0.2">
      <c r="A101" s="1">
        <v>100</v>
      </c>
      <c r="B101" t="s">
        <v>103</v>
      </c>
      <c r="C101">
        <v>77.510000000000005</v>
      </c>
      <c r="D101">
        <v>13</v>
      </c>
      <c r="E101">
        <v>17</v>
      </c>
      <c r="F101">
        <v>80.42</v>
      </c>
      <c r="G101">
        <v>1</v>
      </c>
      <c r="H101">
        <v>6</v>
      </c>
      <c r="I101">
        <v>2</v>
      </c>
      <c r="J101">
        <v>12</v>
      </c>
      <c r="K101">
        <v>77.62</v>
      </c>
      <c r="L101">
        <v>77.989999999999995</v>
      </c>
      <c r="M101">
        <v>71.81</v>
      </c>
      <c r="N101" t="s">
        <v>17</v>
      </c>
    </row>
    <row r="102" spans="1:14" x14ac:dyDescent="0.2">
      <c r="A102" s="1">
        <v>101</v>
      </c>
      <c r="B102" t="s">
        <v>104</v>
      </c>
      <c r="C102">
        <v>77.33</v>
      </c>
      <c r="D102">
        <v>13</v>
      </c>
      <c r="E102">
        <v>19</v>
      </c>
      <c r="F102">
        <v>78.81</v>
      </c>
      <c r="G102">
        <v>0</v>
      </c>
      <c r="H102">
        <v>4</v>
      </c>
      <c r="I102">
        <v>2</v>
      </c>
      <c r="J102">
        <v>8</v>
      </c>
      <c r="K102">
        <v>77.489999999999995</v>
      </c>
      <c r="L102">
        <v>77.400000000000006</v>
      </c>
      <c r="M102">
        <v>72.92</v>
      </c>
      <c r="N102" t="s">
        <v>10</v>
      </c>
    </row>
    <row r="103" spans="1:14" x14ac:dyDescent="0.2">
      <c r="A103" s="1">
        <v>102</v>
      </c>
      <c r="B103" t="s">
        <v>105</v>
      </c>
      <c r="C103">
        <v>77.19</v>
      </c>
      <c r="D103">
        <v>21</v>
      </c>
      <c r="E103">
        <v>8</v>
      </c>
      <c r="F103">
        <v>69.61</v>
      </c>
      <c r="G103">
        <v>0</v>
      </c>
      <c r="H103">
        <v>0</v>
      </c>
      <c r="I103">
        <v>1</v>
      </c>
      <c r="J103">
        <v>0</v>
      </c>
      <c r="K103">
        <v>77.08</v>
      </c>
      <c r="L103">
        <v>76.959999999999994</v>
      </c>
      <c r="M103">
        <v>78.77</v>
      </c>
      <c r="N103" t="s">
        <v>81</v>
      </c>
    </row>
    <row r="104" spans="1:14" x14ac:dyDescent="0.2">
      <c r="A104" s="1">
        <v>103</v>
      </c>
      <c r="B104" t="s">
        <v>106</v>
      </c>
      <c r="C104">
        <v>77.11</v>
      </c>
      <c r="D104">
        <v>12</v>
      </c>
      <c r="E104">
        <v>19</v>
      </c>
      <c r="F104">
        <v>81.680000000000007</v>
      </c>
      <c r="G104">
        <v>0</v>
      </c>
      <c r="H104">
        <v>6</v>
      </c>
      <c r="I104">
        <v>3</v>
      </c>
      <c r="J104">
        <v>18</v>
      </c>
      <c r="K104">
        <v>76.7</v>
      </c>
      <c r="L104">
        <v>77.89</v>
      </c>
      <c r="M104">
        <v>78.44</v>
      </c>
      <c r="N104" t="s">
        <v>12</v>
      </c>
    </row>
    <row r="105" spans="1:14" x14ac:dyDescent="0.2">
      <c r="A105" s="1">
        <v>104</v>
      </c>
      <c r="B105" t="s">
        <v>548</v>
      </c>
      <c r="C105">
        <v>77.08</v>
      </c>
      <c r="D105">
        <v>25</v>
      </c>
      <c r="E105">
        <v>8</v>
      </c>
      <c r="F105">
        <v>70.81</v>
      </c>
      <c r="G105">
        <v>0</v>
      </c>
      <c r="H105">
        <v>1</v>
      </c>
      <c r="I105">
        <v>1</v>
      </c>
      <c r="J105">
        <v>1</v>
      </c>
      <c r="K105">
        <v>77.010000000000005</v>
      </c>
      <c r="L105">
        <v>77.39</v>
      </c>
      <c r="M105">
        <v>75.05</v>
      </c>
      <c r="N105" t="s">
        <v>107</v>
      </c>
    </row>
    <row r="106" spans="1:14" x14ac:dyDescent="0.2">
      <c r="A106" s="1">
        <v>105</v>
      </c>
      <c r="B106" t="s">
        <v>108</v>
      </c>
      <c r="C106">
        <v>77.040000000000006</v>
      </c>
      <c r="D106">
        <v>25</v>
      </c>
      <c r="E106">
        <v>9</v>
      </c>
      <c r="F106">
        <v>70.83</v>
      </c>
      <c r="G106">
        <v>0</v>
      </c>
      <c r="H106">
        <v>1</v>
      </c>
      <c r="I106">
        <v>0</v>
      </c>
      <c r="J106">
        <v>3</v>
      </c>
      <c r="K106">
        <v>77.08</v>
      </c>
      <c r="L106">
        <v>76.72</v>
      </c>
      <c r="M106">
        <v>76.45</v>
      </c>
      <c r="N106" t="s">
        <v>109</v>
      </c>
    </row>
    <row r="107" spans="1:14" x14ac:dyDescent="0.2">
      <c r="A107" s="1">
        <v>106</v>
      </c>
      <c r="B107" t="s">
        <v>110</v>
      </c>
      <c r="C107">
        <v>76.92</v>
      </c>
      <c r="D107">
        <v>14</v>
      </c>
      <c r="E107">
        <v>15</v>
      </c>
      <c r="F107">
        <v>76.56</v>
      </c>
      <c r="G107">
        <v>1</v>
      </c>
      <c r="H107">
        <v>4</v>
      </c>
      <c r="I107">
        <v>1</v>
      </c>
      <c r="J107">
        <v>4</v>
      </c>
      <c r="K107">
        <v>77.09</v>
      </c>
      <c r="L107">
        <v>75.87</v>
      </c>
      <c r="M107">
        <v>78.61</v>
      </c>
      <c r="N107" t="s">
        <v>5</v>
      </c>
    </row>
    <row r="108" spans="1:14" x14ac:dyDescent="0.2">
      <c r="A108" s="1">
        <v>107</v>
      </c>
      <c r="B108" t="s">
        <v>111</v>
      </c>
      <c r="C108">
        <v>76.739999999999995</v>
      </c>
      <c r="D108">
        <v>17</v>
      </c>
      <c r="E108">
        <v>15</v>
      </c>
      <c r="F108">
        <v>77.86</v>
      </c>
      <c r="G108">
        <v>0</v>
      </c>
      <c r="H108">
        <v>4</v>
      </c>
      <c r="I108">
        <v>2</v>
      </c>
      <c r="J108">
        <v>8</v>
      </c>
      <c r="K108">
        <v>76.38</v>
      </c>
      <c r="L108">
        <v>77.14</v>
      </c>
      <c r="M108">
        <v>79.12</v>
      </c>
      <c r="N108" t="s">
        <v>7</v>
      </c>
    </row>
    <row r="109" spans="1:14" x14ac:dyDescent="0.2">
      <c r="A109" s="1">
        <v>108</v>
      </c>
      <c r="B109" t="s">
        <v>112</v>
      </c>
      <c r="C109">
        <v>76.66</v>
      </c>
      <c r="D109">
        <v>17</v>
      </c>
      <c r="E109">
        <v>12</v>
      </c>
      <c r="F109">
        <v>75.790000000000006</v>
      </c>
      <c r="G109">
        <v>0</v>
      </c>
      <c r="H109">
        <v>3</v>
      </c>
      <c r="I109">
        <v>0</v>
      </c>
      <c r="J109">
        <v>5</v>
      </c>
      <c r="K109">
        <v>76.599999999999994</v>
      </c>
      <c r="L109">
        <v>76.56</v>
      </c>
      <c r="M109">
        <v>76.56</v>
      </c>
      <c r="N109" t="s">
        <v>5</v>
      </c>
    </row>
    <row r="110" spans="1:14" x14ac:dyDescent="0.2">
      <c r="A110" s="1">
        <v>109</v>
      </c>
      <c r="B110" t="s">
        <v>113</v>
      </c>
      <c r="C110">
        <v>76.53</v>
      </c>
      <c r="D110">
        <v>11</v>
      </c>
      <c r="E110">
        <v>20</v>
      </c>
      <c r="F110">
        <v>78.290000000000006</v>
      </c>
      <c r="G110">
        <v>0</v>
      </c>
      <c r="H110">
        <v>3</v>
      </c>
      <c r="I110">
        <v>0</v>
      </c>
      <c r="J110">
        <v>11</v>
      </c>
      <c r="K110">
        <v>76.97</v>
      </c>
      <c r="L110">
        <v>75.62</v>
      </c>
      <c r="M110">
        <v>72.760000000000005</v>
      </c>
      <c r="N110" t="s">
        <v>7</v>
      </c>
    </row>
    <row r="111" spans="1:14" x14ac:dyDescent="0.2">
      <c r="A111" s="1">
        <v>110</v>
      </c>
      <c r="B111" t="s">
        <v>114</v>
      </c>
      <c r="C111">
        <v>76.430000000000007</v>
      </c>
      <c r="D111">
        <v>16</v>
      </c>
      <c r="E111">
        <v>14</v>
      </c>
      <c r="F111">
        <v>73.459999999999994</v>
      </c>
      <c r="G111">
        <v>0</v>
      </c>
      <c r="H111">
        <v>0</v>
      </c>
      <c r="I111">
        <v>1</v>
      </c>
      <c r="J111">
        <v>3</v>
      </c>
      <c r="K111">
        <v>76.819999999999993</v>
      </c>
      <c r="L111">
        <v>75.33</v>
      </c>
      <c r="M111">
        <v>74.62</v>
      </c>
      <c r="N111" t="s">
        <v>84</v>
      </c>
    </row>
    <row r="112" spans="1:14" x14ac:dyDescent="0.2">
      <c r="A112" s="1">
        <v>111</v>
      </c>
      <c r="B112" t="s">
        <v>115</v>
      </c>
      <c r="C112">
        <v>76.400000000000006</v>
      </c>
      <c r="D112">
        <v>17</v>
      </c>
      <c r="E112">
        <v>14</v>
      </c>
      <c r="F112">
        <v>75.55</v>
      </c>
      <c r="G112">
        <v>0</v>
      </c>
      <c r="H112">
        <v>2</v>
      </c>
      <c r="I112">
        <v>2</v>
      </c>
      <c r="J112">
        <v>7</v>
      </c>
      <c r="K112">
        <v>76.150000000000006</v>
      </c>
      <c r="L112">
        <v>76.58</v>
      </c>
      <c r="M112">
        <v>78.180000000000007</v>
      </c>
      <c r="N112" t="s">
        <v>56</v>
      </c>
    </row>
    <row r="113" spans="1:14" x14ac:dyDescent="0.2">
      <c r="A113" s="1">
        <v>112</v>
      </c>
      <c r="B113" t="s">
        <v>116</v>
      </c>
      <c r="C113">
        <v>76.09</v>
      </c>
      <c r="D113">
        <v>17</v>
      </c>
      <c r="E113">
        <v>11</v>
      </c>
      <c r="F113">
        <v>70.34</v>
      </c>
      <c r="G113">
        <v>0</v>
      </c>
      <c r="H113">
        <v>1</v>
      </c>
      <c r="I113">
        <v>0</v>
      </c>
      <c r="J113">
        <v>1</v>
      </c>
      <c r="K113">
        <v>76.19</v>
      </c>
      <c r="L113">
        <v>75.900000000000006</v>
      </c>
      <c r="M113">
        <v>73.69</v>
      </c>
      <c r="N113" t="s">
        <v>94</v>
      </c>
    </row>
    <row r="114" spans="1:14" x14ac:dyDescent="0.2">
      <c r="A114" s="1">
        <v>113</v>
      </c>
      <c r="B114" t="s">
        <v>117</v>
      </c>
      <c r="C114">
        <v>75.760000000000005</v>
      </c>
      <c r="D114">
        <v>11</v>
      </c>
      <c r="E114">
        <v>21</v>
      </c>
      <c r="F114">
        <v>80.8</v>
      </c>
      <c r="G114">
        <v>0</v>
      </c>
      <c r="H114">
        <v>9</v>
      </c>
      <c r="I114">
        <v>2</v>
      </c>
      <c r="J114">
        <v>13</v>
      </c>
      <c r="K114">
        <v>75.62</v>
      </c>
      <c r="L114">
        <v>76.209999999999994</v>
      </c>
      <c r="M114">
        <v>73.83</v>
      </c>
      <c r="N114" t="s">
        <v>14</v>
      </c>
    </row>
    <row r="115" spans="1:14" x14ac:dyDescent="0.2">
      <c r="A115" s="1">
        <v>114</v>
      </c>
      <c r="B115" t="s">
        <v>870</v>
      </c>
      <c r="C115">
        <v>75.709999999999994</v>
      </c>
      <c r="D115">
        <v>11</v>
      </c>
      <c r="E115">
        <v>21</v>
      </c>
      <c r="F115">
        <v>78.48</v>
      </c>
      <c r="G115">
        <v>1</v>
      </c>
      <c r="H115">
        <v>5</v>
      </c>
      <c r="I115">
        <v>1</v>
      </c>
      <c r="J115">
        <v>10</v>
      </c>
      <c r="K115">
        <v>75.88</v>
      </c>
      <c r="L115">
        <v>75.87</v>
      </c>
      <c r="M115">
        <v>70.42</v>
      </c>
      <c r="N115" t="s">
        <v>10</v>
      </c>
    </row>
    <row r="116" spans="1:14" x14ac:dyDescent="0.2">
      <c r="A116" s="1">
        <v>115</v>
      </c>
      <c r="B116" t="s">
        <v>118</v>
      </c>
      <c r="C116">
        <v>75.650000000000006</v>
      </c>
      <c r="D116">
        <v>14</v>
      </c>
      <c r="E116">
        <v>16</v>
      </c>
      <c r="F116">
        <v>74.27</v>
      </c>
      <c r="G116">
        <v>0</v>
      </c>
      <c r="H116">
        <v>1</v>
      </c>
      <c r="I116">
        <v>0</v>
      </c>
      <c r="J116">
        <v>1</v>
      </c>
      <c r="K116">
        <v>76.13</v>
      </c>
      <c r="L116">
        <v>74.7</v>
      </c>
      <c r="M116">
        <v>71.459999999999994</v>
      </c>
      <c r="N116" t="s">
        <v>63</v>
      </c>
    </row>
    <row r="117" spans="1:14" x14ac:dyDescent="0.2">
      <c r="A117" s="1">
        <v>116</v>
      </c>
      <c r="B117" t="s">
        <v>119</v>
      </c>
      <c r="C117">
        <v>75.63</v>
      </c>
      <c r="D117">
        <v>12</v>
      </c>
      <c r="E117">
        <v>18</v>
      </c>
      <c r="F117">
        <v>77.12</v>
      </c>
      <c r="G117">
        <v>0</v>
      </c>
      <c r="H117">
        <v>1</v>
      </c>
      <c r="I117">
        <v>0</v>
      </c>
      <c r="J117">
        <v>9</v>
      </c>
      <c r="K117">
        <v>75.459999999999994</v>
      </c>
      <c r="L117">
        <v>75.66</v>
      </c>
      <c r="M117">
        <v>76.69</v>
      </c>
      <c r="N117" t="s">
        <v>56</v>
      </c>
    </row>
    <row r="118" spans="1:14" x14ac:dyDescent="0.2">
      <c r="A118" s="1">
        <v>117</v>
      </c>
      <c r="B118" t="s">
        <v>120</v>
      </c>
      <c r="C118">
        <v>75.53</v>
      </c>
      <c r="D118">
        <v>10</v>
      </c>
      <c r="E118">
        <v>22</v>
      </c>
      <c r="F118">
        <v>80.180000000000007</v>
      </c>
      <c r="G118">
        <v>1</v>
      </c>
      <c r="H118">
        <v>8</v>
      </c>
      <c r="I118">
        <v>2</v>
      </c>
      <c r="J118">
        <v>13</v>
      </c>
      <c r="K118">
        <v>75.2</v>
      </c>
      <c r="L118">
        <v>75.61</v>
      </c>
      <c r="M118">
        <v>79.97</v>
      </c>
      <c r="N118" t="s">
        <v>17</v>
      </c>
    </row>
    <row r="119" spans="1:14" x14ac:dyDescent="0.2">
      <c r="A119" s="1">
        <v>118</v>
      </c>
      <c r="B119" t="s">
        <v>121</v>
      </c>
      <c r="C119">
        <v>75.22</v>
      </c>
      <c r="D119">
        <v>17</v>
      </c>
      <c r="E119">
        <v>13</v>
      </c>
      <c r="F119">
        <v>72.05</v>
      </c>
      <c r="G119">
        <v>0</v>
      </c>
      <c r="H119">
        <v>2</v>
      </c>
      <c r="I119">
        <v>0</v>
      </c>
      <c r="J119">
        <v>2</v>
      </c>
      <c r="K119">
        <v>74.94</v>
      </c>
      <c r="L119">
        <v>75.52</v>
      </c>
      <c r="M119">
        <v>76.69</v>
      </c>
      <c r="N119" t="s">
        <v>67</v>
      </c>
    </row>
    <row r="120" spans="1:14" x14ac:dyDescent="0.2">
      <c r="A120" s="1">
        <v>119</v>
      </c>
      <c r="B120" t="s">
        <v>122</v>
      </c>
      <c r="C120">
        <v>75.180000000000007</v>
      </c>
      <c r="D120">
        <v>13</v>
      </c>
      <c r="E120">
        <v>20</v>
      </c>
      <c r="F120">
        <v>77.59</v>
      </c>
      <c r="G120">
        <v>1</v>
      </c>
      <c r="H120">
        <v>3</v>
      </c>
      <c r="I120">
        <v>3</v>
      </c>
      <c r="J120">
        <v>5</v>
      </c>
      <c r="K120">
        <v>75.150000000000006</v>
      </c>
      <c r="L120">
        <v>74.760000000000005</v>
      </c>
      <c r="M120">
        <v>76.59</v>
      </c>
      <c r="N120" t="s">
        <v>10</v>
      </c>
    </row>
    <row r="121" spans="1:14" x14ac:dyDescent="0.2">
      <c r="A121" s="1">
        <v>120</v>
      </c>
      <c r="B121" t="s">
        <v>123</v>
      </c>
      <c r="C121">
        <v>75.150000000000006</v>
      </c>
      <c r="D121">
        <v>17</v>
      </c>
      <c r="E121">
        <v>13</v>
      </c>
      <c r="F121">
        <v>71.91</v>
      </c>
      <c r="G121">
        <v>0</v>
      </c>
      <c r="H121">
        <v>0</v>
      </c>
      <c r="I121">
        <v>0</v>
      </c>
      <c r="J121">
        <v>0</v>
      </c>
      <c r="K121">
        <v>75.209999999999994</v>
      </c>
      <c r="L121">
        <v>74.69</v>
      </c>
      <c r="M121">
        <v>74.989999999999995</v>
      </c>
      <c r="N121" t="s">
        <v>86</v>
      </c>
    </row>
    <row r="122" spans="1:14" x14ac:dyDescent="0.2">
      <c r="A122" s="1">
        <v>121</v>
      </c>
      <c r="B122" t="s">
        <v>124</v>
      </c>
      <c r="C122">
        <v>75.14</v>
      </c>
      <c r="D122">
        <v>21</v>
      </c>
      <c r="E122">
        <v>7</v>
      </c>
      <c r="F122">
        <v>69.95</v>
      </c>
      <c r="G122">
        <v>0</v>
      </c>
      <c r="H122">
        <v>0</v>
      </c>
      <c r="I122">
        <v>0</v>
      </c>
      <c r="J122">
        <v>0</v>
      </c>
      <c r="K122">
        <v>74.72</v>
      </c>
      <c r="L122">
        <v>75.87</v>
      </c>
      <c r="M122">
        <v>76.64</v>
      </c>
      <c r="N122" t="s">
        <v>125</v>
      </c>
    </row>
    <row r="123" spans="1:14" x14ac:dyDescent="0.2">
      <c r="A123" s="1">
        <v>122</v>
      </c>
      <c r="B123" t="s">
        <v>126</v>
      </c>
      <c r="C123">
        <v>75.010000000000005</v>
      </c>
      <c r="D123">
        <v>24</v>
      </c>
      <c r="E123">
        <v>10</v>
      </c>
      <c r="F123">
        <v>68.75</v>
      </c>
      <c r="G123">
        <v>0</v>
      </c>
      <c r="H123">
        <v>2</v>
      </c>
      <c r="I123">
        <v>0</v>
      </c>
      <c r="J123">
        <v>2</v>
      </c>
      <c r="K123">
        <v>74.81</v>
      </c>
      <c r="L123">
        <v>75.900000000000006</v>
      </c>
      <c r="M123">
        <v>71.67</v>
      </c>
      <c r="N123" t="s">
        <v>94</v>
      </c>
    </row>
    <row r="124" spans="1:14" x14ac:dyDescent="0.2">
      <c r="A124" s="1">
        <v>123</v>
      </c>
      <c r="B124" t="s">
        <v>127</v>
      </c>
      <c r="C124">
        <v>74.98</v>
      </c>
      <c r="D124">
        <v>21</v>
      </c>
      <c r="E124">
        <v>12</v>
      </c>
      <c r="F124">
        <v>71.34</v>
      </c>
      <c r="G124">
        <v>2</v>
      </c>
      <c r="H124">
        <v>1</v>
      </c>
      <c r="I124">
        <v>2</v>
      </c>
      <c r="J124">
        <v>3</v>
      </c>
      <c r="K124">
        <v>74.63</v>
      </c>
      <c r="L124">
        <v>74.55</v>
      </c>
      <c r="M124">
        <v>85.62</v>
      </c>
      <c r="N124" t="s">
        <v>107</v>
      </c>
    </row>
    <row r="125" spans="1:14" x14ac:dyDescent="0.2">
      <c r="A125" s="1">
        <v>124</v>
      </c>
      <c r="B125" t="s">
        <v>128</v>
      </c>
      <c r="C125">
        <v>74.89</v>
      </c>
      <c r="D125">
        <v>24</v>
      </c>
      <c r="E125">
        <v>11</v>
      </c>
      <c r="F125">
        <v>71.39</v>
      </c>
      <c r="G125">
        <v>0</v>
      </c>
      <c r="H125">
        <v>0</v>
      </c>
      <c r="I125">
        <v>0</v>
      </c>
      <c r="J125">
        <v>0</v>
      </c>
      <c r="K125">
        <v>74.569999999999993</v>
      </c>
      <c r="L125">
        <v>74.849999999999994</v>
      </c>
      <c r="M125">
        <v>79.58</v>
      </c>
      <c r="N125" t="s">
        <v>67</v>
      </c>
    </row>
    <row r="126" spans="1:14" x14ac:dyDescent="0.2">
      <c r="A126" s="1">
        <v>125</v>
      </c>
      <c r="B126" t="s">
        <v>129</v>
      </c>
      <c r="C126">
        <v>74.87</v>
      </c>
      <c r="D126">
        <v>14</v>
      </c>
      <c r="E126">
        <v>16</v>
      </c>
      <c r="F126">
        <v>73.53</v>
      </c>
      <c r="G126">
        <v>0</v>
      </c>
      <c r="H126">
        <v>0</v>
      </c>
      <c r="I126">
        <v>0</v>
      </c>
      <c r="J126">
        <v>1</v>
      </c>
      <c r="K126">
        <v>75.19</v>
      </c>
      <c r="L126">
        <v>74.62</v>
      </c>
      <c r="M126">
        <v>69.290000000000006</v>
      </c>
      <c r="N126" t="s">
        <v>63</v>
      </c>
    </row>
    <row r="127" spans="1:14" x14ac:dyDescent="0.2">
      <c r="A127" s="1">
        <v>126</v>
      </c>
      <c r="B127" t="s">
        <v>130</v>
      </c>
      <c r="C127">
        <v>74.84</v>
      </c>
      <c r="D127">
        <v>11</v>
      </c>
      <c r="E127">
        <v>20</v>
      </c>
      <c r="F127">
        <v>78.25</v>
      </c>
      <c r="G127">
        <v>0</v>
      </c>
      <c r="H127">
        <v>6</v>
      </c>
      <c r="I127">
        <v>0</v>
      </c>
      <c r="J127">
        <v>11</v>
      </c>
      <c r="K127">
        <v>74.86</v>
      </c>
      <c r="L127">
        <v>75.12</v>
      </c>
      <c r="M127">
        <v>71.180000000000007</v>
      </c>
      <c r="N127" t="s">
        <v>10</v>
      </c>
    </row>
    <row r="128" spans="1:14" x14ac:dyDescent="0.2">
      <c r="A128" s="1">
        <v>127</v>
      </c>
      <c r="B128" t="s">
        <v>131</v>
      </c>
      <c r="C128">
        <v>74.78</v>
      </c>
      <c r="D128">
        <v>12</v>
      </c>
      <c r="E128">
        <v>20</v>
      </c>
      <c r="F128">
        <v>78.25</v>
      </c>
      <c r="G128">
        <v>0</v>
      </c>
      <c r="H128">
        <v>4</v>
      </c>
      <c r="I128">
        <v>1</v>
      </c>
      <c r="J128">
        <v>10</v>
      </c>
      <c r="K128">
        <v>74.78</v>
      </c>
      <c r="L128">
        <v>74.55</v>
      </c>
      <c r="M128">
        <v>74.33</v>
      </c>
      <c r="N128" t="s">
        <v>7</v>
      </c>
    </row>
    <row r="129" spans="1:14" x14ac:dyDescent="0.2">
      <c r="A129" s="1">
        <v>128</v>
      </c>
      <c r="B129" t="s">
        <v>132</v>
      </c>
      <c r="C129">
        <v>74.680000000000007</v>
      </c>
      <c r="D129">
        <v>21</v>
      </c>
      <c r="E129">
        <v>11</v>
      </c>
      <c r="F129">
        <v>70.260000000000005</v>
      </c>
      <c r="G129">
        <v>0</v>
      </c>
      <c r="H129">
        <v>0</v>
      </c>
      <c r="I129">
        <v>0</v>
      </c>
      <c r="J129">
        <v>1</v>
      </c>
      <c r="K129">
        <v>74.459999999999994</v>
      </c>
      <c r="L129">
        <v>74.709999999999994</v>
      </c>
      <c r="M129">
        <v>76.75</v>
      </c>
      <c r="N129" t="s">
        <v>81</v>
      </c>
    </row>
    <row r="130" spans="1:14" x14ac:dyDescent="0.2">
      <c r="A130" s="1">
        <v>129</v>
      </c>
      <c r="B130" t="s">
        <v>133</v>
      </c>
      <c r="C130">
        <v>74.680000000000007</v>
      </c>
      <c r="D130">
        <v>22</v>
      </c>
      <c r="E130">
        <v>10</v>
      </c>
      <c r="F130">
        <v>69.260000000000005</v>
      </c>
      <c r="G130">
        <v>0</v>
      </c>
      <c r="H130">
        <v>2</v>
      </c>
      <c r="I130">
        <v>0</v>
      </c>
      <c r="J130">
        <v>2</v>
      </c>
      <c r="K130">
        <v>74.13</v>
      </c>
      <c r="L130">
        <v>75.03</v>
      </c>
      <c r="M130">
        <v>82.67</v>
      </c>
      <c r="N130" t="s">
        <v>94</v>
      </c>
    </row>
    <row r="131" spans="1:14" x14ac:dyDescent="0.2">
      <c r="A131" s="1">
        <v>130</v>
      </c>
      <c r="B131" t="s">
        <v>134</v>
      </c>
      <c r="C131">
        <v>74.44</v>
      </c>
      <c r="D131">
        <v>13</v>
      </c>
      <c r="E131">
        <v>10</v>
      </c>
      <c r="F131">
        <v>71.89</v>
      </c>
      <c r="G131">
        <v>0</v>
      </c>
      <c r="H131">
        <v>0</v>
      </c>
      <c r="I131">
        <v>1</v>
      </c>
      <c r="J131">
        <v>1</v>
      </c>
      <c r="K131">
        <v>74.67</v>
      </c>
      <c r="L131">
        <v>74.09</v>
      </c>
      <c r="M131">
        <v>70.790000000000006</v>
      </c>
      <c r="N131" t="s">
        <v>135</v>
      </c>
    </row>
    <row r="132" spans="1:14" x14ac:dyDescent="0.2">
      <c r="A132" s="1">
        <v>131</v>
      </c>
      <c r="B132" t="s">
        <v>136</v>
      </c>
      <c r="C132">
        <v>74.400000000000006</v>
      </c>
      <c r="D132">
        <v>15</v>
      </c>
      <c r="E132">
        <v>15</v>
      </c>
      <c r="F132">
        <v>72.88</v>
      </c>
      <c r="G132">
        <v>0</v>
      </c>
      <c r="H132">
        <v>0</v>
      </c>
      <c r="I132">
        <v>0</v>
      </c>
      <c r="J132">
        <v>4</v>
      </c>
      <c r="K132">
        <v>74.52</v>
      </c>
      <c r="L132">
        <v>73.67</v>
      </c>
      <c r="M132">
        <v>75</v>
      </c>
      <c r="N132" t="s">
        <v>84</v>
      </c>
    </row>
    <row r="133" spans="1:14" x14ac:dyDescent="0.2">
      <c r="A133" s="1">
        <v>132</v>
      </c>
      <c r="B133" t="s">
        <v>137</v>
      </c>
      <c r="C133">
        <v>74.400000000000006</v>
      </c>
      <c r="D133">
        <v>19</v>
      </c>
      <c r="E133">
        <v>11</v>
      </c>
      <c r="F133">
        <v>68.44</v>
      </c>
      <c r="G133">
        <v>0</v>
      </c>
      <c r="H133">
        <v>1</v>
      </c>
      <c r="I133">
        <v>0</v>
      </c>
      <c r="J133">
        <v>2</v>
      </c>
      <c r="K133">
        <v>74.56</v>
      </c>
      <c r="L133">
        <v>74.14</v>
      </c>
      <c r="M133">
        <v>71.41</v>
      </c>
      <c r="N133" t="s">
        <v>138</v>
      </c>
    </row>
    <row r="134" spans="1:14" x14ac:dyDescent="0.2">
      <c r="A134" s="1">
        <v>133</v>
      </c>
      <c r="B134" t="s">
        <v>139</v>
      </c>
      <c r="C134">
        <v>74.39</v>
      </c>
      <c r="D134">
        <v>18</v>
      </c>
      <c r="E134">
        <v>10</v>
      </c>
      <c r="F134">
        <v>70.69</v>
      </c>
      <c r="G134">
        <v>0</v>
      </c>
      <c r="H134">
        <v>1</v>
      </c>
      <c r="I134">
        <v>0</v>
      </c>
      <c r="J134">
        <v>1</v>
      </c>
      <c r="K134">
        <v>74.41</v>
      </c>
      <c r="L134">
        <v>74.319999999999993</v>
      </c>
      <c r="M134">
        <v>72.489999999999995</v>
      </c>
      <c r="N134" t="s">
        <v>81</v>
      </c>
    </row>
    <row r="135" spans="1:14" x14ac:dyDescent="0.2">
      <c r="A135" s="1">
        <v>134</v>
      </c>
      <c r="B135" t="s">
        <v>140</v>
      </c>
      <c r="C135">
        <v>74.38</v>
      </c>
      <c r="D135">
        <v>22</v>
      </c>
      <c r="E135">
        <v>12</v>
      </c>
      <c r="F135">
        <v>67.37</v>
      </c>
      <c r="G135">
        <v>0</v>
      </c>
      <c r="H135">
        <v>0</v>
      </c>
      <c r="I135">
        <v>0</v>
      </c>
      <c r="J135">
        <v>2</v>
      </c>
      <c r="K135">
        <v>74.239999999999995</v>
      </c>
      <c r="L135">
        <v>73.95</v>
      </c>
      <c r="M135">
        <v>78.010000000000005</v>
      </c>
      <c r="N135" t="s">
        <v>141</v>
      </c>
    </row>
    <row r="136" spans="1:14" x14ac:dyDescent="0.2">
      <c r="A136" s="1">
        <v>135</v>
      </c>
      <c r="B136" t="s">
        <v>142</v>
      </c>
      <c r="C136">
        <v>74.27</v>
      </c>
      <c r="D136">
        <v>19</v>
      </c>
      <c r="E136">
        <v>11</v>
      </c>
      <c r="F136">
        <v>72.27</v>
      </c>
      <c r="G136">
        <v>1</v>
      </c>
      <c r="H136">
        <v>1</v>
      </c>
      <c r="I136">
        <v>1</v>
      </c>
      <c r="J136">
        <v>1</v>
      </c>
      <c r="K136">
        <v>74.3</v>
      </c>
      <c r="L136">
        <v>74.42</v>
      </c>
      <c r="M136">
        <v>70.959999999999994</v>
      </c>
      <c r="N136" t="s">
        <v>109</v>
      </c>
    </row>
    <row r="137" spans="1:14" x14ac:dyDescent="0.2">
      <c r="A137" s="1">
        <v>136</v>
      </c>
      <c r="B137" t="s">
        <v>143</v>
      </c>
      <c r="C137">
        <v>74.25</v>
      </c>
      <c r="D137">
        <v>15</v>
      </c>
      <c r="E137">
        <v>11</v>
      </c>
      <c r="F137">
        <v>68.37</v>
      </c>
      <c r="G137">
        <v>0</v>
      </c>
      <c r="H137">
        <v>1</v>
      </c>
      <c r="I137">
        <v>0</v>
      </c>
      <c r="J137">
        <v>2</v>
      </c>
      <c r="K137">
        <v>74.22</v>
      </c>
      <c r="L137">
        <v>73.83</v>
      </c>
      <c r="M137">
        <v>75.67</v>
      </c>
      <c r="N137" t="s">
        <v>135</v>
      </c>
    </row>
    <row r="138" spans="1:14" x14ac:dyDescent="0.2">
      <c r="A138" s="1">
        <v>137</v>
      </c>
      <c r="B138" t="s">
        <v>144</v>
      </c>
      <c r="C138">
        <v>73.930000000000007</v>
      </c>
      <c r="D138">
        <v>18</v>
      </c>
      <c r="E138">
        <v>12</v>
      </c>
      <c r="F138">
        <v>71.400000000000006</v>
      </c>
      <c r="G138">
        <v>0</v>
      </c>
      <c r="H138">
        <v>3</v>
      </c>
      <c r="I138">
        <v>0</v>
      </c>
      <c r="J138">
        <v>4</v>
      </c>
      <c r="K138">
        <v>73.430000000000007</v>
      </c>
      <c r="L138">
        <v>74.94</v>
      </c>
      <c r="M138">
        <v>75.19</v>
      </c>
      <c r="N138" t="s">
        <v>125</v>
      </c>
    </row>
    <row r="139" spans="1:14" x14ac:dyDescent="0.2">
      <c r="A139" s="1">
        <v>138</v>
      </c>
      <c r="B139" t="s">
        <v>803</v>
      </c>
      <c r="C139">
        <v>73.77</v>
      </c>
      <c r="D139">
        <v>21</v>
      </c>
      <c r="E139">
        <v>11</v>
      </c>
      <c r="F139">
        <v>70.41</v>
      </c>
      <c r="G139">
        <v>0</v>
      </c>
      <c r="H139">
        <v>0</v>
      </c>
      <c r="I139">
        <v>0</v>
      </c>
      <c r="J139">
        <v>1</v>
      </c>
      <c r="K139">
        <v>73.239999999999995</v>
      </c>
      <c r="L139">
        <v>74.58</v>
      </c>
      <c r="M139">
        <v>76.95</v>
      </c>
      <c r="N139" t="s">
        <v>94</v>
      </c>
    </row>
    <row r="140" spans="1:14" x14ac:dyDescent="0.2">
      <c r="A140" s="1">
        <v>139</v>
      </c>
      <c r="B140" t="s">
        <v>808</v>
      </c>
      <c r="C140">
        <v>73.69</v>
      </c>
      <c r="D140">
        <v>15</v>
      </c>
      <c r="E140">
        <v>11</v>
      </c>
      <c r="F140">
        <v>71.459999999999994</v>
      </c>
      <c r="G140">
        <v>0</v>
      </c>
      <c r="H140">
        <v>1</v>
      </c>
      <c r="I140">
        <v>0</v>
      </c>
      <c r="J140">
        <v>2</v>
      </c>
      <c r="K140">
        <v>73.31</v>
      </c>
      <c r="L140">
        <v>73.63</v>
      </c>
      <c r="M140">
        <v>80.05</v>
      </c>
      <c r="N140" t="s">
        <v>145</v>
      </c>
    </row>
    <row r="141" spans="1:14" x14ac:dyDescent="0.2">
      <c r="A141" s="1">
        <v>140</v>
      </c>
      <c r="B141" t="s">
        <v>820</v>
      </c>
      <c r="C141">
        <v>73.67</v>
      </c>
      <c r="D141">
        <v>20</v>
      </c>
      <c r="E141">
        <v>11</v>
      </c>
      <c r="F141">
        <v>69.13</v>
      </c>
      <c r="G141">
        <v>0</v>
      </c>
      <c r="H141">
        <v>1</v>
      </c>
      <c r="I141">
        <v>0</v>
      </c>
      <c r="J141">
        <v>3</v>
      </c>
      <c r="K141">
        <v>73.55</v>
      </c>
      <c r="L141">
        <v>73.739999999999995</v>
      </c>
      <c r="M141">
        <v>73.62</v>
      </c>
      <c r="N141" t="s">
        <v>77</v>
      </c>
    </row>
    <row r="142" spans="1:14" x14ac:dyDescent="0.2">
      <c r="A142" s="1">
        <v>141</v>
      </c>
      <c r="B142" t="s">
        <v>146</v>
      </c>
      <c r="C142">
        <v>73.59</v>
      </c>
      <c r="D142">
        <v>18</v>
      </c>
      <c r="E142">
        <v>12</v>
      </c>
      <c r="F142">
        <v>71.11</v>
      </c>
      <c r="G142">
        <v>0</v>
      </c>
      <c r="H142">
        <v>0</v>
      </c>
      <c r="I142">
        <v>1</v>
      </c>
      <c r="J142">
        <v>1</v>
      </c>
      <c r="K142">
        <v>73.42</v>
      </c>
      <c r="L142">
        <v>73.900000000000006</v>
      </c>
      <c r="M142">
        <v>72.87</v>
      </c>
      <c r="N142" t="s">
        <v>81</v>
      </c>
    </row>
    <row r="143" spans="1:14" x14ac:dyDescent="0.2">
      <c r="A143" s="1">
        <v>142</v>
      </c>
      <c r="B143" t="s">
        <v>147</v>
      </c>
      <c r="C143">
        <v>73.58</v>
      </c>
      <c r="D143">
        <v>6</v>
      </c>
      <c r="E143">
        <v>25</v>
      </c>
      <c r="F143">
        <v>79.790000000000006</v>
      </c>
      <c r="G143">
        <v>0</v>
      </c>
      <c r="H143">
        <v>4</v>
      </c>
      <c r="I143">
        <v>0</v>
      </c>
      <c r="J143">
        <v>16</v>
      </c>
      <c r="K143">
        <v>74.180000000000007</v>
      </c>
      <c r="L143">
        <v>72.59</v>
      </c>
      <c r="M143">
        <v>66.83</v>
      </c>
      <c r="N143" t="s">
        <v>12</v>
      </c>
    </row>
    <row r="144" spans="1:14" x14ac:dyDescent="0.2">
      <c r="A144" s="1">
        <v>143</v>
      </c>
      <c r="B144" t="s">
        <v>148</v>
      </c>
      <c r="C144">
        <v>73.5</v>
      </c>
      <c r="D144">
        <v>16</v>
      </c>
      <c r="E144">
        <v>15</v>
      </c>
      <c r="F144">
        <v>70.41</v>
      </c>
      <c r="G144">
        <v>0</v>
      </c>
      <c r="H144">
        <v>0</v>
      </c>
      <c r="I144">
        <v>0</v>
      </c>
      <c r="J144">
        <v>0</v>
      </c>
      <c r="K144">
        <v>73.75</v>
      </c>
      <c r="L144">
        <v>72.66</v>
      </c>
      <c r="M144">
        <v>72.260000000000005</v>
      </c>
      <c r="N144" t="s">
        <v>67</v>
      </c>
    </row>
    <row r="145" spans="1:14" x14ac:dyDescent="0.2">
      <c r="A145" s="1">
        <v>144</v>
      </c>
      <c r="B145" t="s">
        <v>861</v>
      </c>
      <c r="C145">
        <v>73.400000000000006</v>
      </c>
      <c r="D145">
        <v>18</v>
      </c>
      <c r="E145">
        <v>8</v>
      </c>
      <c r="F145">
        <v>69.680000000000007</v>
      </c>
      <c r="G145">
        <v>0</v>
      </c>
      <c r="H145">
        <v>2</v>
      </c>
      <c r="I145">
        <v>0</v>
      </c>
      <c r="J145">
        <v>2</v>
      </c>
      <c r="K145">
        <v>73.06</v>
      </c>
      <c r="L145">
        <v>73.77</v>
      </c>
      <c r="M145">
        <v>75.55</v>
      </c>
      <c r="N145" t="s">
        <v>145</v>
      </c>
    </row>
    <row r="146" spans="1:14" x14ac:dyDescent="0.2">
      <c r="A146" s="1">
        <v>145</v>
      </c>
      <c r="B146" t="s">
        <v>149</v>
      </c>
      <c r="C146">
        <v>73.239999999999995</v>
      </c>
      <c r="D146">
        <v>11</v>
      </c>
      <c r="E146">
        <v>20</v>
      </c>
      <c r="F146">
        <v>75.599999999999994</v>
      </c>
      <c r="G146">
        <v>0</v>
      </c>
      <c r="H146">
        <v>3</v>
      </c>
      <c r="I146">
        <v>0</v>
      </c>
      <c r="J146">
        <v>4</v>
      </c>
      <c r="K146">
        <v>73.290000000000006</v>
      </c>
      <c r="L146">
        <v>72.8</v>
      </c>
      <c r="M146">
        <v>73.040000000000006</v>
      </c>
      <c r="N146" t="s">
        <v>5</v>
      </c>
    </row>
    <row r="147" spans="1:14" x14ac:dyDescent="0.2">
      <c r="A147" s="1">
        <v>146</v>
      </c>
      <c r="B147" t="s">
        <v>150</v>
      </c>
      <c r="C147">
        <v>73.13</v>
      </c>
      <c r="D147">
        <v>21</v>
      </c>
      <c r="E147">
        <v>13</v>
      </c>
      <c r="F147">
        <v>70.989999999999995</v>
      </c>
      <c r="G147">
        <v>0</v>
      </c>
      <c r="H147">
        <v>1</v>
      </c>
      <c r="I147">
        <v>0</v>
      </c>
      <c r="J147">
        <v>1</v>
      </c>
      <c r="K147">
        <v>72.55</v>
      </c>
      <c r="L147">
        <v>73.709999999999994</v>
      </c>
      <c r="M147">
        <v>79.099999999999994</v>
      </c>
      <c r="N147" t="s">
        <v>109</v>
      </c>
    </row>
    <row r="148" spans="1:14" x14ac:dyDescent="0.2">
      <c r="A148" s="1">
        <v>147</v>
      </c>
      <c r="B148" t="s">
        <v>823</v>
      </c>
      <c r="C148">
        <v>73.11</v>
      </c>
      <c r="D148">
        <v>25</v>
      </c>
      <c r="E148">
        <v>8</v>
      </c>
      <c r="F148">
        <v>67.8</v>
      </c>
      <c r="G148">
        <v>0</v>
      </c>
      <c r="H148">
        <v>1</v>
      </c>
      <c r="I148">
        <v>0</v>
      </c>
      <c r="J148">
        <v>1</v>
      </c>
      <c r="K148">
        <v>72.349999999999994</v>
      </c>
      <c r="L148">
        <v>74.25</v>
      </c>
      <c r="M148">
        <v>78.97</v>
      </c>
      <c r="N148" t="s">
        <v>151</v>
      </c>
    </row>
    <row r="149" spans="1:14" x14ac:dyDescent="0.2">
      <c r="A149" s="1">
        <v>148</v>
      </c>
      <c r="B149" t="s">
        <v>152</v>
      </c>
      <c r="C149">
        <v>72.97</v>
      </c>
      <c r="D149">
        <v>21</v>
      </c>
      <c r="E149">
        <v>9</v>
      </c>
      <c r="F149">
        <v>67.709999999999994</v>
      </c>
      <c r="G149">
        <v>0</v>
      </c>
      <c r="H149">
        <v>0</v>
      </c>
      <c r="I149">
        <v>0</v>
      </c>
      <c r="J149">
        <v>1</v>
      </c>
      <c r="K149">
        <v>72.760000000000005</v>
      </c>
      <c r="L149">
        <v>73.12</v>
      </c>
      <c r="M149">
        <v>73.87</v>
      </c>
      <c r="N149" t="s">
        <v>81</v>
      </c>
    </row>
    <row r="150" spans="1:14" x14ac:dyDescent="0.2">
      <c r="A150" s="1">
        <v>149</v>
      </c>
      <c r="B150" t="s">
        <v>153</v>
      </c>
      <c r="C150">
        <v>72.87</v>
      </c>
      <c r="D150">
        <v>11</v>
      </c>
      <c r="E150">
        <v>21</v>
      </c>
      <c r="F150">
        <v>78.27</v>
      </c>
      <c r="G150">
        <v>1</v>
      </c>
      <c r="H150">
        <v>3</v>
      </c>
      <c r="I150">
        <v>2</v>
      </c>
      <c r="J150">
        <v>6</v>
      </c>
      <c r="K150">
        <v>72.8</v>
      </c>
      <c r="L150">
        <v>73.31</v>
      </c>
      <c r="M150">
        <v>69.709999999999994</v>
      </c>
      <c r="N150" t="s">
        <v>10</v>
      </c>
    </row>
    <row r="151" spans="1:14" x14ac:dyDescent="0.2">
      <c r="A151" s="1">
        <v>150</v>
      </c>
      <c r="B151" t="s">
        <v>154</v>
      </c>
      <c r="C151">
        <v>72.81</v>
      </c>
      <c r="D151">
        <v>25</v>
      </c>
      <c r="E151">
        <v>9</v>
      </c>
      <c r="F151">
        <v>70.31</v>
      </c>
      <c r="G151">
        <v>0</v>
      </c>
      <c r="H151">
        <v>0</v>
      </c>
      <c r="I151">
        <v>0</v>
      </c>
      <c r="J151">
        <v>0</v>
      </c>
      <c r="K151">
        <v>72.25</v>
      </c>
      <c r="L151">
        <v>72.95</v>
      </c>
      <c r="M151">
        <v>82.37</v>
      </c>
      <c r="N151" t="s">
        <v>109</v>
      </c>
    </row>
    <row r="152" spans="1:14" x14ac:dyDescent="0.2">
      <c r="A152" s="1">
        <v>151</v>
      </c>
      <c r="B152" t="s">
        <v>829</v>
      </c>
      <c r="C152">
        <v>72.72</v>
      </c>
      <c r="D152">
        <v>19</v>
      </c>
      <c r="E152">
        <v>11</v>
      </c>
      <c r="F152">
        <v>68.58</v>
      </c>
      <c r="G152">
        <v>0</v>
      </c>
      <c r="H152">
        <v>1</v>
      </c>
      <c r="I152">
        <v>0</v>
      </c>
      <c r="J152">
        <v>2</v>
      </c>
      <c r="K152">
        <v>72.790000000000006</v>
      </c>
      <c r="L152">
        <v>72.25</v>
      </c>
      <c r="M152">
        <v>72.48</v>
      </c>
      <c r="N152" t="s">
        <v>138</v>
      </c>
    </row>
    <row r="153" spans="1:14" x14ac:dyDescent="0.2">
      <c r="A153" s="1">
        <v>152</v>
      </c>
      <c r="B153" t="s">
        <v>155</v>
      </c>
      <c r="C153">
        <v>72.680000000000007</v>
      </c>
      <c r="D153">
        <v>20</v>
      </c>
      <c r="E153">
        <v>9</v>
      </c>
      <c r="F153">
        <v>69.239999999999995</v>
      </c>
      <c r="G153">
        <v>0</v>
      </c>
      <c r="H153">
        <v>0</v>
      </c>
      <c r="I153">
        <v>0</v>
      </c>
      <c r="J153">
        <v>2</v>
      </c>
      <c r="K153">
        <v>72.08</v>
      </c>
      <c r="L153">
        <v>73.91</v>
      </c>
      <c r="M153">
        <v>74.459999999999994</v>
      </c>
      <c r="N153" t="s">
        <v>156</v>
      </c>
    </row>
    <row r="154" spans="1:14" x14ac:dyDescent="0.2">
      <c r="A154" s="1">
        <v>153</v>
      </c>
      <c r="B154" t="s">
        <v>862</v>
      </c>
      <c r="C154">
        <v>72.680000000000007</v>
      </c>
      <c r="D154">
        <v>21</v>
      </c>
      <c r="E154">
        <v>10</v>
      </c>
      <c r="F154">
        <v>67.739999999999995</v>
      </c>
      <c r="G154">
        <v>0</v>
      </c>
      <c r="H154">
        <v>1</v>
      </c>
      <c r="I154">
        <v>0</v>
      </c>
      <c r="J154">
        <v>2</v>
      </c>
      <c r="K154">
        <v>72.23</v>
      </c>
      <c r="L154">
        <v>73.31</v>
      </c>
      <c r="M154">
        <v>75.38</v>
      </c>
      <c r="N154" t="s">
        <v>82</v>
      </c>
    </row>
    <row r="155" spans="1:14" x14ac:dyDescent="0.2">
      <c r="A155" s="1">
        <v>154</v>
      </c>
      <c r="B155" t="s">
        <v>157</v>
      </c>
      <c r="C155">
        <v>72.680000000000007</v>
      </c>
      <c r="D155">
        <v>17</v>
      </c>
      <c r="E155">
        <v>15</v>
      </c>
      <c r="F155">
        <v>71.53</v>
      </c>
      <c r="G155">
        <v>0</v>
      </c>
      <c r="H155">
        <v>1</v>
      </c>
      <c r="I155">
        <v>0</v>
      </c>
      <c r="J155">
        <v>2</v>
      </c>
      <c r="K155">
        <v>72.58</v>
      </c>
      <c r="L155">
        <v>72.47</v>
      </c>
      <c r="M155">
        <v>73.98</v>
      </c>
      <c r="N155" t="s">
        <v>109</v>
      </c>
    </row>
    <row r="156" spans="1:14" x14ac:dyDescent="0.2">
      <c r="A156" s="1">
        <v>155</v>
      </c>
      <c r="B156" t="s">
        <v>158</v>
      </c>
      <c r="C156">
        <v>72.66</v>
      </c>
      <c r="D156">
        <v>17</v>
      </c>
      <c r="E156">
        <v>12</v>
      </c>
      <c r="F156">
        <v>69.290000000000006</v>
      </c>
      <c r="G156">
        <v>0</v>
      </c>
      <c r="H156">
        <v>0</v>
      </c>
      <c r="I156">
        <v>0</v>
      </c>
      <c r="J156">
        <v>1</v>
      </c>
      <c r="K156">
        <v>72.819999999999993</v>
      </c>
      <c r="L156">
        <v>72.22</v>
      </c>
      <c r="M156">
        <v>70.7</v>
      </c>
      <c r="N156" t="s">
        <v>145</v>
      </c>
    </row>
    <row r="157" spans="1:14" x14ac:dyDescent="0.2">
      <c r="A157" s="1">
        <v>156</v>
      </c>
      <c r="B157" t="s">
        <v>159</v>
      </c>
      <c r="C157">
        <v>72.63</v>
      </c>
      <c r="D157">
        <v>15</v>
      </c>
      <c r="E157">
        <v>13</v>
      </c>
      <c r="F157">
        <v>70.3</v>
      </c>
      <c r="G157">
        <v>0</v>
      </c>
      <c r="H157">
        <v>0</v>
      </c>
      <c r="I157">
        <v>0</v>
      </c>
      <c r="J157">
        <v>0</v>
      </c>
      <c r="K157">
        <v>72.64</v>
      </c>
      <c r="L157">
        <v>71.91</v>
      </c>
      <c r="M157">
        <v>74.900000000000006</v>
      </c>
      <c r="N157" t="s">
        <v>145</v>
      </c>
    </row>
    <row r="158" spans="1:14" x14ac:dyDescent="0.2">
      <c r="A158" s="1">
        <v>157</v>
      </c>
      <c r="B158" t="s">
        <v>160</v>
      </c>
      <c r="C158">
        <v>72.39</v>
      </c>
      <c r="D158">
        <v>16</v>
      </c>
      <c r="E158">
        <v>12</v>
      </c>
      <c r="F158">
        <v>68.23</v>
      </c>
      <c r="G158">
        <v>0</v>
      </c>
      <c r="H158">
        <v>0</v>
      </c>
      <c r="I158">
        <v>0</v>
      </c>
      <c r="J158">
        <v>3</v>
      </c>
      <c r="K158">
        <v>72.55</v>
      </c>
      <c r="L158">
        <v>72.099999999999994</v>
      </c>
      <c r="M158">
        <v>69.5</v>
      </c>
      <c r="N158" t="s">
        <v>82</v>
      </c>
    </row>
    <row r="159" spans="1:14" x14ac:dyDescent="0.2">
      <c r="A159" s="1">
        <v>158</v>
      </c>
      <c r="B159" t="s">
        <v>161</v>
      </c>
      <c r="C159">
        <v>72.34</v>
      </c>
      <c r="D159">
        <v>21</v>
      </c>
      <c r="E159">
        <v>13</v>
      </c>
      <c r="F159">
        <v>70.91</v>
      </c>
      <c r="G159">
        <v>0</v>
      </c>
      <c r="H159">
        <v>0</v>
      </c>
      <c r="I159">
        <v>0</v>
      </c>
      <c r="J159">
        <v>1</v>
      </c>
      <c r="K159">
        <v>72.239999999999995</v>
      </c>
      <c r="L159">
        <v>72.489999999999995</v>
      </c>
      <c r="M159">
        <v>71.45</v>
      </c>
      <c r="N159" t="s">
        <v>107</v>
      </c>
    </row>
    <row r="160" spans="1:14" x14ac:dyDescent="0.2">
      <c r="A160" s="1">
        <v>159</v>
      </c>
      <c r="B160" t="s">
        <v>162</v>
      </c>
      <c r="C160">
        <v>72.3</v>
      </c>
      <c r="D160">
        <v>14</v>
      </c>
      <c r="E160">
        <v>14</v>
      </c>
      <c r="F160">
        <v>71.38</v>
      </c>
      <c r="G160">
        <v>0</v>
      </c>
      <c r="H160">
        <v>0</v>
      </c>
      <c r="I160">
        <v>0</v>
      </c>
      <c r="J160">
        <v>0</v>
      </c>
      <c r="K160">
        <v>72.47</v>
      </c>
      <c r="L160">
        <v>71.790000000000006</v>
      </c>
      <c r="M160">
        <v>70.540000000000006</v>
      </c>
      <c r="N160" t="s">
        <v>109</v>
      </c>
    </row>
    <row r="161" spans="1:14" x14ac:dyDescent="0.2">
      <c r="A161" s="1">
        <v>161</v>
      </c>
      <c r="B161" t="s">
        <v>164</v>
      </c>
      <c r="C161">
        <v>72.180000000000007</v>
      </c>
      <c r="D161">
        <v>21</v>
      </c>
      <c r="E161">
        <v>12</v>
      </c>
      <c r="F161">
        <v>68.58</v>
      </c>
      <c r="G161">
        <v>0</v>
      </c>
      <c r="H161">
        <v>2</v>
      </c>
      <c r="I161">
        <v>0</v>
      </c>
      <c r="J161">
        <v>2</v>
      </c>
      <c r="K161">
        <v>71.72</v>
      </c>
      <c r="L161">
        <v>72.760000000000005</v>
      </c>
      <c r="M161">
        <v>75.14</v>
      </c>
      <c r="N161" t="s">
        <v>151</v>
      </c>
    </row>
    <row r="162" spans="1:14" x14ac:dyDescent="0.2">
      <c r="A162" s="1">
        <v>162</v>
      </c>
      <c r="B162" t="s">
        <v>783</v>
      </c>
      <c r="C162">
        <v>72.16</v>
      </c>
      <c r="D162">
        <v>11</v>
      </c>
      <c r="E162">
        <v>19</v>
      </c>
      <c r="F162">
        <v>74.37</v>
      </c>
      <c r="G162">
        <v>0</v>
      </c>
      <c r="H162">
        <v>1</v>
      </c>
      <c r="I162">
        <v>0</v>
      </c>
      <c r="J162">
        <v>2</v>
      </c>
      <c r="K162">
        <v>72.319999999999993</v>
      </c>
      <c r="L162">
        <v>71.84</v>
      </c>
      <c r="M162">
        <v>69.37</v>
      </c>
      <c r="N162" t="s">
        <v>63</v>
      </c>
    </row>
    <row r="163" spans="1:14" x14ac:dyDescent="0.2">
      <c r="A163" s="1">
        <v>163</v>
      </c>
      <c r="B163" t="s">
        <v>165</v>
      </c>
      <c r="C163">
        <v>72.150000000000006</v>
      </c>
      <c r="D163">
        <v>15</v>
      </c>
      <c r="E163">
        <v>17</v>
      </c>
      <c r="F163">
        <v>73.78</v>
      </c>
      <c r="G163">
        <v>0</v>
      </c>
      <c r="H163">
        <v>0</v>
      </c>
      <c r="I163">
        <v>0</v>
      </c>
      <c r="J163">
        <v>0</v>
      </c>
      <c r="K163">
        <v>71.8</v>
      </c>
      <c r="L163">
        <v>72.400000000000006</v>
      </c>
      <c r="M163">
        <v>75.319999999999993</v>
      </c>
      <c r="N163" t="s">
        <v>63</v>
      </c>
    </row>
    <row r="164" spans="1:14" x14ac:dyDescent="0.2">
      <c r="A164" s="1">
        <v>164</v>
      </c>
      <c r="B164" t="s">
        <v>166</v>
      </c>
      <c r="C164">
        <v>72.14</v>
      </c>
      <c r="D164">
        <v>20</v>
      </c>
      <c r="E164">
        <v>6</v>
      </c>
      <c r="F164">
        <v>64.930000000000007</v>
      </c>
      <c r="G164">
        <v>0</v>
      </c>
      <c r="H164">
        <v>0</v>
      </c>
      <c r="I164">
        <v>0</v>
      </c>
      <c r="J164">
        <v>1</v>
      </c>
      <c r="K164">
        <v>71.98</v>
      </c>
      <c r="L164">
        <v>72.48</v>
      </c>
      <c r="M164">
        <v>71.2</v>
      </c>
      <c r="N164" t="s">
        <v>167</v>
      </c>
    </row>
    <row r="165" spans="1:14" x14ac:dyDescent="0.2">
      <c r="A165" s="1">
        <v>165</v>
      </c>
      <c r="B165" t="s">
        <v>168</v>
      </c>
      <c r="C165">
        <v>72.12</v>
      </c>
      <c r="D165">
        <v>14</v>
      </c>
      <c r="E165">
        <v>12</v>
      </c>
      <c r="F165">
        <v>70.400000000000006</v>
      </c>
      <c r="G165">
        <v>0</v>
      </c>
      <c r="H165">
        <v>1</v>
      </c>
      <c r="I165">
        <v>0</v>
      </c>
      <c r="J165">
        <v>3</v>
      </c>
      <c r="K165">
        <v>72.319999999999993</v>
      </c>
      <c r="L165">
        <v>71.77</v>
      </c>
      <c r="M165">
        <v>68.83</v>
      </c>
      <c r="N165" t="s">
        <v>135</v>
      </c>
    </row>
    <row r="166" spans="1:14" x14ac:dyDescent="0.2">
      <c r="A166" s="1">
        <v>166</v>
      </c>
      <c r="B166" t="s">
        <v>169</v>
      </c>
      <c r="C166">
        <v>72.010000000000005</v>
      </c>
      <c r="D166">
        <v>19</v>
      </c>
      <c r="E166">
        <v>11</v>
      </c>
      <c r="F166">
        <v>70.25</v>
      </c>
      <c r="G166">
        <v>0</v>
      </c>
      <c r="H166">
        <v>1</v>
      </c>
      <c r="I166">
        <v>0</v>
      </c>
      <c r="J166">
        <v>2</v>
      </c>
      <c r="K166">
        <v>71.680000000000007</v>
      </c>
      <c r="L166">
        <v>72.150000000000006</v>
      </c>
      <c r="M166">
        <v>75.42</v>
      </c>
      <c r="N166" t="s">
        <v>135</v>
      </c>
    </row>
    <row r="167" spans="1:14" x14ac:dyDescent="0.2">
      <c r="A167" s="1">
        <v>167</v>
      </c>
      <c r="B167" t="s">
        <v>170</v>
      </c>
      <c r="C167">
        <v>71.88</v>
      </c>
      <c r="D167">
        <v>22</v>
      </c>
      <c r="E167">
        <v>7</v>
      </c>
      <c r="F167">
        <v>66.64</v>
      </c>
      <c r="G167">
        <v>0</v>
      </c>
      <c r="H167">
        <v>2</v>
      </c>
      <c r="I167">
        <v>0</v>
      </c>
      <c r="J167">
        <v>2</v>
      </c>
      <c r="K167">
        <v>71.349999999999994</v>
      </c>
      <c r="L167">
        <v>72.14</v>
      </c>
      <c r="M167">
        <v>78.75</v>
      </c>
      <c r="N167" t="s">
        <v>171</v>
      </c>
    </row>
    <row r="168" spans="1:14" x14ac:dyDescent="0.2">
      <c r="A168" s="1">
        <v>168</v>
      </c>
      <c r="B168" t="s">
        <v>837</v>
      </c>
      <c r="C168">
        <v>71.84</v>
      </c>
      <c r="D168">
        <v>16</v>
      </c>
      <c r="E168">
        <v>14</v>
      </c>
      <c r="F168">
        <v>71.180000000000007</v>
      </c>
      <c r="G168">
        <v>0</v>
      </c>
      <c r="H168">
        <v>1</v>
      </c>
      <c r="I168">
        <v>0</v>
      </c>
      <c r="J168">
        <v>1</v>
      </c>
      <c r="K168">
        <v>71.69</v>
      </c>
      <c r="L168">
        <v>71.400000000000006</v>
      </c>
      <c r="M168">
        <v>75.430000000000007</v>
      </c>
      <c r="N168" t="s">
        <v>81</v>
      </c>
    </row>
    <row r="169" spans="1:14" x14ac:dyDescent="0.2">
      <c r="A169" s="1">
        <v>169</v>
      </c>
      <c r="B169" t="s">
        <v>172</v>
      </c>
      <c r="C169">
        <v>71.83</v>
      </c>
      <c r="D169">
        <v>10</v>
      </c>
      <c r="E169">
        <v>18</v>
      </c>
      <c r="F169">
        <v>75.33</v>
      </c>
      <c r="G169">
        <v>0</v>
      </c>
      <c r="H169">
        <v>3</v>
      </c>
      <c r="I169">
        <v>0</v>
      </c>
      <c r="J169">
        <v>7</v>
      </c>
      <c r="K169">
        <v>71.62</v>
      </c>
      <c r="L169">
        <v>72.64</v>
      </c>
      <c r="M169">
        <v>68.77</v>
      </c>
      <c r="N169" t="s">
        <v>1</v>
      </c>
    </row>
    <row r="170" spans="1:14" x14ac:dyDescent="0.2">
      <c r="A170" s="1">
        <v>170</v>
      </c>
      <c r="B170" t="s">
        <v>816</v>
      </c>
      <c r="C170">
        <v>71.790000000000006</v>
      </c>
      <c r="D170">
        <v>19</v>
      </c>
      <c r="E170">
        <v>12</v>
      </c>
      <c r="F170">
        <v>68.2</v>
      </c>
      <c r="G170">
        <v>0</v>
      </c>
      <c r="H170">
        <v>0</v>
      </c>
      <c r="I170">
        <v>0</v>
      </c>
      <c r="J170">
        <v>2</v>
      </c>
      <c r="K170">
        <v>71.7</v>
      </c>
      <c r="L170">
        <v>72.27</v>
      </c>
      <c r="M170">
        <v>68.56</v>
      </c>
      <c r="N170" t="s">
        <v>151</v>
      </c>
    </row>
    <row r="171" spans="1:14" x14ac:dyDescent="0.2">
      <c r="A171" s="1">
        <v>171</v>
      </c>
      <c r="B171" t="s">
        <v>275</v>
      </c>
      <c r="C171">
        <v>71.78</v>
      </c>
      <c r="D171">
        <v>15</v>
      </c>
      <c r="E171">
        <v>15</v>
      </c>
      <c r="F171">
        <v>74.260000000000005</v>
      </c>
      <c r="G171">
        <v>1</v>
      </c>
      <c r="H171">
        <v>2</v>
      </c>
      <c r="I171">
        <v>1</v>
      </c>
      <c r="J171">
        <v>3</v>
      </c>
      <c r="K171">
        <v>71.66</v>
      </c>
      <c r="L171">
        <v>72.09</v>
      </c>
      <c r="M171">
        <v>70.22</v>
      </c>
      <c r="N171" t="s">
        <v>5</v>
      </c>
    </row>
    <row r="172" spans="1:14" x14ac:dyDescent="0.2">
      <c r="A172" s="1">
        <v>172</v>
      </c>
      <c r="B172" t="s">
        <v>276</v>
      </c>
      <c r="C172">
        <v>71.72</v>
      </c>
      <c r="D172">
        <v>11</v>
      </c>
      <c r="E172">
        <v>19</v>
      </c>
      <c r="F172">
        <v>75.62</v>
      </c>
      <c r="G172">
        <v>0</v>
      </c>
      <c r="H172">
        <v>0</v>
      </c>
      <c r="I172">
        <v>0</v>
      </c>
      <c r="J172">
        <v>4</v>
      </c>
      <c r="K172">
        <v>71.760000000000005</v>
      </c>
      <c r="L172">
        <v>71.11</v>
      </c>
      <c r="M172">
        <v>72.78</v>
      </c>
      <c r="N172" t="s">
        <v>56</v>
      </c>
    </row>
    <row r="173" spans="1:14" x14ac:dyDescent="0.2">
      <c r="A173" s="1">
        <v>173</v>
      </c>
      <c r="B173" t="s">
        <v>826</v>
      </c>
      <c r="C173">
        <v>71.7</v>
      </c>
      <c r="D173">
        <v>16</v>
      </c>
      <c r="E173">
        <v>15</v>
      </c>
      <c r="F173">
        <v>71.48</v>
      </c>
      <c r="G173">
        <v>0</v>
      </c>
      <c r="H173">
        <v>2</v>
      </c>
      <c r="I173">
        <v>0</v>
      </c>
      <c r="J173">
        <v>2</v>
      </c>
      <c r="K173">
        <v>71.64</v>
      </c>
      <c r="L173">
        <v>71.69</v>
      </c>
      <c r="M173">
        <v>71.11</v>
      </c>
      <c r="N173" t="s">
        <v>145</v>
      </c>
    </row>
    <row r="174" spans="1:14" x14ac:dyDescent="0.2">
      <c r="A174" s="1">
        <v>174</v>
      </c>
      <c r="B174" t="s">
        <v>839</v>
      </c>
      <c r="C174">
        <v>71.67</v>
      </c>
      <c r="D174">
        <v>18</v>
      </c>
      <c r="E174">
        <v>13</v>
      </c>
      <c r="F174">
        <v>72.38</v>
      </c>
      <c r="G174">
        <v>0</v>
      </c>
      <c r="H174">
        <v>2</v>
      </c>
      <c r="I174">
        <v>0</v>
      </c>
      <c r="J174">
        <v>5</v>
      </c>
      <c r="K174">
        <v>71.239999999999995</v>
      </c>
      <c r="L174">
        <v>72.31</v>
      </c>
      <c r="M174">
        <v>73.67</v>
      </c>
      <c r="N174" t="s">
        <v>135</v>
      </c>
    </row>
    <row r="175" spans="1:14" x14ac:dyDescent="0.2">
      <c r="A175" s="1">
        <v>175</v>
      </c>
      <c r="B175" t="s">
        <v>812</v>
      </c>
      <c r="C175">
        <v>71.569999999999993</v>
      </c>
      <c r="D175">
        <v>3</v>
      </c>
      <c r="E175">
        <v>28</v>
      </c>
      <c r="F175">
        <v>79.58</v>
      </c>
      <c r="G175">
        <v>0</v>
      </c>
      <c r="H175">
        <v>4</v>
      </c>
      <c r="I175">
        <v>0</v>
      </c>
      <c r="J175">
        <v>13</v>
      </c>
      <c r="K175">
        <v>71.95</v>
      </c>
      <c r="L175">
        <v>71.19</v>
      </c>
      <c r="M175">
        <v>64.150000000000006</v>
      </c>
      <c r="N175" t="s">
        <v>7</v>
      </c>
    </row>
    <row r="176" spans="1:14" x14ac:dyDescent="0.2">
      <c r="A176" s="1">
        <v>176</v>
      </c>
      <c r="B176" t="s">
        <v>277</v>
      </c>
      <c r="C176">
        <v>71.489999999999995</v>
      </c>
      <c r="D176">
        <v>15</v>
      </c>
      <c r="E176">
        <v>11</v>
      </c>
      <c r="F176">
        <v>69.510000000000005</v>
      </c>
      <c r="G176">
        <v>0</v>
      </c>
      <c r="H176">
        <v>0</v>
      </c>
      <c r="I176">
        <v>0</v>
      </c>
      <c r="J176">
        <v>0</v>
      </c>
      <c r="K176">
        <v>71.42</v>
      </c>
      <c r="L176">
        <v>71.5</v>
      </c>
      <c r="M176">
        <v>70.86</v>
      </c>
      <c r="N176" t="s">
        <v>135</v>
      </c>
    </row>
    <row r="177" spans="1:14" x14ac:dyDescent="0.2">
      <c r="A177" s="1">
        <v>177</v>
      </c>
      <c r="B177" t="s">
        <v>863</v>
      </c>
      <c r="C177">
        <v>71.459999999999994</v>
      </c>
      <c r="D177">
        <v>13</v>
      </c>
      <c r="E177">
        <v>17</v>
      </c>
      <c r="F177">
        <v>72.72</v>
      </c>
      <c r="G177">
        <v>0</v>
      </c>
      <c r="H177">
        <v>1</v>
      </c>
      <c r="I177">
        <v>0</v>
      </c>
      <c r="J177">
        <v>1</v>
      </c>
      <c r="K177">
        <v>71.39</v>
      </c>
      <c r="L177">
        <v>71.72</v>
      </c>
      <c r="M177">
        <v>69.52</v>
      </c>
      <c r="N177" t="s">
        <v>86</v>
      </c>
    </row>
    <row r="178" spans="1:14" x14ac:dyDescent="0.2">
      <c r="A178" s="1">
        <v>178</v>
      </c>
      <c r="B178" t="s">
        <v>814</v>
      </c>
      <c r="C178">
        <v>71.459999999999994</v>
      </c>
      <c r="D178">
        <v>21</v>
      </c>
      <c r="E178">
        <v>14</v>
      </c>
      <c r="F178">
        <v>67.819999999999993</v>
      </c>
      <c r="G178">
        <v>0</v>
      </c>
      <c r="H178">
        <v>2</v>
      </c>
      <c r="I178">
        <v>0</v>
      </c>
      <c r="J178">
        <v>2</v>
      </c>
      <c r="K178">
        <v>70.88</v>
      </c>
      <c r="L178">
        <v>71.95</v>
      </c>
      <c r="M178">
        <v>77.38</v>
      </c>
      <c r="N178" t="s">
        <v>186</v>
      </c>
    </row>
    <row r="179" spans="1:14" x14ac:dyDescent="0.2">
      <c r="A179" s="1">
        <v>179</v>
      </c>
      <c r="B179" t="s">
        <v>278</v>
      </c>
      <c r="C179">
        <v>71.239999999999995</v>
      </c>
      <c r="D179">
        <v>16</v>
      </c>
      <c r="E179">
        <v>15</v>
      </c>
      <c r="F179">
        <v>71.180000000000007</v>
      </c>
      <c r="G179">
        <v>0</v>
      </c>
      <c r="H179">
        <v>1</v>
      </c>
      <c r="I179">
        <v>0</v>
      </c>
      <c r="J179">
        <v>1</v>
      </c>
      <c r="K179">
        <v>71.06</v>
      </c>
      <c r="L179">
        <v>71.83</v>
      </c>
      <c r="M179">
        <v>69.16</v>
      </c>
      <c r="N179" t="s">
        <v>86</v>
      </c>
    </row>
    <row r="180" spans="1:14" x14ac:dyDescent="0.2">
      <c r="A180" s="1">
        <v>180</v>
      </c>
      <c r="B180" t="s">
        <v>279</v>
      </c>
      <c r="C180">
        <v>71.17</v>
      </c>
      <c r="D180">
        <v>13</v>
      </c>
      <c r="E180">
        <v>16</v>
      </c>
      <c r="F180">
        <v>71.53</v>
      </c>
      <c r="G180">
        <v>0</v>
      </c>
      <c r="H180">
        <v>0</v>
      </c>
      <c r="I180">
        <v>0</v>
      </c>
      <c r="J180">
        <v>1</v>
      </c>
      <c r="K180">
        <v>71.290000000000006</v>
      </c>
      <c r="L180">
        <v>70.900000000000006</v>
      </c>
      <c r="M180">
        <v>68.790000000000006</v>
      </c>
      <c r="N180" t="s">
        <v>86</v>
      </c>
    </row>
    <row r="181" spans="1:14" x14ac:dyDescent="0.2">
      <c r="A181" s="1">
        <v>181</v>
      </c>
      <c r="B181" t="s">
        <v>280</v>
      </c>
      <c r="C181">
        <v>71.150000000000006</v>
      </c>
      <c r="D181">
        <v>12</v>
      </c>
      <c r="E181">
        <v>19</v>
      </c>
      <c r="F181">
        <v>72.11</v>
      </c>
      <c r="G181">
        <v>0</v>
      </c>
      <c r="H181">
        <v>0</v>
      </c>
      <c r="I181">
        <v>0</v>
      </c>
      <c r="J181">
        <v>0</v>
      </c>
      <c r="K181">
        <v>71.14</v>
      </c>
      <c r="L181">
        <v>70.61</v>
      </c>
      <c r="M181">
        <v>72.69</v>
      </c>
      <c r="N181" t="s">
        <v>67</v>
      </c>
    </row>
    <row r="182" spans="1:14" x14ac:dyDescent="0.2">
      <c r="A182" s="1">
        <v>182</v>
      </c>
      <c r="B182" t="s">
        <v>281</v>
      </c>
      <c r="C182">
        <v>71.150000000000006</v>
      </c>
      <c r="D182">
        <v>14</v>
      </c>
      <c r="E182">
        <v>15</v>
      </c>
      <c r="F182">
        <v>70.27</v>
      </c>
      <c r="G182">
        <v>0</v>
      </c>
      <c r="H182">
        <v>1</v>
      </c>
      <c r="I182">
        <v>0</v>
      </c>
      <c r="J182">
        <v>2</v>
      </c>
      <c r="K182">
        <v>70.97</v>
      </c>
      <c r="L182">
        <v>70.77</v>
      </c>
      <c r="M182">
        <v>74.84</v>
      </c>
      <c r="N182" t="s">
        <v>145</v>
      </c>
    </row>
    <row r="183" spans="1:14" x14ac:dyDescent="0.2">
      <c r="A183" s="1">
        <v>183</v>
      </c>
      <c r="B183" t="s">
        <v>282</v>
      </c>
      <c r="C183">
        <v>71.069999999999993</v>
      </c>
      <c r="D183">
        <v>14</v>
      </c>
      <c r="E183">
        <v>17</v>
      </c>
      <c r="F183">
        <v>72.22</v>
      </c>
      <c r="G183">
        <v>0</v>
      </c>
      <c r="H183">
        <v>1</v>
      </c>
      <c r="I183">
        <v>0</v>
      </c>
      <c r="J183">
        <v>1</v>
      </c>
      <c r="K183">
        <v>70.91</v>
      </c>
      <c r="L183">
        <v>71.239999999999995</v>
      </c>
      <c r="M183">
        <v>70.97</v>
      </c>
      <c r="N183" t="s">
        <v>86</v>
      </c>
    </row>
    <row r="184" spans="1:14" x14ac:dyDescent="0.2">
      <c r="A184" s="1">
        <v>184</v>
      </c>
      <c r="B184" t="s">
        <v>840</v>
      </c>
      <c r="C184">
        <v>71.02</v>
      </c>
      <c r="D184">
        <v>18</v>
      </c>
      <c r="E184">
        <v>11</v>
      </c>
      <c r="F184">
        <v>67</v>
      </c>
      <c r="G184">
        <v>0</v>
      </c>
      <c r="H184">
        <v>0</v>
      </c>
      <c r="I184">
        <v>0</v>
      </c>
      <c r="J184">
        <v>3</v>
      </c>
      <c r="K184">
        <v>71.069999999999993</v>
      </c>
      <c r="L184">
        <v>71.14</v>
      </c>
      <c r="M184">
        <v>67.39</v>
      </c>
      <c r="N184" t="s">
        <v>186</v>
      </c>
    </row>
    <row r="185" spans="1:14" x14ac:dyDescent="0.2">
      <c r="A185" s="1">
        <v>185</v>
      </c>
      <c r="B185" t="s">
        <v>283</v>
      </c>
      <c r="C185">
        <v>70.959999999999994</v>
      </c>
      <c r="D185">
        <v>20</v>
      </c>
      <c r="E185">
        <v>11</v>
      </c>
      <c r="F185">
        <v>67.5</v>
      </c>
      <c r="G185">
        <v>0</v>
      </c>
      <c r="H185">
        <v>1</v>
      </c>
      <c r="I185">
        <v>0</v>
      </c>
      <c r="J185">
        <v>1</v>
      </c>
      <c r="K185">
        <v>70.73</v>
      </c>
      <c r="L185">
        <v>71.599999999999994</v>
      </c>
      <c r="M185">
        <v>69.31</v>
      </c>
      <c r="N185" t="s">
        <v>141</v>
      </c>
    </row>
    <row r="186" spans="1:14" x14ac:dyDescent="0.2">
      <c r="A186" s="1">
        <v>186</v>
      </c>
      <c r="B186" t="s">
        <v>284</v>
      </c>
      <c r="C186">
        <v>70.92</v>
      </c>
      <c r="D186">
        <v>12</v>
      </c>
      <c r="E186">
        <v>18</v>
      </c>
      <c r="F186">
        <v>72.989999999999995</v>
      </c>
      <c r="G186">
        <v>0</v>
      </c>
      <c r="H186">
        <v>0</v>
      </c>
      <c r="I186">
        <v>0</v>
      </c>
      <c r="J186">
        <v>2</v>
      </c>
      <c r="K186">
        <v>71.02</v>
      </c>
      <c r="L186">
        <v>70.489999999999995</v>
      </c>
      <c r="M186">
        <v>69.73</v>
      </c>
      <c r="N186" t="s">
        <v>84</v>
      </c>
    </row>
    <row r="187" spans="1:14" x14ac:dyDescent="0.2">
      <c r="A187" s="1">
        <v>187</v>
      </c>
      <c r="B187" t="s">
        <v>285</v>
      </c>
      <c r="C187">
        <v>70.760000000000005</v>
      </c>
      <c r="D187">
        <v>17</v>
      </c>
      <c r="E187">
        <v>14</v>
      </c>
      <c r="F187">
        <v>71.540000000000006</v>
      </c>
      <c r="G187">
        <v>0</v>
      </c>
      <c r="H187">
        <v>1</v>
      </c>
      <c r="I187">
        <v>0</v>
      </c>
      <c r="J187">
        <v>2</v>
      </c>
      <c r="K187">
        <v>70.62</v>
      </c>
      <c r="L187">
        <v>71.13</v>
      </c>
      <c r="M187">
        <v>69.31</v>
      </c>
      <c r="N187" t="s">
        <v>67</v>
      </c>
    </row>
    <row r="188" spans="1:14" x14ac:dyDescent="0.2">
      <c r="A188" s="1">
        <v>188</v>
      </c>
      <c r="B188" t="s">
        <v>286</v>
      </c>
      <c r="C188">
        <v>70.75</v>
      </c>
      <c r="D188">
        <v>6</v>
      </c>
      <c r="E188">
        <v>26</v>
      </c>
      <c r="F188">
        <v>79.040000000000006</v>
      </c>
      <c r="G188">
        <v>1</v>
      </c>
      <c r="H188">
        <v>6</v>
      </c>
      <c r="I188">
        <v>2</v>
      </c>
      <c r="J188">
        <v>9</v>
      </c>
      <c r="K188">
        <v>71.14</v>
      </c>
      <c r="L188">
        <v>70.2</v>
      </c>
      <c r="M188">
        <v>64.239999999999995</v>
      </c>
      <c r="N188" t="s">
        <v>14</v>
      </c>
    </row>
    <row r="189" spans="1:14" x14ac:dyDescent="0.2">
      <c r="A189" s="1">
        <v>189</v>
      </c>
      <c r="B189" t="s">
        <v>287</v>
      </c>
      <c r="C189">
        <v>70.7</v>
      </c>
      <c r="D189">
        <v>12</v>
      </c>
      <c r="E189">
        <v>16</v>
      </c>
      <c r="F189">
        <v>73.09</v>
      </c>
      <c r="G189">
        <v>0</v>
      </c>
      <c r="H189">
        <v>2</v>
      </c>
      <c r="I189">
        <v>0</v>
      </c>
      <c r="J189">
        <v>2</v>
      </c>
      <c r="K189">
        <v>70.7</v>
      </c>
      <c r="L189">
        <v>70.78</v>
      </c>
      <c r="M189">
        <v>68.47</v>
      </c>
      <c r="N189" t="s">
        <v>125</v>
      </c>
    </row>
    <row r="190" spans="1:14" x14ac:dyDescent="0.2">
      <c r="A190" s="1">
        <v>190</v>
      </c>
      <c r="B190" t="s">
        <v>878</v>
      </c>
      <c r="C190">
        <v>70.67</v>
      </c>
      <c r="D190">
        <v>18</v>
      </c>
      <c r="E190">
        <v>12</v>
      </c>
      <c r="F190">
        <v>69.260000000000005</v>
      </c>
      <c r="G190">
        <v>0</v>
      </c>
      <c r="H190">
        <v>0</v>
      </c>
      <c r="I190">
        <v>1</v>
      </c>
      <c r="J190">
        <v>2</v>
      </c>
      <c r="K190">
        <v>70.64</v>
      </c>
      <c r="L190">
        <v>70.86</v>
      </c>
      <c r="M190">
        <v>68.05</v>
      </c>
      <c r="N190" t="s">
        <v>186</v>
      </c>
    </row>
    <row r="191" spans="1:14" x14ac:dyDescent="0.2">
      <c r="A191" s="1">
        <v>191</v>
      </c>
      <c r="B191" t="s">
        <v>815</v>
      </c>
      <c r="C191">
        <v>70.56</v>
      </c>
      <c r="D191">
        <v>15</v>
      </c>
      <c r="E191">
        <v>11</v>
      </c>
      <c r="F191">
        <v>69.45</v>
      </c>
      <c r="G191">
        <v>0</v>
      </c>
      <c r="H191">
        <v>2</v>
      </c>
      <c r="I191">
        <v>0</v>
      </c>
      <c r="J191">
        <v>2</v>
      </c>
      <c r="K191">
        <v>70.239999999999995</v>
      </c>
      <c r="L191">
        <v>70.94</v>
      </c>
      <c r="M191">
        <v>72.3</v>
      </c>
      <c r="N191" t="s">
        <v>145</v>
      </c>
    </row>
    <row r="192" spans="1:14" x14ac:dyDescent="0.2">
      <c r="A192" s="1">
        <v>192</v>
      </c>
      <c r="B192" t="s">
        <v>288</v>
      </c>
      <c r="C192">
        <v>70.53</v>
      </c>
      <c r="D192">
        <v>16</v>
      </c>
      <c r="E192">
        <v>16</v>
      </c>
      <c r="F192">
        <v>72.36</v>
      </c>
      <c r="G192">
        <v>0</v>
      </c>
      <c r="H192">
        <v>0</v>
      </c>
      <c r="I192">
        <v>0</v>
      </c>
      <c r="J192">
        <v>1</v>
      </c>
      <c r="K192">
        <v>70.22</v>
      </c>
      <c r="L192">
        <v>70.63</v>
      </c>
      <c r="M192">
        <v>73.75</v>
      </c>
      <c r="N192" t="s">
        <v>63</v>
      </c>
    </row>
    <row r="193" spans="1:14" x14ac:dyDescent="0.2">
      <c r="A193" s="1">
        <v>193</v>
      </c>
      <c r="B193" t="s">
        <v>289</v>
      </c>
      <c r="C193">
        <v>70.42</v>
      </c>
      <c r="D193">
        <v>18</v>
      </c>
      <c r="E193">
        <v>11</v>
      </c>
      <c r="F193">
        <v>71.62</v>
      </c>
      <c r="G193">
        <v>0</v>
      </c>
      <c r="H193">
        <v>0</v>
      </c>
      <c r="I193">
        <v>0</v>
      </c>
      <c r="J193">
        <v>1</v>
      </c>
      <c r="K193">
        <v>69.81</v>
      </c>
      <c r="L193">
        <v>71.180000000000007</v>
      </c>
      <c r="M193">
        <v>75.08</v>
      </c>
      <c r="N193" t="s">
        <v>86</v>
      </c>
    </row>
    <row r="194" spans="1:14" x14ac:dyDescent="0.2">
      <c r="A194" s="1">
        <v>194</v>
      </c>
      <c r="B194" t="s">
        <v>290</v>
      </c>
      <c r="C194">
        <v>70.38</v>
      </c>
      <c r="D194">
        <v>18</v>
      </c>
      <c r="E194">
        <v>12</v>
      </c>
      <c r="F194">
        <v>67.040000000000006</v>
      </c>
      <c r="G194">
        <v>0</v>
      </c>
      <c r="H194">
        <v>0</v>
      </c>
      <c r="I194">
        <v>0</v>
      </c>
      <c r="J194">
        <v>1</v>
      </c>
      <c r="K194">
        <v>70.03</v>
      </c>
      <c r="L194">
        <v>70.16</v>
      </c>
      <c r="M194">
        <v>76.31</v>
      </c>
      <c r="N194" t="s">
        <v>186</v>
      </c>
    </row>
    <row r="195" spans="1:14" x14ac:dyDescent="0.2">
      <c r="A195" s="1">
        <v>195</v>
      </c>
      <c r="B195" t="s">
        <v>291</v>
      </c>
      <c r="C195">
        <v>70.349999999999994</v>
      </c>
      <c r="D195">
        <v>15</v>
      </c>
      <c r="E195">
        <v>13</v>
      </c>
      <c r="F195">
        <v>68.599999999999994</v>
      </c>
      <c r="G195">
        <v>0</v>
      </c>
      <c r="H195">
        <v>2</v>
      </c>
      <c r="I195">
        <v>0</v>
      </c>
      <c r="J195">
        <v>2</v>
      </c>
      <c r="K195">
        <v>70.33</v>
      </c>
      <c r="L195">
        <v>70.099999999999994</v>
      </c>
      <c r="M195">
        <v>70.42</v>
      </c>
      <c r="N195" t="s">
        <v>156</v>
      </c>
    </row>
    <row r="196" spans="1:14" x14ac:dyDescent="0.2">
      <c r="A196" s="1">
        <v>196</v>
      </c>
      <c r="B196" t="s">
        <v>292</v>
      </c>
      <c r="C196">
        <v>70.28</v>
      </c>
      <c r="D196">
        <v>16</v>
      </c>
      <c r="E196">
        <v>13</v>
      </c>
      <c r="F196">
        <v>70.69</v>
      </c>
      <c r="G196">
        <v>0</v>
      </c>
      <c r="H196">
        <v>4</v>
      </c>
      <c r="I196">
        <v>0</v>
      </c>
      <c r="J196">
        <v>4</v>
      </c>
      <c r="K196">
        <v>69.92</v>
      </c>
      <c r="L196">
        <v>70.489999999999995</v>
      </c>
      <c r="M196">
        <v>73.5</v>
      </c>
      <c r="N196" t="s">
        <v>138</v>
      </c>
    </row>
    <row r="197" spans="1:14" x14ac:dyDescent="0.2">
      <c r="A197" s="1">
        <v>197</v>
      </c>
      <c r="B197" t="s">
        <v>818</v>
      </c>
      <c r="C197">
        <v>70.260000000000005</v>
      </c>
      <c r="D197">
        <v>11</v>
      </c>
      <c r="E197">
        <v>20</v>
      </c>
      <c r="F197">
        <v>73.010000000000005</v>
      </c>
      <c r="G197">
        <v>0</v>
      </c>
      <c r="H197">
        <v>0</v>
      </c>
      <c r="I197">
        <v>0</v>
      </c>
      <c r="J197">
        <v>3</v>
      </c>
      <c r="K197">
        <v>70.569999999999993</v>
      </c>
      <c r="L197">
        <v>69.209999999999994</v>
      </c>
      <c r="M197">
        <v>69.099999999999994</v>
      </c>
      <c r="N197" t="s">
        <v>84</v>
      </c>
    </row>
    <row r="198" spans="1:14" x14ac:dyDescent="0.2">
      <c r="A198" s="1">
        <v>198</v>
      </c>
      <c r="B198" t="s">
        <v>293</v>
      </c>
      <c r="C198">
        <v>70.06</v>
      </c>
      <c r="D198">
        <v>20</v>
      </c>
      <c r="E198">
        <v>15</v>
      </c>
      <c r="F198">
        <v>69.37</v>
      </c>
      <c r="G198">
        <v>0</v>
      </c>
      <c r="H198">
        <v>2</v>
      </c>
      <c r="I198">
        <v>0</v>
      </c>
      <c r="J198">
        <v>4</v>
      </c>
      <c r="K198">
        <v>69.72</v>
      </c>
      <c r="L198">
        <v>70.16</v>
      </c>
      <c r="M198">
        <v>73.709999999999994</v>
      </c>
      <c r="N198" t="s">
        <v>151</v>
      </c>
    </row>
    <row r="199" spans="1:14" x14ac:dyDescent="0.2">
      <c r="A199" s="1">
        <v>199</v>
      </c>
      <c r="B199" t="s">
        <v>294</v>
      </c>
      <c r="C199">
        <v>70</v>
      </c>
      <c r="D199">
        <v>17</v>
      </c>
      <c r="E199">
        <v>12</v>
      </c>
      <c r="F199">
        <v>70.13</v>
      </c>
      <c r="G199">
        <v>0</v>
      </c>
      <c r="H199">
        <v>0</v>
      </c>
      <c r="I199">
        <v>0</v>
      </c>
      <c r="J199">
        <v>0</v>
      </c>
      <c r="K199">
        <v>69.64</v>
      </c>
      <c r="L199">
        <v>70.63</v>
      </c>
      <c r="M199">
        <v>70.83</v>
      </c>
      <c r="N199" t="s">
        <v>145</v>
      </c>
    </row>
    <row r="200" spans="1:14" x14ac:dyDescent="0.2">
      <c r="A200" s="1">
        <v>200</v>
      </c>
      <c r="B200" t="s">
        <v>295</v>
      </c>
      <c r="C200">
        <v>69.98</v>
      </c>
      <c r="D200">
        <v>13</v>
      </c>
      <c r="E200">
        <v>11</v>
      </c>
      <c r="F200">
        <v>70.400000000000006</v>
      </c>
      <c r="G200">
        <v>0</v>
      </c>
      <c r="H200">
        <v>1</v>
      </c>
      <c r="I200">
        <v>0</v>
      </c>
      <c r="J200">
        <v>1</v>
      </c>
      <c r="K200">
        <v>69.87</v>
      </c>
      <c r="L200">
        <v>70.16</v>
      </c>
      <c r="M200">
        <v>69.14</v>
      </c>
      <c r="N200" t="s">
        <v>125</v>
      </c>
    </row>
    <row r="201" spans="1:14" x14ac:dyDescent="0.2">
      <c r="A201" s="1">
        <v>201</v>
      </c>
      <c r="B201" t="s">
        <v>296</v>
      </c>
      <c r="C201">
        <v>69.98</v>
      </c>
      <c r="D201">
        <v>17</v>
      </c>
      <c r="E201">
        <v>10</v>
      </c>
      <c r="F201">
        <v>68.38</v>
      </c>
      <c r="G201">
        <v>0</v>
      </c>
      <c r="H201">
        <v>0</v>
      </c>
      <c r="I201">
        <v>0</v>
      </c>
      <c r="J201">
        <v>0</v>
      </c>
      <c r="K201">
        <v>69.67</v>
      </c>
      <c r="L201">
        <v>69.8</v>
      </c>
      <c r="M201">
        <v>74.569999999999993</v>
      </c>
      <c r="N201" t="s">
        <v>138</v>
      </c>
    </row>
    <row r="202" spans="1:14" x14ac:dyDescent="0.2">
      <c r="A202" s="1">
        <v>202</v>
      </c>
      <c r="B202" t="s">
        <v>297</v>
      </c>
      <c r="C202">
        <v>69.88</v>
      </c>
      <c r="D202">
        <v>10</v>
      </c>
      <c r="E202">
        <v>13</v>
      </c>
      <c r="F202">
        <v>69.53</v>
      </c>
      <c r="G202">
        <v>0</v>
      </c>
      <c r="H202">
        <v>0</v>
      </c>
      <c r="I202">
        <v>0</v>
      </c>
      <c r="J202">
        <v>0</v>
      </c>
      <c r="K202">
        <v>69.900000000000006</v>
      </c>
      <c r="L202">
        <v>70.08</v>
      </c>
      <c r="M202">
        <v>66.3</v>
      </c>
      <c r="N202" t="s">
        <v>125</v>
      </c>
    </row>
    <row r="203" spans="1:14" x14ac:dyDescent="0.2">
      <c r="A203" s="1">
        <v>203</v>
      </c>
      <c r="B203" t="s">
        <v>843</v>
      </c>
      <c r="C203">
        <v>69.849999999999994</v>
      </c>
      <c r="D203">
        <v>21</v>
      </c>
      <c r="E203">
        <v>7</v>
      </c>
      <c r="F203">
        <v>63.44</v>
      </c>
      <c r="G203">
        <v>0</v>
      </c>
      <c r="H203">
        <v>1</v>
      </c>
      <c r="I203">
        <v>0</v>
      </c>
      <c r="J203">
        <v>2</v>
      </c>
      <c r="K203">
        <v>69.27</v>
      </c>
      <c r="L203">
        <v>70.650000000000006</v>
      </c>
      <c r="M203">
        <v>73.489999999999995</v>
      </c>
      <c r="N203" t="s">
        <v>225</v>
      </c>
    </row>
    <row r="204" spans="1:14" x14ac:dyDescent="0.2">
      <c r="A204" s="1">
        <v>204</v>
      </c>
      <c r="B204" t="s">
        <v>298</v>
      </c>
      <c r="C204">
        <v>69.77</v>
      </c>
      <c r="D204">
        <v>11</v>
      </c>
      <c r="E204">
        <v>16</v>
      </c>
      <c r="F204">
        <v>71.67</v>
      </c>
      <c r="G204">
        <v>0</v>
      </c>
      <c r="H204">
        <v>1</v>
      </c>
      <c r="I204">
        <v>0</v>
      </c>
      <c r="J204">
        <v>2</v>
      </c>
      <c r="K204">
        <v>69.95</v>
      </c>
      <c r="L204">
        <v>69.56</v>
      </c>
      <c r="M204">
        <v>65.59</v>
      </c>
      <c r="N204" t="s">
        <v>125</v>
      </c>
    </row>
    <row r="205" spans="1:14" x14ac:dyDescent="0.2">
      <c r="A205" s="1">
        <v>205</v>
      </c>
      <c r="B205" t="s">
        <v>299</v>
      </c>
      <c r="C205">
        <v>69.739999999999995</v>
      </c>
      <c r="D205">
        <v>19</v>
      </c>
      <c r="E205">
        <v>13</v>
      </c>
      <c r="F205">
        <v>66.14</v>
      </c>
      <c r="G205">
        <v>0</v>
      </c>
      <c r="H205">
        <v>2</v>
      </c>
      <c r="I205">
        <v>0</v>
      </c>
      <c r="J205">
        <v>4</v>
      </c>
      <c r="K205">
        <v>69.27</v>
      </c>
      <c r="L205">
        <v>69.989999999999995</v>
      </c>
      <c r="M205">
        <v>74.849999999999994</v>
      </c>
      <c r="N205" t="s">
        <v>204</v>
      </c>
    </row>
    <row r="206" spans="1:14" x14ac:dyDescent="0.2">
      <c r="A206" s="1">
        <v>206</v>
      </c>
      <c r="B206" t="s">
        <v>300</v>
      </c>
      <c r="C206">
        <v>69.650000000000006</v>
      </c>
      <c r="D206">
        <v>14</v>
      </c>
      <c r="E206">
        <v>17</v>
      </c>
      <c r="F206">
        <v>70.92</v>
      </c>
      <c r="G206">
        <v>0</v>
      </c>
      <c r="H206">
        <v>1</v>
      </c>
      <c r="I206">
        <v>0</v>
      </c>
      <c r="J206">
        <v>1</v>
      </c>
      <c r="K206">
        <v>69.44</v>
      </c>
      <c r="L206">
        <v>70.099999999999994</v>
      </c>
      <c r="M206">
        <v>68.84</v>
      </c>
      <c r="N206" t="s">
        <v>67</v>
      </c>
    </row>
    <row r="207" spans="1:14" x14ac:dyDescent="0.2">
      <c r="A207" s="1">
        <v>207</v>
      </c>
      <c r="B207" t="s">
        <v>894</v>
      </c>
      <c r="C207">
        <v>69.58</v>
      </c>
      <c r="D207">
        <v>21</v>
      </c>
      <c r="E207">
        <v>13</v>
      </c>
      <c r="F207">
        <v>66.66</v>
      </c>
      <c r="G207">
        <v>0</v>
      </c>
      <c r="H207">
        <v>0</v>
      </c>
      <c r="I207">
        <v>0</v>
      </c>
      <c r="J207">
        <v>0</v>
      </c>
      <c r="K207">
        <v>69.42</v>
      </c>
      <c r="L207">
        <v>69.97</v>
      </c>
      <c r="M207">
        <v>68.2</v>
      </c>
      <c r="N207" t="s">
        <v>141</v>
      </c>
    </row>
    <row r="208" spans="1:14" x14ac:dyDescent="0.2">
      <c r="A208" s="1">
        <v>208</v>
      </c>
      <c r="B208" t="s">
        <v>301</v>
      </c>
      <c r="C208">
        <v>69.58</v>
      </c>
      <c r="D208">
        <v>12</v>
      </c>
      <c r="E208">
        <v>10</v>
      </c>
      <c r="F208">
        <v>68.19</v>
      </c>
      <c r="G208">
        <v>0</v>
      </c>
      <c r="H208">
        <v>0</v>
      </c>
      <c r="I208">
        <v>0</v>
      </c>
      <c r="J208">
        <v>0</v>
      </c>
      <c r="K208">
        <v>69.66</v>
      </c>
      <c r="L208">
        <v>69.31</v>
      </c>
      <c r="M208">
        <v>67.73</v>
      </c>
      <c r="N208" t="s">
        <v>135</v>
      </c>
    </row>
    <row r="209" spans="1:14" x14ac:dyDescent="0.2">
      <c r="A209" s="1">
        <v>209</v>
      </c>
      <c r="B209" t="s">
        <v>302</v>
      </c>
      <c r="C209">
        <v>69.56</v>
      </c>
      <c r="D209">
        <v>13</v>
      </c>
      <c r="E209">
        <v>16</v>
      </c>
      <c r="F209">
        <v>73.13</v>
      </c>
      <c r="G209">
        <v>0</v>
      </c>
      <c r="H209">
        <v>3</v>
      </c>
      <c r="I209">
        <v>0</v>
      </c>
      <c r="J209">
        <v>6</v>
      </c>
      <c r="K209">
        <v>69.38</v>
      </c>
      <c r="L209">
        <v>69.91</v>
      </c>
      <c r="M209">
        <v>68.91</v>
      </c>
      <c r="N209" t="s">
        <v>1</v>
      </c>
    </row>
    <row r="210" spans="1:14" x14ac:dyDescent="0.2">
      <c r="A210" s="1">
        <v>210</v>
      </c>
      <c r="B210" t="s">
        <v>303</v>
      </c>
      <c r="C210">
        <v>69.540000000000006</v>
      </c>
      <c r="D210">
        <v>17</v>
      </c>
      <c r="E210">
        <v>12</v>
      </c>
      <c r="F210">
        <v>67.319999999999993</v>
      </c>
      <c r="G210">
        <v>0</v>
      </c>
      <c r="H210">
        <v>0</v>
      </c>
      <c r="I210">
        <v>0</v>
      </c>
      <c r="J210">
        <v>0</v>
      </c>
      <c r="K210">
        <v>69.069999999999993</v>
      </c>
      <c r="L210">
        <v>69.760000000000005</v>
      </c>
      <c r="M210">
        <v>74.83</v>
      </c>
      <c r="N210" t="s">
        <v>82</v>
      </c>
    </row>
    <row r="211" spans="1:14" x14ac:dyDescent="0.2">
      <c r="A211" s="1">
        <v>211</v>
      </c>
      <c r="B211" t="s">
        <v>173</v>
      </c>
      <c r="C211">
        <v>69.510000000000005</v>
      </c>
      <c r="D211">
        <v>8</v>
      </c>
      <c r="E211">
        <v>16</v>
      </c>
      <c r="F211">
        <v>71.5</v>
      </c>
      <c r="G211">
        <v>0</v>
      </c>
      <c r="H211">
        <v>0</v>
      </c>
      <c r="I211">
        <v>0</v>
      </c>
      <c r="J211">
        <v>0</v>
      </c>
      <c r="K211">
        <v>69.37</v>
      </c>
      <c r="L211">
        <v>68.92</v>
      </c>
      <c r="M211">
        <v>73.78</v>
      </c>
      <c r="N211" t="s">
        <v>125</v>
      </c>
    </row>
    <row r="212" spans="1:14" x14ac:dyDescent="0.2">
      <c r="A212" s="1">
        <v>212</v>
      </c>
      <c r="B212" t="s">
        <v>174</v>
      </c>
      <c r="C212">
        <v>69.45</v>
      </c>
      <c r="D212">
        <v>13</v>
      </c>
      <c r="E212">
        <v>14</v>
      </c>
      <c r="F212">
        <v>71.59</v>
      </c>
      <c r="G212">
        <v>0</v>
      </c>
      <c r="H212">
        <v>0</v>
      </c>
      <c r="I212">
        <v>0</v>
      </c>
      <c r="J212">
        <v>0</v>
      </c>
      <c r="K212">
        <v>69.33</v>
      </c>
      <c r="L212">
        <v>69.64</v>
      </c>
      <c r="M212">
        <v>68.73</v>
      </c>
      <c r="N212" t="s">
        <v>109</v>
      </c>
    </row>
    <row r="213" spans="1:14" x14ac:dyDescent="0.2">
      <c r="A213" s="1">
        <v>213</v>
      </c>
      <c r="B213" t="s">
        <v>175</v>
      </c>
      <c r="C213">
        <v>69.45</v>
      </c>
      <c r="D213">
        <v>21</v>
      </c>
      <c r="E213">
        <v>10</v>
      </c>
      <c r="F213">
        <v>65.89</v>
      </c>
      <c r="G213">
        <v>0</v>
      </c>
      <c r="H213">
        <v>1</v>
      </c>
      <c r="I213">
        <v>0</v>
      </c>
      <c r="J213">
        <v>1</v>
      </c>
      <c r="K213">
        <v>68.77</v>
      </c>
      <c r="L213">
        <v>70.3</v>
      </c>
      <c r="M213">
        <v>74.53</v>
      </c>
      <c r="N213" t="s">
        <v>167</v>
      </c>
    </row>
    <row r="214" spans="1:14" x14ac:dyDescent="0.2">
      <c r="A214" s="1">
        <v>214</v>
      </c>
      <c r="B214" t="s">
        <v>176</v>
      </c>
      <c r="C214">
        <v>69.45</v>
      </c>
      <c r="D214">
        <v>20</v>
      </c>
      <c r="E214">
        <v>12</v>
      </c>
      <c r="F214">
        <v>67.81</v>
      </c>
      <c r="G214">
        <v>0</v>
      </c>
      <c r="H214">
        <v>0</v>
      </c>
      <c r="I214">
        <v>0</v>
      </c>
      <c r="J214">
        <v>2</v>
      </c>
      <c r="K214">
        <v>69.239999999999995</v>
      </c>
      <c r="L214">
        <v>69.52</v>
      </c>
      <c r="M214">
        <v>70.989999999999995</v>
      </c>
      <c r="N214" t="s">
        <v>138</v>
      </c>
    </row>
    <row r="215" spans="1:14" x14ac:dyDescent="0.2">
      <c r="A215" s="1">
        <v>215</v>
      </c>
      <c r="B215" t="s">
        <v>177</v>
      </c>
      <c r="C215">
        <v>69.319999999999993</v>
      </c>
      <c r="D215">
        <v>17</v>
      </c>
      <c r="E215">
        <v>15</v>
      </c>
      <c r="F215">
        <v>71.23</v>
      </c>
      <c r="G215">
        <v>0</v>
      </c>
      <c r="H215">
        <v>2</v>
      </c>
      <c r="I215">
        <v>1</v>
      </c>
      <c r="J215">
        <v>5</v>
      </c>
      <c r="K215">
        <v>68.95</v>
      </c>
      <c r="L215">
        <v>69.430000000000007</v>
      </c>
      <c r="M215">
        <v>73.53</v>
      </c>
      <c r="N215" t="s">
        <v>1</v>
      </c>
    </row>
    <row r="216" spans="1:14" x14ac:dyDescent="0.2">
      <c r="A216" s="1">
        <v>216</v>
      </c>
      <c r="B216" t="s">
        <v>178</v>
      </c>
      <c r="C216">
        <v>69.150000000000006</v>
      </c>
      <c r="D216">
        <v>11</v>
      </c>
      <c r="E216">
        <v>19</v>
      </c>
      <c r="F216">
        <v>73.33</v>
      </c>
      <c r="G216">
        <v>0</v>
      </c>
      <c r="H216">
        <v>1</v>
      </c>
      <c r="I216">
        <v>0</v>
      </c>
      <c r="J216">
        <v>1</v>
      </c>
      <c r="K216">
        <v>69</v>
      </c>
      <c r="L216">
        <v>68.77</v>
      </c>
      <c r="M216">
        <v>72.11</v>
      </c>
      <c r="N216" t="s">
        <v>63</v>
      </c>
    </row>
    <row r="217" spans="1:14" x14ac:dyDescent="0.2">
      <c r="A217" s="1">
        <v>217</v>
      </c>
      <c r="B217" t="s">
        <v>845</v>
      </c>
      <c r="C217">
        <v>69.13</v>
      </c>
      <c r="D217">
        <v>17</v>
      </c>
      <c r="E217">
        <v>12</v>
      </c>
      <c r="F217">
        <v>65.84</v>
      </c>
      <c r="G217">
        <v>0</v>
      </c>
      <c r="H217">
        <v>2</v>
      </c>
      <c r="I217">
        <v>0</v>
      </c>
      <c r="J217">
        <v>4</v>
      </c>
      <c r="K217">
        <v>69.13</v>
      </c>
      <c r="L217">
        <v>68.77</v>
      </c>
      <c r="M217">
        <v>69.430000000000007</v>
      </c>
      <c r="N217" t="s">
        <v>179</v>
      </c>
    </row>
    <row r="218" spans="1:14" x14ac:dyDescent="0.2">
      <c r="A218" s="1">
        <v>218</v>
      </c>
      <c r="B218" t="s">
        <v>180</v>
      </c>
      <c r="C218">
        <v>68.94</v>
      </c>
      <c r="D218">
        <v>13</v>
      </c>
      <c r="E218">
        <v>16</v>
      </c>
      <c r="F218">
        <v>69.64</v>
      </c>
      <c r="G218">
        <v>0</v>
      </c>
      <c r="H218">
        <v>1</v>
      </c>
      <c r="I218">
        <v>0</v>
      </c>
      <c r="J218">
        <v>2</v>
      </c>
      <c r="K218">
        <v>68.819999999999993</v>
      </c>
      <c r="L218">
        <v>68.290000000000006</v>
      </c>
      <c r="M218">
        <v>72.930000000000007</v>
      </c>
      <c r="N218" t="s">
        <v>107</v>
      </c>
    </row>
    <row r="219" spans="1:14" x14ac:dyDescent="0.2">
      <c r="A219" s="1">
        <v>219</v>
      </c>
      <c r="B219" t="s">
        <v>181</v>
      </c>
      <c r="C219">
        <v>68.94</v>
      </c>
      <c r="D219">
        <v>10</v>
      </c>
      <c r="E219">
        <v>21</v>
      </c>
      <c r="F219">
        <v>72.38</v>
      </c>
      <c r="G219">
        <v>0</v>
      </c>
      <c r="H219">
        <v>0</v>
      </c>
      <c r="I219">
        <v>0</v>
      </c>
      <c r="J219">
        <v>1</v>
      </c>
      <c r="K219">
        <v>68.84</v>
      </c>
      <c r="L219">
        <v>69.17</v>
      </c>
      <c r="M219">
        <v>67.37</v>
      </c>
      <c r="N219" t="s">
        <v>67</v>
      </c>
    </row>
    <row r="220" spans="1:14" x14ac:dyDescent="0.2">
      <c r="A220" s="1">
        <v>220</v>
      </c>
      <c r="B220" t="s">
        <v>182</v>
      </c>
      <c r="C220">
        <v>68.849999999999994</v>
      </c>
      <c r="D220">
        <v>14</v>
      </c>
      <c r="E220">
        <v>15</v>
      </c>
      <c r="F220">
        <v>67.650000000000006</v>
      </c>
      <c r="G220">
        <v>0</v>
      </c>
      <c r="H220">
        <v>1</v>
      </c>
      <c r="I220">
        <v>0</v>
      </c>
      <c r="J220">
        <v>1</v>
      </c>
      <c r="K220">
        <v>68.7</v>
      </c>
      <c r="L220">
        <v>68.62</v>
      </c>
      <c r="M220">
        <v>71.209999999999994</v>
      </c>
      <c r="N220" t="s">
        <v>156</v>
      </c>
    </row>
    <row r="221" spans="1:14" x14ac:dyDescent="0.2">
      <c r="A221" s="1">
        <v>221</v>
      </c>
      <c r="B221" t="s">
        <v>183</v>
      </c>
      <c r="C221">
        <v>68.77</v>
      </c>
      <c r="D221">
        <v>8</v>
      </c>
      <c r="E221">
        <v>23</v>
      </c>
      <c r="F221">
        <v>76.14</v>
      </c>
      <c r="G221">
        <v>0</v>
      </c>
      <c r="H221">
        <v>4</v>
      </c>
      <c r="I221">
        <v>0</v>
      </c>
      <c r="J221">
        <v>5</v>
      </c>
      <c r="K221">
        <v>68.78</v>
      </c>
      <c r="L221">
        <v>68.81</v>
      </c>
      <c r="M221">
        <v>66.56</v>
      </c>
      <c r="N221" t="s">
        <v>5</v>
      </c>
    </row>
    <row r="222" spans="1:14" x14ac:dyDescent="0.2">
      <c r="A222" s="1">
        <v>222</v>
      </c>
      <c r="B222" t="s">
        <v>821</v>
      </c>
      <c r="C222">
        <v>68.760000000000005</v>
      </c>
      <c r="D222">
        <v>8</v>
      </c>
      <c r="E222">
        <v>20</v>
      </c>
      <c r="F222">
        <v>74.16</v>
      </c>
      <c r="G222">
        <v>0</v>
      </c>
      <c r="H222">
        <v>1</v>
      </c>
      <c r="I222">
        <v>0</v>
      </c>
      <c r="J222">
        <v>4</v>
      </c>
      <c r="K222">
        <v>69.03</v>
      </c>
      <c r="L222">
        <v>68.319999999999993</v>
      </c>
      <c r="M222">
        <v>63.86</v>
      </c>
      <c r="N222" t="s">
        <v>84</v>
      </c>
    </row>
    <row r="223" spans="1:14" x14ac:dyDescent="0.2">
      <c r="A223" s="1">
        <v>223</v>
      </c>
      <c r="B223" t="s">
        <v>184</v>
      </c>
      <c r="C223">
        <v>68.75</v>
      </c>
      <c r="D223">
        <v>16</v>
      </c>
      <c r="E223">
        <v>16</v>
      </c>
      <c r="F223">
        <v>68.63</v>
      </c>
      <c r="G223">
        <v>0</v>
      </c>
      <c r="H223">
        <v>1</v>
      </c>
      <c r="I223">
        <v>1</v>
      </c>
      <c r="J223">
        <v>1</v>
      </c>
      <c r="K223">
        <v>68.42</v>
      </c>
      <c r="L223">
        <v>69.040000000000006</v>
      </c>
      <c r="M223">
        <v>71.03</v>
      </c>
      <c r="N223" t="s">
        <v>151</v>
      </c>
    </row>
    <row r="224" spans="1:14" x14ac:dyDescent="0.2">
      <c r="A224" s="1">
        <v>224</v>
      </c>
      <c r="B224" t="s">
        <v>906</v>
      </c>
      <c r="C224">
        <v>68.64</v>
      </c>
      <c r="D224">
        <v>15</v>
      </c>
      <c r="E224">
        <v>16</v>
      </c>
      <c r="F224">
        <v>68.239999999999995</v>
      </c>
      <c r="G224">
        <v>0</v>
      </c>
      <c r="H224">
        <v>2</v>
      </c>
      <c r="I224">
        <v>0</v>
      </c>
      <c r="J224">
        <v>2</v>
      </c>
      <c r="K224">
        <v>68.7</v>
      </c>
      <c r="L224">
        <v>68.19</v>
      </c>
      <c r="M224">
        <v>68.510000000000005</v>
      </c>
      <c r="N224" t="s">
        <v>81</v>
      </c>
    </row>
    <row r="225" spans="1:14" x14ac:dyDescent="0.2">
      <c r="A225" s="1">
        <v>225</v>
      </c>
      <c r="B225" t="s">
        <v>864</v>
      </c>
      <c r="C225">
        <v>68.41</v>
      </c>
      <c r="D225">
        <v>11</v>
      </c>
      <c r="E225">
        <v>17</v>
      </c>
      <c r="F225">
        <v>71.569999999999993</v>
      </c>
      <c r="G225">
        <v>0</v>
      </c>
      <c r="H225">
        <v>3</v>
      </c>
      <c r="I225">
        <v>0</v>
      </c>
      <c r="J225">
        <v>3</v>
      </c>
      <c r="K225">
        <v>68.45</v>
      </c>
      <c r="L225">
        <v>68.05</v>
      </c>
      <c r="M225">
        <v>67.989999999999995</v>
      </c>
      <c r="N225" t="s">
        <v>81</v>
      </c>
    </row>
    <row r="226" spans="1:14" x14ac:dyDescent="0.2">
      <c r="A226" s="1">
        <v>226</v>
      </c>
      <c r="B226" t="s">
        <v>185</v>
      </c>
      <c r="C226">
        <v>68.38</v>
      </c>
      <c r="D226">
        <v>13</v>
      </c>
      <c r="E226">
        <v>16</v>
      </c>
      <c r="F226">
        <v>69.23</v>
      </c>
      <c r="G226">
        <v>0</v>
      </c>
      <c r="H226">
        <v>0</v>
      </c>
      <c r="I226">
        <v>0</v>
      </c>
      <c r="J226">
        <v>1</v>
      </c>
      <c r="K226">
        <v>68.41</v>
      </c>
      <c r="L226">
        <v>67.900000000000006</v>
      </c>
      <c r="M226">
        <v>68.87</v>
      </c>
      <c r="N226" t="s">
        <v>186</v>
      </c>
    </row>
    <row r="227" spans="1:14" x14ac:dyDescent="0.2">
      <c r="A227" s="1">
        <v>227</v>
      </c>
      <c r="B227" t="s">
        <v>187</v>
      </c>
      <c r="C227">
        <v>68.38</v>
      </c>
      <c r="D227">
        <v>12</v>
      </c>
      <c r="E227">
        <v>18</v>
      </c>
      <c r="F227">
        <v>73.03</v>
      </c>
      <c r="G227">
        <v>0</v>
      </c>
      <c r="H227">
        <v>0</v>
      </c>
      <c r="I227">
        <v>0</v>
      </c>
      <c r="J227">
        <v>0</v>
      </c>
      <c r="K227">
        <v>68.069999999999993</v>
      </c>
      <c r="L227">
        <v>68.69</v>
      </c>
      <c r="M227">
        <v>70.23</v>
      </c>
      <c r="N227" t="s">
        <v>63</v>
      </c>
    </row>
    <row r="228" spans="1:14" x14ac:dyDescent="0.2">
      <c r="A228" s="1">
        <v>228</v>
      </c>
      <c r="B228" t="s">
        <v>188</v>
      </c>
      <c r="C228">
        <v>68.34</v>
      </c>
      <c r="D228">
        <v>14</v>
      </c>
      <c r="E228">
        <v>18</v>
      </c>
      <c r="F228">
        <v>68.91</v>
      </c>
      <c r="G228">
        <v>0</v>
      </c>
      <c r="H228">
        <v>0</v>
      </c>
      <c r="I228">
        <v>0</v>
      </c>
      <c r="J228">
        <v>1</v>
      </c>
      <c r="K228">
        <v>68.31</v>
      </c>
      <c r="L228">
        <v>67.61</v>
      </c>
      <c r="M228">
        <v>71.31</v>
      </c>
      <c r="N228" t="s">
        <v>107</v>
      </c>
    </row>
    <row r="229" spans="1:14" x14ac:dyDescent="0.2">
      <c r="A229" s="1">
        <v>229</v>
      </c>
      <c r="B229" t="s">
        <v>189</v>
      </c>
      <c r="C229">
        <v>68.31</v>
      </c>
      <c r="D229">
        <v>13</v>
      </c>
      <c r="E229">
        <v>13</v>
      </c>
      <c r="F229">
        <v>67.2</v>
      </c>
      <c r="G229">
        <v>0</v>
      </c>
      <c r="H229">
        <v>1</v>
      </c>
      <c r="I229">
        <v>0</v>
      </c>
      <c r="J229">
        <v>1</v>
      </c>
      <c r="K229">
        <v>68.38</v>
      </c>
      <c r="L229">
        <v>68.010000000000005</v>
      </c>
      <c r="M229">
        <v>67.13</v>
      </c>
      <c r="N229" t="s">
        <v>171</v>
      </c>
    </row>
    <row r="230" spans="1:14" x14ac:dyDescent="0.2">
      <c r="A230" s="1">
        <v>230</v>
      </c>
      <c r="B230" t="s">
        <v>907</v>
      </c>
      <c r="C230">
        <v>68.260000000000005</v>
      </c>
      <c r="D230">
        <v>17</v>
      </c>
      <c r="E230">
        <v>13</v>
      </c>
      <c r="F230">
        <v>67.3</v>
      </c>
      <c r="G230">
        <v>0</v>
      </c>
      <c r="H230">
        <v>1</v>
      </c>
      <c r="I230">
        <v>0</v>
      </c>
      <c r="J230">
        <v>1</v>
      </c>
      <c r="K230">
        <v>67.930000000000007</v>
      </c>
      <c r="L230">
        <v>69.209999999999994</v>
      </c>
      <c r="M230">
        <v>66.430000000000007</v>
      </c>
      <c r="N230" t="s">
        <v>90</v>
      </c>
    </row>
    <row r="231" spans="1:14" x14ac:dyDescent="0.2">
      <c r="A231" s="1">
        <v>231</v>
      </c>
      <c r="B231" t="s">
        <v>190</v>
      </c>
      <c r="C231">
        <v>68.22</v>
      </c>
      <c r="D231">
        <v>14</v>
      </c>
      <c r="E231">
        <v>16</v>
      </c>
      <c r="F231">
        <v>68.53</v>
      </c>
      <c r="G231">
        <v>0</v>
      </c>
      <c r="H231">
        <v>0</v>
      </c>
      <c r="I231">
        <v>0</v>
      </c>
      <c r="J231">
        <v>0</v>
      </c>
      <c r="K231">
        <v>68.239999999999995</v>
      </c>
      <c r="L231">
        <v>68.42</v>
      </c>
      <c r="M231">
        <v>64.31</v>
      </c>
      <c r="N231" t="s">
        <v>107</v>
      </c>
    </row>
    <row r="232" spans="1:14" x14ac:dyDescent="0.2">
      <c r="A232" s="1">
        <v>232</v>
      </c>
      <c r="B232" t="s">
        <v>191</v>
      </c>
      <c r="C232">
        <v>68.12</v>
      </c>
      <c r="D232">
        <v>9</v>
      </c>
      <c r="E232">
        <v>18</v>
      </c>
      <c r="F232">
        <v>72.459999999999994</v>
      </c>
      <c r="G232">
        <v>0</v>
      </c>
      <c r="H232">
        <v>0</v>
      </c>
      <c r="I232">
        <v>0</v>
      </c>
      <c r="J232">
        <v>3</v>
      </c>
      <c r="K232">
        <v>68.08</v>
      </c>
      <c r="L232">
        <v>68.209999999999994</v>
      </c>
      <c r="M232">
        <v>66.430000000000007</v>
      </c>
      <c r="N232" t="s">
        <v>145</v>
      </c>
    </row>
    <row r="233" spans="1:14" x14ac:dyDescent="0.2">
      <c r="A233" s="1">
        <v>233</v>
      </c>
      <c r="B233" t="s">
        <v>192</v>
      </c>
      <c r="C233">
        <v>67.989999999999995</v>
      </c>
      <c r="D233">
        <v>15</v>
      </c>
      <c r="E233">
        <v>14</v>
      </c>
      <c r="F233">
        <v>67.069999999999993</v>
      </c>
      <c r="G233">
        <v>0</v>
      </c>
      <c r="H233">
        <v>0</v>
      </c>
      <c r="I233">
        <v>0</v>
      </c>
      <c r="J233">
        <v>2</v>
      </c>
      <c r="K233">
        <v>67.89</v>
      </c>
      <c r="L233">
        <v>68.510000000000005</v>
      </c>
      <c r="M233">
        <v>64.59</v>
      </c>
      <c r="N233" t="s">
        <v>151</v>
      </c>
    </row>
    <row r="234" spans="1:14" x14ac:dyDescent="0.2">
      <c r="A234" s="1">
        <v>234</v>
      </c>
      <c r="B234" t="s">
        <v>558</v>
      </c>
      <c r="C234">
        <v>67.97</v>
      </c>
      <c r="D234">
        <v>15</v>
      </c>
      <c r="E234">
        <v>12</v>
      </c>
      <c r="F234">
        <v>68.209999999999994</v>
      </c>
      <c r="G234">
        <v>0</v>
      </c>
      <c r="H234">
        <v>1</v>
      </c>
      <c r="I234">
        <v>0</v>
      </c>
      <c r="J234">
        <v>1</v>
      </c>
      <c r="K234">
        <v>67.260000000000005</v>
      </c>
      <c r="L234">
        <v>68.92</v>
      </c>
      <c r="M234">
        <v>72.650000000000006</v>
      </c>
      <c r="N234" t="s">
        <v>82</v>
      </c>
    </row>
    <row r="235" spans="1:14" x14ac:dyDescent="0.2">
      <c r="A235" s="1">
        <v>235</v>
      </c>
      <c r="B235" t="s">
        <v>193</v>
      </c>
      <c r="C235">
        <v>67.67</v>
      </c>
      <c r="D235">
        <v>17</v>
      </c>
      <c r="E235">
        <v>14</v>
      </c>
      <c r="F235">
        <v>67.180000000000007</v>
      </c>
      <c r="G235">
        <v>0</v>
      </c>
      <c r="H235">
        <v>0</v>
      </c>
      <c r="I235">
        <v>0</v>
      </c>
      <c r="J235">
        <v>0</v>
      </c>
      <c r="K235">
        <v>67.180000000000007</v>
      </c>
      <c r="L235">
        <v>68.150000000000006</v>
      </c>
      <c r="M235">
        <v>71.38</v>
      </c>
      <c r="N235" t="s">
        <v>90</v>
      </c>
    </row>
    <row r="236" spans="1:14" x14ac:dyDescent="0.2">
      <c r="A236" s="1">
        <v>236</v>
      </c>
      <c r="B236" t="s">
        <v>194</v>
      </c>
      <c r="C236">
        <v>67.66</v>
      </c>
      <c r="D236">
        <v>9</v>
      </c>
      <c r="E236">
        <v>22</v>
      </c>
      <c r="F236">
        <v>71.709999999999994</v>
      </c>
      <c r="G236">
        <v>0</v>
      </c>
      <c r="H236">
        <v>0</v>
      </c>
      <c r="I236">
        <v>0</v>
      </c>
      <c r="J236">
        <v>1</v>
      </c>
      <c r="K236">
        <v>67.760000000000005</v>
      </c>
      <c r="L236">
        <v>67.42</v>
      </c>
      <c r="M236">
        <v>65.41</v>
      </c>
      <c r="N236" t="s">
        <v>109</v>
      </c>
    </row>
    <row r="237" spans="1:14" x14ac:dyDescent="0.2">
      <c r="A237" s="1">
        <v>237</v>
      </c>
      <c r="B237" t="s">
        <v>873</v>
      </c>
      <c r="C237">
        <v>67.64</v>
      </c>
      <c r="D237">
        <v>11</v>
      </c>
      <c r="E237">
        <v>18</v>
      </c>
      <c r="F237">
        <v>69.63</v>
      </c>
      <c r="G237">
        <v>0</v>
      </c>
      <c r="H237">
        <v>0</v>
      </c>
      <c r="I237">
        <v>0</v>
      </c>
      <c r="J237">
        <v>0</v>
      </c>
      <c r="K237">
        <v>67.73</v>
      </c>
      <c r="L237">
        <v>67.11</v>
      </c>
      <c r="M237">
        <v>67.209999999999994</v>
      </c>
      <c r="N237" t="s">
        <v>94</v>
      </c>
    </row>
    <row r="238" spans="1:14" x14ac:dyDescent="0.2">
      <c r="A238" s="1">
        <v>238</v>
      </c>
      <c r="B238" t="s">
        <v>879</v>
      </c>
      <c r="C238">
        <v>67.53</v>
      </c>
      <c r="D238">
        <v>19</v>
      </c>
      <c r="E238">
        <v>12</v>
      </c>
      <c r="F238">
        <v>66.75</v>
      </c>
      <c r="G238">
        <v>0</v>
      </c>
      <c r="H238">
        <v>0</v>
      </c>
      <c r="I238">
        <v>0</v>
      </c>
      <c r="J238">
        <v>0</v>
      </c>
      <c r="K238">
        <v>67.03</v>
      </c>
      <c r="L238">
        <v>67.91</v>
      </c>
      <c r="M238">
        <v>72.040000000000006</v>
      </c>
      <c r="N238" t="s">
        <v>186</v>
      </c>
    </row>
    <row r="239" spans="1:14" x14ac:dyDescent="0.2">
      <c r="A239" s="1">
        <v>239</v>
      </c>
      <c r="B239" t="s">
        <v>195</v>
      </c>
      <c r="C239">
        <v>67.510000000000005</v>
      </c>
      <c r="D239">
        <v>13</v>
      </c>
      <c r="E239">
        <v>19</v>
      </c>
      <c r="F239">
        <v>69.62</v>
      </c>
      <c r="G239">
        <v>0</v>
      </c>
      <c r="H239">
        <v>0</v>
      </c>
      <c r="I239">
        <v>0</v>
      </c>
      <c r="J239">
        <v>0</v>
      </c>
      <c r="K239">
        <v>67.27</v>
      </c>
      <c r="L239">
        <v>67.180000000000007</v>
      </c>
      <c r="M239">
        <v>71.709999999999994</v>
      </c>
      <c r="N239" t="s">
        <v>107</v>
      </c>
    </row>
    <row r="240" spans="1:14" x14ac:dyDescent="0.2">
      <c r="A240" s="1">
        <v>240</v>
      </c>
      <c r="B240" t="s">
        <v>196</v>
      </c>
      <c r="C240">
        <v>67.38</v>
      </c>
      <c r="D240">
        <v>15</v>
      </c>
      <c r="E240">
        <v>14</v>
      </c>
      <c r="F240">
        <v>69.459999999999994</v>
      </c>
      <c r="G240">
        <v>0</v>
      </c>
      <c r="H240">
        <v>0</v>
      </c>
      <c r="I240">
        <v>0</v>
      </c>
      <c r="J240">
        <v>0</v>
      </c>
      <c r="K240">
        <v>67.069999999999993</v>
      </c>
      <c r="L240">
        <v>68.069999999999993</v>
      </c>
      <c r="M240">
        <v>66.959999999999994</v>
      </c>
      <c r="N240" t="s">
        <v>107</v>
      </c>
    </row>
    <row r="241" spans="1:14" x14ac:dyDescent="0.2">
      <c r="A241" s="1">
        <v>241</v>
      </c>
      <c r="B241" t="s">
        <v>197</v>
      </c>
      <c r="C241">
        <v>67.22</v>
      </c>
      <c r="D241">
        <v>13</v>
      </c>
      <c r="E241">
        <v>13</v>
      </c>
      <c r="F241">
        <v>66.05</v>
      </c>
      <c r="G241">
        <v>0</v>
      </c>
      <c r="H241">
        <v>0</v>
      </c>
      <c r="I241">
        <v>0</v>
      </c>
      <c r="J241">
        <v>1</v>
      </c>
      <c r="K241">
        <v>67.08</v>
      </c>
      <c r="L241">
        <v>67.11</v>
      </c>
      <c r="M241">
        <v>68.650000000000006</v>
      </c>
      <c r="N241" t="s">
        <v>90</v>
      </c>
    </row>
    <row r="242" spans="1:14" x14ac:dyDescent="0.2">
      <c r="A242" s="1">
        <v>242</v>
      </c>
      <c r="B242" t="s">
        <v>198</v>
      </c>
      <c r="C242">
        <v>67.05</v>
      </c>
      <c r="D242">
        <v>10</v>
      </c>
      <c r="E242">
        <v>18</v>
      </c>
      <c r="F242">
        <v>71.510000000000005</v>
      </c>
      <c r="G242">
        <v>0</v>
      </c>
      <c r="H242">
        <v>1</v>
      </c>
      <c r="I242">
        <v>0</v>
      </c>
      <c r="J242">
        <v>1</v>
      </c>
      <c r="K242">
        <v>66.8</v>
      </c>
      <c r="L242">
        <v>66.98</v>
      </c>
      <c r="M242">
        <v>69.86</v>
      </c>
      <c r="N242" t="s">
        <v>86</v>
      </c>
    </row>
    <row r="243" spans="1:14" x14ac:dyDescent="0.2">
      <c r="A243" s="1">
        <v>243</v>
      </c>
      <c r="B243" t="s">
        <v>199</v>
      </c>
      <c r="C243">
        <v>66.97</v>
      </c>
      <c r="D243">
        <v>9</v>
      </c>
      <c r="E243">
        <v>18</v>
      </c>
      <c r="F243">
        <v>67.739999999999995</v>
      </c>
      <c r="G243">
        <v>0</v>
      </c>
      <c r="H243">
        <v>0</v>
      </c>
      <c r="I243">
        <v>0</v>
      </c>
      <c r="J243">
        <v>1</v>
      </c>
      <c r="K243">
        <v>67.319999999999993</v>
      </c>
      <c r="L243">
        <v>66.010000000000005</v>
      </c>
      <c r="M243">
        <v>64.08</v>
      </c>
      <c r="N243" t="s">
        <v>138</v>
      </c>
    </row>
    <row r="244" spans="1:14" x14ac:dyDescent="0.2">
      <c r="A244" s="1">
        <v>244</v>
      </c>
      <c r="B244" t="s">
        <v>200</v>
      </c>
      <c r="C244">
        <v>66.94</v>
      </c>
      <c r="D244">
        <v>10</v>
      </c>
      <c r="E244">
        <v>16</v>
      </c>
      <c r="F244">
        <v>70.900000000000006</v>
      </c>
      <c r="G244">
        <v>0</v>
      </c>
      <c r="H244">
        <v>0</v>
      </c>
      <c r="I244">
        <v>0</v>
      </c>
      <c r="J244">
        <v>0</v>
      </c>
      <c r="K244">
        <v>66.87</v>
      </c>
      <c r="L244">
        <v>66.709999999999994</v>
      </c>
      <c r="M244">
        <v>67.73</v>
      </c>
      <c r="N244" t="s">
        <v>145</v>
      </c>
    </row>
    <row r="245" spans="1:14" x14ac:dyDescent="0.2">
      <c r="A245" s="1">
        <v>245</v>
      </c>
      <c r="B245" t="s">
        <v>201</v>
      </c>
      <c r="C245">
        <v>66.86</v>
      </c>
      <c r="D245">
        <v>6</v>
      </c>
      <c r="E245">
        <v>25</v>
      </c>
      <c r="F245">
        <v>74.97</v>
      </c>
      <c r="G245">
        <v>0</v>
      </c>
      <c r="H245">
        <v>4</v>
      </c>
      <c r="I245">
        <v>0</v>
      </c>
      <c r="J245">
        <v>10</v>
      </c>
      <c r="K245">
        <v>67.040000000000006</v>
      </c>
      <c r="L245">
        <v>66.56</v>
      </c>
      <c r="M245">
        <v>62.92</v>
      </c>
      <c r="N245" t="s">
        <v>1</v>
      </c>
    </row>
    <row r="246" spans="1:14" x14ac:dyDescent="0.2">
      <c r="A246" s="1">
        <v>246</v>
      </c>
      <c r="B246" t="s">
        <v>202</v>
      </c>
      <c r="C246">
        <v>66.849999999999994</v>
      </c>
      <c r="D246">
        <v>8</v>
      </c>
      <c r="E246">
        <v>22</v>
      </c>
      <c r="F246">
        <v>73.64</v>
      </c>
      <c r="G246">
        <v>0</v>
      </c>
      <c r="H246">
        <v>3</v>
      </c>
      <c r="I246">
        <v>0</v>
      </c>
      <c r="J246">
        <v>3</v>
      </c>
      <c r="K246">
        <v>66.180000000000007</v>
      </c>
      <c r="L246">
        <v>67.3</v>
      </c>
      <c r="M246">
        <v>73.45</v>
      </c>
      <c r="N246" t="s">
        <v>109</v>
      </c>
    </row>
    <row r="247" spans="1:14" x14ac:dyDescent="0.2">
      <c r="A247" s="1">
        <v>247</v>
      </c>
      <c r="B247" t="s">
        <v>203</v>
      </c>
      <c r="C247">
        <v>66.81</v>
      </c>
      <c r="D247">
        <v>13</v>
      </c>
      <c r="E247">
        <v>17</v>
      </c>
      <c r="F247">
        <v>68.819999999999993</v>
      </c>
      <c r="G247">
        <v>0</v>
      </c>
      <c r="H247">
        <v>0</v>
      </c>
      <c r="I247">
        <v>0</v>
      </c>
      <c r="J247">
        <v>0</v>
      </c>
      <c r="K247">
        <v>66.64</v>
      </c>
      <c r="L247">
        <v>66.650000000000006</v>
      </c>
      <c r="M247">
        <v>68.84</v>
      </c>
      <c r="N247" t="s">
        <v>107</v>
      </c>
    </row>
    <row r="248" spans="1:14" x14ac:dyDescent="0.2">
      <c r="A248" s="1">
        <v>248</v>
      </c>
      <c r="B248" t="s">
        <v>898</v>
      </c>
      <c r="C248">
        <v>66.8</v>
      </c>
      <c r="D248">
        <v>15</v>
      </c>
      <c r="E248">
        <v>14</v>
      </c>
      <c r="F248">
        <v>66.55</v>
      </c>
      <c r="G248">
        <v>0</v>
      </c>
      <c r="H248">
        <v>1</v>
      </c>
      <c r="I248">
        <v>0</v>
      </c>
      <c r="J248">
        <v>1</v>
      </c>
      <c r="K248">
        <v>67</v>
      </c>
      <c r="L248">
        <v>66.37</v>
      </c>
      <c r="M248">
        <v>63.35</v>
      </c>
      <c r="N248" t="s">
        <v>204</v>
      </c>
    </row>
    <row r="249" spans="1:14" x14ac:dyDescent="0.2">
      <c r="A249" s="1">
        <v>249</v>
      </c>
      <c r="B249" t="s">
        <v>205</v>
      </c>
      <c r="C249">
        <v>66.64</v>
      </c>
      <c r="D249">
        <v>6</v>
      </c>
      <c r="E249">
        <v>24</v>
      </c>
      <c r="F249">
        <v>74.239999999999995</v>
      </c>
      <c r="G249">
        <v>0</v>
      </c>
      <c r="H249">
        <v>0</v>
      </c>
      <c r="I249">
        <v>0</v>
      </c>
      <c r="J249">
        <v>0</v>
      </c>
      <c r="K249">
        <v>66.69</v>
      </c>
      <c r="L249">
        <v>66.78</v>
      </c>
      <c r="M249">
        <v>62.37</v>
      </c>
      <c r="N249" t="s">
        <v>63</v>
      </c>
    </row>
    <row r="250" spans="1:14" x14ac:dyDescent="0.2">
      <c r="A250" s="1">
        <v>250</v>
      </c>
      <c r="B250" t="s">
        <v>206</v>
      </c>
      <c r="C250">
        <v>66.599999999999994</v>
      </c>
      <c r="D250">
        <v>14</v>
      </c>
      <c r="E250">
        <v>16</v>
      </c>
      <c r="F250">
        <v>67.760000000000005</v>
      </c>
      <c r="G250">
        <v>0</v>
      </c>
      <c r="H250">
        <v>1</v>
      </c>
      <c r="I250">
        <v>0</v>
      </c>
      <c r="J250">
        <v>1</v>
      </c>
      <c r="K250">
        <v>66.7</v>
      </c>
      <c r="L250">
        <v>66.400000000000006</v>
      </c>
      <c r="M250">
        <v>63.76</v>
      </c>
      <c r="N250" t="s">
        <v>82</v>
      </c>
    </row>
    <row r="251" spans="1:14" x14ac:dyDescent="0.2">
      <c r="A251" s="1">
        <v>251</v>
      </c>
      <c r="B251" t="s">
        <v>871</v>
      </c>
      <c r="C251">
        <v>66.569999999999993</v>
      </c>
      <c r="D251">
        <v>15</v>
      </c>
      <c r="E251">
        <v>14</v>
      </c>
      <c r="F251">
        <v>66.66</v>
      </c>
      <c r="G251">
        <v>0</v>
      </c>
      <c r="H251">
        <v>1</v>
      </c>
      <c r="I251">
        <v>0</v>
      </c>
      <c r="J251">
        <v>2</v>
      </c>
      <c r="K251">
        <v>66.06</v>
      </c>
      <c r="L251">
        <v>67.12</v>
      </c>
      <c r="M251">
        <v>70.290000000000006</v>
      </c>
      <c r="N251" t="s">
        <v>167</v>
      </c>
    </row>
    <row r="252" spans="1:14" x14ac:dyDescent="0.2">
      <c r="A252" s="1">
        <v>252</v>
      </c>
      <c r="B252" t="s">
        <v>813</v>
      </c>
      <c r="C252">
        <v>66.459999999999994</v>
      </c>
      <c r="D252">
        <v>13</v>
      </c>
      <c r="E252">
        <v>17</v>
      </c>
      <c r="F252">
        <v>69.22</v>
      </c>
      <c r="G252">
        <v>0</v>
      </c>
      <c r="H252">
        <v>0</v>
      </c>
      <c r="I252">
        <v>0</v>
      </c>
      <c r="J252">
        <v>1</v>
      </c>
      <c r="K252">
        <v>66.03</v>
      </c>
      <c r="L252">
        <v>67.25</v>
      </c>
      <c r="M252">
        <v>67.400000000000006</v>
      </c>
      <c r="N252" t="s">
        <v>94</v>
      </c>
    </row>
    <row r="253" spans="1:14" x14ac:dyDescent="0.2">
      <c r="A253" s="1">
        <v>253</v>
      </c>
      <c r="B253" t="s">
        <v>207</v>
      </c>
      <c r="C253">
        <v>66.44</v>
      </c>
      <c r="D253">
        <v>11</v>
      </c>
      <c r="E253">
        <v>18</v>
      </c>
      <c r="F253">
        <v>69.069999999999993</v>
      </c>
      <c r="G253">
        <v>0</v>
      </c>
      <c r="H253">
        <v>1</v>
      </c>
      <c r="I253">
        <v>0</v>
      </c>
      <c r="J253">
        <v>1</v>
      </c>
      <c r="K253">
        <v>66.45</v>
      </c>
      <c r="L253">
        <v>66.650000000000006</v>
      </c>
      <c r="M253">
        <v>62.51</v>
      </c>
      <c r="N253" t="s">
        <v>94</v>
      </c>
    </row>
    <row r="254" spans="1:14" x14ac:dyDescent="0.2">
      <c r="A254" s="1">
        <v>254</v>
      </c>
      <c r="B254" t="s">
        <v>208</v>
      </c>
      <c r="C254">
        <v>66.25</v>
      </c>
      <c r="D254">
        <v>12</v>
      </c>
      <c r="E254">
        <v>16</v>
      </c>
      <c r="F254">
        <v>67.14</v>
      </c>
      <c r="G254">
        <v>0</v>
      </c>
      <c r="H254">
        <v>0</v>
      </c>
      <c r="I254">
        <v>0</v>
      </c>
      <c r="J254">
        <v>1</v>
      </c>
      <c r="K254">
        <v>66.290000000000006</v>
      </c>
      <c r="L254">
        <v>65.849999999999994</v>
      </c>
      <c r="M254">
        <v>66.010000000000005</v>
      </c>
      <c r="N254" t="s">
        <v>90</v>
      </c>
    </row>
    <row r="255" spans="1:14" x14ac:dyDescent="0.2">
      <c r="A255" s="1">
        <v>255</v>
      </c>
      <c r="B255" t="s">
        <v>865</v>
      </c>
      <c r="C255">
        <v>66.239999999999995</v>
      </c>
      <c r="D255">
        <v>9</v>
      </c>
      <c r="E255">
        <v>18</v>
      </c>
      <c r="F255">
        <v>70.64</v>
      </c>
      <c r="G255">
        <v>0</v>
      </c>
      <c r="H255">
        <v>0</v>
      </c>
      <c r="I255">
        <v>0</v>
      </c>
      <c r="J255">
        <v>2</v>
      </c>
      <c r="K255">
        <v>66.459999999999994</v>
      </c>
      <c r="L255">
        <v>65.09</v>
      </c>
      <c r="M255">
        <v>67.12</v>
      </c>
      <c r="N255" t="s">
        <v>138</v>
      </c>
    </row>
    <row r="256" spans="1:14" x14ac:dyDescent="0.2">
      <c r="A256" s="1">
        <v>256</v>
      </c>
      <c r="B256" t="s">
        <v>889</v>
      </c>
      <c r="C256">
        <v>66.2</v>
      </c>
      <c r="D256">
        <v>12</v>
      </c>
      <c r="E256">
        <v>18</v>
      </c>
      <c r="F256">
        <v>68.36</v>
      </c>
      <c r="G256">
        <v>0</v>
      </c>
      <c r="H256">
        <v>0</v>
      </c>
      <c r="I256">
        <v>0</v>
      </c>
      <c r="J256">
        <v>0</v>
      </c>
      <c r="K256">
        <v>65.86</v>
      </c>
      <c r="L256">
        <v>65.78</v>
      </c>
      <c r="M256">
        <v>72.06</v>
      </c>
      <c r="N256" t="s">
        <v>77</v>
      </c>
    </row>
    <row r="257" spans="1:14" x14ac:dyDescent="0.2">
      <c r="A257" s="1">
        <v>257</v>
      </c>
      <c r="B257" t="s">
        <v>825</v>
      </c>
      <c r="C257">
        <v>66.150000000000006</v>
      </c>
      <c r="D257">
        <v>12</v>
      </c>
      <c r="E257">
        <v>17</v>
      </c>
      <c r="F257">
        <v>67.88</v>
      </c>
      <c r="G257">
        <v>0</v>
      </c>
      <c r="H257">
        <v>1</v>
      </c>
      <c r="I257">
        <v>0</v>
      </c>
      <c r="J257">
        <v>1</v>
      </c>
      <c r="K257">
        <v>65.66</v>
      </c>
      <c r="L257">
        <v>66.28</v>
      </c>
      <c r="M257">
        <v>71.510000000000005</v>
      </c>
      <c r="N257" t="s">
        <v>151</v>
      </c>
    </row>
    <row r="258" spans="1:14" x14ac:dyDescent="0.2">
      <c r="A258" s="1">
        <v>258</v>
      </c>
      <c r="B258" t="s">
        <v>209</v>
      </c>
      <c r="C258">
        <v>66.09</v>
      </c>
      <c r="D258">
        <v>11</v>
      </c>
      <c r="E258">
        <v>19</v>
      </c>
      <c r="F258">
        <v>69.63</v>
      </c>
      <c r="G258">
        <v>0</v>
      </c>
      <c r="H258">
        <v>1</v>
      </c>
      <c r="I258">
        <v>0</v>
      </c>
      <c r="J258">
        <v>1</v>
      </c>
      <c r="K258">
        <v>65.790000000000006</v>
      </c>
      <c r="L258">
        <v>66.33</v>
      </c>
      <c r="M258">
        <v>68.069999999999993</v>
      </c>
      <c r="N258" t="s">
        <v>138</v>
      </c>
    </row>
    <row r="259" spans="1:14" x14ac:dyDescent="0.2">
      <c r="A259" s="1">
        <v>259</v>
      </c>
      <c r="B259" t="s">
        <v>831</v>
      </c>
      <c r="C259">
        <v>66.05</v>
      </c>
      <c r="D259">
        <v>17</v>
      </c>
      <c r="E259">
        <v>15</v>
      </c>
      <c r="F259">
        <v>65.69</v>
      </c>
      <c r="G259">
        <v>0</v>
      </c>
      <c r="H259">
        <v>0</v>
      </c>
      <c r="I259">
        <v>0</v>
      </c>
      <c r="J259">
        <v>0</v>
      </c>
      <c r="K259">
        <v>65.739999999999995</v>
      </c>
      <c r="L259">
        <v>66.62</v>
      </c>
      <c r="M259">
        <v>66.319999999999993</v>
      </c>
      <c r="N259" t="s">
        <v>186</v>
      </c>
    </row>
    <row r="260" spans="1:14" x14ac:dyDescent="0.2">
      <c r="A260" s="1">
        <v>260</v>
      </c>
      <c r="B260" t="s">
        <v>210</v>
      </c>
      <c r="C260">
        <v>66.03</v>
      </c>
      <c r="D260">
        <v>6</v>
      </c>
      <c r="E260">
        <v>19</v>
      </c>
      <c r="F260">
        <v>70.66</v>
      </c>
      <c r="G260">
        <v>0</v>
      </c>
      <c r="H260">
        <v>1</v>
      </c>
      <c r="I260">
        <v>1</v>
      </c>
      <c r="J260">
        <v>1</v>
      </c>
      <c r="K260">
        <v>66.28</v>
      </c>
      <c r="L260">
        <v>65.510000000000005</v>
      </c>
      <c r="M260">
        <v>62.04</v>
      </c>
      <c r="N260" t="s">
        <v>135</v>
      </c>
    </row>
    <row r="261" spans="1:14" x14ac:dyDescent="0.2">
      <c r="A261" s="1">
        <v>261</v>
      </c>
      <c r="B261" t="s">
        <v>881</v>
      </c>
      <c r="C261">
        <v>65.98</v>
      </c>
      <c r="D261">
        <v>13</v>
      </c>
      <c r="E261">
        <v>17</v>
      </c>
      <c r="F261">
        <v>69.47</v>
      </c>
      <c r="G261">
        <v>0</v>
      </c>
      <c r="H261">
        <v>0</v>
      </c>
      <c r="I261">
        <v>0</v>
      </c>
      <c r="J261">
        <v>0</v>
      </c>
      <c r="K261">
        <v>65.92</v>
      </c>
      <c r="L261">
        <v>66.34</v>
      </c>
      <c r="M261">
        <v>62.62</v>
      </c>
      <c r="N261" t="s">
        <v>67</v>
      </c>
    </row>
    <row r="262" spans="1:14" x14ac:dyDescent="0.2">
      <c r="A262" s="1">
        <v>262</v>
      </c>
      <c r="B262" t="s">
        <v>211</v>
      </c>
      <c r="C262">
        <v>65.98</v>
      </c>
      <c r="D262">
        <v>11</v>
      </c>
      <c r="E262">
        <v>18</v>
      </c>
      <c r="F262">
        <v>69.05</v>
      </c>
      <c r="G262">
        <v>0</v>
      </c>
      <c r="H262">
        <v>1</v>
      </c>
      <c r="I262">
        <v>0</v>
      </c>
      <c r="J262">
        <v>3</v>
      </c>
      <c r="K262">
        <v>65.87</v>
      </c>
      <c r="L262">
        <v>65.59</v>
      </c>
      <c r="M262">
        <v>68.239999999999995</v>
      </c>
      <c r="N262" t="s">
        <v>171</v>
      </c>
    </row>
    <row r="263" spans="1:14" x14ac:dyDescent="0.2">
      <c r="A263" s="1">
        <v>263</v>
      </c>
      <c r="B263" t="s">
        <v>887</v>
      </c>
      <c r="C263">
        <v>65.900000000000006</v>
      </c>
      <c r="D263">
        <v>19</v>
      </c>
      <c r="E263">
        <v>12</v>
      </c>
      <c r="F263">
        <v>63.74</v>
      </c>
      <c r="G263">
        <v>0</v>
      </c>
      <c r="H263">
        <v>0</v>
      </c>
      <c r="I263">
        <v>0</v>
      </c>
      <c r="J263">
        <v>2</v>
      </c>
      <c r="K263">
        <v>65.64</v>
      </c>
      <c r="L263">
        <v>65.48</v>
      </c>
      <c r="M263">
        <v>70.48</v>
      </c>
      <c r="N263" t="s">
        <v>179</v>
      </c>
    </row>
    <row r="264" spans="1:14" x14ac:dyDescent="0.2">
      <c r="A264" s="1">
        <v>264</v>
      </c>
      <c r="B264" t="s">
        <v>212</v>
      </c>
      <c r="C264">
        <v>65.88</v>
      </c>
      <c r="D264">
        <v>10</v>
      </c>
      <c r="E264">
        <v>21</v>
      </c>
      <c r="F264">
        <v>70.459999999999994</v>
      </c>
      <c r="G264">
        <v>0</v>
      </c>
      <c r="H264">
        <v>0</v>
      </c>
      <c r="I264">
        <v>0</v>
      </c>
      <c r="J264">
        <v>0</v>
      </c>
      <c r="K264">
        <v>66.010000000000005</v>
      </c>
      <c r="L264">
        <v>64.86</v>
      </c>
      <c r="M264">
        <v>67.53</v>
      </c>
      <c r="N264" t="s">
        <v>107</v>
      </c>
    </row>
    <row r="265" spans="1:14" x14ac:dyDescent="0.2">
      <c r="A265" s="1">
        <v>265</v>
      </c>
      <c r="B265" t="s">
        <v>880</v>
      </c>
      <c r="C265">
        <v>65.86</v>
      </c>
      <c r="D265">
        <v>8</v>
      </c>
      <c r="E265">
        <v>20</v>
      </c>
      <c r="F265">
        <v>72.459999999999994</v>
      </c>
      <c r="G265">
        <v>0</v>
      </c>
      <c r="H265">
        <v>3</v>
      </c>
      <c r="I265">
        <v>0</v>
      </c>
      <c r="J265">
        <v>4</v>
      </c>
      <c r="K265">
        <v>65.58</v>
      </c>
      <c r="L265">
        <v>65.760000000000005</v>
      </c>
      <c r="M265">
        <v>69.17</v>
      </c>
      <c r="N265" t="s">
        <v>138</v>
      </c>
    </row>
    <row r="266" spans="1:14" x14ac:dyDescent="0.2">
      <c r="A266" s="1">
        <v>266</v>
      </c>
      <c r="B266" t="s">
        <v>213</v>
      </c>
      <c r="C266">
        <v>65.84</v>
      </c>
      <c r="D266">
        <v>13</v>
      </c>
      <c r="E266">
        <v>16</v>
      </c>
      <c r="F266">
        <v>66.11</v>
      </c>
      <c r="G266">
        <v>0</v>
      </c>
      <c r="H266">
        <v>2</v>
      </c>
      <c r="I266">
        <v>0</v>
      </c>
      <c r="J266">
        <v>2</v>
      </c>
      <c r="K266">
        <v>65.849999999999994</v>
      </c>
      <c r="L266">
        <v>65.47</v>
      </c>
      <c r="M266">
        <v>65.989999999999995</v>
      </c>
      <c r="N266" t="s">
        <v>167</v>
      </c>
    </row>
    <row r="267" spans="1:14" x14ac:dyDescent="0.2">
      <c r="A267" s="1">
        <v>267</v>
      </c>
      <c r="B267" t="s">
        <v>214</v>
      </c>
      <c r="C267">
        <v>65.73</v>
      </c>
      <c r="D267">
        <v>14</v>
      </c>
      <c r="E267">
        <v>15</v>
      </c>
      <c r="F267">
        <v>69.12</v>
      </c>
      <c r="G267">
        <v>0</v>
      </c>
      <c r="H267">
        <v>0</v>
      </c>
      <c r="I267">
        <v>0</v>
      </c>
      <c r="J267">
        <v>0</v>
      </c>
      <c r="K267">
        <v>65.22</v>
      </c>
      <c r="L267">
        <v>66.61</v>
      </c>
      <c r="M267">
        <v>67.44</v>
      </c>
      <c r="N267" t="s">
        <v>107</v>
      </c>
    </row>
    <row r="268" spans="1:14" x14ac:dyDescent="0.2">
      <c r="A268" s="1">
        <v>268</v>
      </c>
      <c r="B268" t="s">
        <v>215</v>
      </c>
      <c r="C268">
        <v>65.66</v>
      </c>
      <c r="D268">
        <v>11</v>
      </c>
      <c r="E268">
        <v>16</v>
      </c>
      <c r="F268">
        <v>69.34</v>
      </c>
      <c r="G268">
        <v>0</v>
      </c>
      <c r="H268">
        <v>0</v>
      </c>
      <c r="I268">
        <v>0</v>
      </c>
      <c r="J268">
        <v>1</v>
      </c>
      <c r="K268">
        <v>65.34</v>
      </c>
      <c r="L268">
        <v>66.09</v>
      </c>
      <c r="M268">
        <v>67.02</v>
      </c>
      <c r="N268" t="s">
        <v>135</v>
      </c>
    </row>
    <row r="269" spans="1:14" x14ac:dyDescent="0.2">
      <c r="A269" s="1">
        <v>269</v>
      </c>
      <c r="B269" t="s">
        <v>216</v>
      </c>
      <c r="C269">
        <v>65.63</v>
      </c>
      <c r="D269">
        <v>11</v>
      </c>
      <c r="E269">
        <v>18</v>
      </c>
      <c r="F269">
        <v>73.27</v>
      </c>
      <c r="G269">
        <v>0</v>
      </c>
      <c r="H269">
        <v>0</v>
      </c>
      <c r="I269">
        <v>0</v>
      </c>
      <c r="J269">
        <v>5</v>
      </c>
      <c r="K269">
        <v>65.44</v>
      </c>
      <c r="L269">
        <v>65.75</v>
      </c>
      <c r="M269">
        <v>66.41</v>
      </c>
      <c r="N269" t="s">
        <v>56</v>
      </c>
    </row>
    <row r="270" spans="1:14" x14ac:dyDescent="0.2">
      <c r="A270" s="1">
        <v>270</v>
      </c>
      <c r="B270" t="s">
        <v>217</v>
      </c>
      <c r="C270">
        <v>65.400000000000006</v>
      </c>
      <c r="D270">
        <v>13</v>
      </c>
      <c r="E270">
        <v>16</v>
      </c>
      <c r="F270">
        <v>65.900000000000006</v>
      </c>
      <c r="G270">
        <v>0</v>
      </c>
      <c r="H270">
        <v>1</v>
      </c>
      <c r="I270">
        <v>0</v>
      </c>
      <c r="J270">
        <v>1</v>
      </c>
      <c r="K270">
        <v>65.56</v>
      </c>
      <c r="L270">
        <v>65.099999999999994</v>
      </c>
      <c r="M270">
        <v>61.89</v>
      </c>
      <c r="N270" t="s">
        <v>141</v>
      </c>
    </row>
    <row r="271" spans="1:14" x14ac:dyDescent="0.2">
      <c r="A271" s="1">
        <v>271</v>
      </c>
      <c r="B271" t="s">
        <v>218</v>
      </c>
      <c r="C271">
        <v>65.31</v>
      </c>
      <c r="D271">
        <v>6</v>
      </c>
      <c r="E271">
        <v>22</v>
      </c>
      <c r="F271">
        <v>72.489999999999995</v>
      </c>
      <c r="G271">
        <v>0</v>
      </c>
      <c r="H271">
        <v>1</v>
      </c>
      <c r="I271">
        <v>1</v>
      </c>
      <c r="J271">
        <v>4</v>
      </c>
      <c r="K271">
        <v>65.34</v>
      </c>
      <c r="L271">
        <v>65.34</v>
      </c>
      <c r="M271">
        <v>62.22</v>
      </c>
      <c r="N271" t="s">
        <v>1</v>
      </c>
    </row>
    <row r="272" spans="1:14" x14ac:dyDescent="0.2">
      <c r="A272" s="1">
        <v>272</v>
      </c>
      <c r="B272" t="s">
        <v>219</v>
      </c>
      <c r="C272">
        <v>65.16</v>
      </c>
      <c r="D272">
        <v>15</v>
      </c>
      <c r="E272">
        <v>14</v>
      </c>
      <c r="F272">
        <v>65.13</v>
      </c>
      <c r="G272">
        <v>0</v>
      </c>
      <c r="H272">
        <v>0</v>
      </c>
      <c r="I272">
        <v>0</v>
      </c>
      <c r="J272">
        <v>1</v>
      </c>
      <c r="K272">
        <v>65.08</v>
      </c>
      <c r="L272">
        <v>65.3</v>
      </c>
      <c r="M272">
        <v>63.86</v>
      </c>
      <c r="N272" t="s">
        <v>179</v>
      </c>
    </row>
    <row r="273" spans="1:14" x14ac:dyDescent="0.2">
      <c r="A273" s="1">
        <v>273</v>
      </c>
      <c r="B273" t="s">
        <v>883</v>
      </c>
      <c r="C273">
        <v>65.13</v>
      </c>
      <c r="D273">
        <v>9</v>
      </c>
      <c r="E273">
        <v>20</v>
      </c>
      <c r="F273">
        <v>69.38</v>
      </c>
      <c r="G273">
        <v>0</v>
      </c>
      <c r="H273">
        <v>1</v>
      </c>
      <c r="I273">
        <v>0</v>
      </c>
      <c r="J273">
        <v>1</v>
      </c>
      <c r="K273">
        <v>65.48</v>
      </c>
      <c r="L273">
        <v>64.239999999999995</v>
      </c>
      <c r="M273">
        <v>61.29</v>
      </c>
      <c r="N273" t="s">
        <v>156</v>
      </c>
    </row>
    <row r="274" spans="1:14" x14ac:dyDescent="0.2">
      <c r="A274" s="1">
        <v>274</v>
      </c>
      <c r="B274" t="s">
        <v>220</v>
      </c>
      <c r="C274">
        <v>65.08</v>
      </c>
      <c r="D274">
        <v>9</v>
      </c>
      <c r="E274">
        <v>21</v>
      </c>
      <c r="F274">
        <v>69.92</v>
      </c>
      <c r="G274">
        <v>0</v>
      </c>
      <c r="H274">
        <v>2</v>
      </c>
      <c r="I274">
        <v>0</v>
      </c>
      <c r="J274">
        <v>2</v>
      </c>
      <c r="K274">
        <v>65.36</v>
      </c>
      <c r="L274">
        <v>63.66</v>
      </c>
      <c r="M274">
        <v>66.040000000000006</v>
      </c>
      <c r="N274" t="s">
        <v>77</v>
      </c>
    </row>
    <row r="275" spans="1:14" x14ac:dyDescent="0.2">
      <c r="A275" s="1">
        <v>275</v>
      </c>
      <c r="B275" t="s">
        <v>221</v>
      </c>
      <c r="C275">
        <v>65.010000000000005</v>
      </c>
      <c r="D275">
        <v>13</v>
      </c>
      <c r="E275">
        <v>16</v>
      </c>
      <c r="F275">
        <v>67.36</v>
      </c>
      <c r="G275">
        <v>0</v>
      </c>
      <c r="H275">
        <v>0</v>
      </c>
      <c r="I275">
        <v>0</v>
      </c>
      <c r="J275">
        <v>1</v>
      </c>
      <c r="K275">
        <v>64.709999999999994</v>
      </c>
      <c r="L275">
        <v>65.12</v>
      </c>
      <c r="M275">
        <v>67.58</v>
      </c>
      <c r="N275" t="s">
        <v>186</v>
      </c>
    </row>
    <row r="276" spans="1:14" x14ac:dyDescent="0.2">
      <c r="A276" s="1">
        <v>276</v>
      </c>
      <c r="B276" t="s">
        <v>890</v>
      </c>
      <c r="C276">
        <v>65</v>
      </c>
      <c r="D276">
        <v>10</v>
      </c>
      <c r="E276">
        <v>18</v>
      </c>
      <c r="F276">
        <v>70.66</v>
      </c>
      <c r="G276">
        <v>0</v>
      </c>
      <c r="H276">
        <v>2</v>
      </c>
      <c r="I276">
        <v>0</v>
      </c>
      <c r="J276">
        <v>2</v>
      </c>
      <c r="K276">
        <v>64.81</v>
      </c>
      <c r="L276">
        <v>65.44</v>
      </c>
      <c r="M276">
        <v>63.76</v>
      </c>
      <c r="N276" t="s">
        <v>145</v>
      </c>
    </row>
    <row r="277" spans="1:14" x14ac:dyDescent="0.2">
      <c r="A277" s="1">
        <v>277</v>
      </c>
      <c r="B277" t="s">
        <v>222</v>
      </c>
      <c r="C277">
        <v>64.930000000000007</v>
      </c>
      <c r="D277">
        <v>12</v>
      </c>
      <c r="E277">
        <v>20</v>
      </c>
      <c r="F277">
        <v>66.55</v>
      </c>
      <c r="G277">
        <v>0</v>
      </c>
      <c r="H277">
        <v>0</v>
      </c>
      <c r="I277">
        <v>0</v>
      </c>
      <c r="J277">
        <v>0</v>
      </c>
      <c r="K277">
        <v>65.010000000000005</v>
      </c>
      <c r="L277">
        <v>64.430000000000007</v>
      </c>
      <c r="M277">
        <v>64.739999999999995</v>
      </c>
      <c r="N277" t="s">
        <v>90</v>
      </c>
    </row>
    <row r="278" spans="1:14" x14ac:dyDescent="0.2">
      <c r="A278" s="1">
        <v>278</v>
      </c>
      <c r="B278" t="s">
        <v>549</v>
      </c>
      <c r="C278">
        <v>64.73</v>
      </c>
      <c r="D278">
        <v>13</v>
      </c>
      <c r="E278">
        <v>16</v>
      </c>
      <c r="F278">
        <v>66.34</v>
      </c>
      <c r="G278">
        <v>0</v>
      </c>
      <c r="H278">
        <v>1</v>
      </c>
      <c r="I278">
        <v>0</v>
      </c>
      <c r="J278">
        <v>1</v>
      </c>
      <c r="K278">
        <v>64.59</v>
      </c>
      <c r="L278">
        <v>65.099999999999994</v>
      </c>
      <c r="M278">
        <v>62.88</v>
      </c>
      <c r="N278" t="s">
        <v>141</v>
      </c>
    </row>
    <row r="279" spans="1:14" x14ac:dyDescent="0.2">
      <c r="A279" s="1">
        <v>279</v>
      </c>
      <c r="B279" t="s">
        <v>223</v>
      </c>
      <c r="C279">
        <v>64.709999999999994</v>
      </c>
      <c r="D279">
        <v>9</v>
      </c>
      <c r="E279">
        <v>18</v>
      </c>
      <c r="F279">
        <v>69.23</v>
      </c>
      <c r="G279">
        <v>0</v>
      </c>
      <c r="H279">
        <v>1</v>
      </c>
      <c r="I279">
        <v>0</v>
      </c>
      <c r="J279">
        <v>1</v>
      </c>
      <c r="K279">
        <v>64.69</v>
      </c>
      <c r="L279">
        <v>64.61</v>
      </c>
      <c r="M279">
        <v>63.72</v>
      </c>
      <c r="N279" t="s">
        <v>171</v>
      </c>
    </row>
    <row r="280" spans="1:14" x14ac:dyDescent="0.2">
      <c r="A280" s="1">
        <v>280</v>
      </c>
      <c r="B280" t="s">
        <v>224</v>
      </c>
      <c r="C280">
        <v>64.680000000000007</v>
      </c>
      <c r="D280">
        <v>13</v>
      </c>
      <c r="E280">
        <v>13</v>
      </c>
      <c r="F280">
        <v>64.540000000000006</v>
      </c>
      <c r="G280">
        <v>0</v>
      </c>
      <c r="H280">
        <v>1</v>
      </c>
      <c r="I280">
        <v>0</v>
      </c>
      <c r="J280">
        <v>2</v>
      </c>
      <c r="K280">
        <v>64.62</v>
      </c>
      <c r="L280">
        <v>64.510000000000005</v>
      </c>
      <c r="M280">
        <v>64.959999999999994</v>
      </c>
      <c r="N280" t="s">
        <v>225</v>
      </c>
    </row>
    <row r="281" spans="1:14" x14ac:dyDescent="0.2">
      <c r="A281" s="1">
        <v>281</v>
      </c>
      <c r="B281" t="s">
        <v>828</v>
      </c>
      <c r="C281">
        <v>64.63</v>
      </c>
      <c r="D281">
        <v>7</v>
      </c>
      <c r="E281">
        <v>23</v>
      </c>
      <c r="F281">
        <v>75.09</v>
      </c>
      <c r="G281">
        <v>0</v>
      </c>
      <c r="H281">
        <v>1</v>
      </c>
      <c r="I281">
        <v>0</v>
      </c>
      <c r="J281">
        <v>5</v>
      </c>
      <c r="K281">
        <v>64.45</v>
      </c>
      <c r="L281">
        <v>64.680000000000007</v>
      </c>
      <c r="M281">
        <v>65.739999999999995</v>
      </c>
      <c r="N281" t="s">
        <v>56</v>
      </c>
    </row>
    <row r="282" spans="1:14" x14ac:dyDescent="0.2">
      <c r="A282" s="1">
        <v>282</v>
      </c>
      <c r="B282" t="s">
        <v>226</v>
      </c>
      <c r="C282">
        <v>64.36</v>
      </c>
      <c r="D282">
        <v>10</v>
      </c>
      <c r="E282">
        <v>21</v>
      </c>
      <c r="F282">
        <v>71.66</v>
      </c>
      <c r="G282">
        <v>0</v>
      </c>
      <c r="H282">
        <v>0</v>
      </c>
      <c r="I282">
        <v>0</v>
      </c>
      <c r="J282">
        <v>1</v>
      </c>
      <c r="K282">
        <v>63.91</v>
      </c>
      <c r="L282">
        <v>65.13</v>
      </c>
      <c r="M282">
        <v>65.73</v>
      </c>
      <c r="N282" t="s">
        <v>86</v>
      </c>
    </row>
    <row r="283" spans="1:14" x14ac:dyDescent="0.2">
      <c r="A283" s="1">
        <v>283</v>
      </c>
      <c r="B283" t="s">
        <v>227</v>
      </c>
      <c r="C283">
        <v>64.31</v>
      </c>
      <c r="D283">
        <v>15</v>
      </c>
      <c r="E283">
        <v>15</v>
      </c>
      <c r="F283">
        <v>66.989999999999995</v>
      </c>
      <c r="G283">
        <v>0</v>
      </c>
      <c r="H283">
        <v>1</v>
      </c>
      <c r="I283">
        <v>0</v>
      </c>
      <c r="J283">
        <v>1</v>
      </c>
      <c r="K283">
        <v>63.89</v>
      </c>
      <c r="L283">
        <v>64.66</v>
      </c>
      <c r="M283">
        <v>67.45</v>
      </c>
      <c r="N283" t="s">
        <v>179</v>
      </c>
    </row>
    <row r="284" spans="1:14" x14ac:dyDescent="0.2">
      <c r="A284" s="1">
        <v>284</v>
      </c>
      <c r="B284" t="s">
        <v>228</v>
      </c>
      <c r="C284">
        <v>64.290000000000006</v>
      </c>
      <c r="D284">
        <v>10</v>
      </c>
      <c r="E284">
        <v>17</v>
      </c>
      <c r="F284">
        <v>69.55</v>
      </c>
      <c r="G284">
        <v>0</v>
      </c>
      <c r="H284">
        <v>0</v>
      </c>
      <c r="I284">
        <v>0</v>
      </c>
      <c r="J284">
        <v>1</v>
      </c>
      <c r="K284">
        <v>64.11</v>
      </c>
      <c r="L284">
        <v>64.760000000000005</v>
      </c>
      <c r="M284">
        <v>62.69</v>
      </c>
      <c r="N284" t="s">
        <v>77</v>
      </c>
    </row>
    <row r="285" spans="1:14" x14ac:dyDescent="0.2">
      <c r="A285" s="1">
        <v>285</v>
      </c>
      <c r="B285" t="s">
        <v>229</v>
      </c>
      <c r="C285">
        <v>64.290000000000006</v>
      </c>
      <c r="D285">
        <v>9</v>
      </c>
      <c r="E285">
        <v>20</v>
      </c>
      <c r="F285">
        <v>69.13</v>
      </c>
      <c r="G285">
        <v>0</v>
      </c>
      <c r="H285">
        <v>0</v>
      </c>
      <c r="I285">
        <v>0</v>
      </c>
      <c r="J285">
        <v>1</v>
      </c>
      <c r="K285">
        <v>64.59</v>
      </c>
      <c r="L285">
        <v>63.32</v>
      </c>
      <c r="M285">
        <v>62.22</v>
      </c>
      <c r="N285" t="s">
        <v>171</v>
      </c>
    </row>
    <row r="286" spans="1:14" x14ac:dyDescent="0.2">
      <c r="A286" s="1">
        <v>286</v>
      </c>
      <c r="B286" t="s">
        <v>836</v>
      </c>
      <c r="C286">
        <v>64.290000000000006</v>
      </c>
      <c r="D286">
        <v>12</v>
      </c>
      <c r="E286">
        <v>18</v>
      </c>
      <c r="F286">
        <v>66.02</v>
      </c>
      <c r="G286">
        <v>0</v>
      </c>
      <c r="H286">
        <v>0</v>
      </c>
      <c r="I286">
        <v>0</v>
      </c>
      <c r="J286">
        <v>0</v>
      </c>
      <c r="K286">
        <v>64.069999999999993</v>
      </c>
      <c r="L286">
        <v>64.069999999999993</v>
      </c>
      <c r="M286">
        <v>67.349999999999994</v>
      </c>
      <c r="N286" t="s">
        <v>77</v>
      </c>
    </row>
    <row r="287" spans="1:14" x14ac:dyDescent="0.2">
      <c r="A287" s="1">
        <v>287</v>
      </c>
      <c r="B287" t="s">
        <v>842</v>
      </c>
      <c r="C287">
        <v>64.28</v>
      </c>
      <c r="D287">
        <v>17</v>
      </c>
      <c r="E287">
        <v>17</v>
      </c>
      <c r="F287">
        <v>67.97</v>
      </c>
      <c r="G287">
        <v>0</v>
      </c>
      <c r="H287">
        <v>3</v>
      </c>
      <c r="I287">
        <v>0</v>
      </c>
      <c r="J287">
        <v>6</v>
      </c>
      <c r="K287">
        <v>63.94</v>
      </c>
      <c r="L287">
        <v>64.349999999999994</v>
      </c>
      <c r="M287">
        <v>67.709999999999994</v>
      </c>
      <c r="N287" t="s">
        <v>204</v>
      </c>
    </row>
    <row r="288" spans="1:14" x14ac:dyDescent="0.2">
      <c r="A288" s="1">
        <v>288</v>
      </c>
      <c r="B288" t="s">
        <v>230</v>
      </c>
      <c r="C288">
        <v>64.17</v>
      </c>
      <c r="D288">
        <v>13</v>
      </c>
      <c r="E288">
        <v>16</v>
      </c>
      <c r="F288">
        <v>66.209999999999994</v>
      </c>
      <c r="G288">
        <v>0</v>
      </c>
      <c r="H288">
        <v>2</v>
      </c>
      <c r="I288">
        <v>0</v>
      </c>
      <c r="J288">
        <v>3</v>
      </c>
      <c r="K288">
        <v>63.58</v>
      </c>
      <c r="L288">
        <v>64.3</v>
      </c>
      <c r="M288">
        <v>70.290000000000006</v>
      </c>
      <c r="N288" t="s">
        <v>167</v>
      </c>
    </row>
    <row r="289" spans="1:14" x14ac:dyDescent="0.2">
      <c r="A289" s="1">
        <v>289</v>
      </c>
      <c r="B289" t="s">
        <v>231</v>
      </c>
      <c r="C289">
        <v>64.05</v>
      </c>
      <c r="D289">
        <v>13</v>
      </c>
      <c r="E289">
        <v>17</v>
      </c>
      <c r="F289">
        <v>69.239999999999995</v>
      </c>
      <c r="G289">
        <v>0</v>
      </c>
      <c r="H289">
        <v>1</v>
      </c>
      <c r="I289">
        <v>0</v>
      </c>
      <c r="J289">
        <v>2</v>
      </c>
      <c r="K289">
        <v>63.51</v>
      </c>
      <c r="L289">
        <v>64.39</v>
      </c>
      <c r="M289">
        <v>68.73</v>
      </c>
      <c r="N289" t="s">
        <v>156</v>
      </c>
    </row>
    <row r="290" spans="1:14" x14ac:dyDescent="0.2">
      <c r="A290" s="1">
        <v>290</v>
      </c>
      <c r="B290" t="s">
        <v>903</v>
      </c>
      <c r="C290">
        <v>64.02</v>
      </c>
      <c r="D290">
        <v>13</v>
      </c>
      <c r="E290">
        <v>18</v>
      </c>
      <c r="F290">
        <v>67.72</v>
      </c>
      <c r="G290">
        <v>0</v>
      </c>
      <c r="H290">
        <v>1</v>
      </c>
      <c r="I290">
        <v>0</v>
      </c>
      <c r="J290">
        <v>1</v>
      </c>
      <c r="K290">
        <v>63.85</v>
      </c>
      <c r="L290">
        <v>64.63</v>
      </c>
      <c r="M290">
        <v>60.92</v>
      </c>
      <c r="N290" t="s">
        <v>90</v>
      </c>
    </row>
    <row r="291" spans="1:14" x14ac:dyDescent="0.2">
      <c r="A291" s="1">
        <v>291</v>
      </c>
      <c r="B291" t="s">
        <v>232</v>
      </c>
      <c r="C291">
        <v>63.88</v>
      </c>
      <c r="D291">
        <v>7</v>
      </c>
      <c r="E291">
        <v>21</v>
      </c>
      <c r="F291">
        <v>71.06</v>
      </c>
      <c r="G291">
        <v>0</v>
      </c>
      <c r="H291">
        <v>0</v>
      </c>
      <c r="I291">
        <v>0</v>
      </c>
      <c r="J291">
        <v>1</v>
      </c>
      <c r="K291">
        <v>63.65</v>
      </c>
      <c r="L291">
        <v>64.11</v>
      </c>
      <c r="M291">
        <v>64.73</v>
      </c>
      <c r="N291" t="s">
        <v>67</v>
      </c>
    </row>
    <row r="292" spans="1:14" x14ac:dyDescent="0.2">
      <c r="A292" s="1">
        <v>292</v>
      </c>
      <c r="B292" t="s">
        <v>233</v>
      </c>
      <c r="C292">
        <v>63.77</v>
      </c>
      <c r="D292">
        <v>7</v>
      </c>
      <c r="E292">
        <v>19</v>
      </c>
      <c r="F292">
        <v>69.02</v>
      </c>
      <c r="G292">
        <v>0</v>
      </c>
      <c r="H292">
        <v>0</v>
      </c>
      <c r="I292">
        <v>0</v>
      </c>
      <c r="J292">
        <v>0</v>
      </c>
      <c r="K292">
        <v>63.88</v>
      </c>
      <c r="L292">
        <v>63.19</v>
      </c>
      <c r="M292">
        <v>63.34</v>
      </c>
      <c r="N292" t="s">
        <v>138</v>
      </c>
    </row>
    <row r="293" spans="1:14" x14ac:dyDescent="0.2">
      <c r="A293" s="1">
        <v>293</v>
      </c>
      <c r="B293" t="s">
        <v>234</v>
      </c>
      <c r="C293">
        <v>63.77</v>
      </c>
      <c r="D293">
        <v>5</v>
      </c>
      <c r="E293">
        <v>24</v>
      </c>
      <c r="F293">
        <v>73.989999999999995</v>
      </c>
      <c r="G293">
        <v>0</v>
      </c>
      <c r="H293">
        <v>0</v>
      </c>
      <c r="I293">
        <v>0</v>
      </c>
      <c r="J293">
        <v>2</v>
      </c>
      <c r="K293">
        <v>63.67</v>
      </c>
      <c r="L293">
        <v>64.099999999999994</v>
      </c>
      <c r="M293">
        <v>61.45</v>
      </c>
      <c r="N293" t="s">
        <v>84</v>
      </c>
    </row>
    <row r="294" spans="1:14" x14ac:dyDescent="0.2">
      <c r="A294" s="1">
        <v>294</v>
      </c>
      <c r="B294" t="s">
        <v>235</v>
      </c>
      <c r="C294">
        <v>63.77</v>
      </c>
      <c r="D294">
        <v>8</v>
      </c>
      <c r="E294">
        <v>19</v>
      </c>
      <c r="F294">
        <v>68.61</v>
      </c>
      <c r="G294">
        <v>0</v>
      </c>
      <c r="H294">
        <v>3</v>
      </c>
      <c r="I294">
        <v>0</v>
      </c>
      <c r="J294">
        <v>6</v>
      </c>
      <c r="K294">
        <v>63.78</v>
      </c>
      <c r="L294">
        <v>63.57</v>
      </c>
      <c r="M294">
        <v>62.97</v>
      </c>
      <c r="N294" t="s">
        <v>204</v>
      </c>
    </row>
    <row r="295" spans="1:14" x14ac:dyDescent="0.2">
      <c r="A295" s="1">
        <v>295</v>
      </c>
      <c r="B295" t="s">
        <v>838</v>
      </c>
      <c r="C295">
        <v>63.67</v>
      </c>
      <c r="D295">
        <v>11</v>
      </c>
      <c r="E295">
        <v>19</v>
      </c>
      <c r="F295">
        <v>67.569999999999993</v>
      </c>
      <c r="G295">
        <v>0</v>
      </c>
      <c r="H295">
        <v>1</v>
      </c>
      <c r="I295">
        <v>0</v>
      </c>
      <c r="J295">
        <v>2</v>
      </c>
      <c r="K295">
        <v>63.58</v>
      </c>
      <c r="L295">
        <v>63.25</v>
      </c>
      <c r="M295">
        <v>65.75</v>
      </c>
      <c r="N295" t="s">
        <v>204</v>
      </c>
    </row>
    <row r="296" spans="1:14" x14ac:dyDescent="0.2">
      <c r="A296" s="1">
        <v>296</v>
      </c>
      <c r="B296" t="s">
        <v>866</v>
      </c>
      <c r="C296">
        <v>63.44</v>
      </c>
      <c r="D296">
        <v>9</v>
      </c>
      <c r="E296">
        <v>18</v>
      </c>
      <c r="F296">
        <v>71.73</v>
      </c>
      <c r="G296">
        <v>0</v>
      </c>
      <c r="H296">
        <v>1</v>
      </c>
      <c r="I296">
        <v>0</v>
      </c>
      <c r="J296">
        <v>2</v>
      </c>
      <c r="K296">
        <v>63.21</v>
      </c>
      <c r="L296">
        <v>63.28</v>
      </c>
      <c r="M296">
        <v>66.27</v>
      </c>
      <c r="N296" t="s">
        <v>81</v>
      </c>
    </row>
    <row r="297" spans="1:14" x14ac:dyDescent="0.2">
      <c r="A297" s="1">
        <v>297</v>
      </c>
      <c r="B297" t="s">
        <v>236</v>
      </c>
      <c r="C297">
        <v>63.21</v>
      </c>
      <c r="D297">
        <v>9</v>
      </c>
      <c r="E297">
        <v>21</v>
      </c>
      <c r="F297">
        <v>71.099999999999994</v>
      </c>
      <c r="G297">
        <v>0</v>
      </c>
      <c r="H297">
        <v>0</v>
      </c>
      <c r="I297">
        <v>0</v>
      </c>
      <c r="J297">
        <v>1</v>
      </c>
      <c r="K297">
        <v>62.88</v>
      </c>
      <c r="L297">
        <v>63.4</v>
      </c>
      <c r="M297">
        <v>65.83</v>
      </c>
      <c r="N297" t="s">
        <v>94</v>
      </c>
    </row>
    <row r="298" spans="1:14" x14ac:dyDescent="0.2">
      <c r="A298" s="1">
        <v>298</v>
      </c>
      <c r="B298" t="s">
        <v>237</v>
      </c>
      <c r="C298">
        <v>63.1</v>
      </c>
      <c r="D298">
        <v>12</v>
      </c>
      <c r="E298">
        <v>19</v>
      </c>
      <c r="F298">
        <v>66.400000000000006</v>
      </c>
      <c r="G298">
        <v>0</v>
      </c>
      <c r="H298">
        <v>0</v>
      </c>
      <c r="I298">
        <v>0</v>
      </c>
      <c r="J298">
        <v>0</v>
      </c>
      <c r="K298">
        <v>62.85</v>
      </c>
      <c r="L298">
        <v>62.43</v>
      </c>
      <c r="M298">
        <v>68.19</v>
      </c>
      <c r="N298" t="s">
        <v>141</v>
      </c>
    </row>
    <row r="299" spans="1:14" x14ac:dyDescent="0.2">
      <c r="A299" s="1">
        <v>299</v>
      </c>
      <c r="B299" t="s">
        <v>238</v>
      </c>
      <c r="C299">
        <v>63.04</v>
      </c>
      <c r="D299">
        <v>9</v>
      </c>
      <c r="E299">
        <v>21</v>
      </c>
      <c r="F299">
        <v>70.33</v>
      </c>
      <c r="G299">
        <v>0</v>
      </c>
      <c r="H299">
        <v>0</v>
      </c>
      <c r="I299">
        <v>0</v>
      </c>
      <c r="J299">
        <v>2</v>
      </c>
      <c r="K299">
        <v>62.93</v>
      </c>
      <c r="L299">
        <v>63.34</v>
      </c>
      <c r="M299">
        <v>61</v>
      </c>
      <c r="N299" t="s">
        <v>94</v>
      </c>
    </row>
    <row r="300" spans="1:14" x14ac:dyDescent="0.2">
      <c r="A300" s="1">
        <v>300</v>
      </c>
      <c r="B300" t="s">
        <v>239</v>
      </c>
      <c r="C300">
        <v>62.97</v>
      </c>
      <c r="D300">
        <v>6</v>
      </c>
      <c r="E300">
        <v>19</v>
      </c>
      <c r="F300">
        <v>71.900000000000006</v>
      </c>
      <c r="G300">
        <v>0</v>
      </c>
      <c r="H300">
        <v>1</v>
      </c>
      <c r="I300">
        <v>0</v>
      </c>
      <c r="J300">
        <v>2</v>
      </c>
      <c r="K300">
        <v>62.4</v>
      </c>
      <c r="L300">
        <v>63.84</v>
      </c>
      <c r="M300">
        <v>65.36</v>
      </c>
      <c r="N300" t="s">
        <v>145</v>
      </c>
    </row>
    <row r="301" spans="1:14" x14ac:dyDescent="0.2">
      <c r="A301" s="1">
        <v>301</v>
      </c>
      <c r="B301" t="s">
        <v>897</v>
      </c>
      <c r="C301">
        <v>62.97</v>
      </c>
      <c r="D301">
        <v>6</v>
      </c>
      <c r="E301">
        <v>23</v>
      </c>
      <c r="F301">
        <v>70.760000000000005</v>
      </c>
      <c r="G301">
        <v>0</v>
      </c>
      <c r="H301">
        <v>3</v>
      </c>
      <c r="I301">
        <v>0</v>
      </c>
      <c r="J301">
        <v>3</v>
      </c>
      <c r="K301">
        <v>63.15</v>
      </c>
      <c r="L301">
        <v>62.29</v>
      </c>
      <c r="M301">
        <v>61.53</v>
      </c>
      <c r="N301" t="s">
        <v>81</v>
      </c>
    </row>
    <row r="302" spans="1:14" x14ac:dyDescent="0.2">
      <c r="A302" s="1">
        <v>302</v>
      </c>
      <c r="B302" t="s">
        <v>901</v>
      </c>
      <c r="C302">
        <v>62.91</v>
      </c>
      <c r="D302">
        <v>10</v>
      </c>
      <c r="E302">
        <v>17</v>
      </c>
      <c r="F302">
        <v>67.459999999999994</v>
      </c>
      <c r="G302">
        <v>0</v>
      </c>
      <c r="H302">
        <v>1</v>
      </c>
      <c r="I302">
        <v>0</v>
      </c>
      <c r="J302">
        <v>1</v>
      </c>
      <c r="K302">
        <v>62.44</v>
      </c>
      <c r="L302">
        <v>63.07</v>
      </c>
      <c r="M302">
        <v>67.42</v>
      </c>
      <c r="N302" t="s">
        <v>90</v>
      </c>
    </row>
    <row r="303" spans="1:14" x14ac:dyDescent="0.2">
      <c r="A303" s="1">
        <v>303</v>
      </c>
      <c r="B303" t="s">
        <v>850</v>
      </c>
      <c r="C303">
        <v>62.89</v>
      </c>
      <c r="D303">
        <v>6</v>
      </c>
      <c r="E303">
        <v>21</v>
      </c>
      <c r="F303">
        <v>69.86</v>
      </c>
      <c r="G303">
        <v>0</v>
      </c>
      <c r="H303">
        <v>0</v>
      </c>
      <c r="I303">
        <v>0</v>
      </c>
      <c r="J303">
        <v>0</v>
      </c>
      <c r="K303">
        <v>62.75</v>
      </c>
      <c r="L303">
        <v>62.69</v>
      </c>
      <c r="M303">
        <v>64.59</v>
      </c>
      <c r="N303" t="s">
        <v>135</v>
      </c>
    </row>
    <row r="304" spans="1:14" x14ac:dyDescent="0.2">
      <c r="A304" s="1">
        <v>304</v>
      </c>
      <c r="B304" t="s">
        <v>240</v>
      </c>
      <c r="C304">
        <v>62.69</v>
      </c>
      <c r="D304">
        <v>12</v>
      </c>
      <c r="E304">
        <v>15</v>
      </c>
      <c r="F304">
        <v>65.760000000000005</v>
      </c>
      <c r="G304">
        <v>0</v>
      </c>
      <c r="H304">
        <v>2</v>
      </c>
      <c r="I304">
        <v>0</v>
      </c>
      <c r="J304">
        <v>2</v>
      </c>
      <c r="K304">
        <v>62.54</v>
      </c>
      <c r="L304">
        <v>62.72</v>
      </c>
      <c r="M304">
        <v>63.37</v>
      </c>
      <c r="N304" t="s">
        <v>225</v>
      </c>
    </row>
    <row r="305" spans="1:14" x14ac:dyDescent="0.2">
      <c r="A305" s="1">
        <v>305</v>
      </c>
      <c r="B305" t="s">
        <v>902</v>
      </c>
      <c r="C305">
        <v>62.68</v>
      </c>
      <c r="D305">
        <v>9</v>
      </c>
      <c r="E305">
        <v>21</v>
      </c>
      <c r="F305">
        <v>67.95</v>
      </c>
      <c r="G305">
        <v>0</v>
      </c>
      <c r="H305">
        <v>0</v>
      </c>
      <c r="I305">
        <v>0</v>
      </c>
      <c r="J305">
        <v>1</v>
      </c>
      <c r="K305">
        <v>62.86</v>
      </c>
      <c r="L305">
        <v>61.71</v>
      </c>
      <c r="M305">
        <v>63.2</v>
      </c>
      <c r="N305" t="s">
        <v>77</v>
      </c>
    </row>
    <row r="306" spans="1:14" x14ac:dyDescent="0.2">
      <c r="A306" s="1">
        <v>306</v>
      </c>
      <c r="B306" t="s">
        <v>241</v>
      </c>
      <c r="C306">
        <v>62.45</v>
      </c>
      <c r="D306">
        <v>10</v>
      </c>
      <c r="E306">
        <v>20</v>
      </c>
      <c r="F306">
        <v>67.790000000000006</v>
      </c>
      <c r="G306">
        <v>0</v>
      </c>
      <c r="H306">
        <v>0</v>
      </c>
      <c r="I306">
        <v>0</v>
      </c>
      <c r="J306">
        <v>0</v>
      </c>
      <c r="K306">
        <v>62.34</v>
      </c>
      <c r="L306">
        <v>61.88</v>
      </c>
      <c r="M306">
        <v>65.430000000000007</v>
      </c>
      <c r="N306" t="s">
        <v>82</v>
      </c>
    </row>
    <row r="307" spans="1:14" x14ac:dyDescent="0.2">
      <c r="A307" s="1">
        <v>307</v>
      </c>
      <c r="B307" t="s">
        <v>822</v>
      </c>
      <c r="C307">
        <v>62.42</v>
      </c>
      <c r="D307">
        <v>9</v>
      </c>
      <c r="E307">
        <v>18</v>
      </c>
      <c r="F307">
        <v>68.17</v>
      </c>
      <c r="G307">
        <v>0</v>
      </c>
      <c r="H307">
        <v>1</v>
      </c>
      <c r="I307">
        <v>0</v>
      </c>
      <c r="J307">
        <v>1</v>
      </c>
      <c r="K307">
        <v>61.44</v>
      </c>
      <c r="L307">
        <v>63.2</v>
      </c>
      <c r="M307">
        <v>69.510000000000005</v>
      </c>
      <c r="N307" t="s">
        <v>151</v>
      </c>
    </row>
    <row r="308" spans="1:14" x14ac:dyDescent="0.2">
      <c r="A308" s="1">
        <v>308</v>
      </c>
      <c r="B308" t="s">
        <v>242</v>
      </c>
      <c r="C308">
        <v>62.25</v>
      </c>
      <c r="D308">
        <v>5</v>
      </c>
      <c r="E308">
        <v>21</v>
      </c>
      <c r="F308">
        <v>69.319999999999993</v>
      </c>
      <c r="G308">
        <v>0</v>
      </c>
      <c r="H308">
        <v>2</v>
      </c>
      <c r="I308">
        <v>0</v>
      </c>
      <c r="J308">
        <v>3</v>
      </c>
      <c r="K308">
        <v>62.52</v>
      </c>
      <c r="L308">
        <v>61.57</v>
      </c>
      <c r="M308">
        <v>58.68</v>
      </c>
      <c r="N308" t="s">
        <v>138</v>
      </c>
    </row>
    <row r="309" spans="1:14" x14ac:dyDescent="0.2">
      <c r="A309" s="1">
        <v>309</v>
      </c>
      <c r="B309" t="s">
        <v>841</v>
      </c>
      <c r="C309">
        <v>62.25</v>
      </c>
      <c r="D309">
        <v>9</v>
      </c>
      <c r="E309">
        <v>15</v>
      </c>
      <c r="F309">
        <v>64.88</v>
      </c>
      <c r="G309">
        <v>0</v>
      </c>
      <c r="H309">
        <v>0</v>
      </c>
      <c r="I309">
        <v>0</v>
      </c>
      <c r="J309">
        <v>1</v>
      </c>
      <c r="K309">
        <v>61.78</v>
      </c>
      <c r="L309">
        <v>62.35</v>
      </c>
      <c r="M309">
        <v>66.83</v>
      </c>
      <c r="N309" t="s">
        <v>225</v>
      </c>
    </row>
    <row r="310" spans="1:14" x14ac:dyDescent="0.2">
      <c r="A310" s="1">
        <v>310</v>
      </c>
      <c r="B310" t="s">
        <v>243</v>
      </c>
      <c r="C310">
        <v>62.17</v>
      </c>
      <c r="D310">
        <v>7</v>
      </c>
      <c r="E310">
        <v>23</v>
      </c>
      <c r="F310">
        <v>71.73</v>
      </c>
      <c r="G310">
        <v>0</v>
      </c>
      <c r="H310">
        <v>2</v>
      </c>
      <c r="I310">
        <v>0</v>
      </c>
      <c r="J310">
        <v>3</v>
      </c>
      <c r="K310">
        <v>61.95</v>
      </c>
      <c r="L310">
        <v>62.53</v>
      </c>
      <c r="M310">
        <v>62.03</v>
      </c>
      <c r="N310" t="s">
        <v>94</v>
      </c>
    </row>
    <row r="311" spans="1:14" x14ac:dyDescent="0.2">
      <c r="A311" s="1">
        <v>311</v>
      </c>
      <c r="B311" t="s">
        <v>244</v>
      </c>
      <c r="C311">
        <v>62.16</v>
      </c>
      <c r="D311">
        <v>9</v>
      </c>
      <c r="E311">
        <v>20</v>
      </c>
      <c r="F311">
        <v>67.040000000000006</v>
      </c>
      <c r="G311">
        <v>0</v>
      </c>
      <c r="H311">
        <v>1</v>
      </c>
      <c r="I311">
        <v>0</v>
      </c>
      <c r="J311">
        <v>1</v>
      </c>
      <c r="K311">
        <v>62.04</v>
      </c>
      <c r="L311">
        <v>62.39</v>
      </c>
      <c r="M311">
        <v>61.02</v>
      </c>
      <c r="N311" t="s">
        <v>141</v>
      </c>
    </row>
    <row r="312" spans="1:14" x14ac:dyDescent="0.2">
      <c r="A312" s="1">
        <v>312</v>
      </c>
      <c r="B312" t="s">
        <v>245</v>
      </c>
      <c r="C312">
        <v>62.08</v>
      </c>
      <c r="D312">
        <v>6</v>
      </c>
      <c r="E312">
        <v>22</v>
      </c>
      <c r="F312">
        <v>71.14</v>
      </c>
      <c r="G312">
        <v>0</v>
      </c>
      <c r="H312">
        <v>1</v>
      </c>
      <c r="I312">
        <v>0</v>
      </c>
      <c r="J312">
        <v>3</v>
      </c>
      <c r="K312">
        <v>61.47</v>
      </c>
      <c r="L312">
        <v>62.6</v>
      </c>
      <c r="M312">
        <v>66.58</v>
      </c>
      <c r="N312" t="s">
        <v>94</v>
      </c>
    </row>
    <row r="313" spans="1:14" x14ac:dyDescent="0.2">
      <c r="A313" s="1">
        <v>313</v>
      </c>
      <c r="B313" t="s">
        <v>246</v>
      </c>
      <c r="C313">
        <v>61.9</v>
      </c>
      <c r="D313">
        <v>9</v>
      </c>
      <c r="E313">
        <v>20</v>
      </c>
      <c r="F313">
        <v>65.569999999999993</v>
      </c>
      <c r="G313">
        <v>0</v>
      </c>
      <c r="H313">
        <v>0</v>
      </c>
      <c r="I313">
        <v>0</v>
      </c>
      <c r="J313">
        <v>1</v>
      </c>
      <c r="K313">
        <v>61.85</v>
      </c>
      <c r="L313">
        <v>61.48</v>
      </c>
      <c r="M313">
        <v>63.34</v>
      </c>
      <c r="N313" t="s">
        <v>167</v>
      </c>
    </row>
    <row r="314" spans="1:14" x14ac:dyDescent="0.2">
      <c r="A314" s="1">
        <v>314</v>
      </c>
      <c r="B314" t="s">
        <v>247</v>
      </c>
      <c r="C314">
        <v>61.81</v>
      </c>
      <c r="D314">
        <v>11</v>
      </c>
      <c r="E314">
        <v>17</v>
      </c>
      <c r="F314">
        <v>66.150000000000006</v>
      </c>
      <c r="G314">
        <v>0</v>
      </c>
      <c r="H314">
        <v>0</v>
      </c>
      <c r="I314">
        <v>0</v>
      </c>
      <c r="J314">
        <v>0</v>
      </c>
      <c r="K314">
        <v>61.76</v>
      </c>
      <c r="L314">
        <v>61.45</v>
      </c>
      <c r="M314">
        <v>62.97</v>
      </c>
      <c r="N314" t="s">
        <v>204</v>
      </c>
    </row>
    <row r="315" spans="1:14" x14ac:dyDescent="0.2">
      <c r="A315" s="1">
        <v>315</v>
      </c>
      <c r="B315" t="s">
        <v>832</v>
      </c>
      <c r="C315">
        <v>61.8</v>
      </c>
      <c r="D315">
        <v>9</v>
      </c>
      <c r="E315">
        <v>23</v>
      </c>
      <c r="F315">
        <v>68.3</v>
      </c>
      <c r="G315">
        <v>0</v>
      </c>
      <c r="H315">
        <v>1</v>
      </c>
      <c r="I315">
        <v>0</v>
      </c>
      <c r="J315">
        <v>2</v>
      </c>
      <c r="K315">
        <v>61.74</v>
      </c>
      <c r="L315">
        <v>61.14</v>
      </c>
      <c r="M315">
        <v>64.44</v>
      </c>
      <c r="N315" t="s">
        <v>225</v>
      </c>
    </row>
    <row r="316" spans="1:14" x14ac:dyDescent="0.2">
      <c r="A316" s="1">
        <v>316</v>
      </c>
      <c r="B316" t="s">
        <v>248</v>
      </c>
      <c r="C316">
        <v>61.71</v>
      </c>
      <c r="D316">
        <v>6</v>
      </c>
      <c r="E316">
        <v>22</v>
      </c>
      <c r="F316">
        <v>71.14</v>
      </c>
      <c r="G316">
        <v>0</v>
      </c>
      <c r="H316">
        <v>0</v>
      </c>
      <c r="I316">
        <v>0</v>
      </c>
      <c r="J316">
        <v>3</v>
      </c>
      <c r="K316">
        <v>61.63</v>
      </c>
      <c r="L316">
        <v>62.1</v>
      </c>
      <c r="M316">
        <v>58.14</v>
      </c>
      <c r="N316" t="s">
        <v>135</v>
      </c>
    </row>
    <row r="317" spans="1:14" x14ac:dyDescent="0.2">
      <c r="A317" s="1">
        <v>317</v>
      </c>
      <c r="B317" t="s">
        <v>867</v>
      </c>
      <c r="C317">
        <v>61.53</v>
      </c>
      <c r="D317">
        <v>10</v>
      </c>
      <c r="E317">
        <v>20</v>
      </c>
      <c r="F317">
        <v>67.48</v>
      </c>
      <c r="G317">
        <v>0</v>
      </c>
      <c r="H317">
        <v>2</v>
      </c>
      <c r="I317">
        <v>0</v>
      </c>
      <c r="J317">
        <v>3</v>
      </c>
      <c r="K317">
        <v>61.41</v>
      </c>
      <c r="L317">
        <v>61.66</v>
      </c>
      <c r="M317">
        <v>61.08</v>
      </c>
      <c r="N317" t="s">
        <v>204</v>
      </c>
    </row>
    <row r="318" spans="1:14" x14ac:dyDescent="0.2">
      <c r="A318" s="1">
        <v>318</v>
      </c>
      <c r="B318" t="s">
        <v>249</v>
      </c>
      <c r="C318">
        <v>61.49</v>
      </c>
      <c r="D318">
        <v>9</v>
      </c>
      <c r="E318">
        <v>22</v>
      </c>
      <c r="F318">
        <v>67.010000000000005</v>
      </c>
      <c r="G318">
        <v>0</v>
      </c>
      <c r="H318">
        <v>0</v>
      </c>
      <c r="I318">
        <v>0</v>
      </c>
      <c r="J318">
        <v>0</v>
      </c>
      <c r="K318">
        <v>61.28</v>
      </c>
      <c r="L318">
        <v>61.99</v>
      </c>
      <c r="M318">
        <v>60.29</v>
      </c>
      <c r="N318" t="s">
        <v>186</v>
      </c>
    </row>
    <row r="319" spans="1:14" x14ac:dyDescent="0.2">
      <c r="A319" s="1">
        <v>319</v>
      </c>
      <c r="B319" t="s">
        <v>250</v>
      </c>
      <c r="C319">
        <v>61.49</v>
      </c>
      <c r="D319">
        <v>10</v>
      </c>
      <c r="E319">
        <v>22</v>
      </c>
      <c r="F319">
        <v>66.8</v>
      </c>
      <c r="G319">
        <v>0</v>
      </c>
      <c r="H319">
        <v>0</v>
      </c>
      <c r="I319">
        <v>0</v>
      </c>
      <c r="J319">
        <v>0</v>
      </c>
      <c r="K319">
        <v>61.02</v>
      </c>
      <c r="L319">
        <v>62.14</v>
      </c>
      <c r="M319">
        <v>63.63</v>
      </c>
      <c r="N319" t="s">
        <v>141</v>
      </c>
    </row>
    <row r="320" spans="1:14" x14ac:dyDescent="0.2">
      <c r="A320" s="1">
        <v>320</v>
      </c>
      <c r="B320" t="s">
        <v>833</v>
      </c>
      <c r="C320">
        <v>61.33</v>
      </c>
      <c r="D320">
        <v>7</v>
      </c>
      <c r="E320">
        <v>22</v>
      </c>
      <c r="F320">
        <v>67.42</v>
      </c>
      <c r="G320">
        <v>0</v>
      </c>
      <c r="H320">
        <v>1</v>
      </c>
      <c r="I320">
        <v>0</v>
      </c>
      <c r="J320">
        <v>2</v>
      </c>
      <c r="K320">
        <v>61.48</v>
      </c>
      <c r="L320">
        <v>60.63</v>
      </c>
      <c r="M320">
        <v>60.68</v>
      </c>
      <c r="N320" t="s">
        <v>179</v>
      </c>
    </row>
    <row r="321" spans="1:14" x14ac:dyDescent="0.2">
      <c r="A321" s="1">
        <v>321</v>
      </c>
      <c r="B321" t="s">
        <v>251</v>
      </c>
      <c r="C321">
        <v>61.3</v>
      </c>
      <c r="D321">
        <v>7</v>
      </c>
      <c r="E321">
        <v>24</v>
      </c>
      <c r="F321">
        <v>68.03</v>
      </c>
      <c r="G321">
        <v>0</v>
      </c>
      <c r="H321">
        <v>1</v>
      </c>
      <c r="I321">
        <v>0</v>
      </c>
      <c r="J321">
        <v>1</v>
      </c>
      <c r="K321">
        <v>61.36</v>
      </c>
      <c r="L321">
        <v>60.82</v>
      </c>
      <c r="M321">
        <v>61.14</v>
      </c>
      <c r="N321" t="s">
        <v>186</v>
      </c>
    </row>
    <row r="322" spans="1:14" x14ac:dyDescent="0.2">
      <c r="A322" s="1">
        <v>322</v>
      </c>
      <c r="B322" t="s">
        <v>252</v>
      </c>
      <c r="C322">
        <v>61.27</v>
      </c>
      <c r="D322">
        <v>9</v>
      </c>
      <c r="E322">
        <v>23</v>
      </c>
      <c r="F322">
        <v>67.83</v>
      </c>
      <c r="G322">
        <v>0</v>
      </c>
      <c r="H322">
        <v>0</v>
      </c>
      <c r="I322">
        <v>0</v>
      </c>
      <c r="J322">
        <v>0</v>
      </c>
      <c r="K322">
        <v>60.96</v>
      </c>
      <c r="L322">
        <v>61.4</v>
      </c>
      <c r="M322">
        <v>63.71</v>
      </c>
      <c r="N322" t="s">
        <v>141</v>
      </c>
    </row>
    <row r="323" spans="1:14" x14ac:dyDescent="0.2">
      <c r="A323" s="1">
        <v>323</v>
      </c>
      <c r="B323" t="s">
        <v>892</v>
      </c>
      <c r="C323">
        <v>61.13</v>
      </c>
      <c r="D323">
        <v>9</v>
      </c>
      <c r="E323">
        <v>20</v>
      </c>
      <c r="F323">
        <v>65.78</v>
      </c>
      <c r="G323">
        <v>0</v>
      </c>
      <c r="H323">
        <v>0</v>
      </c>
      <c r="I323">
        <v>0</v>
      </c>
      <c r="J323">
        <v>2</v>
      </c>
      <c r="K323">
        <v>61.13</v>
      </c>
      <c r="L323">
        <v>60.83</v>
      </c>
      <c r="M323">
        <v>61.1</v>
      </c>
      <c r="N323" t="s">
        <v>167</v>
      </c>
    </row>
    <row r="324" spans="1:14" x14ac:dyDescent="0.2">
      <c r="A324" s="1">
        <v>324</v>
      </c>
      <c r="B324" t="s">
        <v>893</v>
      </c>
      <c r="C324">
        <v>60.98</v>
      </c>
      <c r="D324">
        <v>8</v>
      </c>
      <c r="E324">
        <v>21</v>
      </c>
      <c r="F324">
        <v>66.28</v>
      </c>
      <c r="G324">
        <v>0</v>
      </c>
      <c r="H324">
        <v>2</v>
      </c>
      <c r="I324">
        <v>0</v>
      </c>
      <c r="J324">
        <v>2</v>
      </c>
      <c r="K324">
        <v>60.79</v>
      </c>
      <c r="L324">
        <v>61.29</v>
      </c>
      <c r="M324">
        <v>60.59</v>
      </c>
      <c r="N324" t="s">
        <v>167</v>
      </c>
    </row>
    <row r="325" spans="1:14" x14ac:dyDescent="0.2">
      <c r="A325" s="1">
        <v>325</v>
      </c>
      <c r="B325" t="s">
        <v>253</v>
      </c>
      <c r="C325">
        <v>60.87</v>
      </c>
      <c r="D325">
        <v>7</v>
      </c>
      <c r="E325">
        <v>19</v>
      </c>
      <c r="F325">
        <v>67.58</v>
      </c>
      <c r="G325">
        <v>0</v>
      </c>
      <c r="H325">
        <v>0</v>
      </c>
      <c r="I325">
        <v>0</v>
      </c>
      <c r="J325">
        <v>0</v>
      </c>
      <c r="K325">
        <v>60.78</v>
      </c>
      <c r="L325">
        <v>60.52</v>
      </c>
      <c r="M325">
        <v>62.65</v>
      </c>
      <c r="N325" t="s">
        <v>171</v>
      </c>
    </row>
    <row r="326" spans="1:14" x14ac:dyDescent="0.2">
      <c r="A326" s="1">
        <v>326</v>
      </c>
      <c r="B326" t="s">
        <v>254</v>
      </c>
      <c r="C326">
        <v>60.85</v>
      </c>
      <c r="D326">
        <v>7</v>
      </c>
      <c r="E326">
        <v>23</v>
      </c>
      <c r="F326">
        <v>68.61</v>
      </c>
      <c r="G326">
        <v>0</v>
      </c>
      <c r="H326">
        <v>2</v>
      </c>
      <c r="I326">
        <v>0</v>
      </c>
      <c r="J326">
        <v>2</v>
      </c>
      <c r="K326">
        <v>60.94</v>
      </c>
      <c r="L326">
        <v>60.68</v>
      </c>
      <c r="M326">
        <v>57.67</v>
      </c>
      <c r="N326" t="s">
        <v>151</v>
      </c>
    </row>
    <row r="327" spans="1:14" x14ac:dyDescent="0.2">
      <c r="A327" s="1">
        <v>327</v>
      </c>
      <c r="B327" t="s">
        <v>834</v>
      </c>
      <c r="C327">
        <v>60.81</v>
      </c>
      <c r="D327">
        <v>9</v>
      </c>
      <c r="E327">
        <v>21</v>
      </c>
      <c r="F327">
        <v>66.3</v>
      </c>
      <c r="G327">
        <v>0</v>
      </c>
      <c r="H327">
        <v>3</v>
      </c>
      <c r="I327">
        <v>0</v>
      </c>
      <c r="J327">
        <v>3</v>
      </c>
      <c r="K327">
        <v>60.99</v>
      </c>
      <c r="L327">
        <v>59.44</v>
      </c>
      <c r="M327">
        <v>62.91</v>
      </c>
      <c r="N327" t="s">
        <v>204</v>
      </c>
    </row>
    <row r="328" spans="1:14" x14ac:dyDescent="0.2">
      <c r="A328" s="1">
        <v>328</v>
      </c>
      <c r="B328" t="s">
        <v>830</v>
      </c>
      <c r="C328">
        <v>60.76</v>
      </c>
      <c r="D328">
        <v>5</v>
      </c>
      <c r="E328">
        <v>23</v>
      </c>
      <c r="F328">
        <v>68.739999999999995</v>
      </c>
      <c r="G328">
        <v>0</v>
      </c>
      <c r="H328">
        <v>0</v>
      </c>
      <c r="I328">
        <v>0</v>
      </c>
      <c r="J328">
        <v>0</v>
      </c>
      <c r="K328">
        <v>60.4</v>
      </c>
      <c r="L328">
        <v>61.08</v>
      </c>
      <c r="M328">
        <v>63.1</v>
      </c>
      <c r="N328" t="s">
        <v>151</v>
      </c>
    </row>
    <row r="329" spans="1:14" x14ac:dyDescent="0.2">
      <c r="A329" s="1">
        <v>329</v>
      </c>
      <c r="B329" t="s">
        <v>255</v>
      </c>
      <c r="C329">
        <v>60.66</v>
      </c>
      <c r="D329">
        <v>5</v>
      </c>
      <c r="E329">
        <v>26</v>
      </c>
      <c r="F329">
        <v>72.150000000000006</v>
      </c>
      <c r="G329">
        <v>0</v>
      </c>
      <c r="H329">
        <v>0</v>
      </c>
      <c r="I329">
        <v>0</v>
      </c>
      <c r="J329">
        <v>1</v>
      </c>
      <c r="K329">
        <v>60.44</v>
      </c>
      <c r="L329">
        <v>61.14</v>
      </c>
      <c r="M329">
        <v>59.5</v>
      </c>
      <c r="N329" t="s">
        <v>67</v>
      </c>
    </row>
    <row r="330" spans="1:14" x14ac:dyDescent="0.2">
      <c r="A330" s="1">
        <v>330</v>
      </c>
      <c r="B330" t="s">
        <v>256</v>
      </c>
      <c r="C330">
        <v>60.62</v>
      </c>
      <c r="D330">
        <v>9</v>
      </c>
      <c r="E330">
        <v>20</v>
      </c>
      <c r="F330">
        <v>71</v>
      </c>
      <c r="G330">
        <v>0</v>
      </c>
      <c r="H330">
        <v>2</v>
      </c>
      <c r="I330">
        <v>0</v>
      </c>
      <c r="J330">
        <v>3</v>
      </c>
      <c r="K330">
        <v>59.81</v>
      </c>
      <c r="L330">
        <v>61.81</v>
      </c>
      <c r="M330">
        <v>64.09</v>
      </c>
      <c r="N330" t="s">
        <v>138</v>
      </c>
    </row>
    <row r="331" spans="1:14" x14ac:dyDescent="0.2">
      <c r="A331" s="1">
        <v>331</v>
      </c>
      <c r="B331" t="s">
        <v>257</v>
      </c>
      <c r="C331">
        <v>60.5</v>
      </c>
      <c r="D331">
        <v>7</v>
      </c>
      <c r="E331">
        <v>22</v>
      </c>
      <c r="F331">
        <v>68.87</v>
      </c>
      <c r="G331">
        <v>0</v>
      </c>
      <c r="H331">
        <v>0</v>
      </c>
      <c r="I331">
        <v>0</v>
      </c>
      <c r="J331">
        <v>1</v>
      </c>
      <c r="K331">
        <v>60.28</v>
      </c>
      <c r="L331">
        <v>60.52</v>
      </c>
      <c r="M331">
        <v>62.33</v>
      </c>
      <c r="N331" t="s">
        <v>151</v>
      </c>
    </row>
    <row r="332" spans="1:14" x14ac:dyDescent="0.2">
      <c r="A332" s="1">
        <v>332</v>
      </c>
      <c r="B332" t="s">
        <v>258</v>
      </c>
      <c r="C332">
        <v>60.47</v>
      </c>
      <c r="D332">
        <v>4</v>
      </c>
      <c r="E332">
        <v>27</v>
      </c>
      <c r="F332">
        <v>71.13</v>
      </c>
      <c r="G332">
        <v>0</v>
      </c>
      <c r="H332">
        <v>0</v>
      </c>
      <c r="I332">
        <v>0</v>
      </c>
      <c r="J332">
        <v>1</v>
      </c>
      <c r="K332">
        <v>60.56</v>
      </c>
      <c r="L332">
        <v>60.15</v>
      </c>
      <c r="M332">
        <v>58.76</v>
      </c>
      <c r="N332" t="s">
        <v>109</v>
      </c>
    </row>
    <row r="333" spans="1:14" x14ac:dyDescent="0.2">
      <c r="A333" s="1">
        <v>333</v>
      </c>
      <c r="B333" t="s">
        <v>891</v>
      </c>
      <c r="C333">
        <v>60.47</v>
      </c>
      <c r="D333">
        <v>6</v>
      </c>
      <c r="E333">
        <v>22</v>
      </c>
      <c r="F333">
        <v>69.84</v>
      </c>
      <c r="G333">
        <v>0</v>
      </c>
      <c r="H333">
        <v>1</v>
      </c>
      <c r="I333">
        <v>0</v>
      </c>
      <c r="J333">
        <v>1</v>
      </c>
      <c r="K333">
        <v>60.76</v>
      </c>
      <c r="L333">
        <v>59.66</v>
      </c>
      <c r="M333">
        <v>56.47</v>
      </c>
      <c r="N333" t="s">
        <v>77</v>
      </c>
    </row>
    <row r="334" spans="1:14" x14ac:dyDescent="0.2">
      <c r="A334" s="1">
        <v>334</v>
      </c>
      <c r="B334" t="s">
        <v>259</v>
      </c>
      <c r="C334">
        <v>60.37</v>
      </c>
      <c r="D334">
        <v>4</v>
      </c>
      <c r="E334">
        <v>25</v>
      </c>
      <c r="F334">
        <v>67.989999999999995</v>
      </c>
      <c r="G334">
        <v>0</v>
      </c>
      <c r="H334">
        <v>0</v>
      </c>
      <c r="I334">
        <v>0</v>
      </c>
      <c r="J334">
        <v>1</v>
      </c>
      <c r="K334">
        <v>60.66</v>
      </c>
      <c r="L334">
        <v>59.2</v>
      </c>
      <c r="M334">
        <v>59.68</v>
      </c>
      <c r="N334" t="s">
        <v>186</v>
      </c>
    </row>
    <row r="335" spans="1:14" x14ac:dyDescent="0.2">
      <c r="A335" s="1">
        <v>335</v>
      </c>
      <c r="B335" t="s">
        <v>882</v>
      </c>
      <c r="C335">
        <v>60.21</v>
      </c>
      <c r="D335">
        <v>10</v>
      </c>
      <c r="E335">
        <v>18</v>
      </c>
      <c r="F335">
        <v>67.040000000000006</v>
      </c>
      <c r="G335">
        <v>0</v>
      </c>
      <c r="H335">
        <v>0</v>
      </c>
      <c r="I335">
        <v>0</v>
      </c>
      <c r="J335">
        <v>1</v>
      </c>
      <c r="K335">
        <v>59.82</v>
      </c>
      <c r="L335">
        <v>61.29</v>
      </c>
      <c r="M335">
        <v>57.56</v>
      </c>
      <c r="N335" t="s">
        <v>90</v>
      </c>
    </row>
    <row r="336" spans="1:14" x14ac:dyDescent="0.2">
      <c r="A336" s="1">
        <v>336</v>
      </c>
      <c r="B336" t="s">
        <v>868</v>
      </c>
      <c r="C336">
        <v>59.94</v>
      </c>
      <c r="D336">
        <v>6</v>
      </c>
      <c r="E336">
        <v>23</v>
      </c>
      <c r="F336">
        <v>68.31</v>
      </c>
      <c r="G336">
        <v>0</v>
      </c>
      <c r="H336">
        <v>3</v>
      </c>
      <c r="I336">
        <v>0</v>
      </c>
      <c r="J336">
        <v>5</v>
      </c>
      <c r="K336">
        <v>59.93</v>
      </c>
      <c r="L336">
        <v>59.73</v>
      </c>
      <c r="M336">
        <v>59.31</v>
      </c>
      <c r="N336" t="s">
        <v>179</v>
      </c>
    </row>
    <row r="337" spans="1:14" x14ac:dyDescent="0.2">
      <c r="A337" s="1">
        <v>337</v>
      </c>
      <c r="B337" t="s">
        <v>260</v>
      </c>
      <c r="C337">
        <v>59.93</v>
      </c>
      <c r="D337">
        <v>12</v>
      </c>
      <c r="E337">
        <v>18</v>
      </c>
      <c r="F337">
        <v>64.680000000000007</v>
      </c>
      <c r="G337">
        <v>0</v>
      </c>
      <c r="H337">
        <v>0</v>
      </c>
      <c r="I337">
        <v>0</v>
      </c>
      <c r="J337">
        <v>0</v>
      </c>
      <c r="K337">
        <v>59.35</v>
      </c>
      <c r="L337">
        <v>59.99</v>
      </c>
      <c r="M337">
        <v>65.34</v>
      </c>
      <c r="N337" t="s">
        <v>204</v>
      </c>
    </row>
    <row r="338" spans="1:14" x14ac:dyDescent="0.2">
      <c r="A338" s="1">
        <v>338</v>
      </c>
      <c r="B338" t="s">
        <v>908</v>
      </c>
      <c r="C338">
        <v>59.63</v>
      </c>
      <c r="D338">
        <v>7</v>
      </c>
      <c r="E338">
        <v>20</v>
      </c>
      <c r="F338">
        <v>68.09</v>
      </c>
      <c r="G338">
        <v>0</v>
      </c>
      <c r="H338">
        <v>0</v>
      </c>
      <c r="I338">
        <v>0</v>
      </c>
      <c r="J338">
        <v>0</v>
      </c>
      <c r="K338">
        <v>59.75</v>
      </c>
      <c r="L338">
        <v>58.67</v>
      </c>
      <c r="M338">
        <v>60.9</v>
      </c>
      <c r="N338" t="s">
        <v>82</v>
      </c>
    </row>
    <row r="339" spans="1:14" x14ac:dyDescent="0.2">
      <c r="A339" s="1">
        <v>339</v>
      </c>
      <c r="B339" t="s">
        <v>900</v>
      </c>
      <c r="C339">
        <v>59.31</v>
      </c>
      <c r="D339">
        <v>12</v>
      </c>
      <c r="E339">
        <v>16</v>
      </c>
      <c r="F339">
        <v>64.69</v>
      </c>
      <c r="G339">
        <v>0</v>
      </c>
      <c r="H339">
        <v>1</v>
      </c>
      <c r="I339">
        <v>0</v>
      </c>
      <c r="J339">
        <v>1</v>
      </c>
      <c r="K339">
        <v>58.88</v>
      </c>
      <c r="L339">
        <v>59.72</v>
      </c>
      <c r="M339">
        <v>61.99</v>
      </c>
      <c r="N339" t="s">
        <v>225</v>
      </c>
    </row>
    <row r="340" spans="1:14" x14ac:dyDescent="0.2">
      <c r="A340" s="1">
        <v>340</v>
      </c>
      <c r="B340" t="s">
        <v>895</v>
      </c>
      <c r="C340">
        <v>58.92</v>
      </c>
      <c r="D340">
        <v>8</v>
      </c>
      <c r="E340">
        <v>21</v>
      </c>
      <c r="F340">
        <v>66.39</v>
      </c>
      <c r="G340">
        <v>0</v>
      </c>
      <c r="H340">
        <v>0</v>
      </c>
      <c r="I340">
        <v>0</v>
      </c>
      <c r="J340">
        <v>1</v>
      </c>
      <c r="K340">
        <v>58.78</v>
      </c>
      <c r="L340">
        <v>58.72</v>
      </c>
      <c r="M340">
        <v>60.68</v>
      </c>
      <c r="N340" t="s">
        <v>204</v>
      </c>
    </row>
    <row r="341" spans="1:14" x14ac:dyDescent="0.2">
      <c r="A341" s="1">
        <v>341</v>
      </c>
      <c r="B341" t="s">
        <v>886</v>
      </c>
      <c r="C341">
        <v>58.9</v>
      </c>
      <c r="D341">
        <v>8</v>
      </c>
      <c r="E341">
        <v>16</v>
      </c>
      <c r="F341">
        <v>66.63</v>
      </c>
      <c r="G341">
        <v>0</v>
      </c>
      <c r="H341">
        <v>1</v>
      </c>
      <c r="I341">
        <v>0</v>
      </c>
      <c r="J341">
        <v>1</v>
      </c>
      <c r="K341">
        <v>58.87</v>
      </c>
      <c r="L341">
        <v>58.15</v>
      </c>
      <c r="M341">
        <v>61.22</v>
      </c>
      <c r="N341" t="s">
        <v>225</v>
      </c>
    </row>
    <row r="342" spans="1:14" x14ac:dyDescent="0.2">
      <c r="A342" s="1">
        <v>342</v>
      </c>
      <c r="B342" t="s">
        <v>261</v>
      </c>
      <c r="C342">
        <v>58.76</v>
      </c>
      <c r="D342">
        <v>7</v>
      </c>
      <c r="E342">
        <v>18</v>
      </c>
      <c r="F342">
        <v>65.33</v>
      </c>
      <c r="G342">
        <v>0</v>
      </c>
      <c r="H342">
        <v>1</v>
      </c>
      <c r="I342">
        <v>0</v>
      </c>
      <c r="J342">
        <v>3</v>
      </c>
      <c r="K342">
        <v>58.54</v>
      </c>
      <c r="L342">
        <v>58.37</v>
      </c>
      <c r="M342">
        <v>62.16</v>
      </c>
      <c r="N342" t="s">
        <v>179</v>
      </c>
    </row>
    <row r="343" spans="1:14" x14ac:dyDescent="0.2">
      <c r="A343" s="1">
        <v>343</v>
      </c>
      <c r="B343" t="s">
        <v>262</v>
      </c>
      <c r="C343">
        <v>58.51</v>
      </c>
      <c r="D343">
        <v>0</v>
      </c>
      <c r="E343">
        <v>27</v>
      </c>
      <c r="F343">
        <v>70.36</v>
      </c>
      <c r="G343">
        <v>0</v>
      </c>
      <c r="H343">
        <v>1</v>
      </c>
      <c r="I343">
        <v>0</v>
      </c>
      <c r="J343">
        <v>2</v>
      </c>
      <c r="K343">
        <v>59.02</v>
      </c>
      <c r="L343">
        <v>56.83</v>
      </c>
      <c r="M343">
        <v>53.8</v>
      </c>
      <c r="N343" t="s">
        <v>81</v>
      </c>
    </row>
    <row r="344" spans="1:14" x14ac:dyDescent="0.2">
      <c r="A344" s="1">
        <v>344</v>
      </c>
      <c r="B344" t="s">
        <v>263</v>
      </c>
      <c r="C344">
        <v>58.37</v>
      </c>
      <c r="D344">
        <v>7</v>
      </c>
      <c r="E344">
        <v>22</v>
      </c>
      <c r="F344">
        <v>66.540000000000006</v>
      </c>
      <c r="G344">
        <v>0</v>
      </c>
      <c r="H344">
        <v>0</v>
      </c>
      <c r="I344">
        <v>0</v>
      </c>
      <c r="J344">
        <v>0</v>
      </c>
      <c r="K344">
        <v>58.06</v>
      </c>
      <c r="L344">
        <v>58.9</v>
      </c>
      <c r="M344">
        <v>58.72</v>
      </c>
      <c r="N344" t="s">
        <v>141</v>
      </c>
    </row>
    <row r="345" spans="1:14" x14ac:dyDescent="0.2">
      <c r="A345" s="1">
        <v>345</v>
      </c>
      <c r="B345" t="s">
        <v>264</v>
      </c>
      <c r="C345">
        <v>58.36</v>
      </c>
      <c r="D345">
        <v>3</v>
      </c>
      <c r="E345">
        <v>22</v>
      </c>
      <c r="F345">
        <v>69.31</v>
      </c>
      <c r="G345">
        <v>0</v>
      </c>
      <c r="H345">
        <v>0</v>
      </c>
      <c r="I345">
        <v>0</v>
      </c>
      <c r="J345">
        <v>0</v>
      </c>
      <c r="K345">
        <v>58.35</v>
      </c>
      <c r="L345">
        <v>58.33</v>
      </c>
      <c r="M345">
        <v>56.39</v>
      </c>
      <c r="N345" t="s">
        <v>125</v>
      </c>
    </row>
    <row r="346" spans="1:14" x14ac:dyDescent="0.2">
      <c r="A346" s="1">
        <v>346</v>
      </c>
      <c r="B346" t="s">
        <v>904</v>
      </c>
      <c r="C346">
        <v>58.11</v>
      </c>
      <c r="D346">
        <v>4</v>
      </c>
      <c r="E346">
        <v>25</v>
      </c>
      <c r="F346">
        <v>70.180000000000007</v>
      </c>
      <c r="G346">
        <v>0</v>
      </c>
      <c r="H346">
        <v>2</v>
      </c>
      <c r="I346">
        <v>0</v>
      </c>
      <c r="J346">
        <v>2</v>
      </c>
      <c r="K346">
        <v>58.2</v>
      </c>
      <c r="L346">
        <v>57.73</v>
      </c>
      <c r="M346">
        <v>56.73</v>
      </c>
      <c r="N346" t="s">
        <v>82</v>
      </c>
    </row>
    <row r="347" spans="1:14" x14ac:dyDescent="0.2">
      <c r="A347" s="1">
        <v>347</v>
      </c>
      <c r="B347" t="s">
        <v>265</v>
      </c>
      <c r="C347">
        <v>58.08</v>
      </c>
      <c r="D347">
        <v>4</v>
      </c>
      <c r="E347">
        <v>25</v>
      </c>
      <c r="F347">
        <v>67.64</v>
      </c>
      <c r="G347">
        <v>0</v>
      </c>
      <c r="H347">
        <v>0</v>
      </c>
      <c r="I347">
        <v>0</v>
      </c>
      <c r="J347">
        <v>0</v>
      </c>
      <c r="K347">
        <v>58.2</v>
      </c>
      <c r="L347">
        <v>57.56</v>
      </c>
      <c r="M347">
        <v>56.76</v>
      </c>
      <c r="N347" t="s">
        <v>82</v>
      </c>
    </row>
    <row r="348" spans="1:14" x14ac:dyDescent="0.2">
      <c r="A348" s="1">
        <v>348</v>
      </c>
      <c r="B348" t="s">
        <v>884</v>
      </c>
      <c r="C348">
        <v>57.74</v>
      </c>
      <c r="D348">
        <v>8</v>
      </c>
      <c r="E348">
        <v>24</v>
      </c>
      <c r="F348">
        <v>66.930000000000007</v>
      </c>
      <c r="G348">
        <v>0</v>
      </c>
      <c r="H348">
        <v>1</v>
      </c>
      <c r="I348">
        <v>0</v>
      </c>
      <c r="J348">
        <v>2</v>
      </c>
      <c r="K348">
        <v>57.65</v>
      </c>
      <c r="L348">
        <v>57.91</v>
      </c>
      <c r="M348">
        <v>56.27</v>
      </c>
      <c r="N348" t="s">
        <v>167</v>
      </c>
    </row>
    <row r="349" spans="1:14" x14ac:dyDescent="0.2">
      <c r="A349" s="1">
        <v>349</v>
      </c>
      <c r="B349" t="s">
        <v>266</v>
      </c>
      <c r="C349">
        <v>57.65</v>
      </c>
      <c r="D349">
        <v>4</v>
      </c>
      <c r="E349">
        <v>22</v>
      </c>
      <c r="F349">
        <v>67.72</v>
      </c>
      <c r="G349">
        <v>0</v>
      </c>
      <c r="H349">
        <v>0</v>
      </c>
      <c r="I349">
        <v>0</v>
      </c>
      <c r="J349">
        <v>2</v>
      </c>
      <c r="K349">
        <v>57.42</v>
      </c>
      <c r="L349">
        <v>57.82</v>
      </c>
      <c r="M349">
        <v>58.86</v>
      </c>
      <c r="N349" t="s">
        <v>167</v>
      </c>
    </row>
    <row r="350" spans="1:14" x14ac:dyDescent="0.2">
      <c r="A350" s="1">
        <v>350</v>
      </c>
      <c r="B350" t="s">
        <v>824</v>
      </c>
      <c r="C350">
        <v>57.56</v>
      </c>
      <c r="D350">
        <v>7</v>
      </c>
      <c r="E350">
        <v>25</v>
      </c>
      <c r="F350">
        <v>70.53</v>
      </c>
      <c r="G350">
        <v>0</v>
      </c>
      <c r="H350">
        <v>0</v>
      </c>
      <c r="I350">
        <v>0</v>
      </c>
      <c r="J350">
        <v>1</v>
      </c>
      <c r="K350">
        <v>57.26</v>
      </c>
      <c r="L350">
        <v>57.33</v>
      </c>
      <c r="M350">
        <v>61.13</v>
      </c>
      <c r="N350" t="s">
        <v>81</v>
      </c>
    </row>
    <row r="351" spans="1:14" x14ac:dyDescent="0.2">
      <c r="A351" s="1">
        <v>351</v>
      </c>
      <c r="B351" t="s">
        <v>267</v>
      </c>
      <c r="C351">
        <v>57.21</v>
      </c>
      <c r="D351">
        <v>3</v>
      </c>
      <c r="E351">
        <v>23</v>
      </c>
      <c r="F351">
        <v>67.83</v>
      </c>
      <c r="G351">
        <v>0</v>
      </c>
      <c r="H351">
        <v>1</v>
      </c>
      <c r="I351">
        <v>0</v>
      </c>
      <c r="J351">
        <v>1</v>
      </c>
      <c r="K351">
        <v>57.07</v>
      </c>
      <c r="L351">
        <v>56.98</v>
      </c>
      <c r="M351">
        <v>59.09</v>
      </c>
      <c r="N351" t="s">
        <v>90</v>
      </c>
    </row>
    <row r="352" spans="1:14" x14ac:dyDescent="0.2">
      <c r="A352" s="1">
        <v>352</v>
      </c>
      <c r="B352" t="s">
        <v>268</v>
      </c>
      <c r="C352">
        <v>57.11</v>
      </c>
      <c r="D352">
        <v>3</v>
      </c>
      <c r="E352">
        <v>25</v>
      </c>
      <c r="F352">
        <v>68.55</v>
      </c>
      <c r="G352">
        <v>0</v>
      </c>
      <c r="H352">
        <v>0</v>
      </c>
      <c r="I352">
        <v>0</v>
      </c>
      <c r="J352">
        <v>1</v>
      </c>
      <c r="K352">
        <v>57.16</v>
      </c>
      <c r="L352">
        <v>56.73</v>
      </c>
      <c r="M352">
        <v>56.45</v>
      </c>
      <c r="N352" t="s">
        <v>156</v>
      </c>
    </row>
    <row r="353" spans="1:14" x14ac:dyDescent="0.2">
      <c r="A353" s="1">
        <v>353</v>
      </c>
      <c r="B353" t="s">
        <v>269</v>
      </c>
      <c r="C353">
        <v>56.85</v>
      </c>
      <c r="D353">
        <v>5</v>
      </c>
      <c r="E353">
        <v>24</v>
      </c>
      <c r="F353">
        <v>66.819999999999993</v>
      </c>
      <c r="G353">
        <v>0</v>
      </c>
      <c r="H353">
        <v>4</v>
      </c>
      <c r="I353">
        <v>0</v>
      </c>
      <c r="J353">
        <v>4</v>
      </c>
      <c r="K353">
        <v>56.82</v>
      </c>
      <c r="L353">
        <v>56.5</v>
      </c>
      <c r="M353">
        <v>57.65</v>
      </c>
      <c r="N353" t="s">
        <v>179</v>
      </c>
    </row>
    <row r="354" spans="1:14" x14ac:dyDescent="0.2">
      <c r="A354" s="1">
        <v>354</v>
      </c>
      <c r="B354" t="s">
        <v>270</v>
      </c>
      <c r="C354">
        <v>55.4</v>
      </c>
      <c r="D354">
        <v>5</v>
      </c>
      <c r="E354">
        <v>24</v>
      </c>
      <c r="F354">
        <v>67.849999999999994</v>
      </c>
      <c r="G354">
        <v>0</v>
      </c>
      <c r="H354">
        <v>2</v>
      </c>
      <c r="I354">
        <v>0</v>
      </c>
      <c r="J354">
        <v>4</v>
      </c>
      <c r="K354">
        <v>55.34</v>
      </c>
      <c r="L354">
        <v>54.66</v>
      </c>
      <c r="M354">
        <v>58.02</v>
      </c>
      <c r="N354" t="s">
        <v>204</v>
      </c>
    </row>
    <row r="355" spans="1:14" x14ac:dyDescent="0.2">
      <c r="A355" s="1">
        <v>355</v>
      </c>
      <c r="B355" t="s">
        <v>271</v>
      </c>
      <c r="C355">
        <v>54.89</v>
      </c>
      <c r="D355">
        <v>3</v>
      </c>
      <c r="E355">
        <v>26</v>
      </c>
      <c r="F355">
        <v>69.02</v>
      </c>
      <c r="G355">
        <v>0</v>
      </c>
      <c r="H355">
        <v>0</v>
      </c>
      <c r="I355">
        <v>0</v>
      </c>
      <c r="J355">
        <v>0</v>
      </c>
      <c r="K355">
        <v>54.52</v>
      </c>
      <c r="L355">
        <v>55.39</v>
      </c>
      <c r="M355">
        <v>56.18</v>
      </c>
      <c r="N355" t="s">
        <v>77</v>
      </c>
    </row>
    <row r="356" spans="1:14" x14ac:dyDescent="0.2">
      <c r="A356" s="1">
        <v>356</v>
      </c>
      <c r="B356" t="s">
        <v>835</v>
      </c>
      <c r="C356">
        <v>52.91</v>
      </c>
      <c r="D356">
        <v>0</v>
      </c>
      <c r="E356">
        <v>25</v>
      </c>
      <c r="F356">
        <v>66.08</v>
      </c>
      <c r="G356">
        <v>0</v>
      </c>
      <c r="H356">
        <v>0</v>
      </c>
      <c r="I356">
        <v>0</v>
      </c>
      <c r="J356">
        <v>0</v>
      </c>
      <c r="K356">
        <v>53.25</v>
      </c>
      <c r="L356">
        <v>51.55</v>
      </c>
      <c r="M356">
        <v>50.93</v>
      </c>
      <c r="N356" t="s">
        <v>225</v>
      </c>
    </row>
    <row r="357" spans="1:14" x14ac:dyDescent="0.2">
      <c r="A357" s="1">
        <v>357</v>
      </c>
      <c r="B357" t="s">
        <v>272</v>
      </c>
      <c r="C357">
        <v>52.77</v>
      </c>
      <c r="D357">
        <v>1</v>
      </c>
      <c r="E357">
        <v>26</v>
      </c>
      <c r="F357">
        <v>66.66</v>
      </c>
      <c r="G357">
        <v>0</v>
      </c>
      <c r="H357">
        <v>1</v>
      </c>
      <c r="I357">
        <v>0</v>
      </c>
      <c r="J357">
        <v>1</v>
      </c>
      <c r="K357">
        <v>52.66</v>
      </c>
      <c r="L357">
        <v>52.94</v>
      </c>
      <c r="M357">
        <v>51.76</v>
      </c>
      <c r="N357" t="s">
        <v>186</v>
      </c>
    </row>
    <row r="358" spans="1:14" x14ac:dyDescent="0.2">
      <c r="A358" s="2">
        <v>358</v>
      </c>
      <c r="B358" t="s">
        <v>905</v>
      </c>
      <c r="C358">
        <v>51.53</v>
      </c>
      <c r="D358">
        <v>2</v>
      </c>
      <c r="E358">
        <v>26</v>
      </c>
      <c r="F358">
        <v>66.47</v>
      </c>
      <c r="G358">
        <v>0</v>
      </c>
      <c r="H358">
        <v>0</v>
      </c>
      <c r="I358">
        <v>0</v>
      </c>
      <c r="J358">
        <v>1</v>
      </c>
      <c r="K358">
        <v>51.46</v>
      </c>
      <c r="L358">
        <v>50.6</v>
      </c>
      <c r="M358">
        <v>54.5</v>
      </c>
      <c r="N358" t="s">
        <v>204</v>
      </c>
    </row>
    <row r="359" spans="1:14" x14ac:dyDescent="0.2">
      <c r="A359" s="1">
        <v>160</v>
      </c>
      <c r="B359" t="s">
        <v>163</v>
      </c>
      <c r="C359">
        <v>72.25</v>
      </c>
      <c r="D359">
        <v>18</v>
      </c>
      <c r="E359">
        <v>14</v>
      </c>
      <c r="F359">
        <v>71.400000000000006</v>
      </c>
      <c r="G359">
        <v>0</v>
      </c>
      <c r="H359">
        <v>1</v>
      </c>
      <c r="I359">
        <v>0</v>
      </c>
      <c r="J359">
        <v>1</v>
      </c>
      <c r="K359">
        <v>72.27</v>
      </c>
      <c r="L359">
        <v>71.959999999999994</v>
      </c>
      <c r="M359">
        <v>71.849999999999994</v>
      </c>
      <c r="N359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28AF-E6B0-45B6-8413-E0960EFD318A}">
  <dimension ref="A1:L346"/>
  <sheetViews>
    <sheetView topLeftCell="A24" workbookViewId="0">
      <selection activeCell="B44" sqref="B44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854</v>
      </c>
      <c r="L1" t="s">
        <v>28</v>
      </c>
    </row>
    <row r="2" spans="1:12" x14ac:dyDescent="0.2">
      <c r="A2" s="3">
        <v>1</v>
      </c>
      <c r="B2" t="s">
        <v>15</v>
      </c>
      <c r="C2">
        <f xml:space="preserve">  95.72</f>
        <v>95.72</v>
      </c>
      <c r="D2">
        <v>38</v>
      </c>
      <c r="E2">
        <v>2</v>
      </c>
      <c r="F2">
        <v>79.41</v>
      </c>
      <c r="G2">
        <v>12</v>
      </c>
      <c r="H2">
        <v>2</v>
      </c>
      <c r="I2">
        <v>14</v>
      </c>
      <c r="J2">
        <v>2</v>
      </c>
      <c r="K2">
        <v>99.43</v>
      </c>
      <c r="L2">
        <v>95.09</v>
      </c>
    </row>
    <row r="3" spans="1:12" x14ac:dyDescent="0.2">
      <c r="A3" s="3">
        <v>2</v>
      </c>
      <c r="B3" t="s">
        <v>809</v>
      </c>
      <c r="C3">
        <f xml:space="preserve">  94.28</f>
        <v>94.28</v>
      </c>
      <c r="D3">
        <v>31</v>
      </c>
      <c r="E3">
        <v>8</v>
      </c>
      <c r="F3">
        <v>81.150000000000006</v>
      </c>
      <c r="G3">
        <v>11</v>
      </c>
      <c r="H3">
        <v>7</v>
      </c>
      <c r="I3">
        <v>13</v>
      </c>
      <c r="J3">
        <v>7</v>
      </c>
      <c r="K3">
        <v>92.61</v>
      </c>
      <c r="L3">
        <v>94.78</v>
      </c>
    </row>
    <row r="4" spans="1:12" x14ac:dyDescent="0.2">
      <c r="A4" s="3">
        <v>3</v>
      </c>
      <c r="B4" t="s">
        <v>2</v>
      </c>
      <c r="C4">
        <f xml:space="preserve">  92.73</f>
        <v>92.73</v>
      </c>
      <c r="D4">
        <v>32</v>
      </c>
      <c r="E4">
        <v>7</v>
      </c>
      <c r="F4">
        <v>81.52</v>
      </c>
      <c r="G4">
        <v>10</v>
      </c>
      <c r="H4">
        <v>5</v>
      </c>
      <c r="I4">
        <v>16</v>
      </c>
      <c r="J4">
        <v>6</v>
      </c>
      <c r="K4">
        <v>93.76</v>
      </c>
      <c r="L4">
        <v>92.4</v>
      </c>
    </row>
    <row r="5" spans="1:12" x14ac:dyDescent="0.2">
      <c r="A5" s="3">
        <v>4</v>
      </c>
      <c r="B5" t="s">
        <v>73</v>
      </c>
      <c r="C5">
        <f xml:space="preserve">  92.15</f>
        <v>92.15</v>
      </c>
      <c r="D5">
        <v>34</v>
      </c>
      <c r="E5">
        <v>3</v>
      </c>
      <c r="F5">
        <v>79.66</v>
      </c>
      <c r="G5">
        <v>7</v>
      </c>
      <c r="H5">
        <v>1</v>
      </c>
      <c r="I5">
        <v>15</v>
      </c>
      <c r="J5">
        <v>3</v>
      </c>
      <c r="K5">
        <v>93.99</v>
      </c>
      <c r="L5">
        <v>91.68</v>
      </c>
    </row>
    <row r="6" spans="1:12" x14ac:dyDescent="0.2">
      <c r="A6" s="3">
        <v>5</v>
      </c>
      <c r="B6" t="s">
        <v>794</v>
      </c>
      <c r="C6">
        <f xml:space="preserve">  91.9</f>
        <v>91.9</v>
      </c>
      <c r="D6">
        <v>29</v>
      </c>
      <c r="E6">
        <v>8</v>
      </c>
      <c r="F6">
        <v>81.28</v>
      </c>
      <c r="G6">
        <v>12</v>
      </c>
      <c r="H6">
        <v>6</v>
      </c>
      <c r="I6">
        <v>14</v>
      </c>
      <c r="J6">
        <v>6</v>
      </c>
      <c r="K6">
        <v>91.1</v>
      </c>
      <c r="L6">
        <v>92.03</v>
      </c>
    </row>
    <row r="7" spans="1:12" x14ac:dyDescent="0.2">
      <c r="A7" s="3">
        <v>6</v>
      </c>
      <c r="B7" t="s">
        <v>36</v>
      </c>
      <c r="C7">
        <f xml:space="preserve">  91.36</f>
        <v>91.36</v>
      </c>
      <c r="D7">
        <v>32</v>
      </c>
      <c r="E7">
        <v>6</v>
      </c>
      <c r="F7">
        <v>78.88</v>
      </c>
      <c r="G7">
        <v>3</v>
      </c>
      <c r="H7">
        <v>5</v>
      </c>
      <c r="I7">
        <v>11</v>
      </c>
      <c r="J7">
        <v>6</v>
      </c>
      <c r="K7">
        <v>91.23</v>
      </c>
      <c r="L7">
        <v>91.29</v>
      </c>
    </row>
    <row r="8" spans="1:12" x14ac:dyDescent="0.2">
      <c r="A8" s="3">
        <v>7</v>
      </c>
      <c r="B8" t="s">
        <v>43</v>
      </c>
      <c r="C8">
        <f xml:space="preserve">  90.72</f>
        <v>90.72</v>
      </c>
      <c r="D8">
        <v>26</v>
      </c>
      <c r="E8">
        <v>10</v>
      </c>
      <c r="F8">
        <v>80.3</v>
      </c>
      <c r="G8">
        <v>5</v>
      </c>
      <c r="H8">
        <v>8</v>
      </c>
      <c r="I8">
        <v>9</v>
      </c>
      <c r="J8">
        <v>8</v>
      </c>
      <c r="K8">
        <v>88.96</v>
      </c>
      <c r="L8">
        <v>91.22</v>
      </c>
    </row>
    <row r="9" spans="1:12" x14ac:dyDescent="0.2">
      <c r="A9" s="3">
        <v>8</v>
      </c>
      <c r="B9" t="s">
        <v>117</v>
      </c>
      <c r="C9">
        <f xml:space="preserve">  89.74</f>
        <v>89.74</v>
      </c>
      <c r="D9">
        <v>30</v>
      </c>
      <c r="E9">
        <v>5</v>
      </c>
      <c r="F9">
        <v>77.98</v>
      </c>
      <c r="G9">
        <v>4</v>
      </c>
      <c r="H9">
        <v>3</v>
      </c>
      <c r="I9">
        <v>11</v>
      </c>
      <c r="J9">
        <v>3</v>
      </c>
      <c r="K9">
        <v>90.06</v>
      </c>
      <c r="L9">
        <v>89.55</v>
      </c>
    </row>
    <row r="10" spans="1:12" x14ac:dyDescent="0.2">
      <c r="A10" s="3">
        <v>9</v>
      </c>
      <c r="B10" t="s">
        <v>46</v>
      </c>
      <c r="C10">
        <f xml:space="preserve">  89.47</f>
        <v>89.47</v>
      </c>
      <c r="D10">
        <v>27</v>
      </c>
      <c r="E10">
        <v>9</v>
      </c>
      <c r="F10">
        <v>79.84</v>
      </c>
      <c r="G10">
        <v>6</v>
      </c>
      <c r="H10">
        <v>6</v>
      </c>
      <c r="I10">
        <v>10</v>
      </c>
      <c r="J10">
        <v>7</v>
      </c>
      <c r="K10">
        <v>89.78</v>
      </c>
      <c r="L10">
        <v>89.28</v>
      </c>
    </row>
    <row r="11" spans="1:12" x14ac:dyDescent="0.2">
      <c r="A11" s="3">
        <v>10</v>
      </c>
      <c r="B11" t="s">
        <v>60</v>
      </c>
      <c r="C11">
        <f xml:space="preserve">  89.21</f>
        <v>89.21</v>
      </c>
      <c r="D11">
        <v>26</v>
      </c>
      <c r="E11">
        <v>11</v>
      </c>
      <c r="F11">
        <v>78.72</v>
      </c>
      <c r="G11">
        <v>3</v>
      </c>
      <c r="H11">
        <v>7</v>
      </c>
      <c r="I11">
        <v>6</v>
      </c>
      <c r="J11">
        <v>7</v>
      </c>
      <c r="K11">
        <v>86.81</v>
      </c>
      <c r="L11">
        <v>89.99</v>
      </c>
    </row>
    <row r="12" spans="1:12" x14ac:dyDescent="0.2">
      <c r="A12" s="4">
        <v>11</v>
      </c>
      <c r="B12" t="s">
        <v>104</v>
      </c>
      <c r="C12">
        <f xml:space="preserve">  88.58</f>
        <v>88.58</v>
      </c>
      <c r="D12">
        <v>30</v>
      </c>
      <c r="E12">
        <v>10</v>
      </c>
      <c r="F12">
        <v>80.78</v>
      </c>
      <c r="G12">
        <v>6</v>
      </c>
      <c r="H12">
        <v>6</v>
      </c>
      <c r="I12">
        <v>11</v>
      </c>
      <c r="J12">
        <v>9</v>
      </c>
      <c r="K12">
        <v>90.05</v>
      </c>
      <c r="L12">
        <v>88.15</v>
      </c>
    </row>
    <row r="13" spans="1:12" x14ac:dyDescent="0.2">
      <c r="A13" s="4">
        <v>12</v>
      </c>
      <c r="B13" t="s">
        <v>65</v>
      </c>
      <c r="C13">
        <f xml:space="preserve">  88.48</f>
        <v>88.48</v>
      </c>
      <c r="D13">
        <v>27</v>
      </c>
      <c r="E13">
        <v>8</v>
      </c>
      <c r="F13">
        <v>79.66</v>
      </c>
      <c r="G13">
        <v>3</v>
      </c>
      <c r="H13">
        <v>5</v>
      </c>
      <c r="I13">
        <v>10</v>
      </c>
      <c r="J13">
        <v>7</v>
      </c>
      <c r="K13">
        <v>88.7</v>
      </c>
      <c r="L13">
        <v>88.31</v>
      </c>
    </row>
    <row r="14" spans="1:12" x14ac:dyDescent="0.2">
      <c r="A14" s="4">
        <v>13</v>
      </c>
      <c r="B14" t="s">
        <v>8</v>
      </c>
      <c r="C14">
        <f xml:space="preserve">  88.4</f>
        <v>88.4</v>
      </c>
      <c r="D14">
        <v>29</v>
      </c>
      <c r="E14">
        <v>8</v>
      </c>
      <c r="F14">
        <v>80.569999999999993</v>
      </c>
      <c r="G14">
        <v>3</v>
      </c>
      <c r="H14">
        <v>7</v>
      </c>
      <c r="I14">
        <v>10</v>
      </c>
      <c r="J14">
        <v>8</v>
      </c>
      <c r="K14">
        <v>90.82</v>
      </c>
      <c r="L14">
        <v>87.83</v>
      </c>
    </row>
    <row r="15" spans="1:12" x14ac:dyDescent="0.2">
      <c r="A15" s="4">
        <v>14</v>
      </c>
      <c r="B15" t="s">
        <v>147</v>
      </c>
      <c r="C15">
        <f xml:space="preserve">  88.04</f>
        <v>88.04</v>
      </c>
      <c r="D15">
        <v>23</v>
      </c>
      <c r="E15">
        <v>9</v>
      </c>
      <c r="F15">
        <v>79.650000000000006</v>
      </c>
      <c r="G15">
        <v>4</v>
      </c>
      <c r="H15">
        <v>3</v>
      </c>
      <c r="I15">
        <v>9</v>
      </c>
      <c r="J15">
        <v>7</v>
      </c>
      <c r="K15">
        <v>86.16</v>
      </c>
      <c r="L15">
        <v>88.56</v>
      </c>
    </row>
    <row r="16" spans="1:12" x14ac:dyDescent="0.2">
      <c r="A16" s="4">
        <v>15</v>
      </c>
      <c r="B16" t="s">
        <v>801</v>
      </c>
      <c r="C16">
        <f xml:space="preserve">  87.64</f>
        <v>87.64</v>
      </c>
      <c r="D16">
        <v>26</v>
      </c>
      <c r="E16">
        <v>6</v>
      </c>
      <c r="F16">
        <v>76.27</v>
      </c>
      <c r="G16">
        <v>0</v>
      </c>
      <c r="H16">
        <v>0</v>
      </c>
      <c r="I16">
        <v>2</v>
      </c>
      <c r="J16">
        <v>4</v>
      </c>
      <c r="K16">
        <v>84.85</v>
      </c>
      <c r="L16">
        <v>88.59</v>
      </c>
    </row>
    <row r="17" spans="1:12" x14ac:dyDescent="0.2">
      <c r="A17" s="4">
        <v>16</v>
      </c>
      <c r="B17" t="s">
        <v>9</v>
      </c>
      <c r="C17">
        <f xml:space="preserve">  87.38</f>
        <v>87.38</v>
      </c>
      <c r="D17">
        <v>27</v>
      </c>
      <c r="E17">
        <v>7</v>
      </c>
      <c r="F17">
        <v>79.48</v>
      </c>
      <c r="G17">
        <v>5</v>
      </c>
      <c r="H17">
        <v>4</v>
      </c>
      <c r="I17">
        <v>9</v>
      </c>
      <c r="J17">
        <v>5</v>
      </c>
      <c r="K17">
        <v>87.99</v>
      </c>
      <c r="L17">
        <v>87.12</v>
      </c>
    </row>
    <row r="18" spans="1:12" x14ac:dyDescent="0.2">
      <c r="A18" s="4">
        <v>17</v>
      </c>
      <c r="B18" t="s">
        <v>74</v>
      </c>
      <c r="C18">
        <f xml:space="preserve">  87.05</f>
        <v>87.05</v>
      </c>
      <c r="D18">
        <v>25</v>
      </c>
      <c r="E18">
        <v>8</v>
      </c>
      <c r="F18">
        <v>76.5</v>
      </c>
      <c r="G18">
        <v>1</v>
      </c>
      <c r="H18">
        <v>2</v>
      </c>
      <c r="I18">
        <v>4</v>
      </c>
      <c r="J18">
        <v>4</v>
      </c>
      <c r="K18">
        <v>84.29</v>
      </c>
      <c r="L18">
        <v>87.96</v>
      </c>
    </row>
    <row r="19" spans="1:12" x14ac:dyDescent="0.2">
      <c r="A19" s="4">
        <v>18</v>
      </c>
      <c r="B19" t="s">
        <v>40</v>
      </c>
      <c r="C19">
        <f xml:space="preserve">  86.97</f>
        <v>86.97</v>
      </c>
      <c r="D19">
        <v>26</v>
      </c>
      <c r="E19">
        <v>9</v>
      </c>
      <c r="F19">
        <v>77.08</v>
      </c>
      <c r="G19">
        <v>0</v>
      </c>
      <c r="H19">
        <v>5</v>
      </c>
      <c r="I19">
        <v>2</v>
      </c>
      <c r="J19">
        <v>6</v>
      </c>
      <c r="K19">
        <v>83.75</v>
      </c>
      <c r="L19">
        <v>88.12</v>
      </c>
    </row>
    <row r="20" spans="1:12" x14ac:dyDescent="0.2">
      <c r="A20" s="4">
        <v>19</v>
      </c>
      <c r="B20" t="s">
        <v>76</v>
      </c>
      <c r="C20">
        <f xml:space="preserve">  86.89</f>
        <v>86.89</v>
      </c>
      <c r="D20">
        <v>25</v>
      </c>
      <c r="E20">
        <v>11</v>
      </c>
      <c r="F20">
        <v>79.7</v>
      </c>
      <c r="G20">
        <v>3</v>
      </c>
      <c r="H20">
        <v>5</v>
      </c>
      <c r="I20">
        <v>6</v>
      </c>
      <c r="J20">
        <v>6</v>
      </c>
      <c r="K20">
        <v>85.91</v>
      </c>
      <c r="L20">
        <v>87.06</v>
      </c>
    </row>
    <row r="21" spans="1:12" x14ac:dyDescent="0.2">
      <c r="A21" s="4">
        <v>20</v>
      </c>
      <c r="B21" t="s">
        <v>276</v>
      </c>
      <c r="C21">
        <f xml:space="preserve">  86.63</f>
        <v>86.63</v>
      </c>
      <c r="D21">
        <v>27</v>
      </c>
      <c r="E21">
        <v>7</v>
      </c>
      <c r="F21">
        <v>75.45</v>
      </c>
      <c r="G21">
        <v>1</v>
      </c>
      <c r="H21">
        <v>1</v>
      </c>
      <c r="I21">
        <v>4</v>
      </c>
      <c r="J21">
        <v>2</v>
      </c>
      <c r="K21">
        <v>85.09</v>
      </c>
      <c r="L21">
        <v>86.99</v>
      </c>
    </row>
    <row r="22" spans="1:12" x14ac:dyDescent="0.2">
      <c r="A22" s="4">
        <v>21</v>
      </c>
      <c r="B22" t="s">
        <v>0</v>
      </c>
      <c r="C22">
        <f xml:space="preserve">  85.86</f>
        <v>85.86</v>
      </c>
      <c r="D22">
        <v>26</v>
      </c>
      <c r="E22">
        <v>7</v>
      </c>
      <c r="F22">
        <v>75.11</v>
      </c>
      <c r="G22">
        <v>0</v>
      </c>
      <c r="H22">
        <v>2</v>
      </c>
      <c r="I22">
        <v>6</v>
      </c>
      <c r="J22">
        <v>5</v>
      </c>
      <c r="K22">
        <v>85.16</v>
      </c>
      <c r="L22">
        <v>85.94</v>
      </c>
    </row>
    <row r="23" spans="1:12" x14ac:dyDescent="0.2">
      <c r="A23" s="4">
        <v>22</v>
      </c>
      <c r="B23" t="s">
        <v>793</v>
      </c>
      <c r="C23">
        <f xml:space="preserve">  85.44</f>
        <v>85.44</v>
      </c>
      <c r="D23">
        <v>25</v>
      </c>
      <c r="E23">
        <v>10</v>
      </c>
      <c r="F23">
        <v>78.959999999999994</v>
      </c>
      <c r="G23">
        <v>4</v>
      </c>
      <c r="H23">
        <v>3</v>
      </c>
      <c r="I23">
        <v>7</v>
      </c>
      <c r="J23">
        <v>6</v>
      </c>
      <c r="K23">
        <v>85.52</v>
      </c>
      <c r="L23">
        <v>85.31</v>
      </c>
    </row>
    <row r="24" spans="1:12" x14ac:dyDescent="0.2">
      <c r="A24" s="4">
        <v>23</v>
      </c>
      <c r="B24" t="s">
        <v>16</v>
      </c>
      <c r="C24">
        <f xml:space="preserve">  85.37</f>
        <v>85.37</v>
      </c>
      <c r="D24">
        <v>22</v>
      </c>
      <c r="E24">
        <v>13</v>
      </c>
      <c r="F24">
        <v>80</v>
      </c>
      <c r="G24">
        <v>1</v>
      </c>
      <c r="H24">
        <v>9</v>
      </c>
      <c r="I24">
        <v>4</v>
      </c>
      <c r="J24">
        <v>11</v>
      </c>
      <c r="K24">
        <v>85.44</v>
      </c>
      <c r="L24">
        <v>85.24</v>
      </c>
    </row>
    <row r="25" spans="1:12" x14ac:dyDescent="0.2">
      <c r="A25" s="4">
        <v>24</v>
      </c>
      <c r="B25" t="s">
        <v>802</v>
      </c>
      <c r="C25">
        <f xml:space="preserve">  85.35</f>
        <v>85.35</v>
      </c>
      <c r="D25">
        <v>22</v>
      </c>
      <c r="E25">
        <v>11</v>
      </c>
      <c r="F25">
        <v>79.28</v>
      </c>
      <c r="G25">
        <v>3</v>
      </c>
      <c r="H25">
        <v>5</v>
      </c>
      <c r="I25">
        <v>6</v>
      </c>
      <c r="J25">
        <v>9</v>
      </c>
      <c r="K25">
        <v>85.32</v>
      </c>
      <c r="L25">
        <v>85.25</v>
      </c>
    </row>
    <row r="26" spans="1:12" x14ac:dyDescent="0.2">
      <c r="A26" s="4">
        <v>25</v>
      </c>
      <c r="B26" t="s">
        <v>39</v>
      </c>
      <c r="C26">
        <f xml:space="preserve">  84.99</f>
        <v>84.99</v>
      </c>
      <c r="D26">
        <v>23</v>
      </c>
      <c r="E26">
        <v>10</v>
      </c>
      <c r="F26">
        <v>81.61</v>
      </c>
      <c r="G26">
        <v>6</v>
      </c>
      <c r="H26">
        <v>6</v>
      </c>
      <c r="I26">
        <v>9</v>
      </c>
      <c r="J26">
        <v>7</v>
      </c>
      <c r="K26">
        <v>87.54</v>
      </c>
      <c r="L26">
        <v>84.37</v>
      </c>
    </row>
    <row r="27" spans="1:12" x14ac:dyDescent="0.2">
      <c r="A27" s="4">
        <v>26</v>
      </c>
      <c r="B27" t="s">
        <v>99</v>
      </c>
      <c r="C27">
        <f xml:space="preserve">  84.96</f>
        <v>84.96</v>
      </c>
      <c r="D27">
        <v>26</v>
      </c>
      <c r="E27">
        <v>11</v>
      </c>
      <c r="F27">
        <v>78.739999999999995</v>
      </c>
      <c r="G27">
        <v>6</v>
      </c>
      <c r="H27">
        <v>4</v>
      </c>
      <c r="I27">
        <v>9</v>
      </c>
      <c r="J27">
        <v>7</v>
      </c>
      <c r="K27">
        <v>86.48</v>
      </c>
      <c r="L27">
        <v>84.52</v>
      </c>
    </row>
    <row r="28" spans="1:12" x14ac:dyDescent="0.2">
      <c r="A28" s="4">
        <v>27</v>
      </c>
      <c r="B28" t="s">
        <v>795</v>
      </c>
      <c r="C28">
        <f xml:space="preserve">  84.79</f>
        <v>84.79</v>
      </c>
      <c r="D28">
        <v>23</v>
      </c>
      <c r="E28">
        <v>11</v>
      </c>
      <c r="F28">
        <v>78.86</v>
      </c>
      <c r="G28">
        <v>4</v>
      </c>
      <c r="H28">
        <v>6</v>
      </c>
      <c r="I28">
        <v>6</v>
      </c>
      <c r="J28">
        <v>8</v>
      </c>
      <c r="K28">
        <v>85.6</v>
      </c>
      <c r="L28">
        <v>84.49</v>
      </c>
    </row>
    <row r="29" spans="1:12" x14ac:dyDescent="0.2">
      <c r="A29" s="4">
        <v>28</v>
      </c>
      <c r="B29" t="s">
        <v>52</v>
      </c>
      <c r="C29">
        <f xml:space="preserve">  84.68</f>
        <v>84.68</v>
      </c>
      <c r="D29">
        <v>29</v>
      </c>
      <c r="E29">
        <v>6</v>
      </c>
      <c r="F29">
        <v>76.11</v>
      </c>
      <c r="G29">
        <v>1</v>
      </c>
      <c r="H29">
        <v>2</v>
      </c>
      <c r="I29">
        <v>3</v>
      </c>
      <c r="J29">
        <v>2</v>
      </c>
      <c r="K29">
        <v>86.43</v>
      </c>
      <c r="L29">
        <v>84.19</v>
      </c>
    </row>
    <row r="30" spans="1:12" x14ac:dyDescent="0.2">
      <c r="A30" s="4">
        <v>29</v>
      </c>
      <c r="B30" t="s">
        <v>98</v>
      </c>
      <c r="C30">
        <f xml:space="preserve">  84.62</f>
        <v>84.62</v>
      </c>
      <c r="D30">
        <v>26</v>
      </c>
      <c r="E30">
        <v>11</v>
      </c>
      <c r="F30">
        <v>75.61</v>
      </c>
      <c r="G30">
        <v>0</v>
      </c>
      <c r="H30">
        <v>1</v>
      </c>
      <c r="I30">
        <v>3</v>
      </c>
      <c r="J30">
        <v>4</v>
      </c>
      <c r="K30">
        <v>83.15</v>
      </c>
      <c r="L30">
        <v>84.94</v>
      </c>
    </row>
    <row r="31" spans="1:12" x14ac:dyDescent="0.2">
      <c r="A31" s="4">
        <v>30</v>
      </c>
      <c r="B31" t="s">
        <v>42</v>
      </c>
      <c r="C31">
        <f xml:space="preserve">  84.58</f>
        <v>84.58</v>
      </c>
      <c r="D31">
        <v>21</v>
      </c>
      <c r="E31">
        <v>12</v>
      </c>
      <c r="F31">
        <v>78.739999999999995</v>
      </c>
      <c r="G31">
        <v>2</v>
      </c>
      <c r="H31">
        <v>6</v>
      </c>
      <c r="I31">
        <v>3</v>
      </c>
      <c r="J31">
        <v>7</v>
      </c>
      <c r="K31">
        <v>82.33</v>
      </c>
      <c r="L31">
        <v>85.19</v>
      </c>
    </row>
    <row r="32" spans="1:12" x14ac:dyDescent="0.2">
      <c r="A32" s="4">
        <v>31</v>
      </c>
      <c r="B32" t="s">
        <v>38</v>
      </c>
      <c r="C32">
        <f xml:space="preserve">  84.52</f>
        <v>84.52</v>
      </c>
      <c r="D32">
        <v>20</v>
      </c>
      <c r="E32">
        <v>14</v>
      </c>
      <c r="F32">
        <v>79.72</v>
      </c>
      <c r="G32">
        <v>1</v>
      </c>
      <c r="H32">
        <v>9</v>
      </c>
      <c r="I32">
        <v>4</v>
      </c>
      <c r="J32">
        <v>12</v>
      </c>
      <c r="K32">
        <v>82.75</v>
      </c>
      <c r="L32">
        <v>84.95</v>
      </c>
    </row>
    <row r="33" spans="1:12" x14ac:dyDescent="0.2">
      <c r="A33" s="4">
        <v>32</v>
      </c>
      <c r="B33" t="s">
        <v>131</v>
      </c>
      <c r="C33">
        <f xml:space="preserve">  84.43</f>
        <v>84.43</v>
      </c>
      <c r="D33">
        <v>24</v>
      </c>
      <c r="E33">
        <v>10</v>
      </c>
      <c r="F33">
        <v>76.34</v>
      </c>
      <c r="G33">
        <v>0</v>
      </c>
      <c r="H33">
        <v>1</v>
      </c>
      <c r="I33">
        <v>3</v>
      </c>
      <c r="J33">
        <v>4</v>
      </c>
      <c r="K33">
        <v>82.23</v>
      </c>
      <c r="L33">
        <v>85.03</v>
      </c>
    </row>
    <row r="34" spans="1:12" x14ac:dyDescent="0.2">
      <c r="A34" s="4">
        <v>33</v>
      </c>
      <c r="B34" t="s">
        <v>115</v>
      </c>
      <c r="C34">
        <f xml:space="preserve">  84.1</f>
        <v>84.1</v>
      </c>
      <c r="D34">
        <v>24</v>
      </c>
      <c r="E34">
        <v>9</v>
      </c>
      <c r="F34">
        <v>76.33</v>
      </c>
      <c r="G34">
        <v>2</v>
      </c>
      <c r="H34">
        <v>4</v>
      </c>
      <c r="I34">
        <v>3</v>
      </c>
      <c r="J34">
        <v>4</v>
      </c>
      <c r="K34">
        <v>83.48</v>
      </c>
      <c r="L34">
        <v>84.16</v>
      </c>
    </row>
    <row r="35" spans="1:12" x14ac:dyDescent="0.2">
      <c r="A35" s="4">
        <v>34</v>
      </c>
      <c r="B35" t="s">
        <v>87</v>
      </c>
      <c r="C35">
        <f xml:space="preserve">  84.01</f>
        <v>84.01</v>
      </c>
      <c r="D35">
        <v>26</v>
      </c>
      <c r="E35">
        <v>8</v>
      </c>
      <c r="F35">
        <v>72.930000000000007</v>
      </c>
      <c r="G35">
        <v>0</v>
      </c>
      <c r="H35">
        <v>3</v>
      </c>
      <c r="I35">
        <v>0</v>
      </c>
      <c r="J35">
        <v>3</v>
      </c>
      <c r="K35">
        <v>80.77</v>
      </c>
      <c r="L35">
        <v>85.05</v>
      </c>
    </row>
    <row r="36" spans="1:12" x14ac:dyDescent="0.2">
      <c r="A36" s="4">
        <v>35</v>
      </c>
      <c r="B36" t="s">
        <v>870</v>
      </c>
      <c r="C36">
        <f xml:space="preserve">  83.93</f>
        <v>83.93</v>
      </c>
      <c r="D36">
        <v>24</v>
      </c>
      <c r="E36">
        <v>13</v>
      </c>
      <c r="F36">
        <v>78.09</v>
      </c>
      <c r="G36">
        <v>1</v>
      </c>
      <c r="H36">
        <v>9</v>
      </c>
      <c r="I36">
        <v>3</v>
      </c>
      <c r="J36">
        <v>11</v>
      </c>
      <c r="K36">
        <v>84.14</v>
      </c>
      <c r="L36">
        <v>83.77</v>
      </c>
    </row>
    <row r="37" spans="1:12" x14ac:dyDescent="0.2">
      <c r="A37" s="4">
        <v>36</v>
      </c>
      <c r="B37" t="s">
        <v>70</v>
      </c>
      <c r="C37">
        <f xml:space="preserve">  83.81</f>
        <v>83.81</v>
      </c>
      <c r="D37">
        <v>22</v>
      </c>
      <c r="E37">
        <v>10</v>
      </c>
      <c r="F37">
        <v>76.84</v>
      </c>
      <c r="G37">
        <v>1</v>
      </c>
      <c r="H37">
        <v>6</v>
      </c>
      <c r="I37">
        <v>2</v>
      </c>
      <c r="J37">
        <v>7</v>
      </c>
      <c r="K37">
        <v>83.19</v>
      </c>
      <c r="L37">
        <v>83.87</v>
      </c>
    </row>
    <row r="38" spans="1:12" x14ac:dyDescent="0.2">
      <c r="A38" s="4">
        <v>37</v>
      </c>
      <c r="B38" t="s">
        <v>875</v>
      </c>
      <c r="C38">
        <f xml:space="preserve">  83.67</f>
        <v>83.67</v>
      </c>
      <c r="D38">
        <v>25</v>
      </c>
      <c r="E38">
        <v>6</v>
      </c>
      <c r="F38">
        <v>73.48</v>
      </c>
      <c r="G38">
        <v>2</v>
      </c>
      <c r="H38">
        <v>3</v>
      </c>
      <c r="I38">
        <v>4</v>
      </c>
      <c r="J38">
        <v>4</v>
      </c>
      <c r="K38">
        <v>84.12</v>
      </c>
      <c r="L38">
        <v>83.45</v>
      </c>
    </row>
    <row r="39" spans="1:12" x14ac:dyDescent="0.2">
      <c r="A39" s="4">
        <v>38</v>
      </c>
      <c r="B39" t="s">
        <v>798</v>
      </c>
      <c r="C39">
        <f xml:space="preserve">  83.4</f>
        <v>83.4</v>
      </c>
      <c r="D39">
        <v>28</v>
      </c>
      <c r="E39">
        <v>2</v>
      </c>
      <c r="F39">
        <v>71.239999999999995</v>
      </c>
      <c r="G39">
        <v>1</v>
      </c>
      <c r="H39">
        <v>1</v>
      </c>
      <c r="I39">
        <v>2</v>
      </c>
      <c r="J39">
        <v>1</v>
      </c>
      <c r="K39">
        <v>87.64</v>
      </c>
      <c r="L39">
        <v>82.54</v>
      </c>
    </row>
    <row r="40" spans="1:12" x14ac:dyDescent="0.2">
      <c r="A40" s="4">
        <v>39</v>
      </c>
      <c r="B40" t="s">
        <v>37</v>
      </c>
      <c r="C40">
        <f xml:space="preserve">  83.04</f>
        <v>83.04</v>
      </c>
      <c r="D40">
        <v>20</v>
      </c>
      <c r="E40">
        <v>14</v>
      </c>
      <c r="F40">
        <v>79.61</v>
      </c>
      <c r="G40">
        <v>1</v>
      </c>
      <c r="H40">
        <v>6</v>
      </c>
      <c r="I40">
        <v>6</v>
      </c>
      <c r="J40">
        <v>9</v>
      </c>
      <c r="K40">
        <v>82.2</v>
      </c>
      <c r="L40">
        <v>83.16</v>
      </c>
    </row>
    <row r="41" spans="1:12" x14ac:dyDescent="0.2">
      <c r="A41" s="4">
        <v>40</v>
      </c>
      <c r="B41" t="s">
        <v>58</v>
      </c>
      <c r="C41">
        <f xml:space="preserve">  82.98</f>
        <v>82.98</v>
      </c>
      <c r="D41">
        <v>24</v>
      </c>
      <c r="E41">
        <v>9</v>
      </c>
      <c r="F41">
        <v>74.38</v>
      </c>
      <c r="G41">
        <v>1</v>
      </c>
      <c r="H41">
        <v>5</v>
      </c>
      <c r="I41">
        <v>1</v>
      </c>
      <c r="J41">
        <v>7</v>
      </c>
      <c r="K41">
        <v>82.59</v>
      </c>
      <c r="L41">
        <v>82.98</v>
      </c>
    </row>
    <row r="42" spans="1:12" x14ac:dyDescent="0.2">
      <c r="A42" s="4">
        <v>41</v>
      </c>
      <c r="B42" t="s">
        <v>103</v>
      </c>
      <c r="C42">
        <f xml:space="preserve">  82.89</f>
        <v>82.89</v>
      </c>
      <c r="D42">
        <v>23</v>
      </c>
      <c r="E42">
        <v>15</v>
      </c>
      <c r="F42">
        <v>79.680000000000007</v>
      </c>
      <c r="G42">
        <v>1</v>
      </c>
      <c r="H42">
        <v>9</v>
      </c>
      <c r="I42">
        <v>2</v>
      </c>
      <c r="J42">
        <v>10</v>
      </c>
      <c r="K42">
        <v>84.41</v>
      </c>
      <c r="L42">
        <v>82.43</v>
      </c>
    </row>
    <row r="43" spans="1:12" x14ac:dyDescent="0.2">
      <c r="A43" s="4">
        <v>42</v>
      </c>
      <c r="B43" t="s">
        <v>112</v>
      </c>
      <c r="C43">
        <f xml:space="preserve">  82.68</f>
        <v>82.68</v>
      </c>
      <c r="D43">
        <v>24</v>
      </c>
      <c r="E43">
        <v>8</v>
      </c>
      <c r="F43">
        <v>77.650000000000006</v>
      </c>
      <c r="G43">
        <v>3</v>
      </c>
      <c r="H43">
        <v>1</v>
      </c>
      <c r="I43">
        <v>4</v>
      </c>
      <c r="J43">
        <v>3</v>
      </c>
      <c r="K43">
        <v>83.61</v>
      </c>
      <c r="L43">
        <v>82.35</v>
      </c>
    </row>
    <row r="44" spans="1:12" x14ac:dyDescent="0.2">
      <c r="A44" s="4">
        <v>43</v>
      </c>
      <c r="B44" t="s">
        <v>876</v>
      </c>
      <c r="C44">
        <f xml:space="preserve">  82.67</f>
        <v>82.67</v>
      </c>
      <c r="D44">
        <v>29</v>
      </c>
      <c r="E44">
        <v>7</v>
      </c>
      <c r="F44">
        <v>73.739999999999995</v>
      </c>
      <c r="G44">
        <v>1</v>
      </c>
      <c r="H44">
        <v>1</v>
      </c>
      <c r="I44">
        <v>2</v>
      </c>
      <c r="J44">
        <v>2</v>
      </c>
      <c r="K44">
        <v>83.53</v>
      </c>
      <c r="L44">
        <v>82.35</v>
      </c>
    </row>
    <row r="45" spans="1:12" x14ac:dyDescent="0.2">
      <c r="A45" s="4">
        <v>44</v>
      </c>
      <c r="B45" t="s">
        <v>54</v>
      </c>
      <c r="C45">
        <f xml:space="preserve">  82.66</f>
        <v>82.66</v>
      </c>
      <c r="D45">
        <v>22</v>
      </c>
      <c r="E45">
        <v>12</v>
      </c>
      <c r="F45">
        <v>78.739999999999995</v>
      </c>
      <c r="G45">
        <v>3</v>
      </c>
      <c r="H45">
        <v>5</v>
      </c>
      <c r="I45">
        <v>8</v>
      </c>
      <c r="J45">
        <v>8</v>
      </c>
      <c r="K45">
        <v>83.58</v>
      </c>
      <c r="L45">
        <v>82.33</v>
      </c>
    </row>
    <row r="46" spans="1:12" x14ac:dyDescent="0.2">
      <c r="A46" s="4">
        <v>45</v>
      </c>
      <c r="B46" t="s">
        <v>839</v>
      </c>
      <c r="C46">
        <f xml:space="preserve">  82.55</f>
        <v>82.55</v>
      </c>
      <c r="D46">
        <v>23</v>
      </c>
      <c r="E46">
        <v>9</v>
      </c>
      <c r="F46">
        <v>73.8</v>
      </c>
      <c r="G46">
        <v>0</v>
      </c>
      <c r="H46">
        <v>5</v>
      </c>
      <c r="I46">
        <v>1</v>
      </c>
      <c r="J46">
        <v>6</v>
      </c>
      <c r="K46">
        <v>81.489999999999995</v>
      </c>
      <c r="L46">
        <v>82.74</v>
      </c>
    </row>
    <row r="47" spans="1:12" x14ac:dyDescent="0.2">
      <c r="A47" s="4">
        <v>46</v>
      </c>
      <c r="B47" t="s">
        <v>72</v>
      </c>
      <c r="C47">
        <f xml:space="preserve">  82.39</f>
        <v>82.39</v>
      </c>
      <c r="D47">
        <v>19</v>
      </c>
      <c r="E47">
        <v>14</v>
      </c>
      <c r="F47">
        <v>79.59</v>
      </c>
      <c r="G47">
        <v>2</v>
      </c>
      <c r="H47">
        <v>5</v>
      </c>
      <c r="I47">
        <v>4</v>
      </c>
      <c r="J47">
        <v>9</v>
      </c>
      <c r="K47">
        <v>81.69</v>
      </c>
      <c r="L47">
        <v>82.47</v>
      </c>
    </row>
    <row r="48" spans="1:12" x14ac:dyDescent="0.2">
      <c r="A48" s="4">
        <v>47</v>
      </c>
      <c r="B48" t="s">
        <v>111</v>
      </c>
      <c r="C48">
        <f xml:space="preserve">  82.37</f>
        <v>82.37</v>
      </c>
      <c r="D48">
        <v>24</v>
      </c>
      <c r="E48">
        <v>11</v>
      </c>
      <c r="F48">
        <v>76.83</v>
      </c>
      <c r="G48">
        <v>0</v>
      </c>
      <c r="H48">
        <v>3</v>
      </c>
      <c r="I48">
        <v>1</v>
      </c>
      <c r="J48">
        <v>5</v>
      </c>
      <c r="K48">
        <v>82.18</v>
      </c>
      <c r="L48">
        <v>82.31</v>
      </c>
    </row>
    <row r="49" spans="1:12" x14ac:dyDescent="0.2">
      <c r="A49" s="4">
        <v>48</v>
      </c>
      <c r="B49" t="s">
        <v>51</v>
      </c>
      <c r="C49">
        <f xml:space="preserve">  82.29</f>
        <v>82.29</v>
      </c>
      <c r="D49">
        <v>23</v>
      </c>
      <c r="E49">
        <v>13</v>
      </c>
      <c r="F49">
        <v>78.53</v>
      </c>
      <c r="G49">
        <v>3</v>
      </c>
      <c r="H49">
        <v>5</v>
      </c>
      <c r="I49">
        <v>5</v>
      </c>
      <c r="J49">
        <v>7</v>
      </c>
      <c r="K49">
        <v>82.78</v>
      </c>
      <c r="L49">
        <v>82.06</v>
      </c>
    </row>
    <row r="50" spans="1:12" x14ac:dyDescent="0.2">
      <c r="A50" s="4">
        <v>49</v>
      </c>
      <c r="B50" t="s">
        <v>297</v>
      </c>
      <c r="C50">
        <f xml:space="preserve">  82.26</f>
        <v>82.26</v>
      </c>
      <c r="D50">
        <v>25</v>
      </c>
      <c r="E50">
        <v>5</v>
      </c>
      <c r="F50">
        <v>72.38</v>
      </c>
      <c r="G50">
        <v>1</v>
      </c>
      <c r="H50">
        <v>1</v>
      </c>
      <c r="I50">
        <v>1</v>
      </c>
      <c r="J50">
        <v>2</v>
      </c>
      <c r="K50">
        <v>82.8</v>
      </c>
      <c r="L50">
        <v>82.01</v>
      </c>
    </row>
    <row r="51" spans="1:12" x14ac:dyDescent="0.2">
      <c r="A51" s="4">
        <v>50</v>
      </c>
      <c r="B51" t="s">
        <v>183</v>
      </c>
      <c r="C51">
        <f xml:space="preserve">  82.02</f>
        <v>82.02</v>
      </c>
      <c r="D51">
        <v>21</v>
      </c>
      <c r="E51">
        <v>14</v>
      </c>
      <c r="F51">
        <v>79.47</v>
      </c>
      <c r="G51">
        <v>1</v>
      </c>
      <c r="H51">
        <v>4</v>
      </c>
      <c r="I51">
        <v>4</v>
      </c>
      <c r="J51">
        <v>9</v>
      </c>
      <c r="K51">
        <v>82.99</v>
      </c>
      <c r="L51">
        <v>81.680000000000007</v>
      </c>
    </row>
    <row r="52" spans="1:12" x14ac:dyDescent="0.2">
      <c r="A52" s="4">
        <v>51</v>
      </c>
      <c r="B52" t="s">
        <v>59</v>
      </c>
      <c r="C52">
        <f xml:space="preserve">  81.96</f>
        <v>81.96</v>
      </c>
      <c r="D52">
        <v>24</v>
      </c>
      <c r="E52">
        <v>10</v>
      </c>
      <c r="F52">
        <v>76.430000000000007</v>
      </c>
      <c r="G52">
        <v>0</v>
      </c>
      <c r="H52">
        <v>1</v>
      </c>
      <c r="I52">
        <v>3</v>
      </c>
      <c r="J52">
        <v>7</v>
      </c>
      <c r="K52">
        <v>82.51</v>
      </c>
      <c r="L52">
        <v>81.72</v>
      </c>
    </row>
    <row r="53" spans="1:12" x14ac:dyDescent="0.2">
      <c r="A53" s="4">
        <v>52</v>
      </c>
      <c r="B53" t="s">
        <v>128</v>
      </c>
      <c r="C53">
        <f xml:space="preserve">  81.81</f>
        <v>81.81</v>
      </c>
      <c r="D53">
        <v>26</v>
      </c>
      <c r="E53">
        <v>7</v>
      </c>
      <c r="F53">
        <v>73.02</v>
      </c>
      <c r="G53">
        <v>0</v>
      </c>
      <c r="H53">
        <v>1</v>
      </c>
      <c r="I53">
        <v>1</v>
      </c>
      <c r="J53">
        <v>3</v>
      </c>
      <c r="K53">
        <v>81.93</v>
      </c>
      <c r="L53">
        <v>81.67</v>
      </c>
    </row>
    <row r="54" spans="1:12" x14ac:dyDescent="0.2">
      <c r="A54" s="4">
        <v>53</v>
      </c>
      <c r="B54" t="s">
        <v>6</v>
      </c>
      <c r="C54">
        <f xml:space="preserve">  81.62</f>
        <v>81.62</v>
      </c>
      <c r="D54">
        <v>23</v>
      </c>
      <c r="E54">
        <v>12</v>
      </c>
      <c r="F54">
        <v>76.58</v>
      </c>
      <c r="G54">
        <v>0</v>
      </c>
      <c r="H54">
        <v>2</v>
      </c>
      <c r="I54">
        <v>2</v>
      </c>
      <c r="J54">
        <v>4</v>
      </c>
      <c r="K54">
        <v>80.209999999999994</v>
      </c>
      <c r="L54">
        <v>81.91</v>
      </c>
    </row>
    <row r="55" spans="1:12" x14ac:dyDescent="0.2">
      <c r="A55" s="4">
        <v>54</v>
      </c>
      <c r="B55" t="s">
        <v>872</v>
      </c>
      <c r="C55">
        <f xml:space="preserve">  81.59</f>
        <v>81.59</v>
      </c>
      <c r="D55">
        <v>20</v>
      </c>
      <c r="E55">
        <v>13</v>
      </c>
      <c r="F55">
        <v>77.58</v>
      </c>
      <c r="G55">
        <v>2</v>
      </c>
      <c r="H55">
        <v>6</v>
      </c>
      <c r="I55">
        <v>2</v>
      </c>
      <c r="J55">
        <v>11</v>
      </c>
      <c r="K55">
        <v>80.92</v>
      </c>
      <c r="L55">
        <v>81.66</v>
      </c>
    </row>
    <row r="56" spans="1:12" x14ac:dyDescent="0.2">
      <c r="A56" s="4">
        <v>55</v>
      </c>
      <c r="B56" t="s">
        <v>126</v>
      </c>
      <c r="C56">
        <f xml:space="preserve">  81.52</f>
        <v>81.52</v>
      </c>
      <c r="D56">
        <v>28</v>
      </c>
      <c r="E56">
        <v>8</v>
      </c>
      <c r="F56">
        <v>73.61</v>
      </c>
      <c r="G56">
        <v>1</v>
      </c>
      <c r="H56">
        <v>2</v>
      </c>
      <c r="I56">
        <v>2</v>
      </c>
      <c r="J56">
        <v>2</v>
      </c>
      <c r="K56">
        <v>83.87</v>
      </c>
      <c r="L56">
        <v>80.91</v>
      </c>
    </row>
    <row r="57" spans="1:12" x14ac:dyDescent="0.2">
      <c r="A57" s="4">
        <v>56</v>
      </c>
      <c r="B57" t="s">
        <v>162</v>
      </c>
      <c r="C57">
        <f xml:space="preserve">  81.49</f>
        <v>81.489999999999995</v>
      </c>
      <c r="D57">
        <v>29</v>
      </c>
      <c r="E57">
        <v>7</v>
      </c>
      <c r="F57">
        <v>72.010000000000005</v>
      </c>
      <c r="G57">
        <v>0</v>
      </c>
      <c r="H57">
        <v>0</v>
      </c>
      <c r="I57">
        <v>1</v>
      </c>
      <c r="J57">
        <v>2</v>
      </c>
      <c r="K57">
        <v>81.37</v>
      </c>
      <c r="L57">
        <v>81.41</v>
      </c>
    </row>
    <row r="58" spans="1:12" x14ac:dyDescent="0.2">
      <c r="A58" s="4">
        <v>57</v>
      </c>
      <c r="B58" t="s">
        <v>548</v>
      </c>
      <c r="C58">
        <f xml:space="preserve">  81.29</f>
        <v>81.290000000000006</v>
      </c>
      <c r="D58">
        <v>25</v>
      </c>
      <c r="E58">
        <v>8</v>
      </c>
      <c r="F58">
        <v>72.61</v>
      </c>
      <c r="G58">
        <v>0</v>
      </c>
      <c r="H58">
        <v>1</v>
      </c>
      <c r="I58">
        <v>0</v>
      </c>
      <c r="J58">
        <v>2</v>
      </c>
      <c r="K58">
        <v>79.930000000000007</v>
      </c>
      <c r="L58">
        <v>81.56</v>
      </c>
    </row>
    <row r="59" spans="1:12" x14ac:dyDescent="0.2">
      <c r="A59" s="4">
        <v>58</v>
      </c>
      <c r="B59" t="s">
        <v>30</v>
      </c>
      <c r="C59">
        <f xml:space="preserve">  81.25</f>
        <v>81.25</v>
      </c>
      <c r="D59">
        <v>18</v>
      </c>
      <c r="E59">
        <v>14</v>
      </c>
      <c r="F59">
        <v>76.739999999999995</v>
      </c>
      <c r="G59">
        <v>0</v>
      </c>
      <c r="H59">
        <v>2</v>
      </c>
      <c r="I59">
        <v>2</v>
      </c>
      <c r="J59">
        <v>7</v>
      </c>
      <c r="K59">
        <v>78.16</v>
      </c>
      <c r="L59">
        <v>82.12</v>
      </c>
    </row>
    <row r="60" spans="1:12" x14ac:dyDescent="0.2">
      <c r="A60" s="4">
        <v>59</v>
      </c>
      <c r="B60" t="s">
        <v>153</v>
      </c>
      <c r="C60">
        <f xml:space="preserve">  81.21</f>
        <v>81.209999999999994</v>
      </c>
      <c r="D60">
        <v>22</v>
      </c>
      <c r="E60">
        <v>17</v>
      </c>
      <c r="F60">
        <v>78.099999999999994</v>
      </c>
      <c r="G60">
        <v>1</v>
      </c>
      <c r="H60">
        <v>5</v>
      </c>
      <c r="I60">
        <v>2</v>
      </c>
      <c r="J60">
        <v>12</v>
      </c>
      <c r="K60">
        <v>80.540000000000006</v>
      </c>
      <c r="L60">
        <v>81.28</v>
      </c>
    </row>
    <row r="61" spans="1:12" x14ac:dyDescent="0.2">
      <c r="A61" s="4">
        <v>60</v>
      </c>
      <c r="B61" t="s">
        <v>48</v>
      </c>
      <c r="C61">
        <f xml:space="preserve">  80.98</f>
        <v>80.98</v>
      </c>
      <c r="D61">
        <v>21</v>
      </c>
      <c r="E61">
        <v>13</v>
      </c>
      <c r="F61">
        <v>77.66</v>
      </c>
      <c r="G61">
        <v>1</v>
      </c>
      <c r="H61">
        <v>4</v>
      </c>
      <c r="I61">
        <v>4</v>
      </c>
      <c r="J61">
        <v>8</v>
      </c>
      <c r="K61">
        <v>81.08</v>
      </c>
      <c r="L61">
        <v>80.84</v>
      </c>
    </row>
    <row r="62" spans="1:12" x14ac:dyDescent="0.2">
      <c r="A62" s="4">
        <v>61</v>
      </c>
      <c r="B62" t="s">
        <v>805</v>
      </c>
      <c r="C62">
        <f xml:space="preserve">  80.9</f>
        <v>80.900000000000006</v>
      </c>
      <c r="D62">
        <v>24</v>
      </c>
      <c r="E62">
        <v>8</v>
      </c>
      <c r="F62">
        <v>75.94</v>
      </c>
      <c r="G62">
        <v>1</v>
      </c>
      <c r="H62">
        <v>3</v>
      </c>
      <c r="I62">
        <v>4</v>
      </c>
      <c r="J62">
        <v>6</v>
      </c>
      <c r="K62">
        <v>83.77</v>
      </c>
      <c r="L62">
        <v>80.19</v>
      </c>
    </row>
    <row r="63" spans="1:12" x14ac:dyDescent="0.2">
      <c r="A63" s="4">
        <v>62</v>
      </c>
      <c r="B63" t="s">
        <v>68</v>
      </c>
      <c r="C63">
        <f xml:space="preserve">  80.9</f>
        <v>80.900000000000006</v>
      </c>
      <c r="D63">
        <v>20</v>
      </c>
      <c r="E63">
        <v>12</v>
      </c>
      <c r="F63">
        <v>76.25</v>
      </c>
      <c r="G63">
        <v>0</v>
      </c>
      <c r="H63">
        <v>2</v>
      </c>
      <c r="I63">
        <v>1</v>
      </c>
      <c r="J63">
        <v>5</v>
      </c>
      <c r="K63">
        <v>79.86</v>
      </c>
      <c r="L63">
        <v>81.069999999999993</v>
      </c>
    </row>
    <row r="64" spans="1:12" x14ac:dyDescent="0.2">
      <c r="A64" s="4">
        <v>63</v>
      </c>
      <c r="B64" t="s">
        <v>34</v>
      </c>
      <c r="C64">
        <f xml:space="preserve">  80.89</f>
        <v>80.89</v>
      </c>
      <c r="D64">
        <v>17</v>
      </c>
      <c r="E64">
        <v>15</v>
      </c>
      <c r="F64">
        <v>79.98</v>
      </c>
      <c r="G64">
        <v>3</v>
      </c>
      <c r="H64">
        <v>9</v>
      </c>
      <c r="I64">
        <v>4</v>
      </c>
      <c r="J64">
        <v>11</v>
      </c>
      <c r="K64">
        <v>82.04</v>
      </c>
      <c r="L64">
        <v>80.5</v>
      </c>
    </row>
    <row r="65" spans="1:12" x14ac:dyDescent="0.2">
      <c r="A65" s="4">
        <v>64</v>
      </c>
      <c r="B65" t="s">
        <v>859</v>
      </c>
      <c r="C65">
        <f xml:space="preserve">  80.79</f>
        <v>80.790000000000006</v>
      </c>
      <c r="D65">
        <v>25</v>
      </c>
      <c r="E65">
        <v>8</v>
      </c>
      <c r="F65">
        <v>71.92</v>
      </c>
      <c r="G65">
        <v>0</v>
      </c>
      <c r="H65">
        <v>1</v>
      </c>
      <c r="I65">
        <v>1</v>
      </c>
      <c r="J65">
        <v>2</v>
      </c>
      <c r="K65">
        <v>80.209999999999994</v>
      </c>
      <c r="L65">
        <v>80.84</v>
      </c>
    </row>
    <row r="66" spans="1:12" x14ac:dyDescent="0.2">
      <c r="A66" s="4">
        <v>65</v>
      </c>
      <c r="B66" t="s">
        <v>165</v>
      </c>
      <c r="C66">
        <f xml:space="preserve">  80.66</f>
        <v>80.66</v>
      </c>
      <c r="D66">
        <v>25</v>
      </c>
      <c r="E66">
        <v>12</v>
      </c>
      <c r="F66">
        <v>75.95</v>
      </c>
      <c r="G66">
        <v>1</v>
      </c>
      <c r="H66">
        <v>1</v>
      </c>
      <c r="I66">
        <v>3</v>
      </c>
      <c r="J66">
        <v>3</v>
      </c>
      <c r="K66">
        <v>81.99</v>
      </c>
      <c r="L66">
        <v>80.239999999999995</v>
      </c>
    </row>
    <row r="67" spans="1:12" x14ac:dyDescent="0.2">
      <c r="A67" s="4">
        <v>66</v>
      </c>
      <c r="B67" t="s">
        <v>255</v>
      </c>
      <c r="C67">
        <f xml:space="preserve">  80.51</f>
        <v>80.510000000000005</v>
      </c>
      <c r="D67">
        <v>23</v>
      </c>
      <c r="E67">
        <v>9</v>
      </c>
      <c r="F67">
        <v>76.260000000000005</v>
      </c>
      <c r="G67">
        <v>1</v>
      </c>
      <c r="H67">
        <v>2</v>
      </c>
      <c r="I67">
        <v>2</v>
      </c>
      <c r="J67">
        <v>3</v>
      </c>
      <c r="K67">
        <v>81.83</v>
      </c>
      <c r="L67">
        <v>80.08</v>
      </c>
    </row>
    <row r="68" spans="1:12" x14ac:dyDescent="0.2">
      <c r="A68" s="4">
        <v>67</v>
      </c>
      <c r="B68" t="s">
        <v>79</v>
      </c>
      <c r="C68">
        <f xml:space="preserve">  80.43</f>
        <v>80.430000000000007</v>
      </c>
      <c r="D68">
        <v>19</v>
      </c>
      <c r="E68">
        <v>14</v>
      </c>
      <c r="F68">
        <v>80.02</v>
      </c>
      <c r="G68">
        <v>1</v>
      </c>
      <c r="H68">
        <v>9</v>
      </c>
      <c r="I68">
        <v>2</v>
      </c>
      <c r="J68">
        <v>13</v>
      </c>
      <c r="K68">
        <v>83.22</v>
      </c>
      <c r="L68">
        <v>79.72</v>
      </c>
    </row>
    <row r="69" spans="1:12" x14ac:dyDescent="0.2">
      <c r="A69" s="4">
        <v>68</v>
      </c>
      <c r="B69" t="s">
        <v>64</v>
      </c>
      <c r="C69">
        <f xml:space="preserve">  80.33</f>
        <v>80.33</v>
      </c>
      <c r="D69">
        <v>24</v>
      </c>
      <c r="E69">
        <v>8</v>
      </c>
      <c r="F69">
        <v>71.290000000000006</v>
      </c>
      <c r="G69">
        <v>1</v>
      </c>
      <c r="H69">
        <v>4</v>
      </c>
      <c r="I69">
        <v>1</v>
      </c>
      <c r="J69">
        <v>4</v>
      </c>
      <c r="K69">
        <v>79.599999999999994</v>
      </c>
      <c r="L69">
        <v>80.41</v>
      </c>
    </row>
    <row r="70" spans="1:12" x14ac:dyDescent="0.2">
      <c r="A70" s="4">
        <v>69</v>
      </c>
      <c r="B70" t="s">
        <v>819</v>
      </c>
      <c r="C70">
        <f xml:space="preserve">  80.28</f>
        <v>80.28</v>
      </c>
      <c r="D70">
        <v>24</v>
      </c>
      <c r="E70">
        <v>10</v>
      </c>
      <c r="F70">
        <v>72.709999999999994</v>
      </c>
      <c r="G70">
        <v>1</v>
      </c>
      <c r="H70">
        <v>2</v>
      </c>
      <c r="I70">
        <v>1</v>
      </c>
      <c r="J70">
        <v>2</v>
      </c>
      <c r="K70">
        <v>78.86</v>
      </c>
      <c r="L70">
        <v>80.56</v>
      </c>
    </row>
    <row r="71" spans="1:12" x14ac:dyDescent="0.2">
      <c r="A71" s="4">
        <v>70</v>
      </c>
      <c r="B71" t="s">
        <v>62</v>
      </c>
      <c r="C71">
        <f xml:space="preserve">  80.27</f>
        <v>80.27</v>
      </c>
      <c r="D71">
        <v>20</v>
      </c>
      <c r="E71">
        <v>13</v>
      </c>
      <c r="F71">
        <v>76.45</v>
      </c>
      <c r="G71">
        <v>1</v>
      </c>
      <c r="H71">
        <v>1</v>
      </c>
      <c r="I71">
        <v>5</v>
      </c>
      <c r="J71">
        <v>4</v>
      </c>
      <c r="K71">
        <v>79.28</v>
      </c>
      <c r="L71">
        <v>80.42</v>
      </c>
    </row>
    <row r="72" spans="1:12" x14ac:dyDescent="0.2">
      <c r="A72" s="4">
        <v>71</v>
      </c>
      <c r="B72" t="s">
        <v>783</v>
      </c>
      <c r="C72">
        <f xml:space="preserve">  80.23</f>
        <v>80.23</v>
      </c>
      <c r="D72">
        <v>20</v>
      </c>
      <c r="E72">
        <v>14</v>
      </c>
      <c r="F72">
        <v>77</v>
      </c>
      <c r="G72">
        <v>0</v>
      </c>
      <c r="H72">
        <v>1</v>
      </c>
      <c r="I72">
        <v>2</v>
      </c>
      <c r="J72">
        <v>4</v>
      </c>
      <c r="K72">
        <v>78.77</v>
      </c>
      <c r="L72">
        <v>80.53</v>
      </c>
    </row>
    <row r="73" spans="1:12" x14ac:dyDescent="0.2">
      <c r="A73" s="4">
        <v>72</v>
      </c>
      <c r="B73" t="s">
        <v>69</v>
      </c>
      <c r="C73">
        <f xml:space="preserve">  80.11</f>
        <v>80.11</v>
      </c>
      <c r="D73">
        <v>22</v>
      </c>
      <c r="E73">
        <v>12</v>
      </c>
      <c r="F73">
        <v>77.459999999999994</v>
      </c>
      <c r="G73">
        <v>0</v>
      </c>
      <c r="H73">
        <v>2</v>
      </c>
      <c r="I73">
        <v>4</v>
      </c>
      <c r="J73">
        <v>5</v>
      </c>
      <c r="K73">
        <v>81.650000000000006</v>
      </c>
      <c r="L73">
        <v>79.650000000000006</v>
      </c>
    </row>
    <row r="74" spans="1:12" x14ac:dyDescent="0.2">
      <c r="A74" s="4">
        <v>73</v>
      </c>
      <c r="B74" t="s">
        <v>178</v>
      </c>
      <c r="C74">
        <f xml:space="preserve">  80.11</f>
        <v>80.11</v>
      </c>
      <c r="D74">
        <v>21</v>
      </c>
      <c r="E74">
        <v>13</v>
      </c>
      <c r="F74">
        <v>74.739999999999995</v>
      </c>
      <c r="G74">
        <v>0</v>
      </c>
      <c r="H74">
        <v>2</v>
      </c>
      <c r="I74">
        <v>1</v>
      </c>
      <c r="J74">
        <v>5</v>
      </c>
      <c r="K74">
        <v>77.92</v>
      </c>
      <c r="L74">
        <v>80.63</v>
      </c>
    </row>
    <row r="75" spans="1:12" x14ac:dyDescent="0.2">
      <c r="A75" s="4">
        <v>74</v>
      </c>
      <c r="B75" t="s">
        <v>13</v>
      </c>
      <c r="C75">
        <f xml:space="preserve">  80.07</f>
        <v>80.069999999999993</v>
      </c>
      <c r="D75">
        <v>18</v>
      </c>
      <c r="E75">
        <v>15</v>
      </c>
      <c r="F75">
        <v>78.010000000000005</v>
      </c>
      <c r="G75">
        <v>3</v>
      </c>
      <c r="H75">
        <v>6</v>
      </c>
      <c r="I75">
        <v>4</v>
      </c>
      <c r="J75">
        <v>7</v>
      </c>
      <c r="K75">
        <v>78.91</v>
      </c>
      <c r="L75">
        <v>80.27</v>
      </c>
    </row>
    <row r="76" spans="1:12" x14ac:dyDescent="0.2">
      <c r="A76" s="4">
        <v>75</v>
      </c>
      <c r="B76" t="s">
        <v>102</v>
      </c>
      <c r="C76">
        <f xml:space="preserve">  79.87</f>
        <v>79.87</v>
      </c>
      <c r="D76">
        <v>19</v>
      </c>
      <c r="E76">
        <v>14</v>
      </c>
      <c r="F76">
        <v>77.33</v>
      </c>
      <c r="G76">
        <v>0</v>
      </c>
      <c r="H76">
        <v>2</v>
      </c>
      <c r="I76">
        <v>2</v>
      </c>
      <c r="J76">
        <v>5</v>
      </c>
      <c r="K76">
        <v>79.989999999999995</v>
      </c>
      <c r="L76">
        <v>79.73</v>
      </c>
    </row>
    <row r="77" spans="1:12" x14ac:dyDescent="0.2">
      <c r="A77" s="4">
        <v>76</v>
      </c>
      <c r="B77" t="s">
        <v>133</v>
      </c>
      <c r="C77">
        <f xml:space="preserve">  79.77</f>
        <v>79.77</v>
      </c>
      <c r="D77">
        <v>21</v>
      </c>
      <c r="E77">
        <v>12</v>
      </c>
      <c r="F77">
        <v>75.010000000000005</v>
      </c>
      <c r="G77">
        <v>0</v>
      </c>
      <c r="H77">
        <v>0</v>
      </c>
      <c r="I77">
        <v>0</v>
      </c>
      <c r="J77">
        <v>2</v>
      </c>
      <c r="K77">
        <v>79.41</v>
      </c>
      <c r="L77">
        <v>79.75</v>
      </c>
    </row>
    <row r="78" spans="1:12" x14ac:dyDescent="0.2">
      <c r="A78" s="4">
        <v>77</v>
      </c>
      <c r="B78" t="s">
        <v>791</v>
      </c>
      <c r="C78">
        <f xml:space="preserve">  79.73</f>
        <v>79.73</v>
      </c>
      <c r="D78">
        <v>21</v>
      </c>
      <c r="E78">
        <v>12</v>
      </c>
      <c r="F78">
        <v>76.11</v>
      </c>
      <c r="G78">
        <v>1</v>
      </c>
      <c r="H78">
        <v>3</v>
      </c>
      <c r="I78">
        <v>3</v>
      </c>
      <c r="J78">
        <v>4</v>
      </c>
      <c r="K78">
        <v>79.91</v>
      </c>
      <c r="L78">
        <v>79.58</v>
      </c>
    </row>
    <row r="79" spans="1:12" x14ac:dyDescent="0.2">
      <c r="A79" s="4">
        <v>78</v>
      </c>
      <c r="B79" t="s">
        <v>41</v>
      </c>
      <c r="C79">
        <f xml:space="preserve">  79.53</f>
        <v>79.53</v>
      </c>
      <c r="D79">
        <v>16</v>
      </c>
      <c r="E79">
        <v>17</v>
      </c>
      <c r="F79">
        <v>77.78</v>
      </c>
      <c r="G79">
        <v>0</v>
      </c>
      <c r="H79">
        <v>8</v>
      </c>
      <c r="I79">
        <v>1</v>
      </c>
      <c r="J79">
        <v>12</v>
      </c>
      <c r="K79">
        <v>77.64</v>
      </c>
      <c r="L79">
        <v>79.95</v>
      </c>
    </row>
    <row r="80" spans="1:12" x14ac:dyDescent="0.2">
      <c r="A80" s="4">
        <v>79</v>
      </c>
      <c r="B80" t="s">
        <v>181</v>
      </c>
      <c r="C80">
        <f xml:space="preserve">  79.44</f>
        <v>79.44</v>
      </c>
      <c r="D80">
        <v>20</v>
      </c>
      <c r="E80">
        <v>14</v>
      </c>
      <c r="F80">
        <v>77.239999999999995</v>
      </c>
      <c r="G80">
        <v>0</v>
      </c>
      <c r="H80">
        <v>4</v>
      </c>
      <c r="I80">
        <v>2</v>
      </c>
      <c r="J80">
        <v>6</v>
      </c>
      <c r="K80">
        <v>79.3</v>
      </c>
      <c r="L80">
        <v>79.37</v>
      </c>
    </row>
    <row r="81" spans="1:12" x14ac:dyDescent="0.2">
      <c r="A81" s="4">
        <v>80</v>
      </c>
      <c r="B81" t="s">
        <v>812</v>
      </c>
      <c r="C81">
        <f xml:space="preserve">  79.43</f>
        <v>79.430000000000007</v>
      </c>
      <c r="D81">
        <v>20</v>
      </c>
      <c r="E81">
        <v>15</v>
      </c>
      <c r="F81">
        <v>75.36</v>
      </c>
      <c r="G81">
        <v>0</v>
      </c>
      <c r="H81">
        <v>1</v>
      </c>
      <c r="I81">
        <v>3</v>
      </c>
      <c r="J81">
        <v>6</v>
      </c>
      <c r="K81">
        <v>77.23</v>
      </c>
      <c r="L81">
        <v>79.94</v>
      </c>
    </row>
    <row r="82" spans="1:12" x14ac:dyDescent="0.2">
      <c r="A82" s="4">
        <v>81</v>
      </c>
      <c r="B82" t="s">
        <v>818</v>
      </c>
      <c r="C82">
        <f xml:space="preserve">  79.4</f>
        <v>79.400000000000006</v>
      </c>
      <c r="D82">
        <v>21</v>
      </c>
      <c r="E82">
        <v>14</v>
      </c>
      <c r="F82">
        <v>75.19</v>
      </c>
      <c r="G82">
        <v>1</v>
      </c>
      <c r="H82">
        <v>2</v>
      </c>
      <c r="I82">
        <v>1</v>
      </c>
      <c r="J82">
        <v>6</v>
      </c>
      <c r="K82">
        <v>78.989999999999995</v>
      </c>
      <c r="L82">
        <v>79.400000000000006</v>
      </c>
    </row>
    <row r="83" spans="1:12" x14ac:dyDescent="0.2">
      <c r="A83" s="4">
        <v>82</v>
      </c>
      <c r="B83" t="s">
        <v>840</v>
      </c>
      <c r="C83">
        <f xml:space="preserve">  79.33</f>
        <v>79.33</v>
      </c>
      <c r="D83">
        <v>21</v>
      </c>
      <c r="E83">
        <v>11</v>
      </c>
      <c r="F83">
        <v>74.27</v>
      </c>
      <c r="G83">
        <v>1</v>
      </c>
      <c r="H83">
        <v>0</v>
      </c>
      <c r="I83">
        <v>1</v>
      </c>
      <c r="J83">
        <v>2</v>
      </c>
      <c r="K83">
        <v>78.84</v>
      </c>
      <c r="L83">
        <v>79.349999999999994</v>
      </c>
    </row>
    <row r="84" spans="1:12" x14ac:dyDescent="0.2">
      <c r="A84" s="4">
        <v>83</v>
      </c>
      <c r="B84" t="s">
        <v>807</v>
      </c>
      <c r="C84">
        <f xml:space="preserve">  79.29</f>
        <v>79.290000000000006</v>
      </c>
      <c r="D84">
        <v>18</v>
      </c>
      <c r="E84">
        <v>18</v>
      </c>
      <c r="F84">
        <v>76.66</v>
      </c>
      <c r="G84">
        <v>0</v>
      </c>
      <c r="H84">
        <v>2</v>
      </c>
      <c r="I84">
        <v>2</v>
      </c>
      <c r="J84">
        <v>4</v>
      </c>
      <c r="K84">
        <v>77.38</v>
      </c>
      <c r="L84">
        <v>79.72</v>
      </c>
    </row>
    <row r="85" spans="1:12" x14ac:dyDescent="0.2">
      <c r="A85" s="4">
        <v>84</v>
      </c>
      <c r="B85" t="s">
        <v>237</v>
      </c>
      <c r="C85">
        <f xml:space="preserve">  79.29</f>
        <v>79.290000000000006</v>
      </c>
      <c r="D85">
        <v>26</v>
      </c>
      <c r="E85">
        <v>8</v>
      </c>
      <c r="F85">
        <v>69.2</v>
      </c>
      <c r="G85">
        <v>1</v>
      </c>
      <c r="H85">
        <v>1</v>
      </c>
      <c r="I85">
        <v>1</v>
      </c>
      <c r="J85">
        <v>3</v>
      </c>
      <c r="K85">
        <v>80.23</v>
      </c>
      <c r="L85">
        <v>78.95</v>
      </c>
    </row>
    <row r="86" spans="1:12" x14ac:dyDescent="0.2">
      <c r="A86" s="4">
        <v>85</v>
      </c>
      <c r="B86" t="s">
        <v>11</v>
      </c>
      <c r="C86">
        <f xml:space="preserve">  79.1</f>
        <v>79.099999999999994</v>
      </c>
      <c r="D86">
        <v>13</v>
      </c>
      <c r="E86">
        <v>19</v>
      </c>
      <c r="F86">
        <v>79.739999999999995</v>
      </c>
      <c r="G86">
        <v>0</v>
      </c>
      <c r="H86">
        <v>7</v>
      </c>
      <c r="I86">
        <v>0</v>
      </c>
      <c r="J86">
        <v>16</v>
      </c>
      <c r="K86">
        <v>77.19</v>
      </c>
      <c r="L86">
        <v>79.52</v>
      </c>
    </row>
    <row r="87" spans="1:12" x14ac:dyDescent="0.2">
      <c r="A87" s="4">
        <v>86</v>
      </c>
      <c r="B87" t="s">
        <v>282</v>
      </c>
      <c r="C87">
        <f xml:space="preserve">  79.03</f>
        <v>79.03</v>
      </c>
      <c r="D87">
        <v>26</v>
      </c>
      <c r="E87">
        <v>11</v>
      </c>
      <c r="F87">
        <v>72.599999999999994</v>
      </c>
      <c r="G87">
        <v>0</v>
      </c>
      <c r="H87">
        <v>1</v>
      </c>
      <c r="I87">
        <v>0</v>
      </c>
      <c r="J87">
        <v>3</v>
      </c>
      <c r="K87">
        <v>79.48</v>
      </c>
      <c r="L87">
        <v>78.8</v>
      </c>
    </row>
    <row r="88" spans="1:12" x14ac:dyDescent="0.2">
      <c r="A88" s="4">
        <v>87</v>
      </c>
      <c r="B88" t="s">
        <v>808</v>
      </c>
      <c r="C88">
        <f xml:space="preserve">  78.94</f>
        <v>78.94</v>
      </c>
      <c r="D88">
        <v>22</v>
      </c>
      <c r="E88">
        <v>12</v>
      </c>
      <c r="F88">
        <v>70.62</v>
      </c>
      <c r="G88">
        <v>0</v>
      </c>
      <c r="H88">
        <v>0</v>
      </c>
      <c r="I88">
        <v>1</v>
      </c>
      <c r="J88">
        <v>2</v>
      </c>
      <c r="K88">
        <v>74.88</v>
      </c>
      <c r="L88">
        <v>80.09</v>
      </c>
    </row>
    <row r="89" spans="1:12" x14ac:dyDescent="0.2">
      <c r="A89" s="4">
        <v>88</v>
      </c>
      <c r="B89" t="s">
        <v>32</v>
      </c>
      <c r="C89">
        <f xml:space="preserve">  78.81</f>
        <v>78.81</v>
      </c>
      <c r="D89">
        <v>18</v>
      </c>
      <c r="E89">
        <v>17</v>
      </c>
      <c r="F89">
        <v>78.989999999999995</v>
      </c>
      <c r="G89">
        <v>4</v>
      </c>
      <c r="H89">
        <v>6</v>
      </c>
      <c r="I89">
        <v>6</v>
      </c>
      <c r="J89">
        <v>8</v>
      </c>
      <c r="K89">
        <v>80.73</v>
      </c>
      <c r="L89">
        <v>78.25</v>
      </c>
    </row>
    <row r="90" spans="1:12" x14ac:dyDescent="0.2">
      <c r="A90" s="4">
        <v>89</v>
      </c>
      <c r="B90" t="s">
        <v>241</v>
      </c>
      <c r="C90">
        <f xml:space="preserve">  78.74</f>
        <v>78.739999999999995</v>
      </c>
      <c r="D90">
        <v>22</v>
      </c>
      <c r="E90">
        <v>9</v>
      </c>
      <c r="F90">
        <v>71.37</v>
      </c>
      <c r="G90">
        <v>0</v>
      </c>
      <c r="H90">
        <v>0</v>
      </c>
      <c r="I90">
        <v>1</v>
      </c>
      <c r="J90">
        <v>1</v>
      </c>
      <c r="K90">
        <v>77.31</v>
      </c>
      <c r="L90">
        <v>79.02</v>
      </c>
    </row>
    <row r="91" spans="1:12" x14ac:dyDescent="0.2">
      <c r="A91" s="4">
        <v>90</v>
      </c>
      <c r="B91" t="s">
        <v>100</v>
      </c>
      <c r="C91">
        <f xml:space="preserve">  78.67</f>
        <v>78.67</v>
      </c>
      <c r="D91">
        <v>20</v>
      </c>
      <c r="E91">
        <v>14</v>
      </c>
      <c r="F91">
        <v>77.930000000000007</v>
      </c>
      <c r="G91">
        <v>0</v>
      </c>
      <c r="H91">
        <v>5</v>
      </c>
      <c r="I91">
        <v>1</v>
      </c>
      <c r="J91">
        <v>6</v>
      </c>
      <c r="K91">
        <v>80.08</v>
      </c>
      <c r="L91">
        <v>78.22</v>
      </c>
    </row>
    <row r="92" spans="1:12" x14ac:dyDescent="0.2">
      <c r="A92" s="4">
        <v>91</v>
      </c>
      <c r="B92" t="s">
        <v>790</v>
      </c>
      <c r="C92">
        <f xml:space="preserve">  78.57</f>
        <v>78.569999999999993</v>
      </c>
      <c r="D92">
        <v>14</v>
      </c>
      <c r="E92">
        <v>18</v>
      </c>
      <c r="F92">
        <v>80.7</v>
      </c>
      <c r="G92">
        <v>1</v>
      </c>
      <c r="H92">
        <v>9</v>
      </c>
      <c r="I92">
        <v>3</v>
      </c>
      <c r="J92">
        <v>13</v>
      </c>
      <c r="K92">
        <v>78.53</v>
      </c>
      <c r="L92">
        <v>78.47</v>
      </c>
    </row>
    <row r="93" spans="1:12" x14ac:dyDescent="0.2">
      <c r="A93" s="4">
        <v>92</v>
      </c>
      <c r="B93" t="s">
        <v>252</v>
      </c>
      <c r="C93">
        <f xml:space="preserve">  78.51</f>
        <v>78.510000000000005</v>
      </c>
      <c r="D93">
        <v>24</v>
      </c>
      <c r="E93">
        <v>10</v>
      </c>
      <c r="F93">
        <v>70.86</v>
      </c>
      <c r="G93">
        <v>0</v>
      </c>
      <c r="H93">
        <v>2</v>
      </c>
      <c r="I93">
        <v>0</v>
      </c>
      <c r="J93">
        <v>3</v>
      </c>
      <c r="K93">
        <v>79.180000000000007</v>
      </c>
      <c r="L93">
        <v>78.239999999999995</v>
      </c>
    </row>
    <row r="94" spans="1:12" x14ac:dyDescent="0.2">
      <c r="A94" s="4">
        <v>93</v>
      </c>
      <c r="B94" t="s">
        <v>78</v>
      </c>
      <c r="C94">
        <f xml:space="preserve">  78.44</f>
        <v>78.44</v>
      </c>
      <c r="D94">
        <v>16</v>
      </c>
      <c r="E94">
        <v>15</v>
      </c>
      <c r="F94">
        <v>75</v>
      </c>
      <c r="G94">
        <v>1</v>
      </c>
      <c r="H94">
        <v>3</v>
      </c>
      <c r="I94">
        <v>3</v>
      </c>
      <c r="J94">
        <v>4</v>
      </c>
      <c r="K94">
        <v>75.52</v>
      </c>
      <c r="L94">
        <v>79.180000000000007</v>
      </c>
    </row>
    <row r="95" spans="1:12" x14ac:dyDescent="0.2">
      <c r="A95" s="4">
        <v>94</v>
      </c>
      <c r="B95" t="s">
        <v>160</v>
      </c>
      <c r="C95">
        <f xml:space="preserve">  78.44</f>
        <v>78.44</v>
      </c>
      <c r="D95">
        <v>27</v>
      </c>
      <c r="E95">
        <v>7</v>
      </c>
      <c r="F95">
        <v>71.7</v>
      </c>
      <c r="G95">
        <v>0</v>
      </c>
      <c r="H95">
        <v>1</v>
      </c>
      <c r="I95">
        <v>1</v>
      </c>
      <c r="J95">
        <v>2</v>
      </c>
      <c r="K95">
        <v>80.290000000000006</v>
      </c>
      <c r="L95">
        <v>77.900000000000006</v>
      </c>
    </row>
    <row r="96" spans="1:12" x14ac:dyDescent="0.2">
      <c r="A96" s="4">
        <v>95</v>
      </c>
      <c r="B96" t="s">
        <v>810</v>
      </c>
      <c r="C96">
        <f xml:space="preserve">  78.42</f>
        <v>78.42</v>
      </c>
      <c r="D96">
        <v>20</v>
      </c>
      <c r="E96">
        <v>12</v>
      </c>
      <c r="F96">
        <v>76.67</v>
      </c>
      <c r="G96">
        <v>1</v>
      </c>
      <c r="H96">
        <v>2</v>
      </c>
      <c r="I96">
        <v>2</v>
      </c>
      <c r="J96">
        <v>5</v>
      </c>
      <c r="K96">
        <v>80.64</v>
      </c>
      <c r="L96">
        <v>77.81</v>
      </c>
    </row>
    <row r="97" spans="1:12" x14ac:dyDescent="0.2">
      <c r="A97" s="4">
        <v>96</v>
      </c>
      <c r="B97" t="s">
        <v>45</v>
      </c>
      <c r="C97">
        <f xml:space="preserve">  78.33</f>
        <v>78.33</v>
      </c>
      <c r="D97">
        <v>15</v>
      </c>
      <c r="E97">
        <v>16</v>
      </c>
      <c r="F97">
        <v>78.52</v>
      </c>
      <c r="G97">
        <v>2</v>
      </c>
      <c r="H97">
        <v>7</v>
      </c>
      <c r="I97">
        <v>2</v>
      </c>
      <c r="J97">
        <v>12</v>
      </c>
      <c r="K97">
        <v>78.22</v>
      </c>
      <c r="L97">
        <v>78.25</v>
      </c>
    </row>
    <row r="98" spans="1:12" x14ac:dyDescent="0.2">
      <c r="A98" s="4">
        <v>97</v>
      </c>
      <c r="B98" t="s">
        <v>116</v>
      </c>
      <c r="C98">
        <f xml:space="preserve">  78.3</f>
        <v>78.3</v>
      </c>
      <c r="D98">
        <v>19</v>
      </c>
      <c r="E98">
        <v>11</v>
      </c>
      <c r="F98">
        <v>74.37</v>
      </c>
      <c r="G98">
        <v>0</v>
      </c>
      <c r="H98">
        <v>0</v>
      </c>
      <c r="I98">
        <v>0</v>
      </c>
      <c r="J98">
        <v>2</v>
      </c>
      <c r="K98">
        <v>78.400000000000006</v>
      </c>
      <c r="L98">
        <v>78.16</v>
      </c>
    </row>
    <row r="99" spans="1:12" x14ac:dyDescent="0.2">
      <c r="A99" s="4">
        <v>98</v>
      </c>
      <c r="B99" t="s">
        <v>273</v>
      </c>
      <c r="C99">
        <f xml:space="preserve">  78.27</f>
        <v>78.27</v>
      </c>
      <c r="D99">
        <v>18</v>
      </c>
      <c r="E99">
        <v>15</v>
      </c>
      <c r="F99">
        <v>77.67</v>
      </c>
      <c r="G99">
        <v>1</v>
      </c>
      <c r="H99">
        <v>4</v>
      </c>
      <c r="I99">
        <v>2</v>
      </c>
      <c r="J99">
        <v>6</v>
      </c>
      <c r="K99">
        <v>79.03</v>
      </c>
      <c r="L99">
        <v>77.98</v>
      </c>
    </row>
    <row r="100" spans="1:12" x14ac:dyDescent="0.2">
      <c r="A100" s="4">
        <v>99</v>
      </c>
      <c r="B100" t="s">
        <v>860</v>
      </c>
      <c r="C100">
        <f xml:space="preserve">  78.27</f>
        <v>78.27</v>
      </c>
      <c r="D100">
        <v>15</v>
      </c>
      <c r="E100">
        <v>16</v>
      </c>
      <c r="F100">
        <v>76.540000000000006</v>
      </c>
      <c r="G100">
        <v>0</v>
      </c>
      <c r="H100">
        <v>3</v>
      </c>
      <c r="I100">
        <v>1</v>
      </c>
      <c r="J100">
        <v>6</v>
      </c>
      <c r="K100">
        <v>76.36</v>
      </c>
      <c r="L100">
        <v>78.69</v>
      </c>
    </row>
    <row r="101" spans="1:12" x14ac:dyDescent="0.2">
      <c r="A101" s="4">
        <v>100</v>
      </c>
      <c r="B101" t="s">
        <v>166</v>
      </c>
      <c r="C101">
        <f xml:space="preserve">  78.23</f>
        <v>78.23</v>
      </c>
      <c r="D101">
        <v>25</v>
      </c>
      <c r="E101">
        <v>6</v>
      </c>
      <c r="F101">
        <v>69.069999999999993</v>
      </c>
      <c r="G101">
        <v>0</v>
      </c>
      <c r="H101">
        <v>0</v>
      </c>
      <c r="I101">
        <v>0</v>
      </c>
      <c r="J101">
        <v>1</v>
      </c>
      <c r="K101">
        <v>79.08</v>
      </c>
      <c r="L101">
        <v>77.91</v>
      </c>
    </row>
    <row r="102" spans="1:12" x14ac:dyDescent="0.2">
      <c r="A102" s="4">
        <v>101</v>
      </c>
      <c r="B102" t="s">
        <v>92</v>
      </c>
      <c r="C102">
        <f xml:space="preserve">  78.08</f>
        <v>78.08</v>
      </c>
      <c r="D102">
        <v>19</v>
      </c>
      <c r="E102">
        <v>12</v>
      </c>
      <c r="F102">
        <v>73.78</v>
      </c>
      <c r="G102">
        <v>0</v>
      </c>
      <c r="H102">
        <v>2</v>
      </c>
      <c r="I102">
        <v>1</v>
      </c>
      <c r="J102">
        <v>4</v>
      </c>
      <c r="K102">
        <v>77.88</v>
      </c>
      <c r="L102">
        <v>78.02</v>
      </c>
    </row>
    <row r="103" spans="1:12" x14ac:dyDescent="0.2">
      <c r="A103" s="4">
        <v>102</v>
      </c>
      <c r="B103" t="s">
        <v>119</v>
      </c>
      <c r="C103">
        <f xml:space="preserve">  77.97</f>
        <v>77.97</v>
      </c>
      <c r="D103">
        <v>27</v>
      </c>
      <c r="E103">
        <v>7</v>
      </c>
      <c r="F103">
        <v>71.97</v>
      </c>
      <c r="G103">
        <v>0</v>
      </c>
      <c r="H103">
        <v>0</v>
      </c>
      <c r="I103">
        <v>1</v>
      </c>
      <c r="J103">
        <v>3</v>
      </c>
      <c r="K103">
        <v>82.27</v>
      </c>
      <c r="L103">
        <v>76.98</v>
      </c>
    </row>
    <row r="104" spans="1:12" x14ac:dyDescent="0.2">
      <c r="A104" s="4">
        <v>103</v>
      </c>
      <c r="B104" t="s">
        <v>149</v>
      </c>
      <c r="C104">
        <f xml:space="preserve">  77.83</f>
        <v>77.83</v>
      </c>
      <c r="D104">
        <v>17</v>
      </c>
      <c r="E104">
        <v>14</v>
      </c>
      <c r="F104">
        <v>75.08</v>
      </c>
      <c r="G104">
        <v>0</v>
      </c>
      <c r="H104">
        <v>2</v>
      </c>
      <c r="I104">
        <v>0</v>
      </c>
      <c r="J104">
        <v>3</v>
      </c>
      <c r="K104">
        <v>76.36</v>
      </c>
      <c r="L104">
        <v>78.12</v>
      </c>
    </row>
    <row r="105" spans="1:12" x14ac:dyDescent="0.2">
      <c r="A105" s="4">
        <v>104</v>
      </c>
      <c r="B105" t="s">
        <v>118</v>
      </c>
      <c r="C105">
        <f xml:space="preserve">  77.58</f>
        <v>77.58</v>
      </c>
      <c r="D105">
        <v>24</v>
      </c>
      <c r="E105">
        <v>9</v>
      </c>
      <c r="F105">
        <v>71.739999999999995</v>
      </c>
      <c r="G105">
        <v>0</v>
      </c>
      <c r="H105">
        <v>0</v>
      </c>
      <c r="I105">
        <v>1</v>
      </c>
      <c r="J105">
        <v>3</v>
      </c>
      <c r="K105">
        <v>78.150000000000006</v>
      </c>
      <c r="L105">
        <v>77.33</v>
      </c>
    </row>
    <row r="106" spans="1:12" x14ac:dyDescent="0.2">
      <c r="A106" s="4">
        <v>105</v>
      </c>
      <c r="B106" t="s">
        <v>192</v>
      </c>
      <c r="C106">
        <f xml:space="preserve">  77.39</f>
        <v>77.39</v>
      </c>
      <c r="D106">
        <v>23</v>
      </c>
      <c r="E106">
        <v>7</v>
      </c>
      <c r="F106">
        <v>69.599999999999994</v>
      </c>
      <c r="G106">
        <v>0</v>
      </c>
      <c r="H106">
        <v>1</v>
      </c>
      <c r="I106">
        <v>1</v>
      </c>
      <c r="J106">
        <v>1</v>
      </c>
      <c r="K106">
        <v>77.84</v>
      </c>
      <c r="L106">
        <v>77.16</v>
      </c>
    </row>
    <row r="107" spans="1:12" x14ac:dyDescent="0.2">
      <c r="A107" s="4">
        <v>106</v>
      </c>
      <c r="B107" t="s">
        <v>80</v>
      </c>
      <c r="C107">
        <f xml:space="preserve">  77.23</f>
        <v>77.23</v>
      </c>
      <c r="D107">
        <v>16</v>
      </c>
      <c r="E107">
        <v>16</v>
      </c>
      <c r="F107">
        <v>76.099999999999994</v>
      </c>
      <c r="G107">
        <v>0</v>
      </c>
      <c r="H107">
        <v>1</v>
      </c>
      <c r="I107">
        <v>1</v>
      </c>
      <c r="J107">
        <v>3</v>
      </c>
      <c r="K107">
        <v>75.930000000000007</v>
      </c>
      <c r="L107">
        <v>77.459999999999994</v>
      </c>
    </row>
    <row r="108" spans="1:12" x14ac:dyDescent="0.2">
      <c r="A108" s="4">
        <v>107</v>
      </c>
      <c r="B108" t="s">
        <v>124</v>
      </c>
      <c r="C108">
        <f xml:space="preserve">  77.22</f>
        <v>77.22</v>
      </c>
      <c r="D108">
        <v>18</v>
      </c>
      <c r="E108">
        <v>12</v>
      </c>
      <c r="F108">
        <v>73.73</v>
      </c>
      <c r="G108">
        <v>1</v>
      </c>
      <c r="H108">
        <v>0</v>
      </c>
      <c r="I108">
        <v>2</v>
      </c>
      <c r="J108">
        <v>2</v>
      </c>
      <c r="K108">
        <v>77.45</v>
      </c>
      <c r="L108">
        <v>77.05</v>
      </c>
    </row>
    <row r="109" spans="1:12" x14ac:dyDescent="0.2">
      <c r="A109" s="4">
        <v>108</v>
      </c>
      <c r="B109" t="s">
        <v>191</v>
      </c>
      <c r="C109">
        <f xml:space="preserve">  77.18</f>
        <v>77.180000000000007</v>
      </c>
      <c r="D109">
        <v>23</v>
      </c>
      <c r="E109">
        <v>9</v>
      </c>
      <c r="F109">
        <v>68.900000000000006</v>
      </c>
      <c r="G109">
        <v>0</v>
      </c>
      <c r="H109">
        <v>1</v>
      </c>
      <c r="I109">
        <v>0</v>
      </c>
      <c r="J109">
        <v>3</v>
      </c>
      <c r="K109">
        <v>75.81</v>
      </c>
      <c r="L109">
        <v>77.430000000000007</v>
      </c>
    </row>
    <row r="110" spans="1:12" x14ac:dyDescent="0.2">
      <c r="A110" s="4">
        <v>109</v>
      </c>
      <c r="B110" t="s">
        <v>286</v>
      </c>
      <c r="C110">
        <f xml:space="preserve">  77.17</f>
        <v>77.17</v>
      </c>
      <c r="D110">
        <v>15</v>
      </c>
      <c r="E110">
        <v>17</v>
      </c>
      <c r="F110">
        <v>79.209999999999994</v>
      </c>
      <c r="G110">
        <v>1</v>
      </c>
      <c r="H110">
        <v>6</v>
      </c>
      <c r="I110">
        <v>2</v>
      </c>
      <c r="J110">
        <v>10</v>
      </c>
      <c r="K110">
        <v>78.08</v>
      </c>
      <c r="L110">
        <v>76.84</v>
      </c>
    </row>
    <row r="111" spans="1:12" x14ac:dyDescent="0.2">
      <c r="A111" s="4">
        <v>110</v>
      </c>
      <c r="B111" t="s">
        <v>35</v>
      </c>
      <c r="C111">
        <f xml:space="preserve">  77.15</f>
        <v>77.150000000000006</v>
      </c>
      <c r="D111">
        <v>18</v>
      </c>
      <c r="E111">
        <v>14</v>
      </c>
      <c r="F111">
        <v>75.36</v>
      </c>
      <c r="G111">
        <v>2</v>
      </c>
      <c r="H111">
        <v>2</v>
      </c>
      <c r="I111">
        <v>2</v>
      </c>
      <c r="J111">
        <v>5</v>
      </c>
      <c r="K111">
        <v>77.78</v>
      </c>
      <c r="L111">
        <v>76.89</v>
      </c>
    </row>
    <row r="112" spans="1:12" x14ac:dyDescent="0.2">
      <c r="A112" s="4">
        <v>111</v>
      </c>
      <c r="B112" t="s">
        <v>874</v>
      </c>
      <c r="C112">
        <v>76.989999999999995</v>
      </c>
      <c r="D112">
        <v>20</v>
      </c>
      <c r="E112">
        <v>11</v>
      </c>
      <c r="F112">
        <v>75.39</v>
      </c>
      <c r="G112">
        <v>1</v>
      </c>
      <c r="H112">
        <v>3</v>
      </c>
      <c r="I112">
        <v>2</v>
      </c>
      <c r="J112">
        <v>4</v>
      </c>
      <c r="K112">
        <v>79.31</v>
      </c>
      <c r="L112">
        <v>76.34</v>
      </c>
    </row>
    <row r="113" spans="1:12" x14ac:dyDescent="0.2">
      <c r="A113" s="4">
        <v>112</v>
      </c>
      <c r="B113" t="s">
        <v>280</v>
      </c>
      <c r="C113">
        <f xml:space="preserve">  76.95</f>
        <v>76.95</v>
      </c>
      <c r="D113">
        <v>22</v>
      </c>
      <c r="E113">
        <v>14</v>
      </c>
      <c r="F113">
        <v>73.56</v>
      </c>
      <c r="G113">
        <v>0</v>
      </c>
      <c r="H113">
        <v>2</v>
      </c>
      <c r="I113">
        <v>1</v>
      </c>
      <c r="J113">
        <v>4</v>
      </c>
      <c r="K113">
        <v>76.8</v>
      </c>
      <c r="L113">
        <v>76.88</v>
      </c>
    </row>
    <row r="114" spans="1:12" x14ac:dyDescent="0.2">
      <c r="A114" s="4">
        <v>113</v>
      </c>
      <c r="B114" t="s">
        <v>251</v>
      </c>
      <c r="C114">
        <f xml:space="preserve">  76.95</f>
        <v>76.95</v>
      </c>
      <c r="D114">
        <v>26</v>
      </c>
      <c r="E114">
        <v>11</v>
      </c>
      <c r="F114">
        <v>70.81</v>
      </c>
      <c r="G114">
        <v>0</v>
      </c>
      <c r="H114">
        <v>1</v>
      </c>
      <c r="I114">
        <v>0</v>
      </c>
      <c r="J114">
        <v>1</v>
      </c>
      <c r="K114">
        <v>77.98</v>
      </c>
      <c r="L114">
        <v>76.58</v>
      </c>
    </row>
    <row r="115" spans="1:12" x14ac:dyDescent="0.2">
      <c r="A115" s="4">
        <v>114</v>
      </c>
      <c r="B115" t="s">
        <v>106</v>
      </c>
      <c r="C115">
        <f xml:space="preserve">  76.92</f>
        <v>76.92</v>
      </c>
      <c r="D115">
        <v>21</v>
      </c>
      <c r="E115">
        <v>15</v>
      </c>
      <c r="F115">
        <v>74.34</v>
      </c>
      <c r="G115">
        <v>1</v>
      </c>
      <c r="H115">
        <v>3</v>
      </c>
      <c r="I115">
        <v>2</v>
      </c>
      <c r="J115">
        <v>4</v>
      </c>
      <c r="K115">
        <v>77.53</v>
      </c>
      <c r="L115">
        <v>76.66</v>
      </c>
    </row>
    <row r="116" spans="1:12" x14ac:dyDescent="0.2">
      <c r="A116" s="4">
        <v>115</v>
      </c>
      <c r="B116" t="s">
        <v>143</v>
      </c>
      <c r="C116">
        <f xml:space="preserve">  76.89</f>
        <v>76.89</v>
      </c>
      <c r="D116">
        <v>18</v>
      </c>
      <c r="E116">
        <v>11</v>
      </c>
      <c r="F116">
        <v>71.930000000000007</v>
      </c>
      <c r="G116">
        <v>0</v>
      </c>
      <c r="H116">
        <v>0</v>
      </c>
      <c r="I116">
        <v>0</v>
      </c>
      <c r="J116">
        <v>7</v>
      </c>
      <c r="K116">
        <v>74.92</v>
      </c>
      <c r="L116">
        <v>77.31</v>
      </c>
    </row>
    <row r="117" spans="1:12" x14ac:dyDescent="0.2">
      <c r="A117" s="4">
        <v>116</v>
      </c>
      <c r="B117" t="s">
        <v>188</v>
      </c>
      <c r="C117">
        <f xml:space="preserve">  76.79</f>
        <v>76.790000000000006</v>
      </c>
      <c r="D117">
        <v>22</v>
      </c>
      <c r="E117">
        <v>15</v>
      </c>
      <c r="F117">
        <v>72.41</v>
      </c>
      <c r="G117">
        <v>0</v>
      </c>
      <c r="H117">
        <v>0</v>
      </c>
      <c r="I117">
        <v>0</v>
      </c>
      <c r="J117">
        <v>2</v>
      </c>
      <c r="K117">
        <v>75.84</v>
      </c>
      <c r="L117">
        <v>76.930000000000007</v>
      </c>
    </row>
    <row r="118" spans="1:12" x14ac:dyDescent="0.2">
      <c r="A118" s="4">
        <v>117</v>
      </c>
      <c r="B118" t="s">
        <v>71</v>
      </c>
      <c r="C118">
        <f xml:space="preserve">  76.77</f>
        <v>76.77</v>
      </c>
      <c r="D118">
        <v>14</v>
      </c>
      <c r="E118">
        <v>18</v>
      </c>
      <c r="F118">
        <v>77.97</v>
      </c>
      <c r="G118">
        <v>1</v>
      </c>
      <c r="H118">
        <v>4</v>
      </c>
      <c r="I118">
        <v>4</v>
      </c>
      <c r="J118">
        <v>8</v>
      </c>
      <c r="K118">
        <v>76.069999999999993</v>
      </c>
      <c r="L118">
        <v>76.84</v>
      </c>
    </row>
    <row r="119" spans="1:12" x14ac:dyDescent="0.2">
      <c r="A119" s="4">
        <v>118</v>
      </c>
      <c r="B119" t="s">
        <v>57</v>
      </c>
      <c r="C119">
        <f xml:space="preserve">  76.76</f>
        <v>76.760000000000005</v>
      </c>
      <c r="D119">
        <v>13</v>
      </c>
      <c r="E119">
        <v>18</v>
      </c>
      <c r="F119">
        <v>78.77</v>
      </c>
      <c r="G119">
        <v>0</v>
      </c>
      <c r="H119">
        <v>0</v>
      </c>
      <c r="I119">
        <v>0</v>
      </c>
      <c r="J119">
        <v>14</v>
      </c>
      <c r="K119">
        <v>76.16</v>
      </c>
      <c r="L119">
        <v>76.8</v>
      </c>
    </row>
    <row r="120" spans="1:12" x14ac:dyDescent="0.2">
      <c r="A120" s="4">
        <v>119</v>
      </c>
      <c r="B120" t="s">
        <v>205</v>
      </c>
      <c r="C120">
        <f xml:space="preserve">  76.48</f>
        <v>76.48</v>
      </c>
      <c r="D120">
        <v>15</v>
      </c>
      <c r="E120">
        <v>15</v>
      </c>
      <c r="F120">
        <v>76.98</v>
      </c>
      <c r="G120">
        <v>0</v>
      </c>
      <c r="H120">
        <v>2</v>
      </c>
      <c r="I120">
        <v>0</v>
      </c>
      <c r="J120">
        <v>4</v>
      </c>
      <c r="K120">
        <v>76.88</v>
      </c>
      <c r="L120">
        <v>76.260000000000005</v>
      </c>
    </row>
    <row r="121" spans="1:12" x14ac:dyDescent="0.2">
      <c r="A121" s="4">
        <v>120</v>
      </c>
      <c r="B121" t="s">
        <v>182</v>
      </c>
      <c r="C121">
        <f xml:space="preserve">  76.48</f>
        <v>76.48</v>
      </c>
      <c r="D121">
        <v>21</v>
      </c>
      <c r="E121">
        <v>10</v>
      </c>
      <c r="F121">
        <v>70.42</v>
      </c>
      <c r="G121">
        <v>0</v>
      </c>
      <c r="H121">
        <v>2</v>
      </c>
      <c r="I121">
        <v>0</v>
      </c>
      <c r="J121">
        <v>4</v>
      </c>
      <c r="K121">
        <v>75.010000000000005</v>
      </c>
      <c r="L121">
        <v>76.75</v>
      </c>
    </row>
    <row r="122" spans="1:12" x14ac:dyDescent="0.2">
      <c r="A122" s="4">
        <v>121</v>
      </c>
      <c r="B122" t="s">
        <v>44</v>
      </c>
      <c r="C122">
        <f xml:space="preserve">  76.2</f>
        <v>76.2</v>
      </c>
      <c r="D122">
        <v>15</v>
      </c>
      <c r="E122">
        <v>17</v>
      </c>
      <c r="F122">
        <v>77.69</v>
      </c>
      <c r="G122">
        <v>1</v>
      </c>
      <c r="H122">
        <v>5</v>
      </c>
      <c r="I122">
        <v>2</v>
      </c>
      <c r="J122">
        <v>11</v>
      </c>
      <c r="K122">
        <v>77.099999999999994</v>
      </c>
      <c r="L122">
        <v>75.87</v>
      </c>
    </row>
    <row r="123" spans="1:12" x14ac:dyDescent="0.2">
      <c r="A123" s="4">
        <v>122</v>
      </c>
      <c r="B123" t="s">
        <v>550</v>
      </c>
      <c r="C123">
        <f xml:space="preserve">  76.05</f>
        <v>76.05</v>
      </c>
      <c r="D123">
        <v>20</v>
      </c>
      <c r="E123">
        <v>14</v>
      </c>
      <c r="F123">
        <v>73.58</v>
      </c>
      <c r="G123">
        <v>0</v>
      </c>
      <c r="H123">
        <v>1</v>
      </c>
      <c r="I123">
        <v>0</v>
      </c>
      <c r="J123">
        <v>3</v>
      </c>
      <c r="K123">
        <v>76.67</v>
      </c>
      <c r="L123">
        <v>75.790000000000006</v>
      </c>
    </row>
    <row r="124" spans="1:12" x14ac:dyDescent="0.2">
      <c r="A124" s="4">
        <v>123</v>
      </c>
      <c r="B124" t="s">
        <v>803</v>
      </c>
      <c r="C124">
        <f xml:space="preserve">  76.02</f>
        <v>76.02</v>
      </c>
      <c r="D124">
        <v>20</v>
      </c>
      <c r="E124">
        <v>12</v>
      </c>
      <c r="F124">
        <v>72.94</v>
      </c>
      <c r="G124">
        <v>0</v>
      </c>
      <c r="H124">
        <v>0</v>
      </c>
      <c r="I124">
        <v>1</v>
      </c>
      <c r="J124">
        <v>0</v>
      </c>
      <c r="K124">
        <v>75.91</v>
      </c>
      <c r="L124">
        <v>75.930000000000007</v>
      </c>
    </row>
    <row r="125" spans="1:12" x14ac:dyDescent="0.2">
      <c r="A125" s="4">
        <v>124</v>
      </c>
      <c r="B125" t="s">
        <v>796</v>
      </c>
      <c r="C125">
        <f xml:space="preserve">  75.93</f>
        <v>75.930000000000007</v>
      </c>
      <c r="D125">
        <v>20</v>
      </c>
      <c r="E125">
        <v>16</v>
      </c>
      <c r="F125">
        <v>71.959999999999994</v>
      </c>
      <c r="G125">
        <v>0</v>
      </c>
      <c r="H125">
        <v>1</v>
      </c>
      <c r="I125">
        <v>1</v>
      </c>
      <c r="J125">
        <v>1</v>
      </c>
      <c r="K125">
        <v>74.290000000000006</v>
      </c>
      <c r="L125">
        <v>76.25</v>
      </c>
    </row>
    <row r="126" spans="1:12" x14ac:dyDescent="0.2">
      <c r="A126" s="4">
        <v>125</v>
      </c>
      <c r="B126" t="s">
        <v>217</v>
      </c>
      <c r="C126">
        <f xml:space="preserve">  75.8</f>
        <v>75.8</v>
      </c>
      <c r="D126">
        <v>24</v>
      </c>
      <c r="E126">
        <v>9</v>
      </c>
      <c r="F126">
        <v>71.25</v>
      </c>
      <c r="G126">
        <v>0</v>
      </c>
      <c r="H126">
        <v>2</v>
      </c>
      <c r="I126">
        <v>0</v>
      </c>
      <c r="J126">
        <v>2</v>
      </c>
      <c r="K126">
        <v>78.27</v>
      </c>
      <c r="L126">
        <v>75.099999999999994</v>
      </c>
    </row>
    <row r="127" spans="1:12" x14ac:dyDescent="0.2">
      <c r="A127" s="4">
        <v>126</v>
      </c>
      <c r="B127" t="s">
        <v>262</v>
      </c>
      <c r="C127">
        <f xml:space="preserve">  75.75</f>
        <v>75.75</v>
      </c>
      <c r="D127">
        <v>21</v>
      </c>
      <c r="E127">
        <v>12</v>
      </c>
      <c r="F127">
        <v>69.959999999999994</v>
      </c>
      <c r="G127">
        <v>0</v>
      </c>
      <c r="H127">
        <v>3</v>
      </c>
      <c r="I127">
        <v>0</v>
      </c>
      <c r="J127">
        <v>3</v>
      </c>
      <c r="K127">
        <v>73.83</v>
      </c>
      <c r="L127">
        <v>76.150000000000006</v>
      </c>
    </row>
    <row r="128" spans="1:12" x14ac:dyDescent="0.2">
      <c r="A128" s="4">
        <v>127</v>
      </c>
      <c r="B128" t="s">
        <v>817</v>
      </c>
      <c r="C128">
        <f xml:space="preserve">  75.75</f>
        <v>75.75</v>
      </c>
      <c r="D128">
        <v>12</v>
      </c>
      <c r="E128">
        <v>20</v>
      </c>
      <c r="F128">
        <v>79.930000000000007</v>
      </c>
      <c r="G128">
        <v>1</v>
      </c>
      <c r="H128">
        <v>1</v>
      </c>
      <c r="I128">
        <v>2</v>
      </c>
      <c r="J128">
        <v>12</v>
      </c>
      <c r="K128">
        <v>77.040000000000006</v>
      </c>
      <c r="L128">
        <v>75.319999999999993</v>
      </c>
    </row>
    <row r="129" spans="1:12" x14ac:dyDescent="0.2">
      <c r="A129" s="4">
        <v>128</v>
      </c>
      <c r="B129" t="s">
        <v>75</v>
      </c>
      <c r="C129">
        <f xml:space="preserve">  75.62</f>
        <v>75.62</v>
      </c>
      <c r="D129">
        <v>17</v>
      </c>
      <c r="E129">
        <v>15</v>
      </c>
      <c r="F129">
        <v>77.3</v>
      </c>
      <c r="G129">
        <v>0</v>
      </c>
      <c r="H129">
        <v>6</v>
      </c>
      <c r="I129">
        <v>1</v>
      </c>
      <c r="J129">
        <v>11</v>
      </c>
      <c r="K129">
        <v>78.53</v>
      </c>
      <c r="L129">
        <v>74.83</v>
      </c>
    </row>
    <row r="130" spans="1:12" x14ac:dyDescent="0.2">
      <c r="A130" s="4">
        <v>129</v>
      </c>
      <c r="B130" t="s">
        <v>214</v>
      </c>
      <c r="C130">
        <f xml:space="preserve">  75.6</f>
        <v>75.599999999999994</v>
      </c>
      <c r="D130">
        <v>21</v>
      </c>
      <c r="E130">
        <v>13</v>
      </c>
      <c r="F130">
        <v>70.16</v>
      </c>
      <c r="G130">
        <v>0</v>
      </c>
      <c r="H130">
        <v>1</v>
      </c>
      <c r="I130">
        <v>0</v>
      </c>
      <c r="J130">
        <v>1</v>
      </c>
      <c r="K130">
        <v>73.91</v>
      </c>
      <c r="L130">
        <v>75.930000000000007</v>
      </c>
    </row>
    <row r="131" spans="1:12" x14ac:dyDescent="0.2">
      <c r="A131" s="4">
        <v>130</v>
      </c>
      <c r="B131" t="s">
        <v>89</v>
      </c>
      <c r="C131">
        <f xml:space="preserve">  75.38</f>
        <v>75.38</v>
      </c>
      <c r="D131">
        <v>24</v>
      </c>
      <c r="E131">
        <v>12</v>
      </c>
      <c r="F131">
        <v>68.91</v>
      </c>
      <c r="G131">
        <v>0</v>
      </c>
      <c r="H131">
        <v>2</v>
      </c>
      <c r="I131">
        <v>0</v>
      </c>
      <c r="J131">
        <v>4</v>
      </c>
      <c r="K131">
        <v>74.14</v>
      </c>
      <c r="L131">
        <v>75.59</v>
      </c>
    </row>
    <row r="132" spans="1:12" x14ac:dyDescent="0.2">
      <c r="A132" s="4">
        <v>131</v>
      </c>
      <c r="B132" t="s">
        <v>66</v>
      </c>
      <c r="C132">
        <f xml:space="preserve">  75.33</f>
        <v>75.33</v>
      </c>
      <c r="D132">
        <v>15</v>
      </c>
      <c r="E132">
        <v>16</v>
      </c>
      <c r="F132">
        <v>76.56</v>
      </c>
      <c r="G132">
        <v>0</v>
      </c>
      <c r="H132">
        <v>4</v>
      </c>
      <c r="I132">
        <v>0</v>
      </c>
      <c r="J132">
        <v>7</v>
      </c>
      <c r="K132">
        <v>76.37</v>
      </c>
      <c r="L132">
        <v>74.97</v>
      </c>
    </row>
    <row r="133" spans="1:12" x14ac:dyDescent="0.2">
      <c r="A133" s="4">
        <v>132</v>
      </c>
      <c r="B133" t="s">
        <v>234</v>
      </c>
      <c r="C133">
        <f xml:space="preserve">  75.32</f>
        <v>75.319999999999993</v>
      </c>
      <c r="D133">
        <v>15</v>
      </c>
      <c r="E133">
        <v>16</v>
      </c>
      <c r="F133">
        <v>75.67</v>
      </c>
      <c r="G133">
        <v>0</v>
      </c>
      <c r="H133">
        <v>4</v>
      </c>
      <c r="I133">
        <v>1</v>
      </c>
      <c r="J133">
        <v>6</v>
      </c>
      <c r="K133">
        <v>74.89</v>
      </c>
      <c r="L133">
        <v>75.31</v>
      </c>
    </row>
    <row r="134" spans="1:12" x14ac:dyDescent="0.2">
      <c r="A134" s="4">
        <v>133</v>
      </c>
      <c r="B134" t="s">
        <v>120</v>
      </c>
      <c r="C134">
        <f xml:space="preserve">  75.2</f>
        <v>75.2</v>
      </c>
      <c r="D134">
        <v>12</v>
      </c>
      <c r="E134">
        <v>18</v>
      </c>
      <c r="F134">
        <v>80.31</v>
      </c>
      <c r="G134">
        <v>1</v>
      </c>
      <c r="H134">
        <v>9</v>
      </c>
      <c r="I134">
        <v>1</v>
      </c>
      <c r="J134">
        <v>12</v>
      </c>
      <c r="K134">
        <v>77.98</v>
      </c>
      <c r="L134">
        <v>74.430000000000007</v>
      </c>
    </row>
    <row r="135" spans="1:12" x14ac:dyDescent="0.2">
      <c r="A135" s="4">
        <v>134</v>
      </c>
      <c r="B135" t="s">
        <v>249</v>
      </c>
      <c r="C135">
        <f xml:space="preserve">  75.13</f>
        <v>75.13</v>
      </c>
      <c r="D135">
        <v>19</v>
      </c>
      <c r="E135">
        <v>14</v>
      </c>
      <c r="F135">
        <v>73.41</v>
      </c>
      <c r="G135">
        <v>0</v>
      </c>
      <c r="H135">
        <v>3</v>
      </c>
      <c r="I135">
        <v>0</v>
      </c>
      <c r="J135">
        <v>3</v>
      </c>
      <c r="K135">
        <v>76.03</v>
      </c>
      <c r="L135">
        <v>74.790000000000006</v>
      </c>
    </row>
    <row r="136" spans="1:12" x14ac:dyDescent="0.2">
      <c r="A136" s="4">
        <v>135</v>
      </c>
      <c r="B136" t="s">
        <v>816</v>
      </c>
      <c r="C136">
        <f xml:space="preserve">  75.11</f>
        <v>75.11</v>
      </c>
      <c r="D136">
        <v>23</v>
      </c>
      <c r="E136">
        <v>7</v>
      </c>
      <c r="F136">
        <v>69.459999999999994</v>
      </c>
      <c r="G136">
        <v>0</v>
      </c>
      <c r="H136">
        <v>0</v>
      </c>
      <c r="I136">
        <v>0</v>
      </c>
      <c r="J136">
        <v>3</v>
      </c>
      <c r="K136">
        <v>77.45</v>
      </c>
      <c r="L136">
        <v>74.44</v>
      </c>
    </row>
    <row r="137" spans="1:12" x14ac:dyDescent="0.2">
      <c r="A137" s="4">
        <v>136</v>
      </c>
      <c r="B137" t="s">
        <v>284</v>
      </c>
      <c r="C137">
        <f xml:space="preserve">  74.98</f>
        <v>74.98</v>
      </c>
      <c r="D137">
        <v>20</v>
      </c>
      <c r="E137">
        <v>12</v>
      </c>
      <c r="F137">
        <v>73.77</v>
      </c>
      <c r="G137">
        <v>0</v>
      </c>
      <c r="H137">
        <v>1</v>
      </c>
      <c r="I137">
        <v>0</v>
      </c>
      <c r="J137">
        <v>1</v>
      </c>
      <c r="K137">
        <v>77.42</v>
      </c>
      <c r="L137">
        <v>74.28</v>
      </c>
    </row>
    <row r="138" spans="1:12" x14ac:dyDescent="0.2">
      <c r="A138" s="4">
        <v>137</v>
      </c>
      <c r="B138" t="s">
        <v>172</v>
      </c>
      <c r="C138">
        <f xml:space="preserve">  74.88</f>
        <v>74.88</v>
      </c>
      <c r="D138">
        <v>19</v>
      </c>
      <c r="E138">
        <v>13</v>
      </c>
      <c r="F138">
        <v>73.510000000000005</v>
      </c>
      <c r="G138">
        <v>1</v>
      </c>
      <c r="H138">
        <v>3</v>
      </c>
      <c r="I138">
        <v>3</v>
      </c>
      <c r="J138">
        <v>6</v>
      </c>
      <c r="K138">
        <v>76.430000000000007</v>
      </c>
      <c r="L138">
        <v>74.38</v>
      </c>
    </row>
    <row r="139" spans="1:12" x14ac:dyDescent="0.2">
      <c r="A139" s="4">
        <v>138</v>
      </c>
      <c r="B139" t="s">
        <v>231</v>
      </c>
      <c r="C139">
        <f xml:space="preserve">  74.81</f>
        <v>74.81</v>
      </c>
      <c r="D139">
        <v>19</v>
      </c>
      <c r="E139">
        <v>13</v>
      </c>
      <c r="F139">
        <v>72.61</v>
      </c>
      <c r="G139">
        <v>0</v>
      </c>
      <c r="H139">
        <v>1</v>
      </c>
      <c r="I139">
        <v>1</v>
      </c>
      <c r="J139">
        <v>2</v>
      </c>
      <c r="K139">
        <v>74.73</v>
      </c>
      <c r="L139">
        <v>74.72</v>
      </c>
    </row>
    <row r="140" spans="1:12" x14ac:dyDescent="0.2">
      <c r="A140" s="4">
        <v>139</v>
      </c>
      <c r="B140" t="s">
        <v>91</v>
      </c>
      <c r="C140">
        <f xml:space="preserve">  74.77</f>
        <v>74.77</v>
      </c>
      <c r="D140">
        <v>17</v>
      </c>
      <c r="E140">
        <v>16</v>
      </c>
      <c r="F140">
        <v>75.59</v>
      </c>
      <c r="G140">
        <v>1</v>
      </c>
      <c r="H140">
        <v>1</v>
      </c>
      <c r="I140">
        <v>2</v>
      </c>
      <c r="J140">
        <v>5</v>
      </c>
      <c r="K140">
        <v>75.98</v>
      </c>
      <c r="L140">
        <v>74.36</v>
      </c>
    </row>
    <row r="141" spans="1:12" x14ac:dyDescent="0.2">
      <c r="A141" s="4">
        <v>140</v>
      </c>
      <c r="B141" t="s">
        <v>821</v>
      </c>
      <c r="C141">
        <f xml:space="preserve">  74.73</f>
        <v>74.73</v>
      </c>
      <c r="D141">
        <v>17</v>
      </c>
      <c r="E141">
        <v>15</v>
      </c>
      <c r="F141">
        <v>75.61</v>
      </c>
      <c r="G141">
        <v>1</v>
      </c>
      <c r="H141">
        <v>3</v>
      </c>
      <c r="I141">
        <v>1</v>
      </c>
      <c r="J141">
        <v>6</v>
      </c>
      <c r="K141">
        <v>75.989999999999995</v>
      </c>
      <c r="L141">
        <v>74.3</v>
      </c>
    </row>
    <row r="142" spans="1:12" x14ac:dyDescent="0.2">
      <c r="A142" s="4">
        <v>141</v>
      </c>
      <c r="B142" t="s">
        <v>275</v>
      </c>
      <c r="C142">
        <f xml:space="preserve">  74.66</f>
        <v>74.66</v>
      </c>
      <c r="D142">
        <v>11</v>
      </c>
      <c r="E142">
        <v>16</v>
      </c>
      <c r="F142">
        <v>75.05</v>
      </c>
      <c r="G142">
        <v>0</v>
      </c>
      <c r="H142">
        <v>2</v>
      </c>
      <c r="I142">
        <v>0</v>
      </c>
      <c r="J142">
        <v>2</v>
      </c>
      <c r="K142">
        <v>72.709999999999994</v>
      </c>
      <c r="L142">
        <v>75.05</v>
      </c>
    </row>
    <row r="143" spans="1:12" x14ac:dyDescent="0.2">
      <c r="A143" s="4">
        <v>142</v>
      </c>
      <c r="B143" t="s">
        <v>287</v>
      </c>
      <c r="C143">
        <f xml:space="preserve">  74.58</f>
        <v>74.58</v>
      </c>
      <c r="D143">
        <v>20</v>
      </c>
      <c r="E143">
        <v>13</v>
      </c>
      <c r="F143">
        <v>73.13</v>
      </c>
      <c r="G143">
        <v>0</v>
      </c>
      <c r="H143">
        <v>1</v>
      </c>
      <c r="I143">
        <v>1</v>
      </c>
      <c r="J143">
        <v>3</v>
      </c>
      <c r="K143">
        <v>75.72</v>
      </c>
      <c r="L143">
        <v>74.180000000000007</v>
      </c>
    </row>
    <row r="144" spans="1:12" x14ac:dyDescent="0.2">
      <c r="A144" s="4">
        <v>143</v>
      </c>
      <c r="B144" t="s">
        <v>55</v>
      </c>
      <c r="C144">
        <f xml:space="preserve">  74.56</f>
        <v>74.56</v>
      </c>
      <c r="D144">
        <v>13</v>
      </c>
      <c r="E144">
        <v>19</v>
      </c>
      <c r="F144">
        <v>78.98</v>
      </c>
      <c r="G144">
        <v>0</v>
      </c>
      <c r="H144">
        <v>7</v>
      </c>
      <c r="I144">
        <v>3</v>
      </c>
      <c r="J144">
        <v>10</v>
      </c>
      <c r="K144">
        <v>76.02</v>
      </c>
      <c r="L144">
        <v>74.08</v>
      </c>
    </row>
    <row r="145" spans="1:12" x14ac:dyDescent="0.2">
      <c r="A145" s="4">
        <v>144</v>
      </c>
      <c r="B145" t="s">
        <v>163</v>
      </c>
      <c r="C145">
        <f xml:space="preserve">  74.49</f>
        <v>74.489999999999995</v>
      </c>
      <c r="D145">
        <v>15</v>
      </c>
      <c r="E145">
        <v>17</v>
      </c>
      <c r="F145">
        <v>74.84</v>
      </c>
      <c r="G145">
        <v>1</v>
      </c>
      <c r="H145">
        <v>2</v>
      </c>
      <c r="I145">
        <v>1</v>
      </c>
      <c r="J145">
        <v>3</v>
      </c>
      <c r="K145">
        <v>73.709999999999994</v>
      </c>
      <c r="L145">
        <v>74.58</v>
      </c>
    </row>
    <row r="146" spans="1:12" x14ac:dyDescent="0.2">
      <c r="A146" s="4">
        <v>145</v>
      </c>
      <c r="B146" t="s">
        <v>33</v>
      </c>
      <c r="C146">
        <f xml:space="preserve">  74.46</f>
        <v>74.459999999999994</v>
      </c>
      <c r="D146">
        <v>15</v>
      </c>
      <c r="E146">
        <v>16</v>
      </c>
      <c r="F146">
        <v>76.22</v>
      </c>
      <c r="G146">
        <v>0</v>
      </c>
      <c r="H146">
        <v>4</v>
      </c>
      <c r="I146">
        <v>1</v>
      </c>
      <c r="J146">
        <v>7</v>
      </c>
      <c r="K146">
        <v>76.260000000000005</v>
      </c>
      <c r="L146">
        <v>73.900000000000006</v>
      </c>
    </row>
    <row r="147" spans="1:12" x14ac:dyDescent="0.2">
      <c r="A147" s="4">
        <v>146</v>
      </c>
      <c r="B147" t="s">
        <v>797</v>
      </c>
      <c r="C147">
        <f xml:space="preserve">  74.45</f>
        <v>74.45</v>
      </c>
      <c r="D147">
        <v>12</v>
      </c>
      <c r="E147">
        <v>17</v>
      </c>
      <c r="F147">
        <v>75.47</v>
      </c>
      <c r="G147">
        <v>0</v>
      </c>
      <c r="H147">
        <v>2</v>
      </c>
      <c r="I147">
        <v>0</v>
      </c>
      <c r="J147">
        <v>5</v>
      </c>
      <c r="K147">
        <v>73.81</v>
      </c>
      <c r="L147">
        <v>74.510000000000005</v>
      </c>
    </row>
    <row r="148" spans="1:12" x14ac:dyDescent="0.2">
      <c r="A148" s="4">
        <v>147</v>
      </c>
      <c r="B148" t="s">
        <v>207</v>
      </c>
      <c r="C148">
        <f xml:space="preserve">  74.42</f>
        <v>74.42</v>
      </c>
      <c r="D148">
        <v>15</v>
      </c>
      <c r="E148">
        <v>16</v>
      </c>
      <c r="F148">
        <v>73.78</v>
      </c>
      <c r="G148">
        <v>0</v>
      </c>
      <c r="H148">
        <v>1</v>
      </c>
      <c r="I148">
        <v>1</v>
      </c>
      <c r="J148">
        <v>1</v>
      </c>
      <c r="K148">
        <v>73.290000000000006</v>
      </c>
      <c r="L148">
        <v>74.599999999999994</v>
      </c>
    </row>
    <row r="149" spans="1:12" x14ac:dyDescent="0.2">
      <c r="A149" s="4">
        <v>148</v>
      </c>
      <c r="B149" t="s">
        <v>878</v>
      </c>
      <c r="C149">
        <f xml:space="preserve">  74.37</f>
        <v>74.37</v>
      </c>
      <c r="D149">
        <v>19</v>
      </c>
      <c r="E149">
        <v>16</v>
      </c>
      <c r="F149">
        <v>73.19</v>
      </c>
      <c r="G149">
        <v>0</v>
      </c>
      <c r="H149">
        <v>1</v>
      </c>
      <c r="I149">
        <v>0</v>
      </c>
      <c r="J149">
        <v>2</v>
      </c>
      <c r="K149">
        <v>75.2</v>
      </c>
      <c r="L149">
        <v>74.05</v>
      </c>
    </row>
    <row r="150" spans="1:12" x14ac:dyDescent="0.2">
      <c r="A150" s="4">
        <v>149</v>
      </c>
      <c r="B150" t="s">
        <v>285</v>
      </c>
      <c r="C150">
        <f xml:space="preserve">  74.28</f>
        <v>74.28</v>
      </c>
      <c r="D150">
        <v>13</v>
      </c>
      <c r="E150">
        <v>17</v>
      </c>
      <c r="F150">
        <v>76.209999999999994</v>
      </c>
      <c r="G150">
        <v>0</v>
      </c>
      <c r="H150">
        <v>2</v>
      </c>
      <c r="I150">
        <v>0</v>
      </c>
      <c r="J150">
        <v>5</v>
      </c>
      <c r="K150">
        <v>73.89</v>
      </c>
      <c r="L150">
        <v>74.260000000000005</v>
      </c>
    </row>
    <row r="151" spans="1:12" x14ac:dyDescent="0.2">
      <c r="A151" s="4">
        <v>150</v>
      </c>
      <c r="B151" t="s">
        <v>300</v>
      </c>
      <c r="C151">
        <f xml:space="preserve">  74.17</f>
        <v>74.17</v>
      </c>
      <c r="D151">
        <v>16</v>
      </c>
      <c r="E151">
        <v>16</v>
      </c>
      <c r="F151">
        <v>74.02</v>
      </c>
      <c r="G151">
        <v>0</v>
      </c>
      <c r="H151">
        <v>1</v>
      </c>
      <c r="I151">
        <v>0</v>
      </c>
      <c r="J151">
        <v>4</v>
      </c>
      <c r="K151">
        <v>74.540000000000006</v>
      </c>
      <c r="L151">
        <v>73.959999999999994</v>
      </c>
    </row>
    <row r="152" spans="1:12" x14ac:dyDescent="0.2">
      <c r="A152" s="4">
        <v>151</v>
      </c>
      <c r="B152" t="s">
        <v>49</v>
      </c>
      <c r="C152">
        <f xml:space="preserve">  74.16</f>
        <v>74.16</v>
      </c>
      <c r="D152">
        <v>17</v>
      </c>
      <c r="E152">
        <v>15</v>
      </c>
      <c r="F152">
        <v>75.64</v>
      </c>
      <c r="G152">
        <v>1</v>
      </c>
      <c r="H152">
        <v>1</v>
      </c>
      <c r="I152">
        <v>3</v>
      </c>
      <c r="J152">
        <v>2</v>
      </c>
      <c r="K152">
        <v>77.03</v>
      </c>
      <c r="L152">
        <v>73.349999999999994</v>
      </c>
    </row>
    <row r="153" spans="1:12" x14ac:dyDescent="0.2">
      <c r="A153" s="4">
        <v>152</v>
      </c>
      <c r="B153" t="s">
        <v>907</v>
      </c>
      <c r="C153">
        <f xml:space="preserve">  74.05</f>
        <v>74.05</v>
      </c>
      <c r="D153">
        <v>21</v>
      </c>
      <c r="E153">
        <v>10</v>
      </c>
      <c r="F153">
        <v>67.83</v>
      </c>
      <c r="G153">
        <v>0</v>
      </c>
      <c r="H153">
        <v>1</v>
      </c>
      <c r="I153">
        <v>0</v>
      </c>
      <c r="J153">
        <v>1</v>
      </c>
      <c r="K153">
        <v>72.89</v>
      </c>
      <c r="L153">
        <v>74.239999999999995</v>
      </c>
    </row>
    <row r="154" spans="1:12" x14ac:dyDescent="0.2">
      <c r="A154" s="4">
        <v>153</v>
      </c>
      <c r="B154" t="s">
        <v>553</v>
      </c>
      <c r="C154">
        <v>73.989999999999995</v>
      </c>
      <c r="D154">
        <v>16</v>
      </c>
      <c r="E154">
        <v>14</v>
      </c>
      <c r="F154">
        <v>72.63</v>
      </c>
      <c r="G154">
        <v>0</v>
      </c>
      <c r="H154">
        <v>0</v>
      </c>
      <c r="I154">
        <v>0</v>
      </c>
      <c r="J154">
        <v>3</v>
      </c>
      <c r="K154">
        <v>73.14</v>
      </c>
      <c r="L154">
        <v>74.099999999999994</v>
      </c>
    </row>
    <row r="155" spans="1:12" x14ac:dyDescent="0.2">
      <c r="A155" s="4">
        <v>154</v>
      </c>
      <c r="B155" t="s">
        <v>47</v>
      </c>
      <c r="C155">
        <f xml:space="preserve">  73.98</f>
        <v>73.98</v>
      </c>
      <c r="D155">
        <v>18</v>
      </c>
      <c r="E155">
        <v>14</v>
      </c>
      <c r="F155">
        <v>72.38</v>
      </c>
      <c r="G155">
        <v>1</v>
      </c>
      <c r="H155">
        <v>1</v>
      </c>
      <c r="I155">
        <v>1</v>
      </c>
      <c r="J155">
        <v>7</v>
      </c>
      <c r="K155">
        <v>73.89</v>
      </c>
      <c r="L155">
        <v>73.89</v>
      </c>
    </row>
    <row r="156" spans="1:12" x14ac:dyDescent="0.2">
      <c r="A156" s="4">
        <v>155</v>
      </c>
      <c r="B156" t="s">
        <v>97</v>
      </c>
      <c r="C156">
        <f xml:space="preserve">  73.96</f>
        <v>73.959999999999994</v>
      </c>
      <c r="D156">
        <v>12</v>
      </c>
      <c r="E156">
        <v>19</v>
      </c>
      <c r="F156">
        <v>77.099999999999994</v>
      </c>
      <c r="G156">
        <v>0</v>
      </c>
      <c r="H156">
        <v>5</v>
      </c>
      <c r="I156">
        <v>0</v>
      </c>
      <c r="J156">
        <v>12</v>
      </c>
      <c r="K156">
        <v>73.87</v>
      </c>
      <c r="L156">
        <v>73.87</v>
      </c>
    </row>
    <row r="157" spans="1:12" x14ac:dyDescent="0.2">
      <c r="A157" s="4">
        <v>156</v>
      </c>
      <c r="B157" t="s">
        <v>157</v>
      </c>
      <c r="C157">
        <v>73.87</v>
      </c>
      <c r="D157">
        <v>19</v>
      </c>
      <c r="E157">
        <v>12</v>
      </c>
      <c r="F157">
        <v>71.02</v>
      </c>
      <c r="G157">
        <v>0</v>
      </c>
      <c r="H157">
        <v>1</v>
      </c>
      <c r="I157">
        <v>0</v>
      </c>
      <c r="J157">
        <v>1</v>
      </c>
      <c r="K157">
        <v>74.55</v>
      </c>
      <c r="L157">
        <v>73.58</v>
      </c>
    </row>
    <row r="158" spans="1:12" x14ac:dyDescent="0.2">
      <c r="A158" s="4">
        <v>157</v>
      </c>
      <c r="B158" t="s">
        <v>554</v>
      </c>
      <c r="C158">
        <f xml:space="preserve">  73.77</f>
        <v>73.77</v>
      </c>
      <c r="D158">
        <v>25</v>
      </c>
      <c r="E158">
        <v>9</v>
      </c>
      <c r="F158">
        <v>69.489999999999995</v>
      </c>
      <c r="G158">
        <v>0</v>
      </c>
      <c r="H158">
        <v>1</v>
      </c>
      <c r="I158">
        <v>0</v>
      </c>
      <c r="J158">
        <v>1</v>
      </c>
      <c r="K158">
        <v>77.010000000000005</v>
      </c>
      <c r="L158">
        <v>72.88</v>
      </c>
    </row>
    <row r="159" spans="1:12" x14ac:dyDescent="0.2">
      <c r="A159" s="4">
        <v>158</v>
      </c>
      <c r="B159" t="s">
        <v>862</v>
      </c>
      <c r="C159">
        <f xml:space="preserve">  73.76</f>
        <v>73.760000000000005</v>
      </c>
      <c r="D159">
        <v>16</v>
      </c>
      <c r="E159">
        <v>14</v>
      </c>
      <c r="F159">
        <v>70.92</v>
      </c>
      <c r="G159">
        <v>0</v>
      </c>
      <c r="H159">
        <v>0</v>
      </c>
      <c r="I159">
        <v>0</v>
      </c>
      <c r="J159">
        <v>1</v>
      </c>
      <c r="K159">
        <v>72.17</v>
      </c>
      <c r="L159">
        <v>74.06</v>
      </c>
    </row>
    <row r="160" spans="1:12" x14ac:dyDescent="0.2">
      <c r="A160" s="4">
        <v>159</v>
      </c>
      <c r="B160" t="s">
        <v>257</v>
      </c>
      <c r="C160">
        <f xml:space="preserve">  73.63</f>
        <v>73.63</v>
      </c>
      <c r="D160">
        <v>17</v>
      </c>
      <c r="E160">
        <v>14</v>
      </c>
      <c r="F160">
        <v>72.77</v>
      </c>
      <c r="G160">
        <v>0</v>
      </c>
      <c r="H160">
        <v>0</v>
      </c>
      <c r="I160">
        <v>0</v>
      </c>
      <c r="J160">
        <v>1</v>
      </c>
      <c r="K160">
        <v>73.989999999999995</v>
      </c>
      <c r="L160">
        <v>73.430000000000007</v>
      </c>
    </row>
    <row r="161" spans="1:12" x14ac:dyDescent="0.2">
      <c r="A161" s="4">
        <v>160</v>
      </c>
      <c r="B161" t="s">
        <v>96</v>
      </c>
      <c r="C161">
        <f xml:space="preserve">  73.63</f>
        <v>73.63</v>
      </c>
      <c r="D161">
        <v>10</v>
      </c>
      <c r="E161">
        <v>21</v>
      </c>
      <c r="F161">
        <v>77.739999999999995</v>
      </c>
      <c r="G161">
        <v>0</v>
      </c>
      <c r="H161">
        <v>8</v>
      </c>
      <c r="I161">
        <v>1</v>
      </c>
      <c r="J161">
        <v>9</v>
      </c>
      <c r="K161">
        <v>71.72</v>
      </c>
      <c r="L161">
        <v>74</v>
      </c>
    </row>
    <row r="162" spans="1:12" x14ac:dyDescent="0.2">
      <c r="A162" s="4">
        <v>161</v>
      </c>
      <c r="B162" t="s">
        <v>144</v>
      </c>
      <c r="C162">
        <f xml:space="preserve">  73.56</f>
        <v>73.56</v>
      </c>
      <c r="D162">
        <v>17</v>
      </c>
      <c r="E162">
        <v>10</v>
      </c>
      <c r="F162">
        <v>71.97</v>
      </c>
      <c r="G162">
        <v>0</v>
      </c>
      <c r="H162">
        <v>1</v>
      </c>
      <c r="I162">
        <v>0</v>
      </c>
      <c r="J162">
        <v>3</v>
      </c>
      <c r="K162">
        <v>75.3</v>
      </c>
      <c r="L162">
        <v>73.02</v>
      </c>
    </row>
    <row r="163" spans="1:12" x14ac:dyDescent="0.2">
      <c r="A163" s="4">
        <v>162</v>
      </c>
      <c r="B163" t="s">
        <v>203</v>
      </c>
      <c r="C163">
        <f xml:space="preserve">  73.06</f>
        <v>73.06</v>
      </c>
      <c r="D163">
        <v>18</v>
      </c>
      <c r="E163">
        <v>14</v>
      </c>
      <c r="F163">
        <v>69.709999999999994</v>
      </c>
      <c r="G163">
        <v>0</v>
      </c>
      <c r="H163">
        <v>0</v>
      </c>
      <c r="I163">
        <v>0</v>
      </c>
      <c r="J163">
        <v>0</v>
      </c>
      <c r="K163">
        <v>71.59</v>
      </c>
      <c r="L163">
        <v>73.319999999999993</v>
      </c>
    </row>
    <row r="164" spans="1:12" x14ac:dyDescent="0.2">
      <c r="A164" s="4">
        <v>163</v>
      </c>
      <c r="B164" t="s">
        <v>130</v>
      </c>
      <c r="C164">
        <f xml:space="preserve">  73.05</f>
        <v>73.05</v>
      </c>
      <c r="D164">
        <v>11</v>
      </c>
      <c r="E164">
        <v>20</v>
      </c>
      <c r="F164">
        <v>76.47</v>
      </c>
      <c r="G164">
        <v>0</v>
      </c>
      <c r="H164">
        <v>3</v>
      </c>
      <c r="I164">
        <v>2</v>
      </c>
      <c r="J164">
        <v>6</v>
      </c>
      <c r="K164">
        <v>72.83</v>
      </c>
      <c r="L164">
        <v>72.989999999999995</v>
      </c>
    </row>
    <row r="165" spans="1:12" x14ac:dyDescent="0.2">
      <c r="A165" s="4">
        <v>164</v>
      </c>
      <c r="B165" t="s">
        <v>831</v>
      </c>
      <c r="C165">
        <f xml:space="preserve">  73</f>
        <v>73</v>
      </c>
      <c r="D165">
        <v>14</v>
      </c>
      <c r="E165">
        <v>15</v>
      </c>
      <c r="F165">
        <v>73.05</v>
      </c>
      <c r="G165">
        <v>0</v>
      </c>
      <c r="H165">
        <v>0</v>
      </c>
      <c r="I165">
        <v>0</v>
      </c>
      <c r="J165">
        <v>0</v>
      </c>
      <c r="K165">
        <v>73.55</v>
      </c>
      <c r="L165">
        <v>72.75</v>
      </c>
    </row>
    <row r="166" spans="1:12" x14ac:dyDescent="0.2">
      <c r="A166" s="4">
        <v>165</v>
      </c>
      <c r="B166" t="s">
        <v>850</v>
      </c>
      <c r="C166">
        <f xml:space="preserve">  72.86</f>
        <v>72.86</v>
      </c>
      <c r="D166">
        <v>16</v>
      </c>
      <c r="E166">
        <v>15</v>
      </c>
      <c r="F166">
        <v>69.900000000000006</v>
      </c>
      <c r="G166">
        <v>0</v>
      </c>
      <c r="H166">
        <v>0</v>
      </c>
      <c r="I166">
        <v>0</v>
      </c>
      <c r="J166">
        <v>4</v>
      </c>
      <c r="K166">
        <v>69.989999999999995</v>
      </c>
      <c r="L166">
        <v>73.47</v>
      </c>
    </row>
    <row r="167" spans="1:12" x14ac:dyDescent="0.2">
      <c r="A167" s="4">
        <v>166</v>
      </c>
      <c r="B167" t="s">
        <v>83</v>
      </c>
      <c r="C167">
        <f xml:space="preserve">  72.77</f>
        <v>72.77</v>
      </c>
      <c r="D167">
        <v>15</v>
      </c>
      <c r="E167">
        <v>14</v>
      </c>
      <c r="F167">
        <v>71.2</v>
      </c>
      <c r="G167">
        <v>0</v>
      </c>
      <c r="H167">
        <v>0</v>
      </c>
      <c r="I167">
        <v>0</v>
      </c>
      <c r="J167">
        <v>1</v>
      </c>
      <c r="K167">
        <v>71.959999999999994</v>
      </c>
      <c r="L167">
        <v>72.86</v>
      </c>
    </row>
    <row r="168" spans="1:12" x14ac:dyDescent="0.2">
      <c r="A168" s="4">
        <v>167</v>
      </c>
      <c r="B168" t="s">
        <v>150</v>
      </c>
      <c r="C168">
        <f xml:space="preserve">  72.58</f>
        <v>72.58</v>
      </c>
      <c r="D168">
        <v>18</v>
      </c>
      <c r="E168">
        <v>14</v>
      </c>
      <c r="F168">
        <v>72</v>
      </c>
      <c r="G168">
        <v>0</v>
      </c>
      <c r="H168">
        <v>0</v>
      </c>
      <c r="I168">
        <v>0</v>
      </c>
      <c r="J168">
        <v>2</v>
      </c>
      <c r="K168">
        <v>73.260000000000005</v>
      </c>
      <c r="L168">
        <v>72.290000000000006</v>
      </c>
    </row>
    <row r="169" spans="1:12" x14ac:dyDescent="0.2">
      <c r="A169" s="4">
        <v>168</v>
      </c>
      <c r="B169" t="s">
        <v>139</v>
      </c>
      <c r="C169">
        <f xml:space="preserve">  72.54</f>
        <v>72.540000000000006</v>
      </c>
      <c r="D169">
        <v>16</v>
      </c>
      <c r="E169">
        <v>12</v>
      </c>
      <c r="F169">
        <v>68.48</v>
      </c>
      <c r="G169">
        <v>0</v>
      </c>
      <c r="H169">
        <v>0</v>
      </c>
      <c r="I169">
        <v>0</v>
      </c>
      <c r="J169">
        <v>0</v>
      </c>
      <c r="K169">
        <v>70.290000000000006</v>
      </c>
      <c r="L169">
        <v>72.989999999999995</v>
      </c>
    </row>
    <row r="170" spans="1:12" x14ac:dyDescent="0.2">
      <c r="A170" s="4">
        <v>169</v>
      </c>
      <c r="B170" t="s">
        <v>169</v>
      </c>
      <c r="C170">
        <f xml:space="preserve">  72.52</f>
        <v>72.52</v>
      </c>
      <c r="D170">
        <v>19</v>
      </c>
      <c r="E170">
        <v>10</v>
      </c>
      <c r="F170">
        <v>68.33</v>
      </c>
      <c r="G170">
        <v>0</v>
      </c>
      <c r="H170">
        <v>1</v>
      </c>
      <c r="I170">
        <v>1</v>
      </c>
      <c r="J170">
        <v>2</v>
      </c>
      <c r="K170">
        <v>72.59</v>
      </c>
      <c r="L170">
        <v>72.39</v>
      </c>
    </row>
    <row r="171" spans="1:12" x14ac:dyDescent="0.2">
      <c r="A171" s="4">
        <v>170</v>
      </c>
      <c r="B171" t="s">
        <v>843</v>
      </c>
      <c r="C171">
        <f xml:space="preserve">  72.39</f>
        <v>72.39</v>
      </c>
      <c r="D171">
        <v>25</v>
      </c>
      <c r="E171">
        <v>9</v>
      </c>
      <c r="F171">
        <v>68.45</v>
      </c>
      <c r="G171">
        <v>1</v>
      </c>
      <c r="H171">
        <v>3</v>
      </c>
      <c r="I171">
        <v>1</v>
      </c>
      <c r="J171">
        <v>3</v>
      </c>
      <c r="K171">
        <v>78.150000000000006</v>
      </c>
      <c r="L171">
        <v>70.89</v>
      </c>
    </row>
    <row r="172" spans="1:12" x14ac:dyDescent="0.2">
      <c r="A172" s="4">
        <v>171</v>
      </c>
      <c r="B172" t="s">
        <v>259</v>
      </c>
      <c r="C172">
        <f xml:space="preserve">  72.32</f>
        <v>72.319999999999993</v>
      </c>
      <c r="D172">
        <v>13</v>
      </c>
      <c r="E172">
        <v>15</v>
      </c>
      <c r="F172">
        <v>75.010000000000005</v>
      </c>
      <c r="G172">
        <v>0</v>
      </c>
      <c r="H172">
        <v>2</v>
      </c>
      <c r="I172">
        <v>0</v>
      </c>
      <c r="J172">
        <v>3</v>
      </c>
      <c r="K172">
        <v>74.61</v>
      </c>
      <c r="L172">
        <v>71.63</v>
      </c>
    </row>
    <row r="173" spans="1:12" x14ac:dyDescent="0.2">
      <c r="A173" s="4">
        <v>172</v>
      </c>
      <c r="B173" t="s">
        <v>836</v>
      </c>
      <c r="C173">
        <f xml:space="preserve">  72.18</f>
        <v>72.180000000000007</v>
      </c>
      <c r="D173">
        <v>18</v>
      </c>
      <c r="E173">
        <v>13</v>
      </c>
      <c r="F173">
        <v>71.510000000000005</v>
      </c>
      <c r="G173">
        <v>0</v>
      </c>
      <c r="H173">
        <v>2</v>
      </c>
      <c r="I173">
        <v>1</v>
      </c>
      <c r="J173">
        <v>5</v>
      </c>
      <c r="K173">
        <v>74.28</v>
      </c>
      <c r="L173">
        <v>71.53</v>
      </c>
    </row>
    <row r="174" spans="1:12" x14ac:dyDescent="0.2">
      <c r="A174" s="4">
        <v>173</v>
      </c>
      <c r="B174" t="s">
        <v>232</v>
      </c>
      <c r="C174">
        <v>72.12</v>
      </c>
      <c r="D174">
        <v>16</v>
      </c>
      <c r="E174">
        <v>14</v>
      </c>
      <c r="F174">
        <v>70.010000000000005</v>
      </c>
      <c r="G174">
        <v>0</v>
      </c>
      <c r="H174">
        <v>0</v>
      </c>
      <c r="I174">
        <v>0</v>
      </c>
      <c r="J174">
        <v>0</v>
      </c>
      <c r="K174">
        <v>70.900000000000006</v>
      </c>
      <c r="L174">
        <v>72.319999999999993</v>
      </c>
    </row>
    <row r="175" spans="1:12" x14ac:dyDescent="0.2">
      <c r="A175" s="4">
        <v>174</v>
      </c>
      <c r="B175" t="s">
        <v>187</v>
      </c>
      <c r="C175">
        <f xml:space="preserve">  72.1</f>
        <v>72.099999999999994</v>
      </c>
      <c r="D175">
        <v>10</v>
      </c>
      <c r="E175">
        <v>21</v>
      </c>
      <c r="F175">
        <v>77.16</v>
      </c>
      <c r="G175">
        <v>0</v>
      </c>
      <c r="H175">
        <v>3</v>
      </c>
      <c r="I175">
        <v>0</v>
      </c>
      <c r="J175">
        <v>8</v>
      </c>
      <c r="K175">
        <v>71.62</v>
      </c>
      <c r="L175">
        <v>72.11</v>
      </c>
    </row>
    <row r="176" spans="1:12" x14ac:dyDescent="0.2">
      <c r="A176" s="4">
        <v>175</v>
      </c>
      <c r="B176" t="s">
        <v>176</v>
      </c>
      <c r="C176">
        <f xml:space="preserve">  71.93</f>
        <v>71.930000000000007</v>
      </c>
      <c r="D176">
        <v>14</v>
      </c>
      <c r="E176">
        <v>17</v>
      </c>
      <c r="F176">
        <v>72.84</v>
      </c>
      <c r="G176">
        <v>0</v>
      </c>
      <c r="H176">
        <v>0</v>
      </c>
      <c r="I176">
        <v>0</v>
      </c>
      <c r="J176">
        <v>3</v>
      </c>
      <c r="K176">
        <v>71.31</v>
      </c>
      <c r="L176">
        <v>71.97</v>
      </c>
    </row>
    <row r="177" spans="1:12" x14ac:dyDescent="0.2">
      <c r="A177" s="4">
        <v>176</v>
      </c>
      <c r="B177" t="s">
        <v>110</v>
      </c>
      <c r="C177">
        <f xml:space="preserve">  71.92</f>
        <v>71.92</v>
      </c>
      <c r="D177">
        <v>13</v>
      </c>
      <c r="E177">
        <v>16</v>
      </c>
      <c r="F177">
        <v>71.209999999999994</v>
      </c>
      <c r="G177">
        <v>0</v>
      </c>
      <c r="H177">
        <v>2</v>
      </c>
      <c r="I177">
        <v>0</v>
      </c>
      <c r="J177">
        <v>2</v>
      </c>
      <c r="K177">
        <v>69.72</v>
      </c>
      <c r="L177">
        <v>72.36</v>
      </c>
    </row>
    <row r="178" spans="1:12" x14ac:dyDescent="0.2">
      <c r="A178" s="4">
        <v>177</v>
      </c>
      <c r="B178" t="s">
        <v>268</v>
      </c>
      <c r="C178">
        <v>71.849999999999994</v>
      </c>
      <c r="D178">
        <v>16</v>
      </c>
      <c r="E178">
        <v>12</v>
      </c>
      <c r="F178">
        <v>69.48</v>
      </c>
      <c r="G178">
        <v>0</v>
      </c>
      <c r="H178">
        <v>3</v>
      </c>
      <c r="I178">
        <v>0</v>
      </c>
      <c r="J178">
        <v>3</v>
      </c>
      <c r="K178">
        <v>70.31</v>
      </c>
      <c r="L178">
        <v>72.12</v>
      </c>
    </row>
    <row r="179" spans="1:12" x14ac:dyDescent="0.2">
      <c r="A179" s="4">
        <v>178</v>
      </c>
      <c r="B179" t="s">
        <v>4</v>
      </c>
      <c r="C179">
        <f xml:space="preserve">  71.81</f>
        <v>71.81</v>
      </c>
      <c r="D179">
        <v>14</v>
      </c>
      <c r="E179">
        <v>15</v>
      </c>
      <c r="F179">
        <v>72.64</v>
      </c>
      <c r="G179">
        <v>0</v>
      </c>
      <c r="H179">
        <v>1</v>
      </c>
      <c r="I179">
        <v>0</v>
      </c>
      <c r="J179">
        <v>1</v>
      </c>
      <c r="K179">
        <v>72.13</v>
      </c>
      <c r="L179">
        <v>71.61</v>
      </c>
    </row>
    <row r="180" spans="1:12" x14ac:dyDescent="0.2">
      <c r="A180" s="4">
        <v>179</v>
      </c>
      <c r="B180" t="s">
        <v>804</v>
      </c>
      <c r="C180">
        <f xml:space="preserve">  71.77</f>
        <v>71.77</v>
      </c>
      <c r="D180">
        <v>11</v>
      </c>
      <c r="E180">
        <v>20</v>
      </c>
      <c r="F180">
        <v>73.81</v>
      </c>
      <c r="G180">
        <v>0</v>
      </c>
      <c r="H180">
        <v>0</v>
      </c>
      <c r="I180">
        <v>0</v>
      </c>
      <c r="J180">
        <v>1</v>
      </c>
      <c r="K180">
        <v>69.739999999999995</v>
      </c>
      <c r="L180">
        <v>72.150000000000006</v>
      </c>
    </row>
    <row r="181" spans="1:12" x14ac:dyDescent="0.2">
      <c r="A181" s="4">
        <v>180</v>
      </c>
      <c r="B181" t="s">
        <v>216</v>
      </c>
      <c r="C181">
        <f xml:space="preserve">  71.69</f>
        <v>71.69</v>
      </c>
      <c r="D181">
        <v>11</v>
      </c>
      <c r="E181">
        <v>16</v>
      </c>
      <c r="F181">
        <v>74.78</v>
      </c>
      <c r="G181">
        <v>0</v>
      </c>
      <c r="H181">
        <v>4</v>
      </c>
      <c r="I181">
        <v>0</v>
      </c>
      <c r="J181">
        <v>6</v>
      </c>
      <c r="K181">
        <v>72.88</v>
      </c>
      <c r="L181">
        <v>71.27</v>
      </c>
    </row>
    <row r="182" spans="1:12" x14ac:dyDescent="0.2">
      <c r="A182" s="4">
        <v>181</v>
      </c>
      <c r="B182" t="s">
        <v>206</v>
      </c>
      <c r="C182">
        <f xml:space="preserve">  71.67</f>
        <v>71.67</v>
      </c>
      <c r="D182">
        <v>16</v>
      </c>
      <c r="E182">
        <v>15</v>
      </c>
      <c r="F182">
        <v>71.98</v>
      </c>
      <c r="G182">
        <v>0</v>
      </c>
      <c r="H182">
        <v>1</v>
      </c>
      <c r="I182">
        <v>0</v>
      </c>
      <c r="J182">
        <v>1</v>
      </c>
      <c r="K182">
        <v>72.489999999999995</v>
      </c>
      <c r="L182">
        <v>71.349999999999994</v>
      </c>
    </row>
    <row r="183" spans="1:12" x14ac:dyDescent="0.2">
      <c r="A183" s="4">
        <v>182</v>
      </c>
      <c r="B183" t="s">
        <v>245</v>
      </c>
      <c r="C183">
        <f xml:space="preserve">  71.63</f>
        <v>71.63</v>
      </c>
      <c r="D183">
        <v>13</v>
      </c>
      <c r="E183">
        <v>20</v>
      </c>
      <c r="F183">
        <v>73.77</v>
      </c>
      <c r="G183">
        <v>0</v>
      </c>
      <c r="H183">
        <v>3</v>
      </c>
      <c r="I183">
        <v>0</v>
      </c>
      <c r="J183">
        <v>4</v>
      </c>
      <c r="K183">
        <v>70.42</v>
      </c>
      <c r="L183">
        <v>71.83</v>
      </c>
    </row>
    <row r="184" spans="1:12" x14ac:dyDescent="0.2">
      <c r="A184" s="4">
        <v>183</v>
      </c>
      <c r="B184" t="s">
        <v>159</v>
      </c>
      <c r="C184">
        <f xml:space="preserve">  71.58</f>
        <v>71.58</v>
      </c>
      <c r="D184">
        <v>15</v>
      </c>
      <c r="E184">
        <v>12</v>
      </c>
      <c r="F184">
        <v>69.569999999999993</v>
      </c>
      <c r="G184">
        <v>0</v>
      </c>
      <c r="H184">
        <v>0</v>
      </c>
      <c r="I184">
        <v>0</v>
      </c>
      <c r="J184">
        <v>0</v>
      </c>
      <c r="K184">
        <v>70.09</v>
      </c>
      <c r="L184">
        <v>71.84</v>
      </c>
    </row>
    <row r="185" spans="1:12" x14ac:dyDescent="0.2">
      <c r="A185" s="4">
        <v>184</v>
      </c>
      <c r="B185" t="s">
        <v>250</v>
      </c>
      <c r="C185">
        <f xml:space="preserve">  71.56</f>
        <v>71.56</v>
      </c>
      <c r="D185">
        <v>20</v>
      </c>
      <c r="E185">
        <v>12</v>
      </c>
      <c r="F185">
        <v>69.150000000000006</v>
      </c>
      <c r="G185">
        <v>0</v>
      </c>
      <c r="H185">
        <v>1</v>
      </c>
      <c r="I185">
        <v>0</v>
      </c>
      <c r="J185">
        <v>1</v>
      </c>
      <c r="K185">
        <v>72.81</v>
      </c>
      <c r="L185">
        <v>71.13</v>
      </c>
    </row>
    <row r="186" spans="1:12" x14ac:dyDescent="0.2">
      <c r="A186" s="4">
        <v>185</v>
      </c>
      <c r="B186" t="s">
        <v>264</v>
      </c>
      <c r="C186">
        <f xml:space="preserve">  71.34</f>
        <v>71.34</v>
      </c>
      <c r="D186">
        <v>13</v>
      </c>
      <c r="E186">
        <v>15</v>
      </c>
      <c r="F186">
        <v>71.14</v>
      </c>
      <c r="G186">
        <v>0</v>
      </c>
      <c r="H186">
        <v>0</v>
      </c>
      <c r="I186">
        <v>0</v>
      </c>
      <c r="J186">
        <v>3</v>
      </c>
      <c r="K186">
        <v>70.77</v>
      </c>
      <c r="L186">
        <v>71.38</v>
      </c>
    </row>
    <row r="187" spans="1:12" x14ac:dyDescent="0.2">
      <c r="A187" s="4">
        <v>186</v>
      </c>
      <c r="B187" t="s">
        <v>194</v>
      </c>
      <c r="C187">
        <f xml:space="preserve">  71.34</f>
        <v>71.34</v>
      </c>
      <c r="D187">
        <v>14</v>
      </c>
      <c r="E187">
        <v>17</v>
      </c>
      <c r="F187">
        <v>73.91</v>
      </c>
      <c r="G187">
        <v>0</v>
      </c>
      <c r="H187">
        <v>0</v>
      </c>
      <c r="I187">
        <v>0</v>
      </c>
      <c r="J187">
        <v>3</v>
      </c>
      <c r="K187">
        <v>71.92</v>
      </c>
      <c r="L187">
        <v>71.08</v>
      </c>
    </row>
    <row r="188" spans="1:12" x14ac:dyDescent="0.2">
      <c r="A188" s="4">
        <v>187</v>
      </c>
      <c r="B188" t="s">
        <v>880</v>
      </c>
      <c r="C188">
        <f xml:space="preserve">  71.31</f>
        <v>71.31</v>
      </c>
      <c r="D188">
        <v>15</v>
      </c>
      <c r="E188">
        <v>16</v>
      </c>
      <c r="F188">
        <v>73.87</v>
      </c>
      <c r="G188">
        <v>0</v>
      </c>
      <c r="H188">
        <v>3</v>
      </c>
      <c r="I188">
        <v>0</v>
      </c>
      <c r="J188">
        <v>6</v>
      </c>
      <c r="K188">
        <v>72.58</v>
      </c>
      <c r="L188">
        <v>70.87</v>
      </c>
    </row>
    <row r="189" spans="1:12" x14ac:dyDescent="0.2">
      <c r="A189" s="4">
        <v>188</v>
      </c>
      <c r="B189" t="s">
        <v>53</v>
      </c>
      <c r="C189">
        <f xml:space="preserve">  71.27</f>
        <v>71.27</v>
      </c>
      <c r="D189">
        <v>13</v>
      </c>
      <c r="E189">
        <v>18</v>
      </c>
      <c r="F189">
        <v>75.73</v>
      </c>
      <c r="G189">
        <v>0</v>
      </c>
      <c r="H189">
        <v>4</v>
      </c>
      <c r="I189">
        <v>0</v>
      </c>
      <c r="J189">
        <v>7</v>
      </c>
      <c r="K189">
        <v>73.540000000000006</v>
      </c>
      <c r="L189">
        <v>70.569999999999993</v>
      </c>
    </row>
    <row r="190" spans="1:12" x14ac:dyDescent="0.2">
      <c r="A190" s="4">
        <v>189</v>
      </c>
      <c r="B190" t="s">
        <v>552</v>
      </c>
      <c r="C190">
        <f xml:space="preserve">  71.19</f>
        <v>71.19</v>
      </c>
      <c r="D190">
        <v>14</v>
      </c>
      <c r="E190">
        <v>16</v>
      </c>
      <c r="F190">
        <v>72.59</v>
      </c>
      <c r="G190">
        <v>0</v>
      </c>
      <c r="H190">
        <v>2</v>
      </c>
      <c r="I190">
        <v>0</v>
      </c>
      <c r="J190">
        <v>2</v>
      </c>
      <c r="K190">
        <v>71.67</v>
      </c>
      <c r="L190">
        <v>70.959999999999994</v>
      </c>
    </row>
    <row r="191" spans="1:12" x14ac:dyDescent="0.2">
      <c r="A191" s="4">
        <v>190</v>
      </c>
      <c r="B191" t="s">
        <v>844</v>
      </c>
      <c r="C191">
        <f xml:space="preserve">  71.08</f>
        <v>71.08</v>
      </c>
      <c r="D191">
        <v>19</v>
      </c>
      <c r="E191">
        <v>12</v>
      </c>
      <c r="F191">
        <v>67.72</v>
      </c>
      <c r="G191">
        <v>0</v>
      </c>
      <c r="H191">
        <v>3</v>
      </c>
      <c r="I191">
        <v>0</v>
      </c>
      <c r="J191">
        <v>3</v>
      </c>
      <c r="K191">
        <v>70.760000000000005</v>
      </c>
      <c r="L191">
        <v>71.05</v>
      </c>
    </row>
    <row r="192" spans="1:12" x14ac:dyDescent="0.2">
      <c r="A192" s="4">
        <v>191</v>
      </c>
      <c r="B192" t="s">
        <v>101</v>
      </c>
      <c r="C192">
        <f xml:space="preserve">  71.02</f>
        <v>71.02</v>
      </c>
      <c r="D192">
        <v>16</v>
      </c>
      <c r="E192">
        <v>16</v>
      </c>
      <c r="F192">
        <v>72.25</v>
      </c>
      <c r="G192">
        <v>0</v>
      </c>
      <c r="H192">
        <v>0</v>
      </c>
      <c r="I192">
        <v>0</v>
      </c>
      <c r="J192">
        <v>0</v>
      </c>
      <c r="K192">
        <v>72.47</v>
      </c>
      <c r="L192">
        <v>70.540000000000006</v>
      </c>
    </row>
    <row r="193" spans="1:12" x14ac:dyDescent="0.2">
      <c r="A193" s="4">
        <v>192</v>
      </c>
      <c r="B193" t="s">
        <v>121</v>
      </c>
      <c r="C193">
        <f xml:space="preserve">  70.96</f>
        <v>70.959999999999994</v>
      </c>
      <c r="D193">
        <v>16</v>
      </c>
      <c r="E193">
        <v>19</v>
      </c>
      <c r="F193">
        <v>73.180000000000007</v>
      </c>
      <c r="G193">
        <v>0</v>
      </c>
      <c r="H193">
        <v>2</v>
      </c>
      <c r="I193">
        <v>0</v>
      </c>
      <c r="J193">
        <v>5</v>
      </c>
      <c r="K193">
        <v>72.39</v>
      </c>
      <c r="L193">
        <v>70.48</v>
      </c>
    </row>
    <row r="194" spans="1:12" x14ac:dyDescent="0.2">
      <c r="A194" s="4">
        <v>193</v>
      </c>
      <c r="B194" t="s">
        <v>148</v>
      </c>
      <c r="C194">
        <f xml:space="preserve">  70.93</f>
        <v>70.930000000000007</v>
      </c>
      <c r="D194">
        <v>10</v>
      </c>
      <c r="E194">
        <v>19</v>
      </c>
      <c r="F194">
        <v>74.31</v>
      </c>
      <c r="G194">
        <v>0</v>
      </c>
      <c r="H194">
        <v>1</v>
      </c>
      <c r="I194">
        <v>0</v>
      </c>
      <c r="J194">
        <v>4</v>
      </c>
      <c r="K194">
        <v>69.87</v>
      </c>
      <c r="L194">
        <v>71.08</v>
      </c>
    </row>
    <row r="195" spans="1:12" x14ac:dyDescent="0.2">
      <c r="A195" s="4">
        <v>194</v>
      </c>
      <c r="B195" t="s">
        <v>158</v>
      </c>
      <c r="C195">
        <f xml:space="preserve">  70.91</f>
        <v>70.91</v>
      </c>
      <c r="D195">
        <v>16</v>
      </c>
      <c r="E195">
        <v>12</v>
      </c>
      <c r="F195">
        <v>71.430000000000007</v>
      </c>
      <c r="G195">
        <v>0</v>
      </c>
      <c r="H195">
        <v>1</v>
      </c>
      <c r="I195">
        <v>0</v>
      </c>
      <c r="J195">
        <v>1</v>
      </c>
      <c r="K195">
        <v>73.680000000000007</v>
      </c>
      <c r="L195">
        <v>70.08</v>
      </c>
    </row>
    <row r="196" spans="1:12" x14ac:dyDescent="0.2">
      <c r="A196" s="4">
        <v>195</v>
      </c>
      <c r="B196" t="s">
        <v>894</v>
      </c>
      <c r="C196">
        <f xml:space="preserve">  70.88</f>
        <v>70.88</v>
      </c>
      <c r="D196">
        <v>16</v>
      </c>
      <c r="E196">
        <v>16</v>
      </c>
      <c r="F196">
        <v>70.69</v>
      </c>
      <c r="G196">
        <v>0</v>
      </c>
      <c r="H196">
        <v>0</v>
      </c>
      <c r="I196">
        <v>0</v>
      </c>
      <c r="J196">
        <v>2</v>
      </c>
      <c r="K196">
        <v>70.209999999999994</v>
      </c>
      <c r="L196">
        <v>70.94</v>
      </c>
    </row>
    <row r="197" spans="1:12" x14ac:dyDescent="0.2">
      <c r="A197" s="4">
        <v>196</v>
      </c>
      <c r="B197" t="s">
        <v>61</v>
      </c>
      <c r="C197">
        <f xml:space="preserve">  70.75</f>
        <v>70.75</v>
      </c>
      <c r="D197">
        <v>11</v>
      </c>
      <c r="E197">
        <v>19</v>
      </c>
      <c r="F197">
        <v>73.95</v>
      </c>
      <c r="G197">
        <v>0</v>
      </c>
      <c r="H197">
        <v>1</v>
      </c>
      <c r="I197">
        <v>0</v>
      </c>
      <c r="J197">
        <v>1</v>
      </c>
      <c r="K197">
        <v>70.52</v>
      </c>
      <c r="L197">
        <v>70.7</v>
      </c>
    </row>
    <row r="198" spans="1:12" x14ac:dyDescent="0.2">
      <c r="A198" s="4">
        <v>197</v>
      </c>
      <c r="B198" t="s">
        <v>123</v>
      </c>
      <c r="C198">
        <f xml:space="preserve">  70.72</f>
        <v>70.72</v>
      </c>
      <c r="D198">
        <v>17</v>
      </c>
      <c r="E198">
        <v>14</v>
      </c>
      <c r="F198">
        <v>70.290000000000006</v>
      </c>
      <c r="G198">
        <v>0</v>
      </c>
      <c r="H198">
        <v>1</v>
      </c>
      <c r="I198">
        <v>0</v>
      </c>
      <c r="J198">
        <v>1</v>
      </c>
      <c r="K198">
        <v>71.69</v>
      </c>
      <c r="L198">
        <v>70.36</v>
      </c>
    </row>
    <row r="199" spans="1:12" x14ac:dyDescent="0.2">
      <c r="A199" s="4">
        <v>198</v>
      </c>
      <c r="B199" t="s">
        <v>873</v>
      </c>
      <c r="C199">
        <f xml:space="preserve">  70.66</f>
        <v>70.66</v>
      </c>
      <c r="D199">
        <v>8</v>
      </c>
      <c r="E199">
        <v>21</v>
      </c>
      <c r="F199">
        <v>75.13</v>
      </c>
      <c r="G199">
        <v>0</v>
      </c>
      <c r="H199">
        <v>2</v>
      </c>
      <c r="I199">
        <v>1</v>
      </c>
      <c r="J199">
        <v>4</v>
      </c>
      <c r="K199">
        <v>68.31</v>
      </c>
      <c r="L199">
        <v>71.11</v>
      </c>
    </row>
    <row r="200" spans="1:12" x14ac:dyDescent="0.2">
      <c r="A200" s="4">
        <v>199</v>
      </c>
      <c r="B200" t="s">
        <v>813</v>
      </c>
      <c r="C200">
        <f xml:space="preserve">  70.58</f>
        <v>70.58</v>
      </c>
      <c r="D200">
        <v>14</v>
      </c>
      <c r="E200">
        <v>15</v>
      </c>
      <c r="F200">
        <v>69.569999999999993</v>
      </c>
      <c r="G200">
        <v>0</v>
      </c>
      <c r="H200">
        <v>0</v>
      </c>
      <c r="I200">
        <v>0</v>
      </c>
      <c r="J200">
        <v>0</v>
      </c>
      <c r="K200">
        <v>69.239999999999995</v>
      </c>
      <c r="L200">
        <v>70.8</v>
      </c>
    </row>
    <row r="201" spans="1:12" x14ac:dyDescent="0.2">
      <c r="A201" s="4">
        <v>200</v>
      </c>
      <c r="B201" t="s">
        <v>820</v>
      </c>
      <c r="C201">
        <f xml:space="preserve">  70.41</f>
        <v>70.41</v>
      </c>
      <c r="D201">
        <v>15</v>
      </c>
      <c r="E201">
        <v>15</v>
      </c>
      <c r="F201">
        <v>71.14</v>
      </c>
      <c r="G201">
        <v>0</v>
      </c>
      <c r="H201">
        <v>0</v>
      </c>
      <c r="I201">
        <v>0</v>
      </c>
      <c r="J201">
        <v>3</v>
      </c>
      <c r="K201">
        <v>71.91</v>
      </c>
      <c r="L201">
        <v>69.91</v>
      </c>
    </row>
    <row r="202" spans="1:12" x14ac:dyDescent="0.2">
      <c r="A202" s="4">
        <v>201</v>
      </c>
      <c r="B202" t="s">
        <v>220</v>
      </c>
      <c r="C202">
        <f xml:space="preserve">  70.34</f>
        <v>70.34</v>
      </c>
      <c r="D202">
        <v>17</v>
      </c>
      <c r="E202">
        <v>14</v>
      </c>
      <c r="F202">
        <v>71.290000000000006</v>
      </c>
      <c r="G202">
        <v>0</v>
      </c>
      <c r="H202">
        <v>0</v>
      </c>
      <c r="I202">
        <v>0</v>
      </c>
      <c r="J202">
        <v>4</v>
      </c>
      <c r="K202">
        <v>72.53</v>
      </c>
      <c r="L202">
        <v>69.66</v>
      </c>
    </row>
    <row r="203" spans="1:12" x14ac:dyDescent="0.2">
      <c r="A203" s="4">
        <v>202</v>
      </c>
      <c r="B203" t="s">
        <v>295</v>
      </c>
      <c r="C203">
        <f xml:space="preserve">  70.34</f>
        <v>70.34</v>
      </c>
      <c r="D203">
        <v>11</v>
      </c>
      <c r="E203">
        <v>16</v>
      </c>
      <c r="F203">
        <v>73.790000000000006</v>
      </c>
      <c r="G203">
        <v>0</v>
      </c>
      <c r="H203">
        <v>0</v>
      </c>
      <c r="I203">
        <v>0</v>
      </c>
      <c r="J203">
        <v>2</v>
      </c>
      <c r="K203">
        <v>71.34</v>
      </c>
      <c r="L203">
        <v>69.97</v>
      </c>
    </row>
    <row r="204" spans="1:12" x14ac:dyDescent="0.2">
      <c r="A204" s="4">
        <v>203</v>
      </c>
      <c r="B204" t="s">
        <v>551</v>
      </c>
      <c r="C204">
        <v>70.209999999999994</v>
      </c>
      <c r="D204">
        <v>15</v>
      </c>
      <c r="E204">
        <v>16</v>
      </c>
      <c r="F204">
        <v>71.47</v>
      </c>
      <c r="G204">
        <v>0</v>
      </c>
      <c r="H204">
        <v>0</v>
      </c>
      <c r="I204">
        <v>0</v>
      </c>
      <c r="J204">
        <v>0</v>
      </c>
      <c r="K204">
        <v>70.78</v>
      </c>
      <c r="L204">
        <v>69.95</v>
      </c>
    </row>
    <row r="205" spans="1:12" x14ac:dyDescent="0.2">
      <c r="A205" s="4">
        <v>204</v>
      </c>
      <c r="B205" t="s">
        <v>825</v>
      </c>
      <c r="C205">
        <f xml:space="preserve">  70.18</f>
        <v>70.180000000000007</v>
      </c>
      <c r="D205">
        <v>15</v>
      </c>
      <c r="E205">
        <v>15</v>
      </c>
      <c r="F205">
        <v>69.959999999999994</v>
      </c>
      <c r="G205">
        <v>0</v>
      </c>
      <c r="H205">
        <v>0</v>
      </c>
      <c r="I205">
        <v>0</v>
      </c>
      <c r="J205">
        <v>0</v>
      </c>
      <c r="K205">
        <v>70</v>
      </c>
      <c r="L205">
        <v>70.11</v>
      </c>
    </row>
    <row r="206" spans="1:12" x14ac:dyDescent="0.2">
      <c r="A206" s="4">
        <v>205</v>
      </c>
      <c r="B206" t="s">
        <v>272</v>
      </c>
      <c r="C206">
        <f xml:space="preserve">  70.14</f>
        <v>70.14</v>
      </c>
      <c r="D206">
        <v>12</v>
      </c>
      <c r="E206">
        <v>18</v>
      </c>
      <c r="F206">
        <v>72.08</v>
      </c>
      <c r="G206">
        <v>0</v>
      </c>
      <c r="H206">
        <v>2</v>
      </c>
      <c r="I206">
        <v>0</v>
      </c>
      <c r="J206">
        <v>2</v>
      </c>
      <c r="K206">
        <v>69.75</v>
      </c>
      <c r="L206">
        <v>70.13</v>
      </c>
    </row>
    <row r="207" spans="1:12" x14ac:dyDescent="0.2">
      <c r="A207" s="4">
        <v>206</v>
      </c>
      <c r="B207" t="s">
        <v>811</v>
      </c>
      <c r="C207">
        <f xml:space="preserve">  70.12</f>
        <v>70.12</v>
      </c>
      <c r="D207">
        <v>10</v>
      </c>
      <c r="E207">
        <v>21</v>
      </c>
      <c r="F207">
        <v>76.040000000000006</v>
      </c>
      <c r="G207">
        <v>0</v>
      </c>
      <c r="H207">
        <v>1</v>
      </c>
      <c r="I207">
        <v>0</v>
      </c>
      <c r="J207">
        <v>6</v>
      </c>
      <c r="K207">
        <v>70.459999999999994</v>
      </c>
      <c r="L207">
        <v>69.930000000000007</v>
      </c>
    </row>
    <row r="208" spans="1:12" x14ac:dyDescent="0.2">
      <c r="A208" s="4">
        <v>207</v>
      </c>
      <c r="B208" t="s">
        <v>209</v>
      </c>
      <c r="C208">
        <f xml:space="preserve">  70.05</f>
        <v>70.05</v>
      </c>
      <c r="D208">
        <v>12</v>
      </c>
      <c r="E208">
        <v>18</v>
      </c>
      <c r="F208">
        <v>73.36</v>
      </c>
      <c r="G208">
        <v>0</v>
      </c>
      <c r="H208">
        <v>1</v>
      </c>
      <c r="I208">
        <v>1</v>
      </c>
      <c r="J208">
        <v>4</v>
      </c>
      <c r="K208">
        <v>69.55</v>
      </c>
      <c r="L208">
        <v>70.06</v>
      </c>
    </row>
    <row r="209" spans="1:12" x14ac:dyDescent="0.2">
      <c r="A209" s="4">
        <v>208</v>
      </c>
      <c r="B209" t="s">
        <v>184</v>
      </c>
      <c r="C209">
        <f xml:space="preserve">  70.05</f>
        <v>70.05</v>
      </c>
      <c r="D209">
        <v>13</v>
      </c>
      <c r="E209">
        <v>17</v>
      </c>
      <c r="F209">
        <v>70.900000000000006</v>
      </c>
      <c r="G209">
        <v>0</v>
      </c>
      <c r="H209">
        <v>1</v>
      </c>
      <c r="I209">
        <v>0</v>
      </c>
      <c r="J209">
        <v>2</v>
      </c>
      <c r="K209">
        <v>68.64</v>
      </c>
      <c r="L209">
        <v>70.28</v>
      </c>
    </row>
    <row r="210" spans="1:12" x14ac:dyDescent="0.2">
      <c r="A210" s="4">
        <v>209</v>
      </c>
      <c r="B210" t="s">
        <v>814</v>
      </c>
      <c r="C210">
        <f xml:space="preserve">  69.95</f>
        <v>69.95</v>
      </c>
      <c r="D210">
        <v>12</v>
      </c>
      <c r="E210">
        <v>19</v>
      </c>
      <c r="F210">
        <v>73.98</v>
      </c>
      <c r="G210">
        <v>0</v>
      </c>
      <c r="H210">
        <v>2</v>
      </c>
      <c r="I210">
        <v>0</v>
      </c>
      <c r="J210">
        <v>3</v>
      </c>
      <c r="K210">
        <v>71.59</v>
      </c>
      <c r="L210">
        <v>69.41</v>
      </c>
    </row>
    <row r="211" spans="1:12" x14ac:dyDescent="0.2">
      <c r="A211" s="4">
        <v>210</v>
      </c>
      <c r="B211" t="s">
        <v>556</v>
      </c>
      <c r="C211">
        <f xml:space="preserve">  69.95</f>
        <v>69.95</v>
      </c>
      <c r="D211">
        <v>14</v>
      </c>
      <c r="E211">
        <v>16</v>
      </c>
      <c r="F211">
        <v>72.03</v>
      </c>
      <c r="G211">
        <v>0</v>
      </c>
      <c r="H211">
        <v>1</v>
      </c>
      <c r="I211">
        <v>1</v>
      </c>
      <c r="J211">
        <v>2</v>
      </c>
      <c r="K211">
        <v>71.150000000000006</v>
      </c>
      <c r="L211">
        <v>69.53</v>
      </c>
    </row>
    <row r="212" spans="1:12" x14ac:dyDescent="0.2">
      <c r="A212" s="4">
        <v>211</v>
      </c>
      <c r="B212" t="s">
        <v>877</v>
      </c>
      <c r="C212">
        <v>69.91</v>
      </c>
      <c r="D212">
        <v>6</v>
      </c>
      <c r="E212">
        <v>26</v>
      </c>
      <c r="F212">
        <v>78.38</v>
      </c>
      <c r="G212">
        <v>0</v>
      </c>
      <c r="H212">
        <v>2</v>
      </c>
      <c r="I212">
        <v>0</v>
      </c>
      <c r="J212">
        <v>10</v>
      </c>
      <c r="K212">
        <v>67.53</v>
      </c>
      <c r="L212">
        <v>70.36</v>
      </c>
    </row>
    <row r="213" spans="1:12" x14ac:dyDescent="0.2">
      <c r="A213" s="4">
        <v>212</v>
      </c>
      <c r="B213" t="s">
        <v>815</v>
      </c>
      <c r="C213">
        <f xml:space="preserve">  69.91</f>
        <v>69.91</v>
      </c>
      <c r="D213">
        <v>13</v>
      </c>
      <c r="E213">
        <v>20</v>
      </c>
      <c r="F213">
        <v>73.06</v>
      </c>
      <c r="G213">
        <v>0</v>
      </c>
      <c r="H213">
        <v>2</v>
      </c>
      <c r="I213">
        <v>0</v>
      </c>
      <c r="J213">
        <v>3</v>
      </c>
      <c r="K213">
        <v>69.349999999999994</v>
      </c>
      <c r="L213">
        <v>69.930000000000007</v>
      </c>
    </row>
    <row r="214" spans="1:12" x14ac:dyDescent="0.2">
      <c r="A214" s="4">
        <v>213</v>
      </c>
      <c r="B214" t="s">
        <v>93</v>
      </c>
      <c r="C214">
        <f xml:space="preserve">  69.89</f>
        <v>69.89</v>
      </c>
      <c r="D214">
        <v>17</v>
      </c>
      <c r="E214">
        <v>17</v>
      </c>
      <c r="F214">
        <v>69.849999999999994</v>
      </c>
      <c r="G214">
        <v>0</v>
      </c>
      <c r="H214">
        <v>0</v>
      </c>
      <c r="I214">
        <v>0</v>
      </c>
      <c r="J214">
        <v>1</v>
      </c>
      <c r="K214">
        <v>70.23</v>
      </c>
      <c r="L214">
        <v>69.7</v>
      </c>
    </row>
    <row r="215" spans="1:12" x14ac:dyDescent="0.2">
      <c r="A215" s="4">
        <v>214</v>
      </c>
      <c r="B215" t="s">
        <v>903</v>
      </c>
      <c r="C215">
        <f xml:space="preserve">  69.86</f>
        <v>69.86</v>
      </c>
      <c r="D215">
        <v>19</v>
      </c>
      <c r="E215">
        <v>15</v>
      </c>
      <c r="F215">
        <v>67.09</v>
      </c>
      <c r="G215">
        <v>0</v>
      </c>
      <c r="H215">
        <v>1</v>
      </c>
      <c r="I215">
        <v>0</v>
      </c>
      <c r="J215">
        <v>1</v>
      </c>
      <c r="K215">
        <v>68.02</v>
      </c>
      <c r="L215">
        <v>70.19</v>
      </c>
    </row>
    <row r="216" spans="1:12" x14ac:dyDescent="0.2">
      <c r="A216" s="4">
        <v>215</v>
      </c>
      <c r="B216" t="s">
        <v>142</v>
      </c>
      <c r="C216">
        <f xml:space="preserve">  69.56</f>
        <v>69.56</v>
      </c>
      <c r="D216">
        <v>10</v>
      </c>
      <c r="E216">
        <v>22</v>
      </c>
      <c r="F216">
        <v>72.680000000000007</v>
      </c>
      <c r="G216">
        <v>0</v>
      </c>
      <c r="H216">
        <v>0</v>
      </c>
      <c r="I216">
        <v>0</v>
      </c>
      <c r="J216">
        <v>2</v>
      </c>
      <c r="K216">
        <v>66.84</v>
      </c>
      <c r="L216">
        <v>70.069999999999993</v>
      </c>
    </row>
    <row r="217" spans="1:12" x14ac:dyDescent="0.2">
      <c r="A217" s="4">
        <v>216</v>
      </c>
      <c r="B217" t="s">
        <v>228</v>
      </c>
      <c r="C217">
        <f xml:space="preserve">  69.55</f>
        <v>69.55</v>
      </c>
      <c r="D217">
        <v>11</v>
      </c>
      <c r="E217">
        <v>20</v>
      </c>
      <c r="F217">
        <v>73.489999999999995</v>
      </c>
      <c r="G217">
        <v>0</v>
      </c>
      <c r="H217">
        <v>1</v>
      </c>
      <c r="I217">
        <v>0</v>
      </c>
      <c r="J217">
        <v>6</v>
      </c>
      <c r="K217">
        <v>69.33</v>
      </c>
      <c r="L217">
        <v>69.489999999999995</v>
      </c>
    </row>
    <row r="218" spans="1:12" x14ac:dyDescent="0.2">
      <c r="A218" s="4">
        <v>217</v>
      </c>
      <c r="B218" t="s">
        <v>240</v>
      </c>
      <c r="C218">
        <f xml:space="preserve">  69.44</f>
        <v>69.44</v>
      </c>
      <c r="D218">
        <v>13</v>
      </c>
      <c r="E218">
        <v>15</v>
      </c>
      <c r="F218">
        <v>68.38</v>
      </c>
      <c r="G218">
        <v>0</v>
      </c>
      <c r="H218">
        <v>1</v>
      </c>
      <c r="I218">
        <v>0</v>
      </c>
      <c r="J218">
        <v>2</v>
      </c>
      <c r="K218">
        <v>67.400000000000006</v>
      </c>
      <c r="L218">
        <v>69.819999999999993</v>
      </c>
    </row>
    <row r="219" spans="1:12" x14ac:dyDescent="0.2">
      <c r="A219" s="4">
        <v>218</v>
      </c>
      <c r="B219" t="s">
        <v>195</v>
      </c>
      <c r="C219">
        <f xml:space="preserve">  69.37</f>
        <v>69.37</v>
      </c>
      <c r="D219">
        <v>13</v>
      </c>
      <c r="E219">
        <v>19</v>
      </c>
      <c r="F219">
        <v>72.31</v>
      </c>
      <c r="G219">
        <v>0</v>
      </c>
      <c r="H219">
        <v>1</v>
      </c>
      <c r="I219">
        <v>0</v>
      </c>
      <c r="J219">
        <v>1</v>
      </c>
      <c r="K219">
        <v>69.62</v>
      </c>
      <c r="L219">
        <v>69.2</v>
      </c>
    </row>
    <row r="220" spans="1:12" x14ac:dyDescent="0.2">
      <c r="A220" s="4">
        <v>219</v>
      </c>
      <c r="B220" t="s">
        <v>884</v>
      </c>
      <c r="C220">
        <v>69.36</v>
      </c>
      <c r="D220">
        <v>13</v>
      </c>
      <c r="E220">
        <v>16</v>
      </c>
      <c r="F220">
        <v>69.62</v>
      </c>
      <c r="G220">
        <v>0</v>
      </c>
      <c r="H220">
        <v>1</v>
      </c>
      <c r="I220">
        <v>0</v>
      </c>
      <c r="J220">
        <v>1</v>
      </c>
      <c r="K220">
        <v>67.47</v>
      </c>
      <c r="L220">
        <v>69.7</v>
      </c>
    </row>
    <row r="221" spans="1:12" x14ac:dyDescent="0.2">
      <c r="A221" s="4">
        <v>220</v>
      </c>
      <c r="B221" t="s">
        <v>829</v>
      </c>
      <c r="C221">
        <f xml:space="preserve">  69.34</f>
        <v>69.34</v>
      </c>
      <c r="D221">
        <v>13</v>
      </c>
      <c r="E221">
        <v>17</v>
      </c>
      <c r="F221">
        <v>69.38</v>
      </c>
      <c r="G221">
        <v>0</v>
      </c>
      <c r="H221">
        <v>0</v>
      </c>
      <c r="I221">
        <v>0</v>
      </c>
      <c r="J221">
        <v>2</v>
      </c>
      <c r="K221">
        <v>68.239999999999995</v>
      </c>
      <c r="L221">
        <v>69.489999999999995</v>
      </c>
    </row>
    <row r="222" spans="1:12" x14ac:dyDescent="0.2">
      <c r="A222" s="4">
        <v>221</v>
      </c>
      <c r="B222" t="s">
        <v>302</v>
      </c>
      <c r="C222">
        <f xml:space="preserve">  69.28</f>
        <v>69.28</v>
      </c>
      <c r="D222">
        <v>11</v>
      </c>
      <c r="E222">
        <v>18</v>
      </c>
      <c r="F222">
        <v>73.459999999999994</v>
      </c>
      <c r="G222">
        <v>0</v>
      </c>
      <c r="H222">
        <v>2</v>
      </c>
      <c r="I222">
        <v>0</v>
      </c>
      <c r="J222">
        <v>8</v>
      </c>
      <c r="K222">
        <v>69.83</v>
      </c>
      <c r="L222">
        <v>69.03</v>
      </c>
    </row>
    <row r="223" spans="1:12" x14ac:dyDescent="0.2">
      <c r="A223" s="4">
        <v>222</v>
      </c>
      <c r="B223" t="s">
        <v>31</v>
      </c>
      <c r="C223">
        <f xml:space="preserve">  69.14</f>
        <v>69.14</v>
      </c>
      <c r="D223">
        <v>8</v>
      </c>
      <c r="E223">
        <v>23</v>
      </c>
      <c r="F223">
        <v>78.48</v>
      </c>
      <c r="G223">
        <v>0</v>
      </c>
      <c r="H223">
        <v>8</v>
      </c>
      <c r="I223">
        <v>0</v>
      </c>
      <c r="J223">
        <v>12</v>
      </c>
      <c r="K223">
        <v>70.2</v>
      </c>
      <c r="L223">
        <v>68.760000000000005</v>
      </c>
    </row>
    <row r="224" spans="1:12" x14ac:dyDescent="0.2">
      <c r="A224" s="4">
        <v>223</v>
      </c>
      <c r="B224" t="s">
        <v>136</v>
      </c>
      <c r="C224">
        <f xml:space="preserve">  69.09</f>
        <v>69.09</v>
      </c>
      <c r="D224">
        <v>8</v>
      </c>
      <c r="E224">
        <v>22</v>
      </c>
      <c r="F224">
        <v>76.180000000000007</v>
      </c>
      <c r="G224">
        <v>0</v>
      </c>
      <c r="H224">
        <v>4</v>
      </c>
      <c r="I224">
        <v>0</v>
      </c>
      <c r="J224">
        <v>7</v>
      </c>
      <c r="K224">
        <v>69.12</v>
      </c>
      <c r="L224">
        <v>68.97</v>
      </c>
    </row>
    <row r="225" spans="1:12" x14ac:dyDescent="0.2">
      <c r="A225" s="4">
        <v>224</v>
      </c>
      <c r="B225" t="s">
        <v>129</v>
      </c>
      <c r="C225">
        <f xml:space="preserve">  69.08</f>
        <v>69.08</v>
      </c>
      <c r="D225">
        <v>7</v>
      </c>
      <c r="E225">
        <v>24</v>
      </c>
      <c r="F225">
        <v>76.08</v>
      </c>
      <c r="G225">
        <v>1</v>
      </c>
      <c r="H225">
        <v>0</v>
      </c>
      <c r="I225">
        <v>1</v>
      </c>
      <c r="J225">
        <v>3</v>
      </c>
      <c r="K225">
        <v>68.05</v>
      </c>
      <c r="L225">
        <v>69.22</v>
      </c>
    </row>
    <row r="226" spans="1:12" x14ac:dyDescent="0.2">
      <c r="A226" s="4">
        <v>225</v>
      </c>
      <c r="B226" t="s">
        <v>892</v>
      </c>
      <c r="C226">
        <f xml:space="preserve">  69.07</f>
        <v>69.069999999999993</v>
      </c>
      <c r="D226">
        <v>15</v>
      </c>
      <c r="E226">
        <v>15</v>
      </c>
      <c r="F226">
        <v>68.42</v>
      </c>
      <c r="G226">
        <v>0</v>
      </c>
      <c r="H226">
        <v>0</v>
      </c>
      <c r="I226">
        <v>0</v>
      </c>
      <c r="J226">
        <v>0</v>
      </c>
      <c r="K226">
        <v>68.540000000000006</v>
      </c>
      <c r="L226">
        <v>69.09</v>
      </c>
    </row>
    <row r="227" spans="1:12" x14ac:dyDescent="0.2">
      <c r="A227" s="4">
        <v>226</v>
      </c>
      <c r="B227" t="s">
        <v>189</v>
      </c>
      <c r="C227">
        <f xml:space="preserve">  68.95</f>
        <v>68.95</v>
      </c>
      <c r="D227">
        <v>16</v>
      </c>
      <c r="E227">
        <v>15</v>
      </c>
      <c r="F227">
        <v>69.47</v>
      </c>
      <c r="G227">
        <v>0</v>
      </c>
      <c r="H227">
        <v>0</v>
      </c>
      <c r="I227">
        <v>0</v>
      </c>
      <c r="J227">
        <v>2</v>
      </c>
      <c r="K227">
        <v>68.760000000000005</v>
      </c>
      <c r="L227">
        <v>68.89</v>
      </c>
    </row>
    <row r="228" spans="1:12" x14ac:dyDescent="0.2">
      <c r="A228" s="4">
        <v>227</v>
      </c>
      <c r="B228" t="s">
        <v>196</v>
      </c>
      <c r="C228">
        <f xml:space="preserve">  68.94</f>
        <v>68.94</v>
      </c>
      <c r="D228">
        <v>14</v>
      </c>
      <c r="E228">
        <v>17</v>
      </c>
      <c r="F228">
        <v>71.59</v>
      </c>
      <c r="G228">
        <v>0</v>
      </c>
      <c r="H228">
        <v>0</v>
      </c>
      <c r="I228">
        <v>0</v>
      </c>
      <c r="J228">
        <v>0</v>
      </c>
      <c r="K228">
        <v>70.209999999999994</v>
      </c>
      <c r="L228">
        <v>68.489999999999995</v>
      </c>
    </row>
    <row r="229" spans="1:12" x14ac:dyDescent="0.2">
      <c r="A229" s="4">
        <v>228</v>
      </c>
      <c r="B229" t="s">
        <v>263</v>
      </c>
      <c r="C229">
        <f xml:space="preserve">  68.66</f>
        <v>68.66</v>
      </c>
      <c r="D229">
        <v>15</v>
      </c>
      <c r="E229">
        <v>14</v>
      </c>
      <c r="F229">
        <v>70.13</v>
      </c>
      <c r="G229">
        <v>0</v>
      </c>
      <c r="H229">
        <v>0</v>
      </c>
      <c r="I229">
        <v>0</v>
      </c>
      <c r="J229">
        <v>2</v>
      </c>
      <c r="K229">
        <v>70.81</v>
      </c>
      <c r="L229">
        <v>67.97</v>
      </c>
    </row>
    <row r="230" spans="1:12" x14ac:dyDescent="0.2">
      <c r="A230" s="4">
        <v>229</v>
      </c>
      <c r="B230" t="s">
        <v>152</v>
      </c>
      <c r="C230">
        <f xml:space="preserve">  68.56</f>
        <v>68.56</v>
      </c>
      <c r="D230">
        <v>10</v>
      </c>
      <c r="E230">
        <v>15</v>
      </c>
      <c r="F230">
        <v>69.95</v>
      </c>
      <c r="G230">
        <v>0</v>
      </c>
      <c r="H230">
        <v>0</v>
      </c>
      <c r="I230">
        <v>0</v>
      </c>
      <c r="J230">
        <v>4</v>
      </c>
      <c r="K230">
        <v>66.77</v>
      </c>
      <c r="L230">
        <v>68.87</v>
      </c>
    </row>
    <row r="231" spans="1:12" x14ac:dyDescent="0.2">
      <c r="A231" s="4">
        <v>230</v>
      </c>
      <c r="B231" t="s">
        <v>154</v>
      </c>
      <c r="C231">
        <f xml:space="preserve">  68.56</f>
        <v>68.56</v>
      </c>
      <c r="D231">
        <v>10</v>
      </c>
      <c r="E231">
        <v>21</v>
      </c>
      <c r="F231">
        <v>74.180000000000007</v>
      </c>
      <c r="G231">
        <v>0</v>
      </c>
      <c r="H231">
        <v>0</v>
      </c>
      <c r="I231">
        <v>0</v>
      </c>
      <c r="J231">
        <v>2</v>
      </c>
      <c r="K231">
        <v>68.739999999999995</v>
      </c>
      <c r="L231">
        <v>68.400000000000006</v>
      </c>
    </row>
    <row r="232" spans="1:12" x14ac:dyDescent="0.2">
      <c r="A232" s="4">
        <v>231</v>
      </c>
      <c r="B232" t="s">
        <v>833</v>
      </c>
      <c r="C232">
        <f xml:space="preserve">  68.53</f>
        <v>68.53</v>
      </c>
      <c r="D232">
        <v>14</v>
      </c>
      <c r="E232">
        <v>16</v>
      </c>
      <c r="F232">
        <v>71.040000000000006</v>
      </c>
      <c r="G232">
        <v>0</v>
      </c>
      <c r="H232">
        <v>0</v>
      </c>
      <c r="I232">
        <v>0</v>
      </c>
      <c r="J232">
        <v>1</v>
      </c>
      <c r="K232">
        <v>69.73</v>
      </c>
      <c r="L232">
        <v>68.099999999999994</v>
      </c>
    </row>
    <row r="233" spans="1:12" x14ac:dyDescent="0.2">
      <c r="A233" s="4">
        <v>232</v>
      </c>
      <c r="B233" t="s">
        <v>95</v>
      </c>
      <c r="C233">
        <f xml:space="preserve">  68.36</f>
        <v>68.36</v>
      </c>
      <c r="D233">
        <v>13</v>
      </c>
      <c r="E233">
        <v>16</v>
      </c>
      <c r="F233">
        <v>70.45</v>
      </c>
      <c r="G233">
        <v>0</v>
      </c>
      <c r="H233">
        <v>0</v>
      </c>
      <c r="I233">
        <v>0</v>
      </c>
      <c r="J233">
        <v>0</v>
      </c>
      <c r="K233">
        <v>69.48</v>
      </c>
      <c r="L233">
        <v>67.95</v>
      </c>
    </row>
    <row r="234" spans="1:12" x14ac:dyDescent="0.2">
      <c r="A234" s="4">
        <v>233</v>
      </c>
      <c r="B234" t="s">
        <v>146</v>
      </c>
      <c r="C234">
        <f xml:space="preserve">  68.33</f>
        <v>68.33</v>
      </c>
      <c r="D234">
        <v>16</v>
      </c>
      <c r="E234">
        <v>13</v>
      </c>
      <c r="F234">
        <v>67.42</v>
      </c>
      <c r="G234">
        <v>0</v>
      </c>
      <c r="H234">
        <v>0</v>
      </c>
      <c r="I234">
        <v>0</v>
      </c>
      <c r="J234">
        <v>0</v>
      </c>
      <c r="K234">
        <v>68.680000000000007</v>
      </c>
      <c r="L234">
        <v>68.13</v>
      </c>
    </row>
    <row r="235" spans="1:12" x14ac:dyDescent="0.2">
      <c r="A235" s="4">
        <v>234</v>
      </c>
      <c r="B235" t="s">
        <v>246</v>
      </c>
      <c r="C235">
        <f xml:space="preserve">  68.33</f>
        <v>68.33</v>
      </c>
      <c r="D235">
        <v>14</v>
      </c>
      <c r="E235">
        <v>18</v>
      </c>
      <c r="F235">
        <v>69.37</v>
      </c>
      <c r="G235">
        <v>0</v>
      </c>
      <c r="H235">
        <v>0</v>
      </c>
      <c r="I235">
        <v>0</v>
      </c>
      <c r="J235">
        <v>1</v>
      </c>
      <c r="K235">
        <v>67.53</v>
      </c>
      <c r="L235">
        <v>68.41</v>
      </c>
    </row>
    <row r="236" spans="1:12" x14ac:dyDescent="0.2">
      <c r="A236" s="4">
        <v>235</v>
      </c>
      <c r="B236" t="s">
        <v>200</v>
      </c>
      <c r="C236">
        <f xml:space="preserve">  68.32</f>
        <v>68.319999999999993</v>
      </c>
      <c r="D236">
        <v>13</v>
      </c>
      <c r="E236">
        <v>15</v>
      </c>
      <c r="F236">
        <v>70.75</v>
      </c>
      <c r="G236">
        <v>0</v>
      </c>
      <c r="H236">
        <v>0</v>
      </c>
      <c r="I236">
        <v>0</v>
      </c>
      <c r="J236">
        <v>1</v>
      </c>
      <c r="K236">
        <v>70.27</v>
      </c>
      <c r="L236">
        <v>67.69</v>
      </c>
    </row>
    <row r="237" spans="1:12" x14ac:dyDescent="0.2">
      <c r="A237" s="4">
        <v>236</v>
      </c>
      <c r="B237" t="s">
        <v>180</v>
      </c>
      <c r="C237">
        <f xml:space="preserve">  68.26</f>
        <v>68.260000000000005</v>
      </c>
      <c r="D237">
        <v>14</v>
      </c>
      <c r="E237">
        <v>19</v>
      </c>
      <c r="F237">
        <v>71.66</v>
      </c>
      <c r="G237">
        <v>0</v>
      </c>
      <c r="H237">
        <v>1</v>
      </c>
      <c r="I237">
        <v>0</v>
      </c>
      <c r="J237">
        <v>1</v>
      </c>
      <c r="K237">
        <v>69.27</v>
      </c>
      <c r="L237">
        <v>67.88</v>
      </c>
    </row>
    <row r="238" spans="1:12" x14ac:dyDescent="0.2">
      <c r="A238" s="4">
        <v>237</v>
      </c>
      <c r="B238" t="s">
        <v>889</v>
      </c>
      <c r="C238">
        <v>68.260000000000005</v>
      </c>
      <c r="D238">
        <v>13</v>
      </c>
      <c r="E238">
        <v>16</v>
      </c>
      <c r="F238">
        <v>68.69</v>
      </c>
      <c r="G238">
        <v>0</v>
      </c>
      <c r="H238">
        <v>1</v>
      </c>
      <c r="I238">
        <v>0</v>
      </c>
      <c r="J238">
        <v>3</v>
      </c>
      <c r="K238">
        <v>67.77</v>
      </c>
      <c r="L238">
        <v>68.27</v>
      </c>
    </row>
    <row r="239" spans="1:12" x14ac:dyDescent="0.2">
      <c r="A239" s="4">
        <v>238</v>
      </c>
      <c r="B239" t="s">
        <v>881</v>
      </c>
      <c r="C239">
        <f xml:space="preserve">  68.24</f>
        <v>68.239999999999995</v>
      </c>
      <c r="D239">
        <v>8</v>
      </c>
      <c r="E239">
        <v>20</v>
      </c>
      <c r="F239">
        <v>72.91</v>
      </c>
      <c r="G239">
        <v>0</v>
      </c>
      <c r="H239">
        <v>0</v>
      </c>
      <c r="I239">
        <v>0</v>
      </c>
      <c r="J239">
        <v>0</v>
      </c>
      <c r="K239">
        <v>66.92</v>
      </c>
      <c r="L239">
        <v>68.45</v>
      </c>
    </row>
    <row r="240" spans="1:12" x14ac:dyDescent="0.2">
      <c r="A240" s="4">
        <v>239</v>
      </c>
      <c r="B240" t="s">
        <v>164</v>
      </c>
      <c r="C240">
        <f xml:space="preserve">  68.23</f>
        <v>68.23</v>
      </c>
      <c r="D240">
        <v>12</v>
      </c>
      <c r="E240">
        <v>17</v>
      </c>
      <c r="F240">
        <v>71.290000000000006</v>
      </c>
      <c r="G240">
        <v>0</v>
      </c>
      <c r="H240">
        <v>0</v>
      </c>
      <c r="I240">
        <v>0</v>
      </c>
      <c r="J240">
        <v>0</v>
      </c>
      <c r="K240">
        <v>69.260000000000005</v>
      </c>
      <c r="L240">
        <v>67.849999999999994</v>
      </c>
    </row>
    <row r="241" spans="1:12" x14ac:dyDescent="0.2">
      <c r="A241" s="4">
        <v>240</v>
      </c>
      <c r="B241" t="s">
        <v>244</v>
      </c>
      <c r="C241">
        <f xml:space="preserve">  68.19</f>
        <v>68.19</v>
      </c>
      <c r="D241">
        <v>13</v>
      </c>
      <c r="E241">
        <v>18</v>
      </c>
      <c r="F241">
        <v>71.05</v>
      </c>
      <c r="G241">
        <v>0</v>
      </c>
      <c r="H241">
        <v>1</v>
      </c>
      <c r="I241">
        <v>0</v>
      </c>
      <c r="J241">
        <v>1</v>
      </c>
      <c r="K241">
        <v>69.16</v>
      </c>
      <c r="L241">
        <v>67.83</v>
      </c>
    </row>
    <row r="242" spans="1:12" x14ac:dyDescent="0.2">
      <c r="A242" s="4">
        <v>241</v>
      </c>
      <c r="B242" t="s">
        <v>868</v>
      </c>
      <c r="C242">
        <f xml:space="preserve">  68.18</f>
        <v>68.180000000000007</v>
      </c>
      <c r="D242">
        <v>13</v>
      </c>
      <c r="E242">
        <v>16</v>
      </c>
      <c r="F242">
        <v>70.099999999999994</v>
      </c>
      <c r="G242">
        <v>0</v>
      </c>
      <c r="H242">
        <v>1</v>
      </c>
      <c r="I242">
        <v>0</v>
      </c>
      <c r="J242">
        <v>2</v>
      </c>
      <c r="K242">
        <v>68.59</v>
      </c>
      <c r="L242">
        <v>67.97</v>
      </c>
    </row>
    <row r="243" spans="1:12" x14ac:dyDescent="0.2">
      <c r="A243" s="4">
        <v>242</v>
      </c>
      <c r="B243" t="s">
        <v>226</v>
      </c>
      <c r="C243">
        <f xml:space="preserve">  68.14</f>
        <v>68.14</v>
      </c>
      <c r="D243">
        <v>15</v>
      </c>
      <c r="E243">
        <v>18</v>
      </c>
      <c r="F243">
        <v>70.61</v>
      </c>
      <c r="G243">
        <v>0</v>
      </c>
      <c r="H243">
        <v>1</v>
      </c>
      <c r="I243">
        <v>0</v>
      </c>
      <c r="J243">
        <v>3</v>
      </c>
      <c r="K243">
        <v>69.459999999999994</v>
      </c>
      <c r="L243">
        <v>67.67</v>
      </c>
    </row>
    <row r="244" spans="1:12" x14ac:dyDescent="0.2">
      <c r="A244" s="4">
        <v>243</v>
      </c>
      <c r="B244" t="s">
        <v>885</v>
      </c>
      <c r="C244">
        <v>68.099999999999994</v>
      </c>
      <c r="D244">
        <v>21</v>
      </c>
      <c r="E244">
        <v>13</v>
      </c>
      <c r="F244">
        <v>66.22</v>
      </c>
      <c r="G244">
        <v>0</v>
      </c>
      <c r="H244">
        <v>3</v>
      </c>
      <c r="I244">
        <v>0</v>
      </c>
      <c r="J244">
        <v>5</v>
      </c>
      <c r="K244">
        <v>70.42</v>
      </c>
      <c r="L244">
        <v>67.349999999999994</v>
      </c>
    </row>
    <row r="245" spans="1:12" x14ac:dyDescent="0.2">
      <c r="A245" s="4">
        <v>244</v>
      </c>
      <c r="B245" t="s">
        <v>174</v>
      </c>
      <c r="C245">
        <f xml:space="preserve">  68.05</f>
        <v>68.05</v>
      </c>
      <c r="D245">
        <v>12</v>
      </c>
      <c r="E245">
        <v>20</v>
      </c>
      <c r="F245">
        <v>71.91</v>
      </c>
      <c r="G245">
        <v>0</v>
      </c>
      <c r="H245">
        <v>0</v>
      </c>
      <c r="I245">
        <v>0</v>
      </c>
      <c r="J245">
        <v>1</v>
      </c>
      <c r="K245">
        <v>67.489999999999995</v>
      </c>
      <c r="L245">
        <v>68.08</v>
      </c>
    </row>
    <row r="246" spans="1:12" x14ac:dyDescent="0.2">
      <c r="A246" s="4">
        <v>245</v>
      </c>
      <c r="B246" t="s">
        <v>210</v>
      </c>
      <c r="C246">
        <f xml:space="preserve">  67.96</f>
        <v>67.959999999999994</v>
      </c>
      <c r="D246">
        <v>15</v>
      </c>
      <c r="E246">
        <v>15</v>
      </c>
      <c r="F246">
        <v>69.510000000000005</v>
      </c>
      <c r="G246">
        <v>0</v>
      </c>
      <c r="H246">
        <v>0</v>
      </c>
      <c r="I246">
        <v>0</v>
      </c>
      <c r="J246">
        <v>1</v>
      </c>
      <c r="K246">
        <v>69.06</v>
      </c>
      <c r="L246">
        <v>67.55</v>
      </c>
    </row>
    <row r="247" spans="1:12" x14ac:dyDescent="0.2">
      <c r="A247" s="4">
        <v>246</v>
      </c>
      <c r="B247" t="s">
        <v>211</v>
      </c>
      <c r="C247">
        <f xml:space="preserve">  67.82</f>
        <v>67.819999999999993</v>
      </c>
      <c r="D247">
        <v>11</v>
      </c>
      <c r="E247">
        <v>18</v>
      </c>
      <c r="F247">
        <v>69.650000000000006</v>
      </c>
      <c r="G247">
        <v>0</v>
      </c>
      <c r="H247">
        <v>1</v>
      </c>
      <c r="I247">
        <v>0</v>
      </c>
      <c r="J247">
        <v>1</v>
      </c>
      <c r="K247">
        <v>65.42</v>
      </c>
      <c r="L247">
        <v>68.25</v>
      </c>
    </row>
    <row r="248" spans="1:12" x14ac:dyDescent="0.2">
      <c r="A248" s="4">
        <v>247</v>
      </c>
      <c r="B248" t="s">
        <v>122</v>
      </c>
      <c r="C248">
        <f xml:space="preserve">  67.78</f>
        <v>67.78</v>
      </c>
      <c r="D248">
        <v>9</v>
      </c>
      <c r="E248">
        <v>22</v>
      </c>
      <c r="F248">
        <v>76.650000000000006</v>
      </c>
      <c r="G248">
        <v>1</v>
      </c>
      <c r="H248">
        <v>4</v>
      </c>
      <c r="I248">
        <v>1</v>
      </c>
      <c r="J248">
        <v>9</v>
      </c>
      <c r="K248">
        <v>70.16</v>
      </c>
      <c r="L248">
        <v>67.02</v>
      </c>
    </row>
    <row r="249" spans="1:12" x14ac:dyDescent="0.2">
      <c r="A249" s="4">
        <v>248</v>
      </c>
      <c r="B249" t="s">
        <v>296</v>
      </c>
      <c r="C249">
        <f xml:space="preserve">  67.76</f>
        <v>67.760000000000005</v>
      </c>
      <c r="D249">
        <v>8</v>
      </c>
      <c r="E249">
        <v>22</v>
      </c>
      <c r="F249">
        <v>74.62</v>
      </c>
      <c r="G249">
        <v>0</v>
      </c>
      <c r="H249">
        <v>3</v>
      </c>
      <c r="I249">
        <v>0</v>
      </c>
      <c r="J249">
        <v>7</v>
      </c>
      <c r="K249">
        <v>66.55</v>
      </c>
      <c r="L249">
        <v>67.930000000000007</v>
      </c>
    </row>
    <row r="250" spans="1:12" x14ac:dyDescent="0.2">
      <c r="A250" s="4">
        <v>249</v>
      </c>
      <c r="B250" t="s">
        <v>233</v>
      </c>
      <c r="C250">
        <f xml:space="preserve">  67.47</f>
        <v>67.47</v>
      </c>
      <c r="D250">
        <v>8</v>
      </c>
      <c r="E250">
        <v>20</v>
      </c>
      <c r="F250">
        <v>73.66</v>
      </c>
      <c r="G250">
        <v>0</v>
      </c>
      <c r="H250">
        <v>3</v>
      </c>
      <c r="I250">
        <v>0</v>
      </c>
      <c r="J250">
        <v>5</v>
      </c>
      <c r="K250">
        <v>66.37</v>
      </c>
      <c r="L250">
        <v>67.62</v>
      </c>
    </row>
    <row r="251" spans="1:12" x14ac:dyDescent="0.2">
      <c r="A251" s="4">
        <v>250</v>
      </c>
      <c r="B251" t="s">
        <v>883</v>
      </c>
      <c r="C251">
        <v>67.34</v>
      </c>
      <c r="D251">
        <v>13</v>
      </c>
      <c r="E251">
        <v>15</v>
      </c>
      <c r="F251">
        <v>68.819999999999993</v>
      </c>
      <c r="G251">
        <v>0</v>
      </c>
      <c r="H251">
        <v>1</v>
      </c>
      <c r="I251">
        <v>1</v>
      </c>
      <c r="J251">
        <v>1</v>
      </c>
      <c r="K251">
        <v>66.78</v>
      </c>
      <c r="L251">
        <v>67.36</v>
      </c>
    </row>
    <row r="252" spans="1:12" x14ac:dyDescent="0.2">
      <c r="A252" s="4">
        <v>251</v>
      </c>
      <c r="B252" t="s">
        <v>134</v>
      </c>
      <c r="C252">
        <f xml:space="preserve">  67.25</f>
        <v>67.25</v>
      </c>
      <c r="D252">
        <v>10</v>
      </c>
      <c r="E252">
        <v>19</v>
      </c>
      <c r="F252">
        <v>71.98</v>
      </c>
      <c r="G252">
        <v>0</v>
      </c>
      <c r="H252">
        <v>0</v>
      </c>
      <c r="I252">
        <v>0</v>
      </c>
      <c r="J252">
        <v>4</v>
      </c>
      <c r="K252">
        <v>66.790000000000006</v>
      </c>
      <c r="L252">
        <v>67.260000000000005</v>
      </c>
    </row>
    <row r="253" spans="1:12" x14ac:dyDescent="0.2">
      <c r="A253" s="4">
        <v>252</v>
      </c>
      <c r="B253" t="s">
        <v>202</v>
      </c>
      <c r="C253">
        <f xml:space="preserve">  67.21</f>
        <v>67.209999999999994</v>
      </c>
      <c r="D253">
        <v>13</v>
      </c>
      <c r="E253">
        <v>16</v>
      </c>
      <c r="F253">
        <v>70.510000000000005</v>
      </c>
      <c r="G253">
        <v>0</v>
      </c>
      <c r="H253">
        <v>1</v>
      </c>
      <c r="I253">
        <v>0</v>
      </c>
      <c r="J253">
        <v>2</v>
      </c>
      <c r="K253">
        <v>68.86</v>
      </c>
      <c r="L253">
        <v>66.650000000000006</v>
      </c>
    </row>
    <row r="254" spans="1:12" x14ac:dyDescent="0.2">
      <c r="A254" s="4">
        <v>253</v>
      </c>
      <c r="B254" t="s">
        <v>835</v>
      </c>
      <c r="C254">
        <f xml:space="preserve">  67.2</f>
        <v>67.2</v>
      </c>
      <c r="D254">
        <v>13</v>
      </c>
      <c r="E254">
        <v>14</v>
      </c>
      <c r="F254">
        <v>68.11</v>
      </c>
      <c r="G254">
        <v>0</v>
      </c>
      <c r="H254">
        <v>0</v>
      </c>
      <c r="I254">
        <v>0</v>
      </c>
      <c r="J254">
        <v>2</v>
      </c>
      <c r="K254">
        <v>67.95</v>
      </c>
      <c r="L254">
        <v>66.900000000000006</v>
      </c>
    </row>
    <row r="255" spans="1:12" x14ac:dyDescent="0.2">
      <c r="A255" s="4">
        <v>254</v>
      </c>
      <c r="B255" t="s">
        <v>826</v>
      </c>
      <c r="C255">
        <f xml:space="preserve">  67.13</f>
        <v>67.13</v>
      </c>
      <c r="D255">
        <v>11</v>
      </c>
      <c r="E255">
        <v>18</v>
      </c>
      <c r="F255">
        <v>70.400000000000006</v>
      </c>
      <c r="G255">
        <v>0</v>
      </c>
      <c r="H255">
        <v>1</v>
      </c>
      <c r="I255">
        <v>0</v>
      </c>
      <c r="J255">
        <v>2</v>
      </c>
      <c r="K255">
        <v>67.569999999999993</v>
      </c>
      <c r="L255">
        <v>66.900000000000006</v>
      </c>
    </row>
    <row r="256" spans="1:12" x14ac:dyDescent="0.2">
      <c r="A256" s="4">
        <v>255</v>
      </c>
      <c r="B256" t="s">
        <v>243</v>
      </c>
      <c r="C256">
        <f xml:space="preserve">  66.96</f>
        <v>66.959999999999994</v>
      </c>
      <c r="D256">
        <v>10</v>
      </c>
      <c r="E256">
        <v>21</v>
      </c>
      <c r="F256">
        <v>72.34</v>
      </c>
      <c r="G256">
        <v>0</v>
      </c>
      <c r="H256">
        <v>0</v>
      </c>
      <c r="I256">
        <v>0</v>
      </c>
      <c r="J256">
        <v>3</v>
      </c>
      <c r="K256">
        <v>67.180000000000007</v>
      </c>
      <c r="L256">
        <v>66.8</v>
      </c>
    </row>
    <row r="257" spans="1:12" x14ac:dyDescent="0.2">
      <c r="A257" s="4">
        <v>256</v>
      </c>
      <c r="B257" t="s">
        <v>293</v>
      </c>
      <c r="C257">
        <f xml:space="preserve">  66.96</f>
        <v>66.959999999999994</v>
      </c>
      <c r="D257">
        <v>8</v>
      </c>
      <c r="E257">
        <v>18</v>
      </c>
      <c r="F257">
        <v>70.849999999999994</v>
      </c>
      <c r="G257">
        <v>0</v>
      </c>
      <c r="H257">
        <v>1</v>
      </c>
      <c r="I257">
        <v>0</v>
      </c>
      <c r="J257">
        <v>2</v>
      </c>
      <c r="K257">
        <v>64.849999999999994</v>
      </c>
      <c r="L257">
        <v>67.33</v>
      </c>
    </row>
    <row r="258" spans="1:12" x14ac:dyDescent="0.2">
      <c r="A258" s="4">
        <v>257</v>
      </c>
      <c r="B258" t="s">
        <v>288</v>
      </c>
      <c r="C258">
        <f xml:space="preserve">  66.88</f>
        <v>66.88</v>
      </c>
      <c r="D258">
        <v>10</v>
      </c>
      <c r="E258">
        <v>19</v>
      </c>
      <c r="F258">
        <v>75.260000000000005</v>
      </c>
      <c r="G258">
        <v>0</v>
      </c>
      <c r="H258">
        <v>2</v>
      </c>
      <c r="I258">
        <v>1</v>
      </c>
      <c r="J258">
        <v>5</v>
      </c>
      <c r="K258">
        <v>70.290000000000006</v>
      </c>
      <c r="L258">
        <v>65.77</v>
      </c>
    </row>
    <row r="259" spans="1:12" x14ac:dyDescent="0.2">
      <c r="A259" s="4">
        <v>258</v>
      </c>
      <c r="B259" t="s">
        <v>190</v>
      </c>
      <c r="C259">
        <f xml:space="preserve">  66.83</f>
        <v>66.83</v>
      </c>
      <c r="D259">
        <v>14</v>
      </c>
      <c r="E259">
        <v>18</v>
      </c>
      <c r="F259">
        <v>70.58</v>
      </c>
      <c r="G259">
        <v>0</v>
      </c>
      <c r="H259">
        <v>1</v>
      </c>
      <c r="I259">
        <v>0</v>
      </c>
      <c r="J259">
        <v>2</v>
      </c>
      <c r="K259">
        <v>68.430000000000007</v>
      </c>
      <c r="L259">
        <v>66.28</v>
      </c>
    </row>
    <row r="260" spans="1:12" x14ac:dyDescent="0.2">
      <c r="A260" s="4">
        <v>259</v>
      </c>
      <c r="B260" t="s">
        <v>199</v>
      </c>
      <c r="C260">
        <f xml:space="preserve">  66.77</f>
        <v>66.77</v>
      </c>
      <c r="D260">
        <v>14</v>
      </c>
      <c r="E260">
        <v>16</v>
      </c>
      <c r="F260">
        <v>68.97</v>
      </c>
      <c r="G260">
        <v>0</v>
      </c>
      <c r="H260">
        <v>0</v>
      </c>
      <c r="I260">
        <v>0</v>
      </c>
      <c r="J260">
        <v>1</v>
      </c>
      <c r="K260">
        <v>68.7</v>
      </c>
      <c r="L260">
        <v>66.13</v>
      </c>
    </row>
    <row r="261" spans="1:12" x14ac:dyDescent="0.2">
      <c r="A261" s="4">
        <v>260</v>
      </c>
      <c r="B261" t="s">
        <v>114</v>
      </c>
      <c r="C261">
        <f xml:space="preserve">  66.74</f>
        <v>66.739999999999995</v>
      </c>
      <c r="D261">
        <v>7</v>
      </c>
      <c r="E261">
        <v>25</v>
      </c>
      <c r="F261">
        <v>76.069999999999993</v>
      </c>
      <c r="G261">
        <v>0</v>
      </c>
      <c r="H261">
        <v>4</v>
      </c>
      <c r="I261">
        <v>0</v>
      </c>
      <c r="J261">
        <v>6</v>
      </c>
      <c r="K261">
        <v>67.17</v>
      </c>
      <c r="L261">
        <v>66.52</v>
      </c>
    </row>
    <row r="262" spans="1:12" x14ac:dyDescent="0.2">
      <c r="A262" s="4">
        <v>261</v>
      </c>
      <c r="B262" t="s">
        <v>294</v>
      </c>
      <c r="C262">
        <f xml:space="preserve">  66.73</f>
        <v>66.73</v>
      </c>
      <c r="D262">
        <v>9</v>
      </c>
      <c r="E262">
        <v>18</v>
      </c>
      <c r="F262">
        <v>72.58</v>
      </c>
      <c r="G262">
        <v>0</v>
      </c>
      <c r="H262">
        <v>0</v>
      </c>
      <c r="I262">
        <v>0</v>
      </c>
      <c r="J262">
        <v>1</v>
      </c>
      <c r="K262">
        <v>68.17</v>
      </c>
      <c r="L262">
        <v>66.23</v>
      </c>
    </row>
    <row r="263" spans="1:12" x14ac:dyDescent="0.2">
      <c r="A263" s="4">
        <v>262</v>
      </c>
      <c r="B263" t="s">
        <v>238</v>
      </c>
      <c r="C263">
        <f xml:space="preserve">  66.61</f>
        <v>66.61</v>
      </c>
      <c r="D263">
        <v>13</v>
      </c>
      <c r="E263">
        <v>18</v>
      </c>
      <c r="F263">
        <v>72.02</v>
      </c>
      <c r="G263">
        <v>0</v>
      </c>
      <c r="H263">
        <v>3</v>
      </c>
      <c r="I263">
        <v>0</v>
      </c>
      <c r="J263">
        <v>3</v>
      </c>
      <c r="K263">
        <v>69.31</v>
      </c>
      <c r="L263">
        <v>65.72</v>
      </c>
    </row>
    <row r="264" spans="1:12" x14ac:dyDescent="0.2">
      <c r="A264" s="4">
        <v>263</v>
      </c>
      <c r="B264" t="s">
        <v>155</v>
      </c>
      <c r="C264">
        <f xml:space="preserve">  66.58</f>
        <v>66.58</v>
      </c>
      <c r="D264">
        <v>10</v>
      </c>
      <c r="E264">
        <v>20</v>
      </c>
      <c r="F264">
        <v>70.72</v>
      </c>
      <c r="G264">
        <v>0</v>
      </c>
      <c r="H264">
        <v>1</v>
      </c>
      <c r="I264">
        <v>0</v>
      </c>
      <c r="J264">
        <v>2</v>
      </c>
      <c r="K264">
        <v>65.09</v>
      </c>
      <c r="L264">
        <v>66.819999999999993</v>
      </c>
    </row>
    <row r="265" spans="1:12" x14ac:dyDescent="0.2">
      <c r="A265" s="4">
        <v>264</v>
      </c>
      <c r="B265" t="s">
        <v>265</v>
      </c>
      <c r="C265">
        <f xml:space="preserve">  66.48</f>
        <v>66.48</v>
      </c>
      <c r="D265">
        <v>13</v>
      </c>
      <c r="E265">
        <v>15</v>
      </c>
      <c r="F265">
        <v>67.900000000000006</v>
      </c>
      <c r="G265">
        <v>0</v>
      </c>
      <c r="H265">
        <v>2</v>
      </c>
      <c r="I265">
        <v>0</v>
      </c>
      <c r="J265">
        <v>2</v>
      </c>
      <c r="K265">
        <v>67.02</v>
      </c>
      <c r="L265">
        <v>66.22</v>
      </c>
    </row>
    <row r="266" spans="1:12" x14ac:dyDescent="0.2">
      <c r="A266" s="4">
        <v>265</v>
      </c>
      <c r="B266" t="s">
        <v>85</v>
      </c>
      <c r="C266">
        <f xml:space="preserve">  66.44</f>
        <v>66.44</v>
      </c>
      <c r="D266">
        <v>8</v>
      </c>
      <c r="E266">
        <v>21</v>
      </c>
      <c r="F266">
        <v>69.86</v>
      </c>
      <c r="G266">
        <v>0</v>
      </c>
      <c r="H266">
        <v>2</v>
      </c>
      <c r="I266">
        <v>0</v>
      </c>
      <c r="J266">
        <v>2</v>
      </c>
      <c r="K266">
        <v>63.36</v>
      </c>
      <c r="L266">
        <v>66.97</v>
      </c>
    </row>
    <row r="267" spans="1:12" x14ac:dyDescent="0.2">
      <c r="A267" s="4">
        <v>266</v>
      </c>
      <c r="B267" t="s">
        <v>291</v>
      </c>
      <c r="C267">
        <f xml:space="preserve">  66.36</f>
        <v>66.36</v>
      </c>
      <c r="D267">
        <v>10</v>
      </c>
      <c r="E267">
        <v>20</v>
      </c>
      <c r="F267">
        <v>69.87</v>
      </c>
      <c r="G267">
        <v>0</v>
      </c>
      <c r="H267">
        <v>1</v>
      </c>
      <c r="I267">
        <v>0</v>
      </c>
      <c r="J267">
        <v>1</v>
      </c>
      <c r="K267">
        <v>63.99</v>
      </c>
      <c r="L267">
        <v>66.77</v>
      </c>
    </row>
    <row r="268" spans="1:12" x14ac:dyDescent="0.2">
      <c r="A268" s="4">
        <v>267</v>
      </c>
      <c r="B268" t="s">
        <v>895</v>
      </c>
      <c r="C268">
        <f xml:space="preserve">  66.34</f>
        <v>66.34</v>
      </c>
      <c r="D268">
        <v>16</v>
      </c>
      <c r="E268">
        <v>17</v>
      </c>
      <c r="F268">
        <v>67.95</v>
      </c>
      <c r="G268">
        <v>0</v>
      </c>
      <c r="H268">
        <v>1</v>
      </c>
      <c r="I268">
        <v>0</v>
      </c>
      <c r="J268">
        <v>3</v>
      </c>
      <c r="K268">
        <v>67.72</v>
      </c>
      <c r="L268">
        <v>65.86</v>
      </c>
    </row>
    <row r="269" spans="1:12" x14ac:dyDescent="0.2">
      <c r="A269" s="4">
        <v>268</v>
      </c>
      <c r="B269" t="s">
        <v>177</v>
      </c>
      <c r="C269">
        <f xml:space="preserve">  66.15</f>
        <v>66.150000000000006</v>
      </c>
      <c r="D269">
        <v>6</v>
      </c>
      <c r="E269">
        <v>24</v>
      </c>
      <c r="F269">
        <v>76.64</v>
      </c>
      <c r="G269">
        <v>0</v>
      </c>
      <c r="H269">
        <v>4</v>
      </c>
      <c r="I269">
        <v>0</v>
      </c>
      <c r="J269">
        <v>9</v>
      </c>
      <c r="K269">
        <v>66.89</v>
      </c>
      <c r="L269">
        <v>65.84</v>
      </c>
    </row>
    <row r="270" spans="1:12" x14ac:dyDescent="0.2">
      <c r="A270" s="4">
        <v>269</v>
      </c>
      <c r="B270" t="s">
        <v>201</v>
      </c>
      <c r="C270">
        <f xml:space="preserve">  66.08</f>
        <v>66.08</v>
      </c>
      <c r="D270">
        <v>9</v>
      </c>
      <c r="E270">
        <v>19</v>
      </c>
      <c r="F270">
        <v>72.849999999999994</v>
      </c>
      <c r="G270">
        <v>0</v>
      </c>
      <c r="H270">
        <v>2</v>
      </c>
      <c r="I270">
        <v>0</v>
      </c>
      <c r="J270">
        <v>6</v>
      </c>
      <c r="K270">
        <v>67.260000000000005</v>
      </c>
      <c r="L270">
        <v>65.650000000000006</v>
      </c>
    </row>
    <row r="271" spans="1:12" x14ac:dyDescent="0.2">
      <c r="A271" s="4">
        <v>270</v>
      </c>
      <c r="B271" t="s">
        <v>88</v>
      </c>
      <c r="C271">
        <f xml:space="preserve">  66.07</f>
        <v>66.069999999999993</v>
      </c>
      <c r="D271">
        <v>6</v>
      </c>
      <c r="E271">
        <v>22</v>
      </c>
      <c r="F271">
        <v>73.66</v>
      </c>
      <c r="G271">
        <v>1</v>
      </c>
      <c r="H271">
        <v>2</v>
      </c>
      <c r="I271">
        <v>1</v>
      </c>
      <c r="J271">
        <v>6</v>
      </c>
      <c r="K271">
        <v>64.319999999999993</v>
      </c>
      <c r="L271">
        <v>66.36</v>
      </c>
    </row>
    <row r="272" spans="1:12" x14ac:dyDescent="0.2">
      <c r="A272" s="4">
        <v>271</v>
      </c>
      <c r="B272" t="s">
        <v>832</v>
      </c>
      <c r="C272">
        <f xml:space="preserve">  66.07</f>
        <v>66.069999999999993</v>
      </c>
      <c r="D272">
        <v>11</v>
      </c>
      <c r="E272">
        <v>16</v>
      </c>
      <c r="F272">
        <v>68.28</v>
      </c>
      <c r="G272">
        <v>0</v>
      </c>
      <c r="H272">
        <v>1</v>
      </c>
      <c r="I272">
        <v>0</v>
      </c>
      <c r="J272">
        <v>2</v>
      </c>
      <c r="K272">
        <v>65.150000000000006</v>
      </c>
      <c r="L272">
        <v>66.180000000000007</v>
      </c>
    </row>
    <row r="273" spans="1:12" x14ac:dyDescent="0.2">
      <c r="A273" s="4">
        <v>272</v>
      </c>
      <c r="B273" t="s">
        <v>861</v>
      </c>
      <c r="C273">
        <f xml:space="preserve">  65.97</f>
        <v>65.97</v>
      </c>
      <c r="D273">
        <v>9</v>
      </c>
      <c r="E273">
        <v>17</v>
      </c>
      <c r="F273">
        <v>69.319999999999993</v>
      </c>
      <c r="G273">
        <v>0</v>
      </c>
      <c r="H273">
        <v>0</v>
      </c>
      <c r="I273">
        <v>0</v>
      </c>
      <c r="J273">
        <v>1</v>
      </c>
      <c r="K273">
        <v>65.55</v>
      </c>
      <c r="L273">
        <v>65.959999999999994</v>
      </c>
    </row>
    <row r="274" spans="1:12" x14ac:dyDescent="0.2">
      <c r="A274" s="4">
        <v>273</v>
      </c>
      <c r="B274" t="s">
        <v>841</v>
      </c>
      <c r="C274">
        <f xml:space="preserve">  65.92</f>
        <v>65.92</v>
      </c>
      <c r="D274">
        <v>9</v>
      </c>
      <c r="E274">
        <v>20</v>
      </c>
      <c r="F274">
        <v>69.08</v>
      </c>
      <c r="G274">
        <v>0</v>
      </c>
      <c r="H274">
        <v>0</v>
      </c>
      <c r="I274">
        <v>0</v>
      </c>
      <c r="J274">
        <v>3</v>
      </c>
      <c r="K274">
        <v>63.22</v>
      </c>
      <c r="L274">
        <v>66.39</v>
      </c>
    </row>
    <row r="275" spans="1:12" x14ac:dyDescent="0.2">
      <c r="A275" s="4">
        <v>274</v>
      </c>
      <c r="B275" t="s">
        <v>557</v>
      </c>
      <c r="C275">
        <f xml:space="preserve">  65.92</f>
        <v>65.92</v>
      </c>
      <c r="D275">
        <v>10</v>
      </c>
      <c r="E275">
        <v>19</v>
      </c>
      <c r="F275">
        <v>71.319999999999993</v>
      </c>
      <c r="G275">
        <v>0</v>
      </c>
      <c r="H275">
        <v>1</v>
      </c>
      <c r="I275">
        <v>0</v>
      </c>
      <c r="J275">
        <v>2</v>
      </c>
      <c r="K275">
        <v>66.73</v>
      </c>
      <c r="L275">
        <v>65.599999999999994</v>
      </c>
    </row>
    <row r="276" spans="1:12" x14ac:dyDescent="0.2">
      <c r="A276" s="4">
        <v>275</v>
      </c>
      <c r="B276" t="s">
        <v>279</v>
      </c>
      <c r="C276">
        <f xml:space="preserve">  65.92</f>
        <v>65.92</v>
      </c>
      <c r="D276">
        <v>14</v>
      </c>
      <c r="E276">
        <v>16</v>
      </c>
      <c r="F276">
        <v>68.63</v>
      </c>
      <c r="G276">
        <v>0</v>
      </c>
      <c r="H276">
        <v>1</v>
      </c>
      <c r="I276">
        <v>0</v>
      </c>
      <c r="J276">
        <v>1</v>
      </c>
      <c r="K276">
        <v>66.31</v>
      </c>
      <c r="L276">
        <v>65.7</v>
      </c>
    </row>
    <row r="277" spans="1:12" x14ac:dyDescent="0.2">
      <c r="A277" s="4">
        <v>276</v>
      </c>
      <c r="B277" t="s">
        <v>168</v>
      </c>
      <c r="C277">
        <f xml:space="preserve">  65.77</f>
        <v>65.77</v>
      </c>
      <c r="D277">
        <v>12</v>
      </c>
      <c r="E277">
        <v>17</v>
      </c>
      <c r="F277">
        <v>71.239999999999995</v>
      </c>
      <c r="G277">
        <v>0</v>
      </c>
      <c r="H277">
        <v>0</v>
      </c>
      <c r="I277">
        <v>0</v>
      </c>
      <c r="J277">
        <v>2</v>
      </c>
      <c r="K277">
        <v>68.12</v>
      </c>
      <c r="L277">
        <v>64.98</v>
      </c>
    </row>
    <row r="278" spans="1:12" x14ac:dyDescent="0.2">
      <c r="A278" s="4">
        <v>277</v>
      </c>
      <c r="B278" t="s">
        <v>267</v>
      </c>
      <c r="C278">
        <f xml:space="preserve">  65.69</f>
        <v>65.69</v>
      </c>
      <c r="D278">
        <v>11</v>
      </c>
      <c r="E278">
        <v>17</v>
      </c>
      <c r="F278">
        <v>67.97</v>
      </c>
      <c r="G278">
        <v>0</v>
      </c>
      <c r="H278">
        <v>0</v>
      </c>
      <c r="I278">
        <v>0</v>
      </c>
      <c r="J278">
        <v>2</v>
      </c>
      <c r="K278">
        <v>64.47</v>
      </c>
      <c r="L278">
        <v>65.86</v>
      </c>
    </row>
    <row r="279" spans="1:12" x14ac:dyDescent="0.2">
      <c r="A279" s="4">
        <v>278</v>
      </c>
      <c r="B279" t="s">
        <v>50</v>
      </c>
      <c r="C279">
        <f xml:space="preserve">  65.62</f>
        <v>65.62</v>
      </c>
      <c r="D279">
        <v>6</v>
      </c>
      <c r="E279">
        <v>23</v>
      </c>
      <c r="F279">
        <v>72.930000000000007</v>
      </c>
      <c r="G279">
        <v>0</v>
      </c>
      <c r="H279">
        <v>1</v>
      </c>
      <c r="I279">
        <v>0</v>
      </c>
      <c r="J279">
        <v>1</v>
      </c>
      <c r="K279">
        <v>65.349999999999994</v>
      </c>
      <c r="L279">
        <v>65.58</v>
      </c>
    </row>
    <row r="280" spans="1:12" x14ac:dyDescent="0.2">
      <c r="A280" s="4">
        <v>279</v>
      </c>
      <c r="B280" t="s">
        <v>221</v>
      </c>
      <c r="C280">
        <f xml:space="preserve">  65.58</f>
        <v>65.58</v>
      </c>
      <c r="D280">
        <v>7</v>
      </c>
      <c r="E280">
        <v>21</v>
      </c>
      <c r="F280">
        <v>73.27</v>
      </c>
      <c r="G280">
        <v>0</v>
      </c>
      <c r="H280">
        <v>0</v>
      </c>
      <c r="I280">
        <v>0</v>
      </c>
      <c r="J280">
        <v>0</v>
      </c>
      <c r="K280">
        <v>67.349999999999994</v>
      </c>
      <c r="L280">
        <v>64.97</v>
      </c>
    </row>
    <row r="281" spans="1:12" x14ac:dyDescent="0.2">
      <c r="A281" s="4">
        <v>280</v>
      </c>
      <c r="B281" t="s">
        <v>289</v>
      </c>
      <c r="C281">
        <f xml:space="preserve">  65.57</f>
        <v>65.569999999999993</v>
      </c>
      <c r="D281">
        <v>9</v>
      </c>
      <c r="E281">
        <v>19</v>
      </c>
      <c r="F281">
        <v>70.67</v>
      </c>
      <c r="G281">
        <v>0</v>
      </c>
      <c r="H281">
        <v>1</v>
      </c>
      <c r="I281">
        <v>0</v>
      </c>
      <c r="J281">
        <v>1</v>
      </c>
      <c r="K281">
        <v>66.25</v>
      </c>
      <c r="L281">
        <v>65.28</v>
      </c>
    </row>
    <row r="282" spans="1:12" x14ac:dyDescent="0.2">
      <c r="A282" s="4">
        <v>281</v>
      </c>
      <c r="B282" t="s">
        <v>278</v>
      </c>
      <c r="C282">
        <f xml:space="preserve">  65.51</f>
        <v>65.510000000000005</v>
      </c>
      <c r="D282">
        <v>12</v>
      </c>
      <c r="E282">
        <v>19</v>
      </c>
      <c r="F282">
        <v>71.53</v>
      </c>
      <c r="G282">
        <v>0</v>
      </c>
      <c r="H282">
        <v>3</v>
      </c>
      <c r="I282">
        <v>0</v>
      </c>
      <c r="J282">
        <v>4</v>
      </c>
      <c r="K282">
        <v>67.98</v>
      </c>
      <c r="L282">
        <v>64.680000000000007</v>
      </c>
    </row>
    <row r="283" spans="1:12" x14ac:dyDescent="0.2">
      <c r="A283" s="4">
        <v>282</v>
      </c>
      <c r="B283" t="s">
        <v>558</v>
      </c>
      <c r="C283">
        <f xml:space="preserve">  65.5</f>
        <v>65.5</v>
      </c>
      <c r="D283">
        <v>10</v>
      </c>
      <c r="E283">
        <v>20</v>
      </c>
      <c r="F283">
        <v>71.41</v>
      </c>
      <c r="G283">
        <v>0</v>
      </c>
      <c r="H283">
        <v>3</v>
      </c>
      <c r="I283">
        <v>0</v>
      </c>
      <c r="J283">
        <v>3</v>
      </c>
      <c r="K283">
        <v>66.55</v>
      </c>
      <c r="L283">
        <v>65.11</v>
      </c>
    </row>
    <row r="284" spans="1:12" x14ac:dyDescent="0.2">
      <c r="A284" s="4">
        <v>283</v>
      </c>
      <c r="B284" t="s">
        <v>218</v>
      </c>
      <c r="C284">
        <f xml:space="preserve">  65.49</f>
        <v>65.489999999999995</v>
      </c>
      <c r="D284">
        <v>9</v>
      </c>
      <c r="E284">
        <v>19</v>
      </c>
      <c r="F284">
        <v>70.87</v>
      </c>
      <c r="G284">
        <v>0</v>
      </c>
      <c r="H284">
        <v>0</v>
      </c>
      <c r="I284">
        <v>0</v>
      </c>
      <c r="J284">
        <v>3</v>
      </c>
      <c r="K284">
        <v>65.34</v>
      </c>
      <c r="L284">
        <v>65.42</v>
      </c>
    </row>
    <row r="285" spans="1:12" x14ac:dyDescent="0.2">
      <c r="A285" s="4">
        <v>284</v>
      </c>
      <c r="B285" t="s">
        <v>828</v>
      </c>
      <c r="C285">
        <f xml:space="preserve">  65.46</f>
        <v>65.459999999999994</v>
      </c>
      <c r="D285">
        <v>8</v>
      </c>
      <c r="E285">
        <v>22</v>
      </c>
      <c r="F285">
        <v>72.22</v>
      </c>
      <c r="G285">
        <v>0</v>
      </c>
      <c r="H285">
        <v>0</v>
      </c>
      <c r="I285">
        <v>0</v>
      </c>
      <c r="J285">
        <v>1</v>
      </c>
      <c r="K285">
        <v>65.430000000000007</v>
      </c>
      <c r="L285">
        <v>65.349999999999994</v>
      </c>
    </row>
    <row r="286" spans="1:12" x14ac:dyDescent="0.2">
      <c r="A286" s="4">
        <v>285</v>
      </c>
      <c r="B286" t="s">
        <v>137</v>
      </c>
      <c r="C286">
        <f xml:space="preserve">  64.95</f>
        <v>64.95</v>
      </c>
      <c r="D286">
        <v>11</v>
      </c>
      <c r="E286">
        <v>18</v>
      </c>
      <c r="F286">
        <v>69.180000000000007</v>
      </c>
      <c r="G286">
        <v>0</v>
      </c>
      <c r="H286">
        <v>0</v>
      </c>
      <c r="I286">
        <v>0</v>
      </c>
      <c r="J286">
        <v>0</v>
      </c>
      <c r="K286">
        <v>64.86</v>
      </c>
      <c r="L286">
        <v>64.86</v>
      </c>
    </row>
    <row r="287" spans="1:12" x14ac:dyDescent="0.2">
      <c r="A287" s="4">
        <v>286</v>
      </c>
      <c r="B287" t="s">
        <v>303</v>
      </c>
      <c r="C287">
        <f xml:space="preserve">  64.95</f>
        <v>64.95</v>
      </c>
      <c r="D287">
        <v>8</v>
      </c>
      <c r="E287">
        <v>18</v>
      </c>
      <c r="F287">
        <v>71.03</v>
      </c>
      <c r="G287">
        <v>0</v>
      </c>
      <c r="H287">
        <v>0</v>
      </c>
      <c r="I287">
        <v>0</v>
      </c>
      <c r="J287">
        <v>0</v>
      </c>
      <c r="K287">
        <v>65.61</v>
      </c>
      <c r="L287">
        <v>64.66</v>
      </c>
    </row>
    <row r="288" spans="1:12" x14ac:dyDescent="0.2">
      <c r="A288" s="4">
        <v>287</v>
      </c>
      <c r="B288" t="s">
        <v>299</v>
      </c>
      <c r="C288">
        <f xml:space="preserve">  64.9</f>
        <v>64.900000000000006</v>
      </c>
      <c r="D288">
        <v>15</v>
      </c>
      <c r="E288">
        <v>18</v>
      </c>
      <c r="F288">
        <v>65.72</v>
      </c>
      <c r="G288">
        <v>0</v>
      </c>
      <c r="H288">
        <v>3</v>
      </c>
      <c r="I288">
        <v>0</v>
      </c>
      <c r="J288">
        <v>3</v>
      </c>
      <c r="K288">
        <v>64.13</v>
      </c>
      <c r="L288">
        <v>64.97</v>
      </c>
    </row>
    <row r="289" spans="1:12" x14ac:dyDescent="0.2">
      <c r="A289" s="4">
        <v>288</v>
      </c>
      <c r="B289" t="s">
        <v>837</v>
      </c>
      <c r="C289">
        <f xml:space="preserve">  64.85</f>
        <v>64.849999999999994</v>
      </c>
      <c r="D289">
        <v>9</v>
      </c>
      <c r="E289">
        <v>19</v>
      </c>
      <c r="F289">
        <v>71.13</v>
      </c>
      <c r="G289">
        <v>0</v>
      </c>
      <c r="H289">
        <v>0</v>
      </c>
      <c r="I289">
        <v>0</v>
      </c>
      <c r="J289">
        <v>2</v>
      </c>
      <c r="K289">
        <v>65.45</v>
      </c>
      <c r="L289">
        <v>64.58</v>
      </c>
    </row>
    <row r="290" spans="1:12" x14ac:dyDescent="0.2">
      <c r="A290" s="4">
        <v>289</v>
      </c>
      <c r="B290" t="s">
        <v>253</v>
      </c>
      <c r="C290">
        <f xml:space="preserve">  64.75</f>
        <v>64.75</v>
      </c>
      <c r="D290">
        <v>12</v>
      </c>
      <c r="E290">
        <v>21</v>
      </c>
      <c r="F290">
        <v>67.33</v>
      </c>
      <c r="G290">
        <v>0</v>
      </c>
      <c r="H290">
        <v>0</v>
      </c>
      <c r="I290">
        <v>0</v>
      </c>
      <c r="J290">
        <v>0</v>
      </c>
      <c r="K290">
        <v>63.81</v>
      </c>
      <c r="L290">
        <v>64.86</v>
      </c>
    </row>
    <row r="291" spans="1:12" x14ac:dyDescent="0.2">
      <c r="A291" s="4">
        <v>290</v>
      </c>
      <c r="B291" t="s">
        <v>197</v>
      </c>
      <c r="C291">
        <f xml:space="preserve">  64.15</f>
        <v>64.150000000000006</v>
      </c>
      <c r="D291">
        <v>12</v>
      </c>
      <c r="E291">
        <v>16</v>
      </c>
      <c r="F291">
        <v>66.66</v>
      </c>
      <c r="G291">
        <v>0</v>
      </c>
      <c r="H291">
        <v>0</v>
      </c>
      <c r="I291">
        <v>0</v>
      </c>
      <c r="J291">
        <v>0</v>
      </c>
      <c r="K291">
        <v>63.94</v>
      </c>
      <c r="L291">
        <v>64.09</v>
      </c>
    </row>
    <row r="292" spans="1:12" x14ac:dyDescent="0.2">
      <c r="A292" s="4">
        <v>291</v>
      </c>
      <c r="B292" t="s">
        <v>161</v>
      </c>
      <c r="C292">
        <f xml:space="preserve">  64.12</f>
        <v>64.12</v>
      </c>
      <c r="D292">
        <v>12</v>
      </c>
      <c r="E292">
        <v>20</v>
      </c>
      <c r="F292">
        <v>71.34</v>
      </c>
      <c r="G292">
        <v>0</v>
      </c>
      <c r="H292">
        <v>2</v>
      </c>
      <c r="I292">
        <v>0</v>
      </c>
      <c r="J292">
        <v>3</v>
      </c>
      <c r="K292">
        <v>66.73</v>
      </c>
      <c r="L292">
        <v>63.22</v>
      </c>
    </row>
    <row r="293" spans="1:12" x14ac:dyDescent="0.2">
      <c r="A293" s="4">
        <v>292</v>
      </c>
      <c r="B293" t="s">
        <v>823</v>
      </c>
      <c r="C293">
        <f xml:space="preserve">  64.1</f>
        <v>64.099999999999994</v>
      </c>
      <c r="D293">
        <v>10</v>
      </c>
      <c r="E293">
        <v>17</v>
      </c>
      <c r="F293">
        <v>69.33</v>
      </c>
      <c r="G293">
        <v>0</v>
      </c>
      <c r="H293">
        <v>1</v>
      </c>
      <c r="I293">
        <v>0</v>
      </c>
      <c r="J293">
        <v>1</v>
      </c>
      <c r="K293">
        <v>65.760000000000005</v>
      </c>
      <c r="L293">
        <v>63.51</v>
      </c>
    </row>
    <row r="294" spans="1:12" x14ac:dyDescent="0.2">
      <c r="A294" s="4">
        <v>293</v>
      </c>
      <c r="B294" t="s">
        <v>822</v>
      </c>
      <c r="C294">
        <f xml:space="preserve">  64.02</f>
        <v>64.02</v>
      </c>
      <c r="D294">
        <v>8</v>
      </c>
      <c r="E294">
        <v>18</v>
      </c>
      <c r="F294">
        <v>68.069999999999993</v>
      </c>
      <c r="G294">
        <v>0</v>
      </c>
      <c r="H294">
        <v>0</v>
      </c>
      <c r="I294">
        <v>0</v>
      </c>
      <c r="J294">
        <v>0</v>
      </c>
      <c r="K294">
        <v>62.58</v>
      </c>
      <c r="L294">
        <v>64.23</v>
      </c>
    </row>
    <row r="295" spans="1:12" x14ac:dyDescent="0.2">
      <c r="A295" s="4">
        <v>294</v>
      </c>
      <c r="B295" t="s">
        <v>113</v>
      </c>
      <c r="C295">
        <f xml:space="preserve">  63.92</f>
        <v>63.92</v>
      </c>
      <c r="D295">
        <v>5</v>
      </c>
      <c r="E295">
        <v>25</v>
      </c>
      <c r="F295">
        <v>77.739999999999995</v>
      </c>
      <c r="G295">
        <v>0</v>
      </c>
      <c r="H295">
        <v>0</v>
      </c>
      <c r="I295">
        <v>1</v>
      </c>
      <c r="J295">
        <v>6</v>
      </c>
      <c r="K295">
        <v>66.819999999999993</v>
      </c>
      <c r="L295">
        <v>62.91</v>
      </c>
    </row>
    <row r="296" spans="1:12" x14ac:dyDescent="0.2">
      <c r="A296" s="4">
        <v>295</v>
      </c>
      <c r="B296" t="s">
        <v>271</v>
      </c>
      <c r="C296">
        <f xml:space="preserve">  63.54</f>
        <v>63.54</v>
      </c>
      <c r="D296">
        <v>10</v>
      </c>
      <c r="E296">
        <v>17</v>
      </c>
      <c r="F296">
        <v>68.239999999999995</v>
      </c>
      <c r="G296">
        <v>0</v>
      </c>
      <c r="H296">
        <v>0</v>
      </c>
      <c r="I296">
        <v>0</v>
      </c>
      <c r="J296">
        <v>2</v>
      </c>
      <c r="K296">
        <v>65.16</v>
      </c>
      <c r="L296">
        <v>62.96</v>
      </c>
    </row>
    <row r="297" spans="1:12" x14ac:dyDescent="0.2">
      <c r="A297" s="4">
        <v>296</v>
      </c>
      <c r="B297" t="s">
        <v>229</v>
      </c>
      <c r="C297">
        <f xml:space="preserve">  63.39</f>
        <v>63.39</v>
      </c>
      <c r="D297">
        <v>9</v>
      </c>
      <c r="E297">
        <v>20</v>
      </c>
      <c r="F297">
        <v>69.760000000000005</v>
      </c>
      <c r="G297">
        <v>0</v>
      </c>
      <c r="H297">
        <v>0</v>
      </c>
      <c r="I297">
        <v>0</v>
      </c>
      <c r="J297">
        <v>2</v>
      </c>
      <c r="K297">
        <v>63.9</v>
      </c>
      <c r="L297">
        <v>63.15</v>
      </c>
    </row>
    <row r="298" spans="1:12" x14ac:dyDescent="0.2">
      <c r="A298" s="4">
        <v>297</v>
      </c>
      <c r="B298" t="s">
        <v>549</v>
      </c>
      <c r="C298">
        <f xml:space="preserve">  63.31</f>
        <v>63.31</v>
      </c>
      <c r="D298">
        <v>11</v>
      </c>
      <c r="E298">
        <v>18</v>
      </c>
      <c r="F298">
        <v>67.45</v>
      </c>
      <c r="G298">
        <v>0</v>
      </c>
      <c r="H298">
        <v>0</v>
      </c>
      <c r="I298">
        <v>0</v>
      </c>
      <c r="J298">
        <v>0</v>
      </c>
      <c r="K298">
        <v>63.62</v>
      </c>
      <c r="L298">
        <v>63.13</v>
      </c>
    </row>
    <row r="299" spans="1:12" x14ac:dyDescent="0.2">
      <c r="A299" s="4">
        <v>298</v>
      </c>
      <c r="B299" t="s">
        <v>258</v>
      </c>
      <c r="C299">
        <f xml:space="preserve">  63.3</f>
        <v>63.3</v>
      </c>
      <c r="D299">
        <v>5</v>
      </c>
      <c r="E299">
        <v>26</v>
      </c>
      <c r="F299">
        <v>73.34</v>
      </c>
      <c r="G299">
        <v>0</v>
      </c>
      <c r="H299">
        <v>1</v>
      </c>
      <c r="I299">
        <v>0</v>
      </c>
      <c r="J299">
        <v>3</v>
      </c>
      <c r="K299">
        <v>62.34</v>
      </c>
      <c r="L299">
        <v>63.41</v>
      </c>
    </row>
    <row r="300" spans="1:12" x14ac:dyDescent="0.2">
      <c r="A300" s="4">
        <v>299</v>
      </c>
      <c r="B300" t="s">
        <v>173</v>
      </c>
      <c r="C300">
        <f xml:space="preserve">  63.05</f>
        <v>63.05</v>
      </c>
      <c r="D300">
        <v>4</v>
      </c>
      <c r="E300">
        <v>25</v>
      </c>
      <c r="F300">
        <v>70.91</v>
      </c>
      <c r="G300">
        <v>0</v>
      </c>
      <c r="H300">
        <v>0</v>
      </c>
      <c r="I300">
        <v>0</v>
      </c>
      <c r="J300">
        <v>3</v>
      </c>
      <c r="K300">
        <v>58.98</v>
      </c>
      <c r="L300">
        <v>63.67</v>
      </c>
    </row>
    <row r="301" spans="1:12" x14ac:dyDescent="0.2">
      <c r="A301" s="4">
        <v>300</v>
      </c>
      <c r="B301" t="s">
        <v>213</v>
      </c>
      <c r="C301">
        <f xml:space="preserve">  63.02</f>
        <v>63.02</v>
      </c>
      <c r="D301">
        <v>8</v>
      </c>
      <c r="E301">
        <v>21</v>
      </c>
      <c r="F301">
        <v>69.86</v>
      </c>
      <c r="G301">
        <v>0</v>
      </c>
      <c r="H301">
        <v>1</v>
      </c>
      <c r="I301">
        <v>0</v>
      </c>
      <c r="J301">
        <v>2</v>
      </c>
      <c r="K301">
        <v>62.17</v>
      </c>
      <c r="L301">
        <v>63.11</v>
      </c>
    </row>
    <row r="302" spans="1:12" x14ac:dyDescent="0.2">
      <c r="A302" s="4">
        <v>301</v>
      </c>
      <c r="B302" t="s">
        <v>830</v>
      </c>
      <c r="C302">
        <f xml:space="preserve">  63.01</f>
        <v>63.01</v>
      </c>
      <c r="D302">
        <v>8</v>
      </c>
      <c r="E302">
        <v>21</v>
      </c>
      <c r="F302">
        <v>71.03</v>
      </c>
      <c r="G302">
        <v>0</v>
      </c>
      <c r="H302">
        <v>1</v>
      </c>
      <c r="I302">
        <v>0</v>
      </c>
      <c r="J302">
        <v>1</v>
      </c>
      <c r="K302">
        <v>64.36</v>
      </c>
      <c r="L302">
        <v>62.52</v>
      </c>
    </row>
    <row r="303" spans="1:12" x14ac:dyDescent="0.2">
      <c r="A303" s="4">
        <v>302</v>
      </c>
      <c r="B303" t="s">
        <v>882</v>
      </c>
      <c r="C303">
        <v>63.01</v>
      </c>
      <c r="D303">
        <v>11</v>
      </c>
      <c r="E303">
        <v>17</v>
      </c>
      <c r="F303">
        <v>66.209999999999994</v>
      </c>
      <c r="G303">
        <v>0</v>
      </c>
      <c r="H303">
        <v>1</v>
      </c>
      <c r="I303">
        <v>0</v>
      </c>
      <c r="J303">
        <v>1</v>
      </c>
      <c r="K303">
        <v>63.29</v>
      </c>
      <c r="L303">
        <v>62.83</v>
      </c>
    </row>
    <row r="304" spans="1:12" x14ac:dyDescent="0.2">
      <c r="A304" s="4">
        <v>303</v>
      </c>
      <c r="B304" t="s">
        <v>227</v>
      </c>
      <c r="C304">
        <f xml:space="preserve">  62.45</f>
        <v>62.45</v>
      </c>
      <c r="D304">
        <v>9</v>
      </c>
      <c r="E304">
        <v>17</v>
      </c>
      <c r="F304">
        <v>68.150000000000006</v>
      </c>
      <c r="G304">
        <v>0</v>
      </c>
      <c r="H304">
        <v>0</v>
      </c>
      <c r="I304">
        <v>0</v>
      </c>
      <c r="J304">
        <v>0</v>
      </c>
      <c r="K304">
        <v>64.069999999999993</v>
      </c>
      <c r="L304">
        <v>61.87</v>
      </c>
    </row>
    <row r="305" spans="1:12" x14ac:dyDescent="0.2">
      <c r="A305" s="4">
        <v>304</v>
      </c>
      <c r="B305" t="s">
        <v>248</v>
      </c>
      <c r="C305">
        <f xml:space="preserve">  61.98</f>
        <v>61.98</v>
      </c>
      <c r="D305">
        <v>5</v>
      </c>
      <c r="E305">
        <v>21</v>
      </c>
      <c r="F305">
        <v>71.37</v>
      </c>
      <c r="G305">
        <v>0</v>
      </c>
      <c r="H305">
        <v>0</v>
      </c>
      <c r="I305">
        <v>0</v>
      </c>
      <c r="J305">
        <v>3</v>
      </c>
      <c r="K305">
        <v>61.84</v>
      </c>
      <c r="L305">
        <v>61.9</v>
      </c>
    </row>
    <row r="306" spans="1:12" x14ac:dyDescent="0.2">
      <c r="A306" s="4">
        <v>305</v>
      </c>
      <c r="B306" t="s">
        <v>902</v>
      </c>
      <c r="C306">
        <f xml:space="preserve">  61.96</f>
        <v>61.96</v>
      </c>
      <c r="D306">
        <v>8</v>
      </c>
      <c r="E306">
        <v>17</v>
      </c>
      <c r="F306">
        <v>68.900000000000006</v>
      </c>
      <c r="G306">
        <v>0</v>
      </c>
      <c r="H306">
        <v>0</v>
      </c>
      <c r="I306">
        <v>0</v>
      </c>
      <c r="J306">
        <v>1</v>
      </c>
      <c r="K306">
        <v>64.319999999999993</v>
      </c>
      <c r="L306">
        <v>61.12</v>
      </c>
    </row>
    <row r="307" spans="1:12" x14ac:dyDescent="0.2">
      <c r="A307" s="4">
        <v>306</v>
      </c>
      <c r="B307" t="s">
        <v>887</v>
      </c>
      <c r="C307">
        <v>61.95</v>
      </c>
      <c r="D307">
        <v>6</v>
      </c>
      <c r="E307">
        <v>24</v>
      </c>
      <c r="F307">
        <v>71.11</v>
      </c>
      <c r="G307">
        <v>0</v>
      </c>
      <c r="H307">
        <v>0</v>
      </c>
      <c r="I307">
        <v>0</v>
      </c>
      <c r="J307">
        <v>1</v>
      </c>
      <c r="K307">
        <v>62.25</v>
      </c>
      <c r="L307">
        <v>61.76</v>
      </c>
    </row>
    <row r="308" spans="1:12" x14ac:dyDescent="0.2">
      <c r="A308" s="4">
        <v>307</v>
      </c>
      <c r="B308" t="s">
        <v>893</v>
      </c>
      <c r="C308">
        <f xml:space="preserve">  61.65</f>
        <v>61.65</v>
      </c>
      <c r="D308">
        <v>6</v>
      </c>
      <c r="E308">
        <v>23</v>
      </c>
      <c r="F308">
        <v>70.650000000000006</v>
      </c>
      <c r="G308">
        <v>0</v>
      </c>
      <c r="H308">
        <v>0</v>
      </c>
      <c r="I308">
        <v>0</v>
      </c>
      <c r="J308">
        <v>1</v>
      </c>
      <c r="K308">
        <v>60.22</v>
      </c>
      <c r="L308">
        <v>61.85</v>
      </c>
    </row>
    <row r="309" spans="1:12" x14ac:dyDescent="0.2">
      <c r="A309" s="4">
        <v>308</v>
      </c>
      <c r="B309" t="s">
        <v>222</v>
      </c>
      <c r="C309">
        <f xml:space="preserve">  61.49</f>
        <v>61.49</v>
      </c>
      <c r="D309">
        <v>9</v>
      </c>
      <c r="E309">
        <v>22</v>
      </c>
      <c r="F309">
        <v>68.64</v>
      </c>
      <c r="G309">
        <v>0</v>
      </c>
      <c r="H309">
        <v>0</v>
      </c>
      <c r="I309">
        <v>0</v>
      </c>
      <c r="J309">
        <v>0</v>
      </c>
      <c r="K309">
        <v>61.81</v>
      </c>
      <c r="L309">
        <v>61.3</v>
      </c>
    </row>
    <row r="310" spans="1:12" x14ac:dyDescent="0.2">
      <c r="A310" s="4">
        <v>309</v>
      </c>
      <c r="B310" t="s">
        <v>298</v>
      </c>
      <c r="C310">
        <f xml:space="preserve">  61.45</f>
        <v>61.45</v>
      </c>
      <c r="D310">
        <v>7</v>
      </c>
      <c r="E310">
        <v>23</v>
      </c>
      <c r="F310">
        <v>70.59</v>
      </c>
      <c r="G310">
        <v>0</v>
      </c>
      <c r="H310">
        <v>0</v>
      </c>
      <c r="I310">
        <v>0</v>
      </c>
      <c r="J310">
        <v>2</v>
      </c>
      <c r="K310">
        <v>61.6</v>
      </c>
      <c r="L310">
        <v>61.3</v>
      </c>
    </row>
    <row r="311" spans="1:12" x14ac:dyDescent="0.2">
      <c r="A311" s="4">
        <v>310</v>
      </c>
      <c r="B311" t="s">
        <v>224</v>
      </c>
      <c r="C311">
        <f xml:space="preserve">  61.25</f>
        <v>61.25</v>
      </c>
      <c r="D311">
        <v>9</v>
      </c>
      <c r="E311">
        <v>21</v>
      </c>
      <c r="F311">
        <v>70.06</v>
      </c>
      <c r="G311">
        <v>0</v>
      </c>
      <c r="H311">
        <v>4</v>
      </c>
      <c r="I311">
        <v>0</v>
      </c>
      <c r="J311">
        <v>4</v>
      </c>
      <c r="K311">
        <v>63.39</v>
      </c>
      <c r="L311">
        <v>60.48</v>
      </c>
    </row>
    <row r="312" spans="1:12" x14ac:dyDescent="0.2">
      <c r="A312" s="4">
        <v>311</v>
      </c>
      <c r="B312" t="s">
        <v>897</v>
      </c>
      <c r="C312">
        <f xml:space="preserve">  61.21</f>
        <v>61.21</v>
      </c>
      <c r="D312">
        <v>7</v>
      </c>
      <c r="E312">
        <v>21</v>
      </c>
      <c r="F312">
        <v>69.92</v>
      </c>
      <c r="G312">
        <v>0</v>
      </c>
      <c r="H312">
        <v>1</v>
      </c>
      <c r="I312">
        <v>0</v>
      </c>
      <c r="J312">
        <v>1</v>
      </c>
      <c r="K312">
        <v>62.3</v>
      </c>
      <c r="L312">
        <v>60.8</v>
      </c>
    </row>
    <row r="313" spans="1:12" x14ac:dyDescent="0.2">
      <c r="A313" s="4">
        <v>312</v>
      </c>
      <c r="B313" t="s">
        <v>127</v>
      </c>
      <c r="C313">
        <f xml:space="preserve">  61.05</f>
        <v>61.05</v>
      </c>
      <c r="D313">
        <v>5</v>
      </c>
      <c r="E313">
        <v>26</v>
      </c>
      <c r="F313">
        <v>72.42</v>
      </c>
      <c r="G313">
        <v>0</v>
      </c>
      <c r="H313">
        <v>0</v>
      </c>
      <c r="I313">
        <v>0</v>
      </c>
      <c r="J313">
        <v>1</v>
      </c>
      <c r="K313">
        <v>60.54</v>
      </c>
      <c r="L313">
        <v>61.06</v>
      </c>
    </row>
    <row r="314" spans="1:12" x14ac:dyDescent="0.2">
      <c r="A314" s="4">
        <v>313</v>
      </c>
      <c r="B314" t="s">
        <v>890</v>
      </c>
      <c r="C314">
        <f xml:space="preserve">  60.96</f>
        <v>60.96</v>
      </c>
      <c r="D314">
        <v>3</v>
      </c>
      <c r="E314">
        <v>25</v>
      </c>
      <c r="F314">
        <v>72.75</v>
      </c>
      <c r="G314">
        <v>0</v>
      </c>
      <c r="H314">
        <v>0</v>
      </c>
      <c r="I314">
        <v>0</v>
      </c>
      <c r="J314">
        <v>1</v>
      </c>
      <c r="K314">
        <v>60.89</v>
      </c>
      <c r="L314">
        <v>60.86</v>
      </c>
    </row>
    <row r="315" spans="1:12" x14ac:dyDescent="0.2">
      <c r="A315" s="4">
        <v>314</v>
      </c>
      <c r="B315" t="s">
        <v>140</v>
      </c>
      <c r="C315">
        <f xml:space="preserve">  60.72</f>
        <v>60.72</v>
      </c>
      <c r="D315">
        <v>8</v>
      </c>
      <c r="E315">
        <v>22</v>
      </c>
      <c r="F315">
        <v>69.760000000000005</v>
      </c>
      <c r="G315">
        <v>0</v>
      </c>
      <c r="H315">
        <v>2</v>
      </c>
      <c r="I315">
        <v>0</v>
      </c>
      <c r="J315">
        <v>2</v>
      </c>
      <c r="K315">
        <v>62.16</v>
      </c>
      <c r="L315">
        <v>60.19</v>
      </c>
    </row>
    <row r="316" spans="1:12" x14ac:dyDescent="0.2">
      <c r="A316" s="4">
        <v>315</v>
      </c>
      <c r="B316" t="s">
        <v>898</v>
      </c>
      <c r="C316">
        <f xml:space="preserve">  60.61</f>
        <v>60.61</v>
      </c>
      <c r="D316">
        <v>14</v>
      </c>
      <c r="E316">
        <v>14</v>
      </c>
      <c r="F316">
        <v>63.87</v>
      </c>
      <c r="G316">
        <v>0</v>
      </c>
      <c r="H316">
        <v>0</v>
      </c>
      <c r="I316">
        <v>0</v>
      </c>
      <c r="J316">
        <v>0</v>
      </c>
      <c r="K316">
        <v>63.79</v>
      </c>
      <c r="L316">
        <v>59.37</v>
      </c>
    </row>
    <row r="317" spans="1:12" x14ac:dyDescent="0.2">
      <c r="A317" s="4">
        <v>316</v>
      </c>
      <c r="B317" t="s">
        <v>223</v>
      </c>
      <c r="C317">
        <f xml:space="preserve">  60.57</f>
        <v>60.57</v>
      </c>
      <c r="D317">
        <v>4</v>
      </c>
      <c r="E317">
        <v>26</v>
      </c>
      <c r="F317">
        <v>70.150000000000006</v>
      </c>
      <c r="G317">
        <v>0</v>
      </c>
      <c r="H317">
        <v>1</v>
      </c>
      <c r="I317">
        <v>0</v>
      </c>
      <c r="J317">
        <v>2</v>
      </c>
      <c r="K317">
        <v>57.89</v>
      </c>
      <c r="L317">
        <v>60.97</v>
      </c>
    </row>
    <row r="318" spans="1:12" x14ac:dyDescent="0.2">
      <c r="A318" s="4">
        <v>317</v>
      </c>
      <c r="B318" t="s">
        <v>247</v>
      </c>
      <c r="C318">
        <f xml:space="preserve">  60.27</f>
        <v>60.27</v>
      </c>
      <c r="D318">
        <v>8</v>
      </c>
      <c r="E318">
        <v>23</v>
      </c>
      <c r="F318">
        <v>68.81</v>
      </c>
      <c r="G318">
        <v>0</v>
      </c>
      <c r="H318">
        <v>0</v>
      </c>
      <c r="I318">
        <v>0</v>
      </c>
      <c r="J318">
        <v>1</v>
      </c>
      <c r="K318">
        <v>62.13</v>
      </c>
      <c r="L318">
        <v>59.59</v>
      </c>
    </row>
    <row r="319" spans="1:12" x14ac:dyDescent="0.2">
      <c r="A319" s="4">
        <v>318</v>
      </c>
      <c r="B319" t="s">
        <v>212</v>
      </c>
      <c r="C319">
        <f xml:space="preserve">  60.13</f>
        <v>60.13</v>
      </c>
      <c r="D319">
        <v>5</v>
      </c>
      <c r="E319">
        <v>25</v>
      </c>
      <c r="F319">
        <v>70.23</v>
      </c>
      <c r="G319">
        <v>0</v>
      </c>
      <c r="H319">
        <v>0</v>
      </c>
      <c r="I319">
        <v>0</v>
      </c>
      <c r="J319">
        <v>1</v>
      </c>
      <c r="K319">
        <v>58.85</v>
      </c>
      <c r="L319">
        <v>60.3</v>
      </c>
    </row>
    <row r="320" spans="1:12" x14ac:dyDescent="0.2">
      <c r="A320" s="4">
        <v>319</v>
      </c>
      <c r="B320" t="s">
        <v>198</v>
      </c>
      <c r="C320">
        <f xml:space="preserve">  60</f>
        <v>60</v>
      </c>
      <c r="D320">
        <v>4</v>
      </c>
      <c r="E320">
        <v>24</v>
      </c>
      <c r="F320">
        <v>70.290000000000006</v>
      </c>
      <c r="G320">
        <v>0</v>
      </c>
      <c r="H320">
        <v>0</v>
      </c>
      <c r="I320">
        <v>0</v>
      </c>
      <c r="J320">
        <v>0</v>
      </c>
      <c r="K320">
        <v>60.5</v>
      </c>
      <c r="L320">
        <v>59.76</v>
      </c>
    </row>
    <row r="321" spans="1:12" x14ac:dyDescent="0.2">
      <c r="A321" s="4">
        <v>320</v>
      </c>
      <c r="B321" t="s">
        <v>261</v>
      </c>
      <c r="C321">
        <f xml:space="preserve">  59.8</f>
        <v>59.8</v>
      </c>
      <c r="D321">
        <v>7</v>
      </c>
      <c r="E321">
        <v>20</v>
      </c>
      <c r="F321">
        <v>67.930000000000007</v>
      </c>
      <c r="G321">
        <v>0</v>
      </c>
      <c r="H321">
        <v>1</v>
      </c>
      <c r="I321">
        <v>0</v>
      </c>
      <c r="J321">
        <v>3</v>
      </c>
      <c r="K321">
        <v>61.14</v>
      </c>
      <c r="L321">
        <v>59.31</v>
      </c>
    </row>
    <row r="322" spans="1:12" x14ac:dyDescent="0.2">
      <c r="A322" s="4">
        <v>321</v>
      </c>
      <c r="B322" t="s">
        <v>865</v>
      </c>
      <c r="C322">
        <f xml:space="preserve">  59.79</f>
        <v>59.79</v>
      </c>
      <c r="D322">
        <v>2</v>
      </c>
      <c r="E322">
        <v>28</v>
      </c>
      <c r="F322">
        <v>74.22</v>
      </c>
      <c r="G322">
        <v>0</v>
      </c>
      <c r="H322">
        <v>2</v>
      </c>
      <c r="I322">
        <v>0</v>
      </c>
      <c r="J322">
        <v>5</v>
      </c>
      <c r="K322">
        <v>55.22</v>
      </c>
      <c r="L322">
        <v>60.39</v>
      </c>
    </row>
    <row r="323" spans="1:12" x14ac:dyDescent="0.2">
      <c r="A323" s="4">
        <v>322</v>
      </c>
      <c r="B323" t="s">
        <v>834</v>
      </c>
      <c r="C323">
        <f xml:space="preserve">  59.65</f>
        <v>59.65</v>
      </c>
      <c r="D323">
        <v>10</v>
      </c>
      <c r="E323">
        <v>19</v>
      </c>
      <c r="F323">
        <v>65.05</v>
      </c>
      <c r="G323">
        <v>0</v>
      </c>
      <c r="H323">
        <v>1</v>
      </c>
      <c r="I323">
        <v>0</v>
      </c>
      <c r="J323">
        <v>2</v>
      </c>
      <c r="K323">
        <v>59.86</v>
      </c>
      <c r="L323">
        <v>59.49</v>
      </c>
    </row>
    <row r="324" spans="1:12" x14ac:dyDescent="0.2">
      <c r="A324" s="4">
        <v>323</v>
      </c>
      <c r="B324" t="s">
        <v>283</v>
      </c>
      <c r="C324">
        <f xml:space="preserve">  59.56</f>
        <v>59.56</v>
      </c>
      <c r="D324">
        <v>2</v>
      </c>
      <c r="E324">
        <v>26</v>
      </c>
      <c r="F324">
        <v>70.27</v>
      </c>
      <c r="G324">
        <v>0</v>
      </c>
      <c r="H324">
        <v>1</v>
      </c>
      <c r="I324">
        <v>0</v>
      </c>
      <c r="J324">
        <v>1</v>
      </c>
      <c r="K324">
        <v>55.8</v>
      </c>
      <c r="L324">
        <v>60.08</v>
      </c>
    </row>
    <row r="325" spans="1:12" x14ac:dyDescent="0.2">
      <c r="A325" s="4">
        <v>324</v>
      </c>
      <c r="B325" t="s">
        <v>256</v>
      </c>
      <c r="C325">
        <f xml:space="preserve">  59.43</f>
        <v>59.43</v>
      </c>
      <c r="D325">
        <v>6</v>
      </c>
      <c r="E325">
        <v>20</v>
      </c>
      <c r="F325">
        <v>69.680000000000007</v>
      </c>
      <c r="G325">
        <v>0</v>
      </c>
      <c r="H325">
        <v>0</v>
      </c>
      <c r="I325">
        <v>0</v>
      </c>
      <c r="J325">
        <v>2</v>
      </c>
      <c r="K325">
        <v>62.02</v>
      </c>
      <c r="L325">
        <v>58.45</v>
      </c>
    </row>
    <row r="326" spans="1:12" x14ac:dyDescent="0.2">
      <c r="A326" s="4">
        <v>325</v>
      </c>
      <c r="B326" t="s">
        <v>235</v>
      </c>
      <c r="C326">
        <f xml:space="preserve">  59.21</f>
        <v>59.21</v>
      </c>
      <c r="D326">
        <v>11</v>
      </c>
      <c r="E326">
        <v>18</v>
      </c>
      <c r="F326">
        <v>64.3</v>
      </c>
      <c r="G326">
        <v>0</v>
      </c>
      <c r="H326">
        <v>1</v>
      </c>
      <c r="I326">
        <v>0</v>
      </c>
      <c r="J326">
        <v>3</v>
      </c>
      <c r="K326">
        <v>60.21</v>
      </c>
      <c r="L326">
        <v>58.81</v>
      </c>
    </row>
    <row r="327" spans="1:12" x14ac:dyDescent="0.2">
      <c r="A327" s="4">
        <v>326</v>
      </c>
      <c r="B327" t="s">
        <v>270</v>
      </c>
      <c r="C327">
        <f xml:space="preserve">  59.15</f>
        <v>59.15</v>
      </c>
      <c r="D327">
        <v>11</v>
      </c>
      <c r="E327">
        <v>22</v>
      </c>
      <c r="F327">
        <v>66.650000000000006</v>
      </c>
      <c r="G327">
        <v>0</v>
      </c>
      <c r="H327">
        <v>1</v>
      </c>
      <c r="I327">
        <v>0</v>
      </c>
      <c r="J327">
        <v>2</v>
      </c>
      <c r="K327">
        <v>60.76</v>
      </c>
      <c r="L327">
        <v>58.55</v>
      </c>
    </row>
    <row r="328" spans="1:12" x14ac:dyDescent="0.2">
      <c r="A328" s="4">
        <v>327</v>
      </c>
      <c r="B328" t="s">
        <v>886</v>
      </c>
      <c r="C328">
        <v>59.04</v>
      </c>
      <c r="D328">
        <v>6</v>
      </c>
      <c r="E328">
        <v>23</v>
      </c>
      <c r="F328">
        <v>70.13</v>
      </c>
      <c r="G328">
        <v>0</v>
      </c>
      <c r="H328">
        <v>1</v>
      </c>
      <c r="I328">
        <v>0</v>
      </c>
      <c r="J328">
        <v>2</v>
      </c>
      <c r="K328">
        <v>61.07</v>
      </c>
      <c r="L328">
        <v>58.28</v>
      </c>
    </row>
    <row r="329" spans="1:12" x14ac:dyDescent="0.2">
      <c r="A329" s="4">
        <v>328</v>
      </c>
      <c r="B329" t="s">
        <v>845</v>
      </c>
      <c r="C329">
        <f xml:space="preserve">  58.93</f>
        <v>58.93</v>
      </c>
      <c r="D329">
        <v>8</v>
      </c>
      <c r="E329">
        <v>20</v>
      </c>
      <c r="F329">
        <v>70.11</v>
      </c>
      <c r="G329">
        <v>0</v>
      </c>
      <c r="H329">
        <v>1</v>
      </c>
      <c r="I329">
        <v>0</v>
      </c>
      <c r="J329">
        <v>2</v>
      </c>
      <c r="K329">
        <v>63.44</v>
      </c>
      <c r="L329">
        <v>56.79</v>
      </c>
    </row>
    <row r="330" spans="1:12" x14ac:dyDescent="0.2">
      <c r="A330" s="4">
        <v>329</v>
      </c>
      <c r="B330" t="s">
        <v>301</v>
      </c>
      <c r="C330">
        <f xml:space="preserve">  58.81</f>
        <v>58.81</v>
      </c>
      <c r="D330">
        <v>4</v>
      </c>
      <c r="E330">
        <v>26</v>
      </c>
      <c r="F330">
        <v>71.25</v>
      </c>
      <c r="G330">
        <v>0</v>
      </c>
      <c r="H330">
        <v>0</v>
      </c>
      <c r="I330">
        <v>0</v>
      </c>
      <c r="J330">
        <v>4</v>
      </c>
      <c r="K330">
        <v>58.45</v>
      </c>
      <c r="L330">
        <v>58.79</v>
      </c>
    </row>
    <row r="331" spans="1:12" x14ac:dyDescent="0.2">
      <c r="A331" s="4">
        <v>330</v>
      </c>
      <c r="B331" t="s">
        <v>904</v>
      </c>
      <c r="C331">
        <f xml:space="preserve">  58.52</f>
        <v>58.52</v>
      </c>
      <c r="D331">
        <v>1</v>
      </c>
      <c r="E331">
        <v>15</v>
      </c>
      <c r="F331">
        <v>72.14</v>
      </c>
      <c r="G331">
        <v>0</v>
      </c>
      <c r="H331">
        <v>1</v>
      </c>
      <c r="I331">
        <v>0</v>
      </c>
      <c r="J331">
        <v>1</v>
      </c>
      <c r="K331">
        <v>57.62</v>
      </c>
      <c r="L331">
        <v>58.61</v>
      </c>
    </row>
    <row r="332" spans="1:12" x14ac:dyDescent="0.2">
      <c r="A332" s="4">
        <v>331</v>
      </c>
      <c r="B332" t="s">
        <v>236</v>
      </c>
      <c r="C332">
        <f xml:space="preserve">  58.51</f>
        <v>58.51</v>
      </c>
      <c r="D332">
        <v>4</v>
      </c>
      <c r="E332">
        <v>26</v>
      </c>
      <c r="F332">
        <v>71.38</v>
      </c>
      <c r="G332">
        <v>0</v>
      </c>
      <c r="H332">
        <v>1</v>
      </c>
      <c r="I332">
        <v>0</v>
      </c>
      <c r="J332">
        <v>1</v>
      </c>
      <c r="K332">
        <v>60.39</v>
      </c>
      <c r="L332">
        <v>57.8</v>
      </c>
    </row>
    <row r="333" spans="1:12" x14ac:dyDescent="0.2">
      <c r="A333" s="4">
        <v>332</v>
      </c>
      <c r="B333" t="s">
        <v>266</v>
      </c>
      <c r="C333">
        <v>58.06</v>
      </c>
      <c r="D333">
        <v>3</v>
      </c>
      <c r="E333">
        <v>26</v>
      </c>
      <c r="F333">
        <v>70.150000000000006</v>
      </c>
      <c r="G333">
        <v>0</v>
      </c>
      <c r="H333">
        <v>1</v>
      </c>
      <c r="I333">
        <v>0</v>
      </c>
      <c r="J333">
        <v>1</v>
      </c>
      <c r="K333">
        <v>55.46</v>
      </c>
      <c r="L333">
        <v>58.43</v>
      </c>
    </row>
    <row r="334" spans="1:12" x14ac:dyDescent="0.2">
      <c r="A334" s="4">
        <v>333</v>
      </c>
      <c r="B334" t="s">
        <v>891</v>
      </c>
      <c r="C334">
        <f xml:space="preserve">  57.8</f>
        <v>57.8</v>
      </c>
      <c r="D334">
        <v>2</v>
      </c>
      <c r="E334">
        <v>27</v>
      </c>
      <c r="F334">
        <v>71.400000000000006</v>
      </c>
      <c r="G334">
        <v>0</v>
      </c>
      <c r="H334">
        <v>1</v>
      </c>
      <c r="I334">
        <v>0</v>
      </c>
      <c r="J334">
        <v>3</v>
      </c>
      <c r="K334">
        <v>55.82</v>
      </c>
      <c r="L334">
        <v>58.07</v>
      </c>
    </row>
    <row r="335" spans="1:12" x14ac:dyDescent="0.2">
      <c r="A335" s="4">
        <v>334</v>
      </c>
      <c r="B335" t="s">
        <v>838</v>
      </c>
      <c r="C335">
        <f xml:space="preserve">  57.51</f>
        <v>57.51</v>
      </c>
      <c r="D335">
        <v>6</v>
      </c>
      <c r="E335">
        <v>24</v>
      </c>
      <c r="F335">
        <v>67.150000000000006</v>
      </c>
      <c r="G335">
        <v>0</v>
      </c>
      <c r="H335">
        <v>4</v>
      </c>
      <c r="I335">
        <v>0</v>
      </c>
      <c r="J335">
        <v>6</v>
      </c>
      <c r="K335">
        <v>55.94</v>
      </c>
      <c r="L335">
        <v>57.72</v>
      </c>
    </row>
    <row r="336" spans="1:12" x14ac:dyDescent="0.2">
      <c r="A336" s="4">
        <v>335</v>
      </c>
      <c r="B336" t="s">
        <v>254</v>
      </c>
      <c r="C336">
        <f xml:space="preserve">  57.22</f>
        <v>57.22</v>
      </c>
      <c r="D336">
        <v>3</v>
      </c>
      <c r="E336">
        <v>24</v>
      </c>
      <c r="F336">
        <v>70.05</v>
      </c>
      <c r="G336">
        <v>0</v>
      </c>
      <c r="H336">
        <v>0</v>
      </c>
      <c r="I336">
        <v>0</v>
      </c>
      <c r="J336">
        <v>1</v>
      </c>
      <c r="K336">
        <v>57.23</v>
      </c>
      <c r="L336">
        <v>57.11</v>
      </c>
    </row>
    <row r="337" spans="1:12" x14ac:dyDescent="0.2">
      <c r="A337" s="4">
        <v>336</v>
      </c>
      <c r="B337" t="s">
        <v>175</v>
      </c>
      <c r="C337">
        <f xml:space="preserve">  57.16</f>
        <v>57.16</v>
      </c>
      <c r="D337">
        <v>2</v>
      </c>
      <c r="E337">
        <v>28</v>
      </c>
      <c r="F337">
        <v>70.83</v>
      </c>
      <c r="G337">
        <v>0</v>
      </c>
      <c r="H337">
        <v>0</v>
      </c>
      <c r="I337">
        <v>0</v>
      </c>
      <c r="J337">
        <v>1</v>
      </c>
      <c r="K337">
        <v>52.97</v>
      </c>
      <c r="L337">
        <v>57.68</v>
      </c>
    </row>
    <row r="338" spans="1:12" x14ac:dyDescent="0.2">
      <c r="A338" s="4">
        <v>337</v>
      </c>
      <c r="B338" t="s">
        <v>108</v>
      </c>
      <c r="C338">
        <f xml:space="preserve">  56.82</f>
        <v>56.82</v>
      </c>
      <c r="D338">
        <v>1</v>
      </c>
      <c r="E338">
        <v>31</v>
      </c>
      <c r="F338">
        <v>75.22</v>
      </c>
      <c r="G338">
        <v>0</v>
      </c>
      <c r="H338">
        <v>2</v>
      </c>
      <c r="I338">
        <v>0</v>
      </c>
      <c r="J338">
        <v>6</v>
      </c>
      <c r="K338">
        <v>53.9</v>
      </c>
      <c r="L338">
        <v>57.21</v>
      </c>
    </row>
    <row r="339" spans="1:12" x14ac:dyDescent="0.2">
      <c r="A339" s="4">
        <v>338</v>
      </c>
      <c r="B339" t="s">
        <v>824</v>
      </c>
      <c r="C339">
        <f xml:space="preserve">  56.55</f>
        <v>56.55</v>
      </c>
      <c r="D339">
        <v>3</v>
      </c>
      <c r="E339">
        <v>25</v>
      </c>
      <c r="F339">
        <v>71.08</v>
      </c>
      <c r="G339">
        <v>0</v>
      </c>
      <c r="H339">
        <v>1</v>
      </c>
      <c r="I339">
        <v>0</v>
      </c>
      <c r="J339">
        <v>3</v>
      </c>
      <c r="K339">
        <v>57.1</v>
      </c>
      <c r="L339">
        <v>56.29</v>
      </c>
    </row>
    <row r="340" spans="1:12" x14ac:dyDescent="0.2">
      <c r="A340" s="4">
        <v>339</v>
      </c>
      <c r="B340" t="s">
        <v>170</v>
      </c>
      <c r="C340">
        <f xml:space="preserve">  56.37</f>
        <v>56.37</v>
      </c>
      <c r="D340">
        <v>6</v>
      </c>
      <c r="E340">
        <v>21</v>
      </c>
      <c r="F340">
        <v>68.28</v>
      </c>
      <c r="G340">
        <v>0</v>
      </c>
      <c r="H340">
        <v>2</v>
      </c>
      <c r="I340">
        <v>0</v>
      </c>
      <c r="J340">
        <v>4</v>
      </c>
      <c r="K340">
        <v>57.94</v>
      </c>
      <c r="L340">
        <v>55.76</v>
      </c>
    </row>
    <row r="341" spans="1:12" x14ac:dyDescent="0.2">
      <c r="A341" s="4">
        <v>340</v>
      </c>
      <c r="B341" t="s">
        <v>842</v>
      </c>
      <c r="C341">
        <f xml:space="preserve">  56.26</f>
        <v>56.26</v>
      </c>
      <c r="D341">
        <v>7</v>
      </c>
      <c r="E341">
        <v>21</v>
      </c>
      <c r="F341">
        <v>64.56</v>
      </c>
      <c r="G341">
        <v>0</v>
      </c>
      <c r="H341">
        <v>0</v>
      </c>
      <c r="I341">
        <v>0</v>
      </c>
      <c r="J341">
        <v>1</v>
      </c>
      <c r="K341">
        <v>56.57</v>
      </c>
      <c r="L341">
        <v>56.07</v>
      </c>
    </row>
    <row r="342" spans="1:12" x14ac:dyDescent="0.2">
      <c r="A342" s="4">
        <v>341</v>
      </c>
      <c r="B342" t="s">
        <v>260</v>
      </c>
      <c r="C342">
        <f xml:space="preserve">  56.14</f>
        <v>56.14</v>
      </c>
      <c r="D342">
        <v>5</v>
      </c>
      <c r="E342">
        <v>21</v>
      </c>
      <c r="F342">
        <v>64.459999999999994</v>
      </c>
      <c r="G342">
        <v>0</v>
      </c>
      <c r="H342">
        <v>1</v>
      </c>
      <c r="I342">
        <v>0</v>
      </c>
      <c r="J342">
        <v>2</v>
      </c>
      <c r="K342">
        <v>54.49</v>
      </c>
      <c r="L342">
        <v>56.35</v>
      </c>
    </row>
    <row r="343" spans="1:12" x14ac:dyDescent="0.2">
      <c r="A343" s="4">
        <v>342</v>
      </c>
      <c r="B343" t="s">
        <v>193</v>
      </c>
      <c r="C343">
        <f xml:space="preserve">  55.64</f>
        <v>55.64</v>
      </c>
      <c r="D343">
        <v>4</v>
      </c>
      <c r="E343">
        <v>26</v>
      </c>
      <c r="F343">
        <v>68.63</v>
      </c>
      <c r="G343">
        <v>0</v>
      </c>
      <c r="H343">
        <v>1</v>
      </c>
      <c r="I343">
        <v>0</v>
      </c>
      <c r="J343">
        <v>1</v>
      </c>
      <c r="K343">
        <v>54.66</v>
      </c>
      <c r="L343">
        <v>55.74</v>
      </c>
    </row>
    <row r="344" spans="1:12" x14ac:dyDescent="0.2">
      <c r="A344" s="4">
        <v>343</v>
      </c>
      <c r="B344" t="s">
        <v>900</v>
      </c>
      <c r="C344">
        <f xml:space="preserve">  55.1</f>
        <v>55.1</v>
      </c>
      <c r="D344">
        <v>3</v>
      </c>
      <c r="E344">
        <v>26</v>
      </c>
      <c r="F344">
        <v>68.67</v>
      </c>
      <c r="G344">
        <v>0</v>
      </c>
      <c r="H344">
        <v>1</v>
      </c>
      <c r="I344">
        <v>0</v>
      </c>
      <c r="J344">
        <v>2</v>
      </c>
      <c r="K344">
        <v>54.64</v>
      </c>
      <c r="L344">
        <v>55.09</v>
      </c>
    </row>
    <row r="345" spans="1:12" x14ac:dyDescent="0.2">
      <c r="A345" s="4">
        <v>344</v>
      </c>
      <c r="B345" t="s">
        <v>901</v>
      </c>
      <c r="C345">
        <f xml:space="preserve">  54.22</f>
        <v>54.22</v>
      </c>
      <c r="D345">
        <v>2</v>
      </c>
      <c r="E345">
        <v>29</v>
      </c>
      <c r="F345">
        <v>68.08</v>
      </c>
      <c r="G345">
        <v>0</v>
      </c>
      <c r="H345">
        <v>1</v>
      </c>
      <c r="I345">
        <v>0</v>
      </c>
      <c r="J345">
        <v>1</v>
      </c>
      <c r="K345">
        <v>51.34</v>
      </c>
      <c r="L345">
        <v>54.58</v>
      </c>
    </row>
    <row r="346" spans="1:12" x14ac:dyDescent="0.2">
      <c r="A346" s="4">
        <v>345</v>
      </c>
      <c r="B346" t="s">
        <v>867</v>
      </c>
      <c r="C346">
        <f xml:space="preserve">  50.39</f>
        <v>50.39</v>
      </c>
      <c r="D346">
        <v>4</v>
      </c>
      <c r="E346">
        <v>24</v>
      </c>
      <c r="F346">
        <v>65.92</v>
      </c>
      <c r="G346">
        <v>0</v>
      </c>
      <c r="H346">
        <v>0</v>
      </c>
      <c r="I346">
        <v>0</v>
      </c>
      <c r="J346">
        <v>0</v>
      </c>
      <c r="K346">
        <v>53.25</v>
      </c>
      <c r="L346">
        <v>48.94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8634-CDE8-4252-8198-23290D717B2F}">
  <dimension ref="A1:L346"/>
  <sheetViews>
    <sheetView topLeftCell="A268" workbookViewId="0">
      <selection activeCell="M273" sqref="M273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854</v>
      </c>
      <c r="L1" t="s">
        <v>28</v>
      </c>
    </row>
    <row r="2" spans="1:12" x14ac:dyDescent="0.2">
      <c r="A2" s="3">
        <v>1</v>
      </c>
      <c r="B2" t="s">
        <v>809</v>
      </c>
      <c r="C2">
        <v>95.23</v>
      </c>
      <c r="D2">
        <v>34</v>
      </c>
      <c r="E2">
        <v>3</v>
      </c>
      <c r="F2">
        <v>79.37</v>
      </c>
      <c r="G2">
        <v>5</v>
      </c>
      <c r="H2">
        <v>3</v>
      </c>
      <c r="I2">
        <v>16</v>
      </c>
      <c r="J2">
        <v>3</v>
      </c>
      <c r="K2">
        <v>94.29</v>
      </c>
      <c r="L2">
        <v>96.08</v>
      </c>
    </row>
    <row r="3" spans="1:12" x14ac:dyDescent="0.2">
      <c r="A3" s="3">
        <v>2</v>
      </c>
      <c r="B3" t="s">
        <v>2</v>
      </c>
      <c r="C3">
        <v>93.45</v>
      </c>
      <c r="D3">
        <v>35</v>
      </c>
      <c r="E3">
        <v>3</v>
      </c>
      <c r="F3">
        <v>78.94</v>
      </c>
      <c r="G3">
        <v>3</v>
      </c>
      <c r="H3">
        <v>1</v>
      </c>
      <c r="I3">
        <v>10</v>
      </c>
      <c r="J3">
        <v>3</v>
      </c>
      <c r="K3">
        <v>93.19</v>
      </c>
      <c r="L3">
        <v>93.35</v>
      </c>
    </row>
    <row r="4" spans="1:12" x14ac:dyDescent="0.2">
      <c r="A4" s="3">
        <v>3</v>
      </c>
      <c r="B4" t="s">
        <v>9</v>
      </c>
      <c r="C4">
        <v>92.53</v>
      </c>
      <c r="D4">
        <v>32</v>
      </c>
      <c r="E4">
        <v>5</v>
      </c>
      <c r="F4">
        <v>79.349999999999994</v>
      </c>
      <c r="G4">
        <v>4</v>
      </c>
      <c r="H4">
        <v>2</v>
      </c>
      <c r="I4">
        <v>10</v>
      </c>
      <c r="J4">
        <v>5</v>
      </c>
      <c r="K4">
        <v>91.28</v>
      </c>
      <c r="L4">
        <v>93.93</v>
      </c>
    </row>
    <row r="5" spans="1:12" x14ac:dyDescent="0.2">
      <c r="A5" s="3">
        <v>4</v>
      </c>
      <c r="B5" t="s">
        <v>37</v>
      </c>
      <c r="C5">
        <v>91.3</v>
      </c>
      <c r="D5">
        <v>32</v>
      </c>
      <c r="E5">
        <v>9</v>
      </c>
      <c r="F5">
        <v>82.42</v>
      </c>
      <c r="G5">
        <v>15</v>
      </c>
      <c r="H5">
        <v>8</v>
      </c>
      <c r="I5">
        <v>17</v>
      </c>
      <c r="J5">
        <v>9</v>
      </c>
      <c r="K5">
        <v>94</v>
      </c>
      <c r="L5">
        <v>89.4</v>
      </c>
    </row>
    <row r="6" spans="1:12" x14ac:dyDescent="0.2">
      <c r="A6" s="3">
        <v>5</v>
      </c>
      <c r="B6" t="s">
        <v>15</v>
      </c>
      <c r="C6">
        <v>91.2</v>
      </c>
      <c r="D6">
        <v>29</v>
      </c>
      <c r="E6">
        <v>9</v>
      </c>
      <c r="F6">
        <v>80.5</v>
      </c>
      <c r="G6">
        <v>8</v>
      </c>
      <c r="H6">
        <v>4</v>
      </c>
      <c r="I6">
        <v>10</v>
      </c>
      <c r="J6">
        <v>6</v>
      </c>
      <c r="K6">
        <v>91.08</v>
      </c>
      <c r="L6">
        <v>90.96</v>
      </c>
    </row>
    <row r="7" spans="1:12" x14ac:dyDescent="0.2">
      <c r="A7" s="3">
        <v>6</v>
      </c>
      <c r="B7" t="s">
        <v>805</v>
      </c>
      <c r="C7">
        <v>91.14</v>
      </c>
      <c r="D7">
        <v>32</v>
      </c>
      <c r="E7">
        <v>3</v>
      </c>
      <c r="F7">
        <v>78.02</v>
      </c>
      <c r="G7">
        <v>2</v>
      </c>
      <c r="H7">
        <v>3</v>
      </c>
      <c r="I7">
        <v>7</v>
      </c>
      <c r="J7">
        <v>3</v>
      </c>
      <c r="K7">
        <v>93.22</v>
      </c>
      <c r="L7">
        <v>89.47</v>
      </c>
    </row>
    <row r="8" spans="1:12" x14ac:dyDescent="0.2">
      <c r="A8" s="3">
        <v>7</v>
      </c>
      <c r="B8" t="s">
        <v>153</v>
      </c>
      <c r="C8">
        <v>90.64</v>
      </c>
      <c r="D8">
        <v>28</v>
      </c>
      <c r="E8">
        <v>6</v>
      </c>
      <c r="F8">
        <v>79.11</v>
      </c>
      <c r="G8">
        <v>8</v>
      </c>
      <c r="H8">
        <v>4</v>
      </c>
      <c r="I8">
        <v>10</v>
      </c>
      <c r="J8">
        <v>5</v>
      </c>
      <c r="K8">
        <v>90.1</v>
      </c>
      <c r="L8">
        <v>90.86</v>
      </c>
    </row>
    <row r="9" spans="1:12" x14ac:dyDescent="0.2">
      <c r="A9" s="3">
        <v>8</v>
      </c>
      <c r="B9" t="s">
        <v>58</v>
      </c>
      <c r="C9">
        <v>90.05</v>
      </c>
      <c r="D9">
        <v>31</v>
      </c>
      <c r="E9">
        <v>5</v>
      </c>
      <c r="F9">
        <v>77.86</v>
      </c>
      <c r="G9">
        <v>3</v>
      </c>
      <c r="H9">
        <v>2</v>
      </c>
      <c r="I9">
        <v>7</v>
      </c>
      <c r="J9">
        <v>3</v>
      </c>
      <c r="K9">
        <v>90.35</v>
      </c>
      <c r="L9">
        <v>89.42</v>
      </c>
    </row>
    <row r="10" spans="1:12" x14ac:dyDescent="0.2">
      <c r="A10" s="3">
        <v>9</v>
      </c>
      <c r="B10" t="s">
        <v>36</v>
      </c>
      <c r="C10">
        <v>89.63</v>
      </c>
      <c r="D10">
        <v>29</v>
      </c>
      <c r="E10">
        <v>8</v>
      </c>
      <c r="F10">
        <v>80.91</v>
      </c>
      <c r="G10">
        <v>4</v>
      </c>
      <c r="H10">
        <v>5</v>
      </c>
      <c r="I10">
        <v>10</v>
      </c>
      <c r="J10">
        <v>6</v>
      </c>
      <c r="K10">
        <v>89.61</v>
      </c>
      <c r="L10">
        <v>89.29</v>
      </c>
    </row>
    <row r="11" spans="1:12" x14ac:dyDescent="0.2">
      <c r="A11" s="3">
        <v>10</v>
      </c>
      <c r="B11" t="s">
        <v>38</v>
      </c>
      <c r="C11">
        <v>89.6</v>
      </c>
      <c r="D11">
        <v>28</v>
      </c>
      <c r="E11">
        <v>8</v>
      </c>
      <c r="F11">
        <v>78.709999999999994</v>
      </c>
      <c r="G11">
        <v>3</v>
      </c>
      <c r="H11">
        <v>4</v>
      </c>
      <c r="I11">
        <v>8</v>
      </c>
      <c r="J11">
        <v>5</v>
      </c>
      <c r="K11">
        <v>88.39</v>
      </c>
      <c r="L11">
        <v>90.8</v>
      </c>
    </row>
    <row r="12" spans="1:12" x14ac:dyDescent="0.2">
      <c r="A12" s="4">
        <v>11</v>
      </c>
      <c r="B12" t="s">
        <v>54</v>
      </c>
      <c r="C12">
        <v>89.16</v>
      </c>
      <c r="D12">
        <v>27</v>
      </c>
      <c r="E12">
        <v>7</v>
      </c>
      <c r="F12">
        <v>80.67</v>
      </c>
      <c r="G12">
        <v>9</v>
      </c>
      <c r="H12">
        <v>5</v>
      </c>
      <c r="I12">
        <v>12</v>
      </c>
      <c r="J12">
        <v>7</v>
      </c>
      <c r="K12">
        <v>90.48</v>
      </c>
      <c r="L12">
        <v>87.82</v>
      </c>
    </row>
    <row r="13" spans="1:12" x14ac:dyDescent="0.2">
      <c r="A13" s="4">
        <v>12</v>
      </c>
      <c r="B13" t="s">
        <v>43</v>
      </c>
      <c r="C13">
        <v>89.13</v>
      </c>
      <c r="D13">
        <v>25</v>
      </c>
      <c r="E13">
        <v>9</v>
      </c>
      <c r="F13">
        <v>80.84</v>
      </c>
      <c r="G13">
        <v>4</v>
      </c>
      <c r="H13">
        <v>5</v>
      </c>
      <c r="I13">
        <v>12</v>
      </c>
      <c r="J13">
        <v>9</v>
      </c>
      <c r="K13">
        <v>88.36</v>
      </c>
      <c r="L13">
        <v>89.64</v>
      </c>
    </row>
    <row r="14" spans="1:12" x14ac:dyDescent="0.2">
      <c r="A14" s="4">
        <v>13</v>
      </c>
      <c r="B14" t="s">
        <v>16</v>
      </c>
      <c r="C14">
        <v>89.09</v>
      </c>
      <c r="D14">
        <v>26</v>
      </c>
      <c r="E14">
        <v>8</v>
      </c>
      <c r="F14">
        <v>80.3</v>
      </c>
      <c r="G14">
        <v>4</v>
      </c>
      <c r="H14">
        <v>3</v>
      </c>
      <c r="I14">
        <v>12</v>
      </c>
      <c r="J14">
        <v>6</v>
      </c>
      <c r="K14">
        <v>87.98</v>
      </c>
      <c r="L14">
        <v>90.13</v>
      </c>
    </row>
    <row r="15" spans="1:12" x14ac:dyDescent="0.2">
      <c r="A15" s="4">
        <v>14</v>
      </c>
      <c r="B15" t="s">
        <v>73</v>
      </c>
      <c r="C15">
        <v>88.93</v>
      </c>
      <c r="D15">
        <v>27</v>
      </c>
      <c r="E15">
        <v>8</v>
      </c>
      <c r="F15">
        <v>79.58</v>
      </c>
      <c r="G15">
        <v>5</v>
      </c>
      <c r="H15">
        <v>6</v>
      </c>
      <c r="I15">
        <v>10</v>
      </c>
      <c r="J15">
        <v>7</v>
      </c>
      <c r="K15">
        <v>88.66</v>
      </c>
      <c r="L15">
        <v>88.85</v>
      </c>
    </row>
    <row r="16" spans="1:12" x14ac:dyDescent="0.2">
      <c r="A16" s="4">
        <v>15</v>
      </c>
      <c r="B16" t="s">
        <v>60</v>
      </c>
      <c r="C16">
        <v>88.58</v>
      </c>
      <c r="D16">
        <v>29</v>
      </c>
      <c r="E16">
        <v>8</v>
      </c>
      <c r="F16">
        <v>79.239999999999995</v>
      </c>
      <c r="G16">
        <v>2</v>
      </c>
      <c r="H16">
        <v>4</v>
      </c>
      <c r="I16">
        <v>10</v>
      </c>
      <c r="J16">
        <v>4</v>
      </c>
      <c r="K16">
        <v>89.18</v>
      </c>
      <c r="L16">
        <v>87.72</v>
      </c>
    </row>
    <row r="17" spans="1:12" x14ac:dyDescent="0.2">
      <c r="A17" s="4">
        <v>16</v>
      </c>
      <c r="B17" t="s">
        <v>6</v>
      </c>
      <c r="C17">
        <v>88.35</v>
      </c>
      <c r="D17">
        <v>30</v>
      </c>
      <c r="E17">
        <v>8</v>
      </c>
      <c r="F17">
        <v>78.44</v>
      </c>
      <c r="G17">
        <v>3</v>
      </c>
      <c r="H17">
        <v>5</v>
      </c>
      <c r="I17">
        <v>4</v>
      </c>
      <c r="J17">
        <v>6</v>
      </c>
      <c r="K17">
        <v>89.29</v>
      </c>
      <c r="L17">
        <v>87.23</v>
      </c>
    </row>
    <row r="18" spans="1:12" x14ac:dyDescent="0.2">
      <c r="A18" s="4">
        <v>17</v>
      </c>
      <c r="B18" t="s">
        <v>104</v>
      </c>
      <c r="C18">
        <v>87.74</v>
      </c>
      <c r="D18">
        <v>25</v>
      </c>
      <c r="E18">
        <v>10</v>
      </c>
      <c r="F18">
        <v>79.75</v>
      </c>
      <c r="G18">
        <v>9</v>
      </c>
      <c r="H18">
        <v>6</v>
      </c>
      <c r="I18">
        <v>11</v>
      </c>
      <c r="J18">
        <v>7</v>
      </c>
      <c r="K18">
        <v>87.01</v>
      </c>
      <c r="L18">
        <v>88.21</v>
      </c>
    </row>
    <row r="19" spans="1:12" x14ac:dyDescent="0.2">
      <c r="A19" s="4">
        <v>18</v>
      </c>
      <c r="B19" t="s">
        <v>99</v>
      </c>
      <c r="C19">
        <v>87.32</v>
      </c>
      <c r="D19">
        <v>26</v>
      </c>
      <c r="E19">
        <v>9</v>
      </c>
      <c r="F19">
        <v>77.91</v>
      </c>
      <c r="G19">
        <v>4</v>
      </c>
      <c r="H19">
        <v>7</v>
      </c>
      <c r="I19">
        <v>7</v>
      </c>
      <c r="J19">
        <v>9</v>
      </c>
      <c r="K19">
        <v>87.95</v>
      </c>
      <c r="L19">
        <v>86.41</v>
      </c>
    </row>
    <row r="20" spans="1:12" x14ac:dyDescent="0.2">
      <c r="A20" s="4">
        <v>19</v>
      </c>
      <c r="B20" t="s">
        <v>72</v>
      </c>
      <c r="C20">
        <v>86.63</v>
      </c>
      <c r="D20">
        <v>21</v>
      </c>
      <c r="E20">
        <v>12</v>
      </c>
      <c r="F20">
        <v>81.98</v>
      </c>
      <c r="G20">
        <v>6</v>
      </c>
      <c r="H20">
        <v>7</v>
      </c>
      <c r="I20">
        <v>8</v>
      </c>
      <c r="J20">
        <v>9</v>
      </c>
      <c r="K20">
        <v>86.07</v>
      </c>
      <c r="L20">
        <v>86.88</v>
      </c>
    </row>
    <row r="21" spans="1:12" x14ac:dyDescent="0.2">
      <c r="A21" s="4">
        <v>20</v>
      </c>
      <c r="B21" t="s">
        <v>111</v>
      </c>
      <c r="C21">
        <v>86.23</v>
      </c>
      <c r="D21">
        <v>24</v>
      </c>
      <c r="E21">
        <v>11</v>
      </c>
      <c r="F21">
        <v>78.28</v>
      </c>
      <c r="G21">
        <v>2</v>
      </c>
      <c r="H21">
        <v>3</v>
      </c>
      <c r="I21">
        <v>4</v>
      </c>
      <c r="J21">
        <v>5</v>
      </c>
      <c r="K21">
        <v>84.28</v>
      </c>
      <c r="L21">
        <v>88.77</v>
      </c>
    </row>
    <row r="22" spans="1:12" x14ac:dyDescent="0.2">
      <c r="A22" s="4">
        <v>21</v>
      </c>
      <c r="B22" t="s">
        <v>147</v>
      </c>
      <c r="C22">
        <v>86.03</v>
      </c>
      <c r="D22">
        <v>21</v>
      </c>
      <c r="E22">
        <v>11</v>
      </c>
      <c r="F22">
        <v>82.43</v>
      </c>
      <c r="G22">
        <v>3</v>
      </c>
      <c r="H22">
        <v>8</v>
      </c>
      <c r="I22">
        <v>8</v>
      </c>
      <c r="J22">
        <v>11</v>
      </c>
      <c r="K22">
        <v>87.15</v>
      </c>
      <c r="L22">
        <v>84.77</v>
      </c>
    </row>
    <row r="23" spans="1:12" x14ac:dyDescent="0.2">
      <c r="A23" s="4">
        <v>22</v>
      </c>
      <c r="B23" t="s">
        <v>106</v>
      </c>
      <c r="C23">
        <v>86.01</v>
      </c>
      <c r="D23">
        <v>27</v>
      </c>
      <c r="E23">
        <v>10</v>
      </c>
      <c r="F23">
        <v>77.61</v>
      </c>
      <c r="G23">
        <v>3</v>
      </c>
      <c r="H23">
        <v>3</v>
      </c>
      <c r="I23">
        <v>6</v>
      </c>
      <c r="J23">
        <v>4</v>
      </c>
      <c r="K23">
        <v>88.24</v>
      </c>
      <c r="L23">
        <v>84.11</v>
      </c>
    </row>
    <row r="24" spans="1:12" x14ac:dyDescent="0.2">
      <c r="A24" s="4">
        <v>23</v>
      </c>
      <c r="B24" t="s">
        <v>801</v>
      </c>
      <c r="C24">
        <v>85.77</v>
      </c>
      <c r="D24">
        <v>28</v>
      </c>
      <c r="E24">
        <v>8</v>
      </c>
      <c r="F24">
        <v>73.98</v>
      </c>
      <c r="G24">
        <v>0</v>
      </c>
      <c r="H24">
        <v>2</v>
      </c>
      <c r="I24">
        <v>2</v>
      </c>
      <c r="J24">
        <v>3</v>
      </c>
      <c r="K24">
        <v>85.43</v>
      </c>
      <c r="L24">
        <v>85.76</v>
      </c>
    </row>
    <row r="25" spans="1:12" x14ac:dyDescent="0.2">
      <c r="A25" s="4">
        <v>24</v>
      </c>
      <c r="B25" t="s">
        <v>65</v>
      </c>
      <c r="C25">
        <v>85.55</v>
      </c>
      <c r="D25">
        <v>22</v>
      </c>
      <c r="E25">
        <v>15</v>
      </c>
      <c r="F25">
        <v>81.14</v>
      </c>
      <c r="G25">
        <v>6</v>
      </c>
      <c r="H25">
        <v>0</v>
      </c>
      <c r="I25">
        <v>7</v>
      </c>
      <c r="J25">
        <v>14</v>
      </c>
      <c r="K25">
        <v>85.45</v>
      </c>
      <c r="L25">
        <v>85.3</v>
      </c>
    </row>
    <row r="26" spans="1:12" x14ac:dyDescent="0.2">
      <c r="A26" s="4">
        <v>25</v>
      </c>
      <c r="B26" t="s">
        <v>34</v>
      </c>
      <c r="C26">
        <v>85.54</v>
      </c>
      <c r="D26">
        <v>20</v>
      </c>
      <c r="E26">
        <v>14</v>
      </c>
      <c r="F26">
        <v>81.53</v>
      </c>
      <c r="G26">
        <v>2</v>
      </c>
      <c r="H26">
        <v>7</v>
      </c>
      <c r="I26">
        <v>8</v>
      </c>
      <c r="J26">
        <v>12</v>
      </c>
      <c r="K26">
        <v>83.86</v>
      </c>
      <c r="L26">
        <v>87.46</v>
      </c>
    </row>
    <row r="27" spans="1:12" x14ac:dyDescent="0.2">
      <c r="A27" s="4">
        <v>26</v>
      </c>
      <c r="B27" t="s">
        <v>118</v>
      </c>
      <c r="C27">
        <v>85.3</v>
      </c>
      <c r="D27">
        <v>27</v>
      </c>
      <c r="E27">
        <v>7</v>
      </c>
      <c r="F27">
        <v>75.03</v>
      </c>
      <c r="G27">
        <v>0</v>
      </c>
      <c r="H27">
        <v>1</v>
      </c>
      <c r="I27">
        <v>3</v>
      </c>
      <c r="J27">
        <v>3</v>
      </c>
      <c r="K27">
        <v>86.07</v>
      </c>
      <c r="L27">
        <v>84.28</v>
      </c>
    </row>
    <row r="28" spans="1:12" x14ac:dyDescent="0.2">
      <c r="A28" s="4">
        <v>27</v>
      </c>
      <c r="B28" t="s">
        <v>802</v>
      </c>
      <c r="C28">
        <v>85.22</v>
      </c>
      <c r="D28">
        <v>22</v>
      </c>
      <c r="E28">
        <v>11</v>
      </c>
      <c r="F28">
        <v>79.64</v>
      </c>
      <c r="G28">
        <v>2</v>
      </c>
      <c r="H28">
        <v>4</v>
      </c>
      <c r="I28">
        <v>6</v>
      </c>
      <c r="J28">
        <v>7</v>
      </c>
      <c r="K28">
        <v>85.13</v>
      </c>
      <c r="L28">
        <v>84.95</v>
      </c>
    </row>
    <row r="29" spans="1:12" x14ac:dyDescent="0.2">
      <c r="A29" s="4">
        <v>28</v>
      </c>
      <c r="B29" t="s">
        <v>115</v>
      </c>
      <c r="C29">
        <v>85.09</v>
      </c>
      <c r="D29">
        <v>24</v>
      </c>
      <c r="E29">
        <v>9</v>
      </c>
      <c r="F29">
        <v>76.98</v>
      </c>
      <c r="G29">
        <v>1</v>
      </c>
      <c r="H29">
        <v>7</v>
      </c>
      <c r="I29">
        <v>3</v>
      </c>
      <c r="J29">
        <v>7</v>
      </c>
      <c r="K29">
        <v>84.31</v>
      </c>
      <c r="L29">
        <v>85.6</v>
      </c>
    </row>
    <row r="30" spans="1:12" x14ac:dyDescent="0.2">
      <c r="A30" s="4">
        <v>29</v>
      </c>
      <c r="B30" t="s">
        <v>793</v>
      </c>
      <c r="C30">
        <v>85.09</v>
      </c>
      <c r="D30">
        <v>23</v>
      </c>
      <c r="E30">
        <v>11</v>
      </c>
      <c r="F30">
        <v>78.069999999999993</v>
      </c>
      <c r="G30">
        <v>2</v>
      </c>
      <c r="H30">
        <v>5</v>
      </c>
      <c r="I30">
        <v>4</v>
      </c>
      <c r="J30">
        <v>9</v>
      </c>
      <c r="K30">
        <v>84.64</v>
      </c>
      <c r="L30">
        <v>85.19</v>
      </c>
    </row>
    <row r="31" spans="1:12" x14ac:dyDescent="0.2">
      <c r="A31" s="4">
        <v>30</v>
      </c>
      <c r="B31" t="s">
        <v>796</v>
      </c>
      <c r="C31">
        <v>85.01</v>
      </c>
      <c r="D31">
        <v>29</v>
      </c>
      <c r="E31">
        <v>4</v>
      </c>
      <c r="F31">
        <v>72.02</v>
      </c>
      <c r="G31">
        <v>0</v>
      </c>
      <c r="H31">
        <v>2</v>
      </c>
      <c r="I31">
        <v>0</v>
      </c>
      <c r="J31">
        <v>3</v>
      </c>
      <c r="K31">
        <v>84.52</v>
      </c>
      <c r="L31">
        <v>85.17</v>
      </c>
    </row>
    <row r="32" spans="1:12" x14ac:dyDescent="0.2">
      <c r="A32" s="4">
        <v>31</v>
      </c>
      <c r="B32" t="s">
        <v>80</v>
      </c>
      <c r="C32">
        <v>84.88</v>
      </c>
      <c r="D32">
        <v>29</v>
      </c>
      <c r="E32">
        <v>8</v>
      </c>
      <c r="F32">
        <v>75.55</v>
      </c>
      <c r="G32">
        <v>1</v>
      </c>
      <c r="H32">
        <v>1</v>
      </c>
      <c r="I32">
        <v>4</v>
      </c>
      <c r="J32">
        <v>4</v>
      </c>
      <c r="K32">
        <v>85.99</v>
      </c>
      <c r="L32">
        <v>83.6</v>
      </c>
    </row>
    <row r="33" spans="1:12" x14ac:dyDescent="0.2">
      <c r="A33" s="4">
        <v>32</v>
      </c>
      <c r="B33" t="s">
        <v>39</v>
      </c>
      <c r="C33">
        <v>84.86</v>
      </c>
      <c r="D33">
        <v>20</v>
      </c>
      <c r="E33">
        <v>14</v>
      </c>
      <c r="F33">
        <v>81.290000000000006</v>
      </c>
      <c r="G33">
        <v>1</v>
      </c>
      <c r="H33">
        <v>0</v>
      </c>
      <c r="I33">
        <v>7</v>
      </c>
      <c r="J33">
        <v>11</v>
      </c>
      <c r="K33">
        <v>83.78</v>
      </c>
      <c r="L33">
        <v>85.76</v>
      </c>
    </row>
    <row r="34" spans="1:12" x14ac:dyDescent="0.2">
      <c r="A34" s="4">
        <v>33</v>
      </c>
      <c r="B34" t="s">
        <v>112</v>
      </c>
      <c r="C34">
        <v>84.83</v>
      </c>
      <c r="D34">
        <v>26</v>
      </c>
      <c r="E34">
        <v>8</v>
      </c>
      <c r="F34">
        <v>76.069999999999993</v>
      </c>
      <c r="G34">
        <v>1</v>
      </c>
      <c r="H34">
        <v>2</v>
      </c>
      <c r="I34">
        <v>3</v>
      </c>
      <c r="J34">
        <v>6</v>
      </c>
      <c r="K34">
        <v>85.68</v>
      </c>
      <c r="L34">
        <v>83.74</v>
      </c>
    </row>
    <row r="35" spans="1:12" x14ac:dyDescent="0.2">
      <c r="A35" s="4">
        <v>34</v>
      </c>
      <c r="B35" t="s">
        <v>11</v>
      </c>
      <c r="C35">
        <v>84.72</v>
      </c>
      <c r="D35">
        <v>21</v>
      </c>
      <c r="E35">
        <v>12</v>
      </c>
      <c r="F35">
        <v>79.55</v>
      </c>
      <c r="G35">
        <v>5</v>
      </c>
      <c r="H35">
        <v>6</v>
      </c>
      <c r="I35">
        <v>7</v>
      </c>
      <c r="J35">
        <v>8</v>
      </c>
      <c r="K35">
        <v>83.57</v>
      </c>
      <c r="L35">
        <v>85.72</v>
      </c>
    </row>
    <row r="36" spans="1:12" x14ac:dyDescent="0.2">
      <c r="A36" s="4">
        <v>35</v>
      </c>
      <c r="B36" t="s">
        <v>55</v>
      </c>
      <c r="C36">
        <v>84.59</v>
      </c>
      <c r="D36">
        <v>21</v>
      </c>
      <c r="E36">
        <v>12</v>
      </c>
      <c r="F36">
        <v>81.45</v>
      </c>
      <c r="G36">
        <v>8</v>
      </c>
      <c r="H36">
        <v>6</v>
      </c>
      <c r="I36">
        <v>10</v>
      </c>
      <c r="J36">
        <v>8</v>
      </c>
      <c r="K36">
        <v>85.39</v>
      </c>
      <c r="L36">
        <v>83.54</v>
      </c>
    </row>
    <row r="37" spans="1:12" x14ac:dyDescent="0.2">
      <c r="A37" s="4">
        <v>36</v>
      </c>
      <c r="B37" t="s">
        <v>76</v>
      </c>
      <c r="C37">
        <v>84.59</v>
      </c>
      <c r="D37">
        <v>23</v>
      </c>
      <c r="E37">
        <v>11</v>
      </c>
      <c r="F37">
        <v>78.11</v>
      </c>
      <c r="G37">
        <v>3</v>
      </c>
      <c r="H37">
        <v>5</v>
      </c>
      <c r="I37">
        <v>5</v>
      </c>
      <c r="J37">
        <v>7</v>
      </c>
      <c r="K37">
        <v>83.46</v>
      </c>
      <c r="L37">
        <v>85.54</v>
      </c>
    </row>
    <row r="38" spans="1:12" x14ac:dyDescent="0.2">
      <c r="A38" s="4">
        <v>37</v>
      </c>
      <c r="B38" t="s">
        <v>876</v>
      </c>
      <c r="C38">
        <v>84.33</v>
      </c>
      <c r="D38">
        <v>28</v>
      </c>
      <c r="E38">
        <v>12</v>
      </c>
      <c r="F38">
        <v>76.84</v>
      </c>
      <c r="G38">
        <v>4</v>
      </c>
      <c r="H38">
        <v>1</v>
      </c>
      <c r="I38">
        <v>8</v>
      </c>
      <c r="J38">
        <v>5</v>
      </c>
      <c r="K38">
        <v>86.21</v>
      </c>
      <c r="L38">
        <v>82.55</v>
      </c>
    </row>
    <row r="39" spans="1:12" x14ac:dyDescent="0.2">
      <c r="A39" s="4">
        <v>38</v>
      </c>
      <c r="B39" t="s">
        <v>0</v>
      </c>
      <c r="C39">
        <v>84.22</v>
      </c>
      <c r="D39">
        <v>24</v>
      </c>
      <c r="E39">
        <v>10</v>
      </c>
      <c r="F39">
        <v>75.739999999999995</v>
      </c>
      <c r="G39">
        <v>1</v>
      </c>
      <c r="H39">
        <v>4</v>
      </c>
      <c r="I39">
        <v>3</v>
      </c>
      <c r="J39">
        <v>5</v>
      </c>
      <c r="K39">
        <v>83.46</v>
      </c>
      <c r="L39">
        <v>84.71</v>
      </c>
    </row>
    <row r="40" spans="1:12" x14ac:dyDescent="0.2">
      <c r="A40" s="4">
        <v>39</v>
      </c>
      <c r="B40" t="s">
        <v>78</v>
      </c>
      <c r="C40">
        <v>84.09</v>
      </c>
      <c r="D40">
        <v>22</v>
      </c>
      <c r="E40">
        <v>12</v>
      </c>
      <c r="F40">
        <v>78.040000000000006</v>
      </c>
      <c r="G40">
        <v>0</v>
      </c>
      <c r="H40">
        <v>5</v>
      </c>
      <c r="I40">
        <v>2</v>
      </c>
      <c r="J40">
        <v>8</v>
      </c>
      <c r="K40">
        <v>82.75</v>
      </c>
      <c r="L40">
        <v>85.35</v>
      </c>
    </row>
    <row r="41" spans="1:12" x14ac:dyDescent="0.2">
      <c r="A41" s="4">
        <v>40</v>
      </c>
      <c r="B41" t="s">
        <v>117</v>
      </c>
      <c r="C41">
        <v>83.94</v>
      </c>
      <c r="D41">
        <v>22</v>
      </c>
      <c r="E41">
        <v>11</v>
      </c>
      <c r="F41">
        <v>77.709999999999994</v>
      </c>
      <c r="G41">
        <v>1</v>
      </c>
      <c r="H41">
        <v>5</v>
      </c>
      <c r="I41">
        <v>4</v>
      </c>
      <c r="J41">
        <v>8</v>
      </c>
      <c r="K41">
        <v>83.24</v>
      </c>
      <c r="L41">
        <v>84.34</v>
      </c>
    </row>
    <row r="42" spans="1:12" x14ac:dyDescent="0.2">
      <c r="A42" s="4">
        <v>41</v>
      </c>
      <c r="B42" t="s">
        <v>87</v>
      </c>
      <c r="C42">
        <v>83.85</v>
      </c>
      <c r="D42">
        <v>30</v>
      </c>
      <c r="E42">
        <v>5</v>
      </c>
      <c r="F42">
        <v>69.58</v>
      </c>
      <c r="G42">
        <v>0</v>
      </c>
      <c r="H42">
        <v>1</v>
      </c>
      <c r="I42">
        <v>0</v>
      </c>
      <c r="J42">
        <v>2</v>
      </c>
      <c r="K42">
        <v>82.35</v>
      </c>
      <c r="L42">
        <v>85.36</v>
      </c>
    </row>
    <row r="43" spans="1:12" x14ac:dyDescent="0.2">
      <c r="A43" s="4">
        <v>42</v>
      </c>
      <c r="B43" t="s">
        <v>280</v>
      </c>
      <c r="C43">
        <v>83.84</v>
      </c>
      <c r="D43">
        <v>27</v>
      </c>
      <c r="E43">
        <v>7</v>
      </c>
      <c r="F43">
        <v>75.61</v>
      </c>
      <c r="G43">
        <v>0</v>
      </c>
      <c r="H43">
        <v>2</v>
      </c>
      <c r="I43">
        <v>6</v>
      </c>
      <c r="J43">
        <v>5</v>
      </c>
      <c r="K43">
        <v>86.43</v>
      </c>
      <c r="L43">
        <v>81.66</v>
      </c>
    </row>
    <row r="44" spans="1:12" x14ac:dyDescent="0.2">
      <c r="A44" s="4">
        <v>43</v>
      </c>
      <c r="B44" t="s">
        <v>51</v>
      </c>
      <c r="C44">
        <v>83.68</v>
      </c>
      <c r="D44">
        <v>24</v>
      </c>
      <c r="E44">
        <v>8</v>
      </c>
      <c r="F44">
        <v>76.45</v>
      </c>
      <c r="G44">
        <v>1</v>
      </c>
      <c r="H44">
        <v>3</v>
      </c>
      <c r="I44">
        <v>3</v>
      </c>
      <c r="J44">
        <v>5</v>
      </c>
      <c r="K44">
        <v>84.38</v>
      </c>
      <c r="L44">
        <v>82.7</v>
      </c>
    </row>
    <row r="45" spans="1:12" x14ac:dyDescent="0.2">
      <c r="A45" s="4">
        <v>44</v>
      </c>
      <c r="B45" t="s">
        <v>57</v>
      </c>
      <c r="C45">
        <v>83.57</v>
      </c>
      <c r="D45">
        <v>23</v>
      </c>
      <c r="E45">
        <v>9</v>
      </c>
      <c r="F45">
        <v>76.92</v>
      </c>
      <c r="G45">
        <v>1</v>
      </c>
      <c r="H45">
        <v>4</v>
      </c>
      <c r="I45">
        <v>5</v>
      </c>
      <c r="J45">
        <v>5</v>
      </c>
      <c r="K45">
        <v>83.87</v>
      </c>
      <c r="L45">
        <v>82.94</v>
      </c>
    </row>
    <row r="46" spans="1:12" x14ac:dyDescent="0.2">
      <c r="A46" s="4">
        <v>45</v>
      </c>
      <c r="B46" t="s">
        <v>794</v>
      </c>
      <c r="C46">
        <v>83.36</v>
      </c>
      <c r="D46">
        <v>18</v>
      </c>
      <c r="E46">
        <v>15</v>
      </c>
      <c r="F46">
        <v>82.21</v>
      </c>
      <c r="G46">
        <v>4</v>
      </c>
      <c r="H46">
        <v>9</v>
      </c>
      <c r="I46">
        <v>7</v>
      </c>
      <c r="J46">
        <v>14</v>
      </c>
      <c r="K46">
        <v>82.48</v>
      </c>
      <c r="L46">
        <v>83.98</v>
      </c>
    </row>
    <row r="47" spans="1:12" x14ac:dyDescent="0.2">
      <c r="A47" s="4">
        <v>46</v>
      </c>
      <c r="B47" t="s">
        <v>30</v>
      </c>
      <c r="C47">
        <v>83.09</v>
      </c>
      <c r="D47">
        <v>23</v>
      </c>
      <c r="E47">
        <v>11</v>
      </c>
      <c r="F47">
        <v>77.92</v>
      </c>
      <c r="G47">
        <v>2</v>
      </c>
      <c r="H47">
        <v>5</v>
      </c>
      <c r="I47">
        <v>4</v>
      </c>
      <c r="J47">
        <v>7</v>
      </c>
      <c r="K47">
        <v>83.9</v>
      </c>
      <c r="L47">
        <v>82.03</v>
      </c>
    </row>
    <row r="48" spans="1:12" x14ac:dyDescent="0.2">
      <c r="A48" s="4">
        <v>47</v>
      </c>
      <c r="B48" t="s">
        <v>41</v>
      </c>
      <c r="C48">
        <v>83.03</v>
      </c>
      <c r="D48">
        <v>22</v>
      </c>
      <c r="E48">
        <v>12</v>
      </c>
      <c r="F48">
        <v>77.56</v>
      </c>
      <c r="G48">
        <v>1</v>
      </c>
      <c r="H48">
        <v>4</v>
      </c>
      <c r="I48">
        <v>4</v>
      </c>
      <c r="J48">
        <v>7</v>
      </c>
      <c r="K48">
        <v>81.55</v>
      </c>
      <c r="L48">
        <v>84.49</v>
      </c>
    </row>
    <row r="49" spans="1:12" x14ac:dyDescent="0.2">
      <c r="A49" s="4">
        <v>48</v>
      </c>
      <c r="B49" t="s">
        <v>42</v>
      </c>
      <c r="C49">
        <v>82.98</v>
      </c>
      <c r="D49">
        <v>25</v>
      </c>
      <c r="E49">
        <v>12</v>
      </c>
      <c r="F49">
        <v>75.44</v>
      </c>
      <c r="G49">
        <v>1</v>
      </c>
      <c r="H49">
        <v>4</v>
      </c>
      <c r="I49">
        <v>1</v>
      </c>
      <c r="J49">
        <v>5</v>
      </c>
      <c r="K49">
        <v>82.3</v>
      </c>
      <c r="L49">
        <v>83.35</v>
      </c>
    </row>
    <row r="50" spans="1:12" x14ac:dyDescent="0.2">
      <c r="A50" s="4">
        <v>49</v>
      </c>
      <c r="B50" t="s">
        <v>817</v>
      </c>
      <c r="C50">
        <v>82.73</v>
      </c>
      <c r="D50">
        <v>19</v>
      </c>
      <c r="E50">
        <v>15</v>
      </c>
      <c r="F50">
        <v>81.540000000000006</v>
      </c>
      <c r="G50">
        <v>3</v>
      </c>
      <c r="H50">
        <v>7</v>
      </c>
      <c r="I50">
        <v>7</v>
      </c>
      <c r="J50">
        <v>12</v>
      </c>
      <c r="K50">
        <v>82.19</v>
      </c>
      <c r="L50">
        <v>82.93</v>
      </c>
    </row>
    <row r="51" spans="1:12" x14ac:dyDescent="0.2">
      <c r="A51" s="4">
        <v>50</v>
      </c>
      <c r="B51" t="s">
        <v>79</v>
      </c>
      <c r="C51">
        <v>82.62</v>
      </c>
      <c r="D51">
        <v>20</v>
      </c>
      <c r="E51">
        <v>14</v>
      </c>
      <c r="F51">
        <v>79.11</v>
      </c>
      <c r="G51">
        <v>1</v>
      </c>
      <c r="H51">
        <v>6</v>
      </c>
      <c r="I51">
        <v>2</v>
      </c>
      <c r="J51">
        <v>12</v>
      </c>
      <c r="K51">
        <v>81.94</v>
      </c>
      <c r="L51">
        <v>83</v>
      </c>
    </row>
    <row r="52" spans="1:12" x14ac:dyDescent="0.2">
      <c r="A52" s="4">
        <v>51</v>
      </c>
      <c r="B52" t="s">
        <v>875</v>
      </c>
      <c r="C52">
        <v>82.27</v>
      </c>
      <c r="D52">
        <v>23</v>
      </c>
      <c r="E52">
        <v>9</v>
      </c>
      <c r="F52">
        <v>73.89</v>
      </c>
      <c r="G52">
        <v>0</v>
      </c>
      <c r="H52">
        <v>2</v>
      </c>
      <c r="I52">
        <v>2</v>
      </c>
      <c r="J52">
        <v>6</v>
      </c>
      <c r="K52">
        <v>80.87</v>
      </c>
      <c r="L52">
        <v>83.57</v>
      </c>
    </row>
    <row r="53" spans="1:12" x14ac:dyDescent="0.2">
      <c r="A53" s="4">
        <v>52</v>
      </c>
      <c r="B53" t="s">
        <v>75</v>
      </c>
      <c r="C53">
        <v>82.2</v>
      </c>
      <c r="D53">
        <v>19</v>
      </c>
      <c r="E53">
        <v>14</v>
      </c>
      <c r="F53">
        <v>76.97</v>
      </c>
      <c r="G53">
        <v>0</v>
      </c>
      <c r="H53">
        <v>6</v>
      </c>
      <c r="I53">
        <v>3</v>
      </c>
      <c r="J53">
        <v>10</v>
      </c>
      <c r="K53">
        <v>79.63</v>
      </c>
      <c r="L53">
        <v>85.58</v>
      </c>
    </row>
    <row r="54" spans="1:12" x14ac:dyDescent="0.2">
      <c r="A54" s="4">
        <v>53</v>
      </c>
      <c r="B54" t="s">
        <v>807</v>
      </c>
      <c r="C54">
        <v>82.14</v>
      </c>
      <c r="D54">
        <v>22</v>
      </c>
      <c r="E54">
        <v>13</v>
      </c>
      <c r="F54">
        <v>77.989999999999995</v>
      </c>
      <c r="G54">
        <v>2</v>
      </c>
      <c r="H54">
        <v>5</v>
      </c>
      <c r="I54">
        <v>4</v>
      </c>
      <c r="J54">
        <v>8</v>
      </c>
      <c r="K54">
        <v>82.12</v>
      </c>
      <c r="L54">
        <v>81.81</v>
      </c>
    </row>
    <row r="55" spans="1:12" x14ac:dyDescent="0.2">
      <c r="A55" s="4">
        <v>54</v>
      </c>
      <c r="B55" t="s">
        <v>69</v>
      </c>
      <c r="C55">
        <v>81.91</v>
      </c>
      <c r="D55">
        <v>23</v>
      </c>
      <c r="E55">
        <v>14</v>
      </c>
      <c r="F55">
        <v>77.459999999999994</v>
      </c>
      <c r="G55">
        <v>1</v>
      </c>
      <c r="H55">
        <v>3</v>
      </c>
      <c r="I55">
        <v>5</v>
      </c>
      <c r="J55">
        <v>6</v>
      </c>
      <c r="K55">
        <v>81.599999999999994</v>
      </c>
      <c r="L55">
        <v>81.86</v>
      </c>
    </row>
    <row r="56" spans="1:12" x14ac:dyDescent="0.2">
      <c r="A56" s="4">
        <v>55</v>
      </c>
      <c r="B56" t="s">
        <v>286</v>
      </c>
      <c r="C56">
        <v>81.81</v>
      </c>
      <c r="D56">
        <v>21</v>
      </c>
      <c r="E56">
        <v>12</v>
      </c>
      <c r="F56">
        <v>77.5</v>
      </c>
      <c r="G56">
        <v>1</v>
      </c>
      <c r="H56">
        <v>5</v>
      </c>
      <c r="I56">
        <v>1</v>
      </c>
      <c r="J56">
        <v>11</v>
      </c>
      <c r="K56">
        <v>81.680000000000007</v>
      </c>
      <c r="L56">
        <v>81.58</v>
      </c>
    </row>
    <row r="57" spans="1:12" x14ac:dyDescent="0.2">
      <c r="A57" s="4">
        <v>56</v>
      </c>
      <c r="B57" t="s">
        <v>276</v>
      </c>
      <c r="C57">
        <v>81.760000000000005</v>
      </c>
      <c r="D57">
        <v>21</v>
      </c>
      <c r="E57">
        <v>13</v>
      </c>
      <c r="F57">
        <v>76.53</v>
      </c>
      <c r="G57">
        <v>2</v>
      </c>
      <c r="H57">
        <v>3</v>
      </c>
      <c r="I57">
        <v>2</v>
      </c>
      <c r="J57">
        <v>6</v>
      </c>
      <c r="K57">
        <v>80.349999999999994</v>
      </c>
      <c r="L57">
        <v>83.07</v>
      </c>
    </row>
    <row r="58" spans="1:12" x14ac:dyDescent="0.2">
      <c r="A58" s="4">
        <v>57</v>
      </c>
      <c r="B58" t="s">
        <v>103</v>
      </c>
      <c r="C58">
        <v>81.510000000000005</v>
      </c>
      <c r="D58">
        <v>17</v>
      </c>
      <c r="E58">
        <v>14</v>
      </c>
      <c r="F58">
        <v>79.73</v>
      </c>
      <c r="G58">
        <v>3</v>
      </c>
      <c r="H58">
        <v>5</v>
      </c>
      <c r="I58">
        <v>5</v>
      </c>
      <c r="J58">
        <v>12</v>
      </c>
      <c r="K58">
        <v>80.400000000000006</v>
      </c>
      <c r="L58">
        <v>82.41</v>
      </c>
    </row>
    <row r="59" spans="1:12" x14ac:dyDescent="0.2">
      <c r="A59" s="4">
        <v>58</v>
      </c>
      <c r="B59" t="s">
        <v>878</v>
      </c>
      <c r="C59">
        <v>81.319999999999993</v>
      </c>
      <c r="D59">
        <v>24</v>
      </c>
      <c r="E59">
        <v>10</v>
      </c>
      <c r="F59">
        <v>73.84</v>
      </c>
      <c r="G59">
        <v>0</v>
      </c>
      <c r="H59">
        <v>5</v>
      </c>
      <c r="I59">
        <v>0</v>
      </c>
      <c r="J59">
        <v>7</v>
      </c>
      <c r="K59">
        <v>80.75</v>
      </c>
      <c r="L59">
        <v>81.55</v>
      </c>
    </row>
    <row r="60" spans="1:12" x14ac:dyDescent="0.2">
      <c r="A60" s="4">
        <v>59</v>
      </c>
      <c r="B60" t="s">
        <v>13</v>
      </c>
      <c r="C60">
        <v>81.31</v>
      </c>
      <c r="D60">
        <v>19</v>
      </c>
      <c r="E60">
        <v>15</v>
      </c>
      <c r="F60">
        <v>79.89</v>
      </c>
      <c r="G60">
        <v>1</v>
      </c>
      <c r="H60">
        <v>6</v>
      </c>
      <c r="I60">
        <v>7</v>
      </c>
      <c r="J60">
        <v>8</v>
      </c>
      <c r="K60">
        <v>81.209999999999994</v>
      </c>
      <c r="L60">
        <v>81.06</v>
      </c>
    </row>
    <row r="61" spans="1:12" x14ac:dyDescent="0.2">
      <c r="A61" s="4">
        <v>60</v>
      </c>
      <c r="B61" t="s">
        <v>877</v>
      </c>
      <c r="C61">
        <v>81.02</v>
      </c>
      <c r="D61">
        <v>19</v>
      </c>
      <c r="E61">
        <v>15</v>
      </c>
      <c r="F61">
        <v>78.459999999999994</v>
      </c>
      <c r="G61">
        <v>3</v>
      </c>
      <c r="H61">
        <v>4</v>
      </c>
      <c r="I61">
        <v>4</v>
      </c>
      <c r="J61">
        <v>6</v>
      </c>
      <c r="K61">
        <v>79.97</v>
      </c>
      <c r="L61">
        <v>81.83</v>
      </c>
    </row>
    <row r="62" spans="1:12" x14ac:dyDescent="0.2">
      <c r="A62" s="4">
        <v>61</v>
      </c>
      <c r="B62" t="s">
        <v>872</v>
      </c>
      <c r="C62">
        <v>80.989999999999995</v>
      </c>
      <c r="D62">
        <v>21</v>
      </c>
      <c r="E62">
        <v>15</v>
      </c>
      <c r="F62">
        <v>77.66</v>
      </c>
      <c r="G62">
        <v>1</v>
      </c>
      <c r="H62">
        <v>4</v>
      </c>
      <c r="I62">
        <v>1</v>
      </c>
      <c r="J62">
        <v>10</v>
      </c>
      <c r="K62">
        <v>80.180000000000007</v>
      </c>
      <c r="L62">
        <v>81.510000000000005</v>
      </c>
    </row>
    <row r="63" spans="1:12" x14ac:dyDescent="0.2">
      <c r="A63" s="4">
        <v>62</v>
      </c>
      <c r="B63" t="s">
        <v>66</v>
      </c>
      <c r="C63">
        <v>80.83</v>
      </c>
      <c r="D63">
        <v>22</v>
      </c>
      <c r="E63">
        <v>9</v>
      </c>
      <c r="F63">
        <v>74.86</v>
      </c>
      <c r="G63">
        <v>0</v>
      </c>
      <c r="H63">
        <v>1</v>
      </c>
      <c r="I63">
        <v>1</v>
      </c>
      <c r="J63">
        <v>2</v>
      </c>
      <c r="K63">
        <v>81.069999999999993</v>
      </c>
      <c r="L63">
        <v>80.23</v>
      </c>
    </row>
    <row r="64" spans="1:12" x14ac:dyDescent="0.2">
      <c r="A64" s="4">
        <v>63</v>
      </c>
      <c r="B64" t="s">
        <v>122</v>
      </c>
      <c r="C64">
        <v>80.760000000000005</v>
      </c>
      <c r="D64">
        <v>21</v>
      </c>
      <c r="E64">
        <v>13</v>
      </c>
      <c r="F64">
        <v>77.849999999999994</v>
      </c>
      <c r="G64">
        <v>0</v>
      </c>
      <c r="H64">
        <v>4</v>
      </c>
      <c r="I64">
        <v>3</v>
      </c>
      <c r="J64">
        <v>8</v>
      </c>
      <c r="K64">
        <v>80.89</v>
      </c>
      <c r="L64">
        <v>80.27</v>
      </c>
    </row>
    <row r="65" spans="1:12" x14ac:dyDescent="0.2">
      <c r="A65" s="4">
        <v>64</v>
      </c>
      <c r="B65" t="s">
        <v>840</v>
      </c>
      <c r="C65">
        <v>80.63</v>
      </c>
      <c r="D65">
        <v>25</v>
      </c>
      <c r="E65">
        <v>9</v>
      </c>
      <c r="F65">
        <v>74.41</v>
      </c>
      <c r="G65">
        <v>0</v>
      </c>
      <c r="H65">
        <v>4</v>
      </c>
      <c r="I65">
        <v>0</v>
      </c>
      <c r="J65">
        <v>5</v>
      </c>
      <c r="K65">
        <v>81.67</v>
      </c>
      <c r="L65">
        <v>79.349999999999994</v>
      </c>
    </row>
    <row r="66" spans="1:12" x14ac:dyDescent="0.2">
      <c r="A66" s="4">
        <v>65</v>
      </c>
      <c r="B66" t="s">
        <v>860</v>
      </c>
      <c r="C66">
        <v>80.62</v>
      </c>
      <c r="D66">
        <v>26</v>
      </c>
      <c r="E66">
        <v>9</v>
      </c>
      <c r="F66">
        <v>73.56</v>
      </c>
      <c r="G66">
        <v>2</v>
      </c>
      <c r="H66">
        <v>0</v>
      </c>
      <c r="I66">
        <v>2</v>
      </c>
      <c r="J66">
        <v>0</v>
      </c>
      <c r="K66">
        <v>80.900000000000006</v>
      </c>
      <c r="L66">
        <v>80</v>
      </c>
    </row>
    <row r="67" spans="1:12" x14ac:dyDescent="0.2">
      <c r="A67" s="4">
        <v>66</v>
      </c>
      <c r="B67" t="s">
        <v>120</v>
      </c>
      <c r="C67">
        <v>80.33</v>
      </c>
      <c r="D67">
        <v>19</v>
      </c>
      <c r="E67">
        <v>13</v>
      </c>
      <c r="F67">
        <v>76.22</v>
      </c>
      <c r="G67">
        <v>1</v>
      </c>
      <c r="H67">
        <v>3</v>
      </c>
      <c r="I67">
        <v>3</v>
      </c>
      <c r="J67">
        <v>7</v>
      </c>
      <c r="K67">
        <v>79.45</v>
      </c>
      <c r="L67">
        <v>80.92</v>
      </c>
    </row>
    <row r="68" spans="1:12" x14ac:dyDescent="0.2">
      <c r="A68" s="4">
        <v>67</v>
      </c>
      <c r="B68" t="s">
        <v>790</v>
      </c>
      <c r="C68">
        <v>80.31</v>
      </c>
      <c r="D68">
        <v>20</v>
      </c>
      <c r="E68">
        <v>14</v>
      </c>
      <c r="F68">
        <v>78.23</v>
      </c>
      <c r="G68">
        <v>0</v>
      </c>
      <c r="H68">
        <v>4</v>
      </c>
      <c r="I68">
        <v>3</v>
      </c>
      <c r="J68">
        <v>8</v>
      </c>
      <c r="K68">
        <v>80.95</v>
      </c>
      <c r="L68">
        <v>79.36</v>
      </c>
    </row>
    <row r="69" spans="1:12" x14ac:dyDescent="0.2">
      <c r="A69" s="4">
        <v>68</v>
      </c>
      <c r="B69" t="s">
        <v>157</v>
      </c>
      <c r="C69">
        <v>80.260000000000005</v>
      </c>
      <c r="D69">
        <v>26</v>
      </c>
      <c r="E69">
        <v>11</v>
      </c>
      <c r="F69">
        <v>72.77</v>
      </c>
      <c r="G69">
        <v>0</v>
      </c>
      <c r="H69">
        <v>2</v>
      </c>
      <c r="I69">
        <v>0</v>
      </c>
      <c r="J69">
        <v>3</v>
      </c>
      <c r="K69">
        <v>80.38</v>
      </c>
      <c r="L69">
        <v>79.790000000000006</v>
      </c>
    </row>
    <row r="70" spans="1:12" x14ac:dyDescent="0.2">
      <c r="A70" s="4">
        <v>69</v>
      </c>
      <c r="B70" t="s">
        <v>131</v>
      </c>
      <c r="C70">
        <v>80.099999999999994</v>
      </c>
      <c r="D70">
        <v>18</v>
      </c>
      <c r="E70">
        <v>15</v>
      </c>
      <c r="F70">
        <v>79.44</v>
      </c>
      <c r="G70">
        <v>0</v>
      </c>
      <c r="H70">
        <v>7</v>
      </c>
      <c r="I70">
        <v>2</v>
      </c>
      <c r="J70">
        <v>8</v>
      </c>
      <c r="K70">
        <v>80.569999999999993</v>
      </c>
      <c r="L70">
        <v>79.31</v>
      </c>
    </row>
    <row r="71" spans="1:12" x14ac:dyDescent="0.2">
      <c r="A71" s="4">
        <v>70</v>
      </c>
      <c r="B71" t="s">
        <v>48</v>
      </c>
      <c r="C71">
        <v>79.989999999999995</v>
      </c>
      <c r="D71">
        <v>13</v>
      </c>
      <c r="E71">
        <v>18</v>
      </c>
      <c r="F71">
        <v>80.95</v>
      </c>
      <c r="G71">
        <v>2</v>
      </c>
      <c r="H71">
        <v>9</v>
      </c>
      <c r="I71">
        <v>4</v>
      </c>
      <c r="J71">
        <v>14</v>
      </c>
      <c r="K71">
        <v>78.5</v>
      </c>
      <c r="L71">
        <v>81.34</v>
      </c>
    </row>
    <row r="72" spans="1:12" x14ac:dyDescent="0.2">
      <c r="A72" s="4">
        <v>71</v>
      </c>
      <c r="B72" t="s">
        <v>40</v>
      </c>
      <c r="C72">
        <v>79.94</v>
      </c>
      <c r="D72">
        <v>25</v>
      </c>
      <c r="E72">
        <v>10</v>
      </c>
      <c r="F72">
        <v>74.7</v>
      </c>
      <c r="G72">
        <v>0</v>
      </c>
      <c r="H72">
        <v>3</v>
      </c>
      <c r="I72">
        <v>1</v>
      </c>
      <c r="J72">
        <v>3</v>
      </c>
      <c r="K72">
        <v>81.7</v>
      </c>
      <c r="L72">
        <v>78.11</v>
      </c>
    </row>
    <row r="73" spans="1:12" x14ac:dyDescent="0.2">
      <c r="A73" s="4">
        <v>72</v>
      </c>
      <c r="B73" t="s">
        <v>205</v>
      </c>
      <c r="C73">
        <v>79.89</v>
      </c>
      <c r="D73">
        <v>18</v>
      </c>
      <c r="E73">
        <v>13</v>
      </c>
      <c r="F73">
        <v>74.77</v>
      </c>
      <c r="G73">
        <v>0</v>
      </c>
      <c r="H73">
        <v>2</v>
      </c>
      <c r="I73">
        <v>1</v>
      </c>
      <c r="J73">
        <v>6</v>
      </c>
      <c r="K73">
        <v>77.73</v>
      </c>
      <c r="L73">
        <v>82.21</v>
      </c>
    </row>
    <row r="74" spans="1:12" x14ac:dyDescent="0.2">
      <c r="A74" s="4">
        <v>73</v>
      </c>
      <c r="B74" t="s">
        <v>548</v>
      </c>
      <c r="C74">
        <v>79.790000000000006</v>
      </c>
      <c r="D74">
        <v>25</v>
      </c>
      <c r="E74">
        <v>12</v>
      </c>
      <c r="F74">
        <v>72.349999999999994</v>
      </c>
      <c r="G74">
        <v>0</v>
      </c>
      <c r="H74">
        <v>1</v>
      </c>
      <c r="I74">
        <v>1</v>
      </c>
      <c r="J74">
        <v>1</v>
      </c>
      <c r="K74">
        <v>79.37</v>
      </c>
      <c r="L74">
        <v>79.87</v>
      </c>
    </row>
    <row r="75" spans="1:12" x14ac:dyDescent="0.2">
      <c r="A75" s="4">
        <v>74</v>
      </c>
      <c r="B75" t="s">
        <v>297</v>
      </c>
      <c r="C75">
        <v>79.790000000000006</v>
      </c>
      <c r="D75">
        <v>21</v>
      </c>
      <c r="E75">
        <v>7</v>
      </c>
      <c r="F75">
        <v>72.73</v>
      </c>
      <c r="G75">
        <v>0</v>
      </c>
      <c r="H75">
        <v>1</v>
      </c>
      <c r="I75">
        <v>0</v>
      </c>
      <c r="J75">
        <v>3</v>
      </c>
      <c r="K75">
        <v>81.96</v>
      </c>
      <c r="L75">
        <v>77.680000000000007</v>
      </c>
    </row>
    <row r="76" spans="1:12" x14ac:dyDescent="0.2">
      <c r="A76" s="4">
        <v>75</v>
      </c>
      <c r="B76" t="s">
        <v>255</v>
      </c>
      <c r="C76">
        <v>79.78</v>
      </c>
      <c r="D76">
        <v>19</v>
      </c>
      <c r="E76">
        <v>10</v>
      </c>
      <c r="F76">
        <v>74.37</v>
      </c>
      <c r="G76">
        <v>0</v>
      </c>
      <c r="H76">
        <v>0</v>
      </c>
      <c r="I76">
        <v>0</v>
      </c>
      <c r="J76">
        <v>0</v>
      </c>
      <c r="K76">
        <v>79.19</v>
      </c>
      <c r="L76">
        <v>80.040000000000006</v>
      </c>
    </row>
    <row r="77" spans="1:12" x14ac:dyDescent="0.2">
      <c r="A77" s="4">
        <v>76</v>
      </c>
      <c r="B77" t="s">
        <v>124</v>
      </c>
      <c r="C77">
        <v>79.72</v>
      </c>
      <c r="D77">
        <v>24</v>
      </c>
      <c r="E77">
        <v>7</v>
      </c>
      <c r="F77">
        <v>72.260000000000005</v>
      </c>
      <c r="G77">
        <v>0</v>
      </c>
      <c r="H77">
        <v>2</v>
      </c>
      <c r="I77">
        <v>0</v>
      </c>
      <c r="J77">
        <v>2</v>
      </c>
      <c r="K77">
        <v>81.91</v>
      </c>
      <c r="L77">
        <v>77.58</v>
      </c>
    </row>
    <row r="78" spans="1:12" x14ac:dyDescent="0.2">
      <c r="A78" s="4">
        <v>77</v>
      </c>
      <c r="B78" t="s">
        <v>8</v>
      </c>
      <c r="C78">
        <v>79.56</v>
      </c>
      <c r="D78">
        <v>17</v>
      </c>
      <c r="E78">
        <v>13</v>
      </c>
      <c r="F78">
        <v>75.94</v>
      </c>
      <c r="G78">
        <v>0</v>
      </c>
      <c r="H78">
        <v>3</v>
      </c>
      <c r="I78">
        <v>2</v>
      </c>
      <c r="J78">
        <v>7</v>
      </c>
      <c r="K78">
        <v>78.400000000000006</v>
      </c>
      <c r="L78">
        <v>80.47</v>
      </c>
    </row>
    <row r="79" spans="1:12" x14ac:dyDescent="0.2">
      <c r="A79" s="4">
        <v>78</v>
      </c>
      <c r="B79" t="s">
        <v>163</v>
      </c>
      <c r="C79">
        <v>79.5</v>
      </c>
      <c r="D79">
        <v>24</v>
      </c>
      <c r="E79">
        <v>10</v>
      </c>
      <c r="F79">
        <v>73.19</v>
      </c>
      <c r="G79">
        <v>0</v>
      </c>
      <c r="H79">
        <v>1</v>
      </c>
      <c r="I79">
        <v>1</v>
      </c>
      <c r="J79">
        <v>1</v>
      </c>
      <c r="K79">
        <v>78.83</v>
      </c>
      <c r="L79">
        <v>79.86</v>
      </c>
    </row>
    <row r="80" spans="1:12" x14ac:dyDescent="0.2">
      <c r="A80" s="4">
        <v>79</v>
      </c>
      <c r="B80" t="s">
        <v>162</v>
      </c>
      <c r="C80">
        <v>79.349999999999994</v>
      </c>
      <c r="D80">
        <v>21</v>
      </c>
      <c r="E80">
        <v>10</v>
      </c>
      <c r="F80">
        <v>73.98</v>
      </c>
      <c r="G80">
        <v>1</v>
      </c>
      <c r="H80">
        <v>1</v>
      </c>
      <c r="I80">
        <v>3</v>
      </c>
      <c r="J80">
        <v>4</v>
      </c>
      <c r="K80">
        <v>81.010000000000005</v>
      </c>
      <c r="L80">
        <v>77.569999999999993</v>
      </c>
    </row>
    <row r="81" spans="1:12" x14ac:dyDescent="0.2">
      <c r="A81" s="4">
        <v>80</v>
      </c>
      <c r="B81" t="s">
        <v>100</v>
      </c>
      <c r="C81">
        <v>79.03</v>
      </c>
      <c r="D81">
        <v>20</v>
      </c>
      <c r="E81">
        <v>14</v>
      </c>
      <c r="F81">
        <v>75.53</v>
      </c>
      <c r="G81">
        <v>1</v>
      </c>
      <c r="H81">
        <v>2</v>
      </c>
      <c r="I81">
        <v>3</v>
      </c>
      <c r="J81">
        <v>4</v>
      </c>
      <c r="K81">
        <v>77.959999999999994</v>
      </c>
      <c r="L81">
        <v>79.819999999999993</v>
      </c>
    </row>
    <row r="82" spans="1:12" x14ac:dyDescent="0.2">
      <c r="A82" s="4">
        <v>81</v>
      </c>
      <c r="B82" t="s">
        <v>810</v>
      </c>
      <c r="C82">
        <v>78.77</v>
      </c>
      <c r="D82">
        <v>18</v>
      </c>
      <c r="E82">
        <v>13</v>
      </c>
      <c r="F82">
        <v>76.709999999999994</v>
      </c>
      <c r="G82">
        <v>0</v>
      </c>
      <c r="H82">
        <v>5</v>
      </c>
      <c r="I82">
        <v>1</v>
      </c>
      <c r="J82">
        <v>6</v>
      </c>
      <c r="K82">
        <v>78.459999999999994</v>
      </c>
      <c r="L82">
        <v>78.709999999999994</v>
      </c>
    </row>
    <row r="83" spans="1:12" x14ac:dyDescent="0.2">
      <c r="A83" s="4">
        <v>82</v>
      </c>
      <c r="B83" t="s">
        <v>803</v>
      </c>
      <c r="C83">
        <v>78.489999999999995</v>
      </c>
      <c r="D83">
        <v>24</v>
      </c>
      <c r="E83">
        <v>12</v>
      </c>
      <c r="F83">
        <v>73.3</v>
      </c>
      <c r="G83">
        <v>0</v>
      </c>
      <c r="H83">
        <v>1</v>
      </c>
      <c r="I83">
        <v>0</v>
      </c>
      <c r="J83">
        <v>1</v>
      </c>
      <c r="K83">
        <v>80.11</v>
      </c>
      <c r="L83">
        <v>76.709999999999994</v>
      </c>
    </row>
    <row r="84" spans="1:12" x14ac:dyDescent="0.2">
      <c r="A84" s="4">
        <v>83</v>
      </c>
      <c r="B84" t="s">
        <v>71</v>
      </c>
      <c r="C84">
        <v>78.47</v>
      </c>
      <c r="D84">
        <v>15</v>
      </c>
      <c r="E84">
        <v>17</v>
      </c>
      <c r="F84">
        <v>78.98</v>
      </c>
      <c r="G84">
        <v>0</v>
      </c>
      <c r="H84">
        <v>0</v>
      </c>
      <c r="I84">
        <v>1</v>
      </c>
      <c r="J84">
        <v>13</v>
      </c>
      <c r="K84">
        <v>77.88</v>
      </c>
      <c r="L84">
        <v>78.72</v>
      </c>
    </row>
    <row r="85" spans="1:12" x14ac:dyDescent="0.2">
      <c r="A85" s="4">
        <v>84</v>
      </c>
      <c r="B85" t="s">
        <v>874</v>
      </c>
      <c r="C85">
        <v>77.959999999999994</v>
      </c>
      <c r="D85">
        <v>20</v>
      </c>
      <c r="E85">
        <v>12</v>
      </c>
      <c r="F85">
        <v>73.78</v>
      </c>
      <c r="G85">
        <v>1</v>
      </c>
      <c r="H85">
        <v>0</v>
      </c>
      <c r="I85">
        <v>1</v>
      </c>
      <c r="J85">
        <v>0</v>
      </c>
      <c r="K85">
        <v>77.86</v>
      </c>
      <c r="L85">
        <v>77.709999999999994</v>
      </c>
    </row>
    <row r="86" spans="1:12" x14ac:dyDescent="0.2">
      <c r="A86" s="4">
        <v>85</v>
      </c>
      <c r="B86" t="s">
        <v>62</v>
      </c>
      <c r="C86">
        <v>77.94</v>
      </c>
      <c r="D86">
        <v>22</v>
      </c>
      <c r="E86">
        <v>14</v>
      </c>
      <c r="F86">
        <v>75.69</v>
      </c>
      <c r="G86">
        <v>0</v>
      </c>
      <c r="H86">
        <v>1</v>
      </c>
      <c r="I86">
        <v>2</v>
      </c>
      <c r="J86">
        <v>7</v>
      </c>
      <c r="K86">
        <v>79.22</v>
      </c>
      <c r="L86">
        <v>76.430000000000007</v>
      </c>
    </row>
    <row r="87" spans="1:12" x14ac:dyDescent="0.2">
      <c r="A87" s="4">
        <v>86</v>
      </c>
      <c r="B87" t="s">
        <v>59</v>
      </c>
      <c r="C87">
        <v>77.819999999999993</v>
      </c>
      <c r="D87">
        <v>20</v>
      </c>
      <c r="E87">
        <v>18</v>
      </c>
      <c r="F87">
        <v>76.7</v>
      </c>
      <c r="G87">
        <v>1</v>
      </c>
      <c r="H87">
        <v>5</v>
      </c>
      <c r="I87">
        <v>2</v>
      </c>
      <c r="J87">
        <v>8</v>
      </c>
      <c r="K87">
        <v>77.91</v>
      </c>
      <c r="L87">
        <v>77.37</v>
      </c>
    </row>
    <row r="88" spans="1:12" x14ac:dyDescent="0.2">
      <c r="A88" s="4">
        <v>87</v>
      </c>
      <c r="B88" t="s">
        <v>795</v>
      </c>
      <c r="C88">
        <v>77.81</v>
      </c>
      <c r="D88">
        <v>16</v>
      </c>
      <c r="E88">
        <v>16</v>
      </c>
      <c r="F88">
        <v>76.02</v>
      </c>
      <c r="G88">
        <v>0</v>
      </c>
      <c r="H88">
        <v>3</v>
      </c>
      <c r="I88">
        <v>0</v>
      </c>
      <c r="J88">
        <v>8</v>
      </c>
      <c r="K88">
        <v>75.84</v>
      </c>
      <c r="L88">
        <v>79.709999999999994</v>
      </c>
    </row>
    <row r="89" spans="1:12" x14ac:dyDescent="0.2">
      <c r="A89" s="4">
        <v>88</v>
      </c>
      <c r="B89" t="s">
        <v>870</v>
      </c>
      <c r="C89">
        <v>77.75</v>
      </c>
      <c r="D89">
        <v>15</v>
      </c>
      <c r="E89">
        <v>16</v>
      </c>
      <c r="F89">
        <v>78.260000000000005</v>
      </c>
      <c r="G89">
        <v>0</v>
      </c>
      <c r="H89">
        <v>8</v>
      </c>
      <c r="I89">
        <v>2</v>
      </c>
      <c r="J89">
        <v>12</v>
      </c>
      <c r="K89">
        <v>77.260000000000005</v>
      </c>
      <c r="L89">
        <v>77.89</v>
      </c>
    </row>
    <row r="90" spans="1:12" x14ac:dyDescent="0.2">
      <c r="A90" s="4">
        <v>89</v>
      </c>
      <c r="B90" t="s">
        <v>188</v>
      </c>
      <c r="C90">
        <v>77.67</v>
      </c>
      <c r="D90">
        <v>25</v>
      </c>
      <c r="E90">
        <v>8</v>
      </c>
      <c r="F90">
        <v>69.849999999999994</v>
      </c>
      <c r="G90">
        <v>0</v>
      </c>
      <c r="H90">
        <v>0</v>
      </c>
      <c r="I90">
        <v>0</v>
      </c>
      <c r="J90">
        <v>1</v>
      </c>
      <c r="K90">
        <v>78.78</v>
      </c>
      <c r="L90">
        <v>76.3</v>
      </c>
    </row>
    <row r="91" spans="1:12" x14ac:dyDescent="0.2">
      <c r="A91" s="4">
        <v>90</v>
      </c>
      <c r="B91" t="s">
        <v>181</v>
      </c>
      <c r="C91">
        <v>77.67</v>
      </c>
      <c r="D91">
        <v>20</v>
      </c>
      <c r="E91">
        <v>12</v>
      </c>
      <c r="F91">
        <v>74.2</v>
      </c>
      <c r="G91">
        <v>1</v>
      </c>
      <c r="H91">
        <v>1</v>
      </c>
      <c r="I91">
        <v>1</v>
      </c>
      <c r="J91">
        <v>1</v>
      </c>
      <c r="K91">
        <v>77.47</v>
      </c>
      <c r="L91">
        <v>77.52</v>
      </c>
    </row>
    <row r="92" spans="1:12" x14ac:dyDescent="0.2">
      <c r="A92" s="4">
        <v>91</v>
      </c>
      <c r="B92" t="s">
        <v>123</v>
      </c>
      <c r="C92">
        <v>77.64</v>
      </c>
      <c r="D92">
        <v>21</v>
      </c>
      <c r="E92">
        <v>13</v>
      </c>
      <c r="F92">
        <v>72.849999999999994</v>
      </c>
      <c r="G92">
        <v>0</v>
      </c>
      <c r="H92">
        <v>2</v>
      </c>
      <c r="I92">
        <v>1</v>
      </c>
      <c r="J92">
        <v>5</v>
      </c>
      <c r="K92">
        <v>77.25</v>
      </c>
      <c r="L92">
        <v>77.680000000000007</v>
      </c>
    </row>
    <row r="93" spans="1:12" x14ac:dyDescent="0.2">
      <c r="A93" s="4">
        <v>92</v>
      </c>
      <c r="B93" t="s">
        <v>820</v>
      </c>
      <c r="C93">
        <v>77.56</v>
      </c>
      <c r="D93">
        <v>23</v>
      </c>
      <c r="E93">
        <v>10</v>
      </c>
      <c r="F93">
        <v>70.459999999999994</v>
      </c>
      <c r="G93">
        <v>1</v>
      </c>
      <c r="H93">
        <v>2</v>
      </c>
      <c r="I93">
        <v>1</v>
      </c>
      <c r="J93">
        <v>3</v>
      </c>
      <c r="K93">
        <v>78.14</v>
      </c>
      <c r="L93">
        <v>76.650000000000006</v>
      </c>
    </row>
    <row r="94" spans="1:12" x14ac:dyDescent="0.2">
      <c r="A94" s="4">
        <v>93</v>
      </c>
      <c r="B94" t="s">
        <v>252</v>
      </c>
      <c r="C94">
        <v>77.34</v>
      </c>
      <c r="D94">
        <v>25</v>
      </c>
      <c r="E94">
        <v>9</v>
      </c>
      <c r="F94">
        <v>69.739999999999995</v>
      </c>
      <c r="G94">
        <v>0</v>
      </c>
      <c r="H94">
        <v>2</v>
      </c>
      <c r="I94">
        <v>1</v>
      </c>
      <c r="J94">
        <v>3</v>
      </c>
      <c r="K94">
        <v>78.819999999999993</v>
      </c>
      <c r="L94">
        <v>75.650000000000006</v>
      </c>
    </row>
    <row r="95" spans="1:12" x14ac:dyDescent="0.2">
      <c r="A95" s="4">
        <v>94</v>
      </c>
      <c r="B95" t="s">
        <v>284</v>
      </c>
      <c r="C95">
        <v>77.33</v>
      </c>
      <c r="D95">
        <v>21</v>
      </c>
      <c r="E95">
        <v>12</v>
      </c>
      <c r="F95">
        <v>74.16</v>
      </c>
      <c r="G95">
        <v>1</v>
      </c>
      <c r="H95">
        <v>3</v>
      </c>
      <c r="I95">
        <v>1</v>
      </c>
      <c r="J95">
        <v>3</v>
      </c>
      <c r="K95">
        <v>78.06</v>
      </c>
      <c r="L95">
        <v>76.27</v>
      </c>
    </row>
    <row r="96" spans="1:12" x14ac:dyDescent="0.2">
      <c r="A96" s="4">
        <v>95</v>
      </c>
      <c r="B96" t="s">
        <v>174</v>
      </c>
      <c r="C96">
        <v>77.31</v>
      </c>
      <c r="D96">
        <v>21</v>
      </c>
      <c r="E96">
        <v>12</v>
      </c>
      <c r="F96">
        <v>74.08</v>
      </c>
      <c r="G96">
        <v>0</v>
      </c>
      <c r="H96">
        <v>0</v>
      </c>
      <c r="I96">
        <v>1</v>
      </c>
      <c r="J96">
        <v>6</v>
      </c>
      <c r="K96">
        <v>78.790000000000006</v>
      </c>
      <c r="L96">
        <v>75.61</v>
      </c>
    </row>
    <row r="97" spans="1:12" x14ac:dyDescent="0.2">
      <c r="A97" s="4">
        <v>96</v>
      </c>
      <c r="B97" t="s">
        <v>44</v>
      </c>
      <c r="C97">
        <v>77.27</v>
      </c>
      <c r="D97">
        <v>15</v>
      </c>
      <c r="E97">
        <v>17</v>
      </c>
      <c r="F97">
        <v>77.78</v>
      </c>
      <c r="G97">
        <v>1</v>
      </c>
      <c r="H97">
        <v>0</v>
      </c>
      <c r="I97">
        <v>3</v>
      </c>
      <c r="J97">
        <v>11</v>
      </c>
      <c r="K97">
        <v>76.63</v>
      </c>
      <c r="L97">
        <v>77.58</v>
      </c>
    </row>
    <row r="98" spans="1:12" x14ac:dyDescent="0.2">
      <c r="A98" s="4">
        <v>97</v>
      </c>
      <c r="B98" t="s">
        <v>149</v>
      </c>
      <c r="C98">
        <v>77.260000000000005</v>
      </c>
      <c r="D98">
        <v>19</v>
      </c>
      <c r="E98">
        <v>13</v>
      </c>
      <c r="F98">
        <v>74.510000000000005</v>
      </c>
      <c r="G98">
        <v>0</v>
      </c>
      <c r="H98">
        <v>1</v>
      </c>
      <c r="I98">
        <v>0</v>
      </c>
      <c r="J98">
        <v>2</v>
      </c>
      <c r="K98">
        <v>76.819999999999993</v>
      </c>
      <c r="L98">
        <v>77.349999999999994</v>
      </c>
    </row>
    <row r="99" spans="1:12" x14ac:dyDescent="0.2">
      <c r="A99" s="4">
        <v>98</v>
      </c>
      <c r="B99" t="s">
        <v>559</v>
      </c>
      <c r="C99">
        <v>77.09</v>
      </c>
      <c r="D99">
        <v>27</v>
      </c>
      <c r="E99">
        <v>6</v>
      </c>
      <c r="F99">
        <v>68.16</v>
      </c>
      <c r="G99">
        <v>0</v>
      </c>
      <c r="H99">
        <v>1</v>
      </c>
      <c r="I99">
        <v>0</v>
      </c>
      <c r="J99">
        <v>2</v>
      </c>
      <c r="K99">
        <v>78.66</v>
      </c>
      <c r="L99">
        <v>75.319999999999993</v>
      </c>
    </row>
    <row r="100" spans="1:12" x14ac:dyDescent="0.2">
      <c r="A100" s="4">
        <v>99</v>
      </c>
      <c r="B100" t="s">
        <v>70</v>
      </c>
      <c r="C100">
        <v>77.08</v>
      </c>
      <c r="D100">
        <v>16</v>
      </c>
      <c r="E100">
        <v>15</v>
      </c>
      <c r="F100">
        <v>77.37</v>
      </c>
      <c r="G100">
        <v>0</v>
      </c>
      <c r="H100">
        <v>5</v>
      </c>
      <c r="I100">
        <v>3</v>
      </c>
      <c r="J100">
        <v>6</v>
      </c>
      <c r="K100">
        <v>77.23</v>
      </c>
      <c r="L100">
        <v>76.569999999999993</v>
      </c>
    </row>
    <row r="101" spans="1:12" x14ac:dyDescent="0.2">
      <c r="A101" s="4">
        <v>100</v>
      </c>
      <c r="B101" t="s">
        <v>88</v>
      </c>
      <c r="C101">
        <v>76.989999999999995</v>
      </c>
      <c r="D101">
        <v>22</v>
      </c>
      <c r="E101">
        <v>14</v>
      </c>
      <c r="F101">
        <v>72.91</v>
      </c>
      <c r="G101">
        <v>0</v>
      </c>
      <c r="H101">
        <v>1</v>
      </c>
      <c r="I101">
        <v>1</v>
      </c>
      <c r="J101">
        <v>2</v>
      </c>
      <c r="K101">
        <v>77.91</v>
      </c>
      <c r="L101">
        <v>75.78</v>
      </c>
    </row>
    <row r="102" spans="1:12" x14ac:dyDescent="0.2">
      <c r="A102" s="4">
        <v>101</v>
      </c>
      <c r="B102" t="s">
        <v>821</v>
      </c>
      <c r="C102">
        <v>76.94</v>
      </c>
      <c r="D102">
        <v>19</v>
      </c>
      <c r="E102">
        <v>14</v>
      </c>
      <c r="F102">
        <v>75.42</v>
      </c>
      <c r="G102">
        <v>1</v>
      </c>
      <c r="H102">
        <v>5</v>
      </c>
      <c r="I102">
        <v>1</v>
      </c>
      <c r="J102">
        <v>5</v>
      </c>
      <c r="K102">
        <v>77.5</v>
      </c>
      <c r="L102">
        <v>76.040000000000006</v>
      </c>
    </row>
    <row r="103" spans="1:12" x14ac:dyDescent="0.2">
      <c r="A103" s="4">
        <v>102</v>
      </c>
      <c r="B103" t="s">
        <v>52</v>
      </c>
      <c r="C103">
        <v>76.94</v>
      </c>
      <c r="D103">
        <v>23</v>
      </c>
      <c r="E103">
        <v>16</v>
      </c>
      <c r="F103">
        <v>73.39</v>
      </c>
      <c r="G103">
        <v>0</v>
      </c>
      <c r="H103">
        <v>3</v>
      </c>
      <c r="I103">
        <v>0</v>
      </c>
      <c r="J103">
        <v>4</v>
      </c>
      <c r="K103">
        <v>76.760000000000005</v>
      </c>
      <c r="L103">
        <v>76.75</v>
      </c>
    </row>
    <row r="104" spans="1:12" x14ac:dyDescent="0.2">
      <c r="A104" s="4">
        <v>103</v>
      </c>
      <c r="B104" t="s">
        <v>46</v>
      </c>
      <c r="C104">
        <v>76.87</v>
      </c>
      <c r="D104">
        <v>12</v>
      </c>
      <c r="E104">
        <v>20</v>
      </c>
      <c r="F104">
        <v>79.5</v>
      </c>
      <c r="G104">
        <v>1</v>
      </c>
      <c r="H104">
        <v>8</v>
      </c>
      <c r="I104">
        <v>2</v>
      </c>
      <c r="J104">
        <v>14</v>
      </c>
      <c r="K104">
        <v>73.97</v>
      </c>
      <c r="L104">
        <v>79.97</v>
      </c>
    </row>
    <row r="105" spans="1:12" x14ac:dyDescent="0.2">
      <c r="A105" s="4">
        <v>104</v>
      </c>
      <c r="B105" t="s">
        <v>35</v>
      </c>
      <c r="C105">
        <v>76.83</v>
      </c>
      <c r="D105">
        <v>18</v>
      </c>
      <c r="E105">
        <v>13</v>
      </c>
      <c r="F105">
        <v>73.489999999999995</v>
      </c>
      <c r="G105">
        <v>1</v>
      </c>
      <c r="H105">
        <v>2</v>
      </c>
      <c r="I105">
        <v>3</v>
      </c>
      <c r="J105">
        <v>4</v>
      </c>
      <c r="K105">
        <v>76.510000000000005</v>
      </c>
      <c r="L105">
        <v>76.8</v>
      </c>
    </row>
    <row r="106" spans="1:12" x14ac:dyDescent="0.2">
      <c r="A106" s="4">
        <v>105</v>
      </c>
      <c r="B106" t="s">
        <v>797</v>
      </c>
      <c r="C106">
        <v>76.66</v>
      </c>
      <c r="D106">
        <v>21</v>
      </c>
      <c r="E106">
        <v>13</v>
      </c>
      <c r="F106">
        <v>72.22</v>
      </c>
      <c r="G106">
        <v>0</v>
      </c>
      <c r="H106">
        <v>0</v>
      </c>
      <c r="I106">
        <v>0</v>
      </c>
      <c r="J106">
        <v>4</v>
      </c>
      <c r="K106">
        <v>75.42</v>
      </c>
      <c r="L106">
        <v>77.62</v>
      </c>
    </row>
    <row r="107" spans="1:12" x14ac:dyDescent="0.2">
      <c r="A107" s="4">
        <v>106</v>
      </c>
      <c r="B107" t="s">
        <v>102</v>
      </c>
      <c r="C107">
        <v>76.569999999999993</v>
      </c>
      <c r="D107">
        <v>19</v>
      </c>
      <c r="E107">
        <v>14</v>
      </c>
      <c r="F107">
        <v>74.33</v>
      </c>
      <c r="G107">
        <v>1</v>
      </c>
      <c r="H107">
        <v>2</v>
      </c>
      <c r="I107">
        <v>1</v>
      </c>
      <c r="J107">
        <v>3</v>
      </c>
      <c r="K107">
        <v>76.14</v>
      </c>
      <c r="L107">
        <v>76.66</v>
      </c>
    </row>
    <row r="108" spans="1:12" x14ac:dyDescent="0.2">
      <c r="A108" s="4">
        <v>107</v>
      </c>
      <c r="B108" t="s">
        <v>98</v>
      </c>
      <c r="C108">
        <v>76.569999999999993</v>
      </c>
      <c r="D108">
        <v>15</v>
      </c>
      <c r="E108">
        <v>16</v>
      </c>
      <c r="F108">
        <v>76.44</v>
      </c>
      <c r="G108">
        <v>1</v>
      </c>
      <c r="H108">
        <v>4</v>
      </c>
      <c r="I108">
        <v>1</v>
      </c>
      <c r="J108">
        <v>6</v>
      </c>
      <c r="K108">
        <v>75.88</v>
      </c>
      <c r="L108">
        <v>76.930000000000007</v>
      </c>
    </row>
    <row r="109" spans="1:12" x14ac:dyDescent="0.2">
      <c r="A109" s="4">
        <v>108</v>
      </c>
      <c r="B109" t="s">
        <v>159</v>
      </c>
      <c r="C109">
        <v>76.48</v>
      </c>
      <c r="D109">
        <v>24</v>
      </c>
      <c r="E109">
        <v>6</v>
      </c>
      <c r="F109">
        <v>68.430000000000007</v>
      </c>
      <c r="G109">
        <v>0</v>
      </c>
      <c r="H109">
        <v>1</v>
      </c>
      <c r="I109">
        <v>0</v>
      </c>
      <c r="J109">
        <v>2</v>
      </c>
      <c r="K109">
        <v>78.42</v>
      </c>
      <c r="L109">
        <v>74.39</v>
      </c>
    </row>
    <row r="110" spans="1:12" x14ac:dyDescent="0.2">
      <c r="A110" s="4">
        <v>109</v>
      </c>
      <c r="B110" t="s">
        <v>129</v>
      </c>
      <c r="C110">
        <v>76.47</v>
      </c>
      <c r="D110">
        <v>20</v>
      </c>
      <c r="E110">
        <v>14</v>
      </c>
      <c r="F110">
        <v>74.27</v>
      </c>
      <c r="G110">
        <v>0</v>
      </c>
      <c r="H110">
        <v>2</v>
      </c>
      <c r="I110">
        <v>1</v>
      </c>
      <c r="J110">
        <v>5</v>
      </c>
      <c r="K110">
        <v>77.319999999999993</v>
      </c>
      <c r="L110">
        <v>75.31</v>
      </c>
    </row>
    <row r="111" spans="1:12" x14ac:dyDescent="0.2">
      <c r="A111" s="4">
        <v>110</v>
      </c>
      <c r="B111" t="s">
        <v>839</v>
      </c>
      <c r="C111">
        <v>76.47</v>
      </c>
      <c r="D111">
        <v>20</v>
      </c>
      <c r="E111">
        <v>12</v>
      </c>
      <c r="F111">
        <v>73.2</v>
      </c>
      <c r="G111">
        <v>0</v>
      </c>
      <c r="H111">
        <v>3</v>
      </c>
      <c r="I111">
        <v>0</v>
      </c>
      <c r="J111">
        <v>5</v>
      </c>
      <c r="K111">
        <v>76.12</v>
      </c>
      <c r="L111">
        <v>76.459999999999994</v>
      </c>
    </row>
    <row r="112" spans="1:12" x14ac:dyDescent="0.2">
      <c r="A112" s="4">
        <v>111</v>
      </c>
      <c r="B112" t="s">
        <v>553</v>
      </c>
      <c r="C112">
        <v>76.42</v>
      </c>
      <c r="D112">
        <v>23</v>
      </c>
      <c r="E112">
        <v>12</v>
      </c>
      <c r="F112">
        <v>71.66</v>
      </c>
      <c r="G112">
        <v>0</v>
      </c>
      <c r="H112">
        <v>1</v>
      </c>
      <c r="I112">
        <v>0</v>
      </c>
      <c r="J112">
        <v>3</v>
      </c>
      <c r="K112">
        <v>76.930000000000007</v>
      </c>
      <c r="L112">
        <v>75.569999999999993</v>
      </c>
    </row>
    <row r="113" spans="1:12" x14ac:dyDescent="0.2">
      <c r="A113" s="4">
        <v>112</v>
      </c>
      <c r="B113" t="s">
        <v>32</v>
      </c>
      <c r="C113">
        <v>76.39</v>
      </c>
      <c r="D113">
        <v>11</v>
      </c>
      <c r="E113">
        <v>20</v>
      </c>
      <c r="F113">
        <v>79.81</v>
      </c>
      <c r="G113">
        <v>1</v>
      </c>
      <c r="H113">
        <v>6</v>
      </c>
      <c r="I113">
        <v>3</v>
      </c>
      <c r="J113">
        <v>14</v>
      </c>
      <c r="K113">
        <v>73.819999999999993</v>
      </c>
      <c r="L113">
        <v>78.97</v>
      </c>
    </row>
    <row r="114" spans="1:12" x14ac:dyDescent="0.2">
      <c r="A114" s="4">
        <v>113</v>
      </c>
      <c r="B114" t="s">
        <v>177</v>
      </c>
      <c r="C114">
        <v>76.39</v>
      </c>
      <c r="D114">
        <v>20</v>
      </c>
      <c r="E114">
        <v>12</v>
      </c>
      <c r="F114">
        <v>73.41</v>
      </c>
      <c r="G114">
        <v>0</v>
      </c>
      <c r="H114">
        <v>2</v>
      </c>
      <c r="I114">
        <v>0</v>
      </c>
      <c r="J114">
        <v>4</v>
      </c>
      <c r="K114">
        <v>76.22</v>
      </c>
      <c r="L114">
        <v>76.19</v>
      </c>
    </row>
    <row r="115" spans="1:12" x14ac:dyDescent="0.2">
      <c r="A115" s="4">
        <v>114</v>
      </c>
      <c r="B115" t="s">
        <v>814</v>
      </c>
      <c r="C115">
        <v>76.040000000000006</v>
      </c>
      <c r="D115">
        <v>17</v>
      </c>
      <c r="E115">
        <v>14</v>
      </c>
      <c r="F115">
        <v>74.44</v>
      </c>
      <c r="G115">
        <v>1</v>
      </c>
      <c r="H115">
        <v>2</v>
      </c>
      <c r="I115">
        <v>1</v>
      </c>
      <c r="J115">
        <v>3</v>
      </c>
      <c r="K115">
        <v>76.22</v>
      </c>
      <c r="L115">
        <v>75.510000000000005</v>
      </c>
    </row>
    <row r="116" spans="1:12" x14ac:dyDescent="0.2">
      <c r="A116" s="4">
        <v>115</v>
      </c>
      <c r="B116" t="s">
        <v>130</v>
      </c>
      <c r="C116">
        <v>76.040000000000006</v>
      </c>
      <c r="D116">
        <v>13</v>
      </c>
      <c r="E116">
        <v>18</v>
      </c>
      <c r="F116">
        <v>77.02</v>
      </c>
      <c r="G116">
        <v>1</v>
      </c>
      <c r="H116">
        <v>2</v>
      </c>
      <c r="I116">
        <v>3</v>
      </c>
      <c r="J116">
        <v>8</v>
      </c>
      <c r="K116">
        <v>73.95</v>
      </c>
      <c r="L116">
        <v>77.97</v>
      </c>
    </row>
    <row r="117" spans="1:12" x14ac:dyDescent="0.2">
      <c r="A117" s="4">
        <v>116</v>
      </c>
      <c r="B117" t="s">
        <v>96</v>
      </c>
      <c r="C117">
        <v>75.84</v>
      </c>
      <c r="D117">
        <v>14</v>
      </c>
      <c r="E117">
        <v>16</v>
      </c>
      <c r="F117">
        <v>77.400000000000006</v>
      </c>
      <c r="G117">
        <v>1</v>
      </c>
      <c r="H117">
        <v>4</v>
      </c>
      <c r="I117">
        <v>3</v>
      </c>
      <c r="J117">
        <v>7</v>
      </c>
      <c r="K117">
        <v>75.95</v>
      </c>
      <c r="L117">
        <v>75.37</v>
      </c>
    </row>
    <row r="118" spans="1:12" x14ac:dyDescent="0.2">
      <c r="A118" s="4">
        <v>117</v>
      </c>
      <c r="B118" t="s">
        <v>116</v>
      </c>
      <c r="C118">
        <v>75.83</v>
      </c>
      <c r="D118">
        <v>19</v>
      </c>
      <c r="E118">
        <v>14</v>
      </c>
      <c r="F118">
        <v>71.680000000000007</v>
      </c>
      <c r="G118">
        <v>0</v>
      </c>
      <c r="H118">
        <v>1</v>
      </c>
      <c r="I118">
        <v>0</v>
      </c>
      <c r="J118">
        <v>1</v>
      </c>
      <c r="K118">
        <v>75.36</v>
      </c>
      <c r="L118">
        <v>75.94</v>
      </c>
    </row>
    <row r="119" spans="1:12" x14ac:dyDescent="0.2">
      <c r="A119" s="4">
        <v>118</v>
      </c>
      <c r="B119" t="s">
        <v>142</v>
      </c>
      <c r="C119">
        <v>75.819999999999993</v>
      </c>
      <c r="D119">
        <v>20</v>
      </c>
      <c r="E119">
        <v>12</v>
      </c>
      <c r="F119">
        <v>74.12</v>
      </c>
      <c r="G119">
        <v>0</v>
      </c>
      <c r="H119">
        <v>1</v>
      </c>
      <c r="I119">
        <v>1</v>
      </c>
      <c r="J119">
        <v>5</v>
      </c>
      <c r="K119">
        <v>78.260000000000005</v>
      </c>
      <c r="L119">
        <v>73.28</v>
      </c>
    </row>
    <row r="120" spans="1:12" x14ac:dyDescent="0.2">
      <c r="A120" s="4">
        <v>119</v>
      </c>
      <c r="B120" t="s">
        <v>249</v>
      </c>
      <c r="C120">
        <v>75.62</v>
      </c>
      <c r="D120">
        <v>19</v>
      </c>
      <c r="E120">
        <v>14</v>
      </c>
      <c r="F120">
        <v>75.290000000000006</v>
      </c>
      <c r="G120">
        <v>2</v>
      </c>
      <c r="H120">
        <v>3</v>
      </c>
      <c r="I120">
        <v>2</v>
      </c>
      <c r="J120">
        <v>4</v>
      </c>
      <c r="K120">
        <v>77.44</v>
      </c>
      <c r="L120">
        <v>73.58</v>
      </c>
    </row>
    <row r="121" spans="1:12" x14ac:dyDescent="0.2">
      <c r="A121" s="4">
        <v>120</v>
      </c>
      <c r="B121" t="s">
        <v>195</v>
      </c>
      <c r="C121">
        <v>75.59</v>
      </c>
      <c r="D121">
        <v>23</v>
      </c>
      <c r="E121">
        <v>11</v>
      </c>
      <c r="F121">
        <v>71.23</v>
      </c>
      <c r="G121">
        <v>0</v>
      </c>
      <c r="H121">
        <v>1</v>
      </c>
      <c r="I121">
        <v>0</v>
      </c>
      <c r="J121">
        <v>1</v>
      </c>
      <c r="K121">
        <v>77.099999999999994</v>
      </c>
      <c r="L121">
        <v>73.819999999999993</v>
      </c>
    </row>
    <row r="122" spans="1:12" x14ac:dyDescent="0.2">
      <c r="A122" s="4">
        <v>121</v>
      </c>
      <c r="B122" t="s">
        <v>89</v>
      </c>
      <c r="C122">
        <v>75.47</v>
      </c>
      <c r="D122">
        <v>23</v>
      </c>
      <c r="E122">
        <v>9</v>
      </c>
      <c r="F122">
        <v>68.319999999999993</v>
      </c>
      <c r="G122">
        <v>0</v>
      </c>
      <c r="H122">
        <v>2</v>
      </c>
      <c r="I122">
        <v>0</v>
      </c>
      <c r="J122">
        <v>2</v>
      </c>
      <c r="K122">
        <v>76.37</v>
      </c>
      <c r="L122">
        <v>74.260000000000005</v>
      </c>
    </row>
    <row r="123" spans="1:12" x14ac:dyDescent="0.2">
      <c r="A123" s="4">
        <v>122</v>
      </c>
      <c r="B123" t="s">
        <v>133</v>
      </c>
      <c r="C123">
        <v>75.430000000000007</v>
      </c>
      <c r="D123">
        <v>22</v>
      </c>
      <c r="E123">
        <v>13</v>
      </c>
      <c r="F123">
        <v>71.75</v>
      </c>
      <c r="G123">
        <v>0</v>
      </c>
      <c r="H123">
        <v>1</v>
      </c>
      <c r="I123">
        <v>0</v>
      </c>
      <c r="J123">
        <v>2</v>
      </c>
      <c r="K123">
        <v>76.13</v>
      </c>
      <c r="L123">
        <v>74.400000000000006</v>
      </c>
    </row>
    <row r="124" spans="1:12" x14ac:dyDescent="0.2">
      <c r="A124" s="4">
        <v>123</v>
      </c>
      <c r="B124" t="s">
        <v>45</v>
      </c>
      <c r="C124">
        <v>75.430000000000007</v>
      </c>
      <c r="D124">
        <v>14</v>
      </c>
      <c r="E124">
        <v>17</v>
      </c>
      <c r="F124">
        <v>78.209999999999994</v>
      </c>
      <c r="G124">
        <v>0</v>
      </c>
      <c r="H124">
        <v>7</v>
      </c>
      <c r="I124">
        <v>0</v>
      </c>
      <c r="J124">
        <v>11</v>
      </c>
      <c r="K124">
        <v>76.260000000000005</v>
      </c>
      <c r="L124">
        <v>74.27</v>
      </c>
    </row>
    <row r="125" spans="1:12" x14ac:dyDescent="0.2">
      <c r="A125" s="4">
        <v>124</v>
      </c>
      <c r="B125" t="s">
        <v>791</v>
      </c>
      <c r="C125">
        <v>75.33</v>
      </c>
      <c r="D125">
        <v>17</v>
      </c>
      <c r="E125">
        <v>14</v>
      </c>
      <c r="F125">
        <v>74.569999999999993</v>
      </c>
      <c r="G125">
        <v>1</v>
      </c>
      <c r="H125">
        <v>1</v>
      </c>
      <c r="I125">
        <v>1</v>
      </c>
      <c r="J125">
        <v>6</v>
      </c>
      <c r="K125">
        <v>75.91</v>
      </c>
      <c r="L125">
        <v>74.42</v>
      </c>
    </row>
    <row r="126" spans="1:12" x14ac:dyDescent="0.2">
      <c r="A126" s="4">
        <v>125</v>
      </c>
      <c r="B126" t="s">
        <v>811</v>
      </c>
      <c r="C126">
        <v>75.03</v>
      </c>
      <c r="D126">
        <v>12</v>
      </c>
      <c r="E126">
        <v>19</v>
      </c>
      <c r="F126">
        <v>78.349999999999994</v>
      </c>
      <c r="G126">
        <v>0</v>
      </c>
      <c r="H126">
        <v>4</v>
      </c>
      <c r="I126">
        <v>0</v>
      </c>
      <c r="J126">
        <v>8</v>
      </c>
      <c r="K126">
        <v>74.72</v>
      </c>
      <c r="L126">
        <v>74.98</v>
      </c>
    </row>
    <row r="127" spans="1:12" x14ac:dyDescent="0.2">
      <c r="A127" s="4">
        <v>126</v>
      </c>
      <c r="B127" t="s">
        <v>216</v>
      </c>
      <c r="C127">
        <v>74.95</v>
      </c>
      <c r="D127">
        <v>15</v>
      </c>
      <c r="E127">
        <v>15</v>
      </c>
      <c r="F127">
        <v>75.819999999999993</v>
      </c>
      <c r="G127">
        <v>0</v>
      </c>
      <c r="H127">
        <v>4</v>
      </c>
      <c r="I127">
        <v>0</v>
      </c>
      <c r="J127">
        <v>7</v>
      </c>
      <c r="K127">
        <v>75.22</v>
      </c>
      <c r="L127">
        <v>74.33</v>
      </c>
    </row>
    <row r="128" spans="1:12" x14ac:dyDescent="0.2">
      <c r="A128" s="4">
        <v>127</v>
      </c>
      <c r="B128" t="s">
        <v>798</v>
      </c>
      <c r="C128">
        <v>74.92</v>
      </c>
      <c r="D128">
        <v>21</v>
      </c>
      <c r="E128">
        <v>9</v>
      </c>
      <c r="F128">
        <v>69</v>
      </c>
      <c r="G128">
        <v>0</v>
      </c>
      <c r="H128">
        <v>0</v>
      </c>
      <c r="I128">
        <v>0</v>
      </c>
      <c r="J128">
        <v>1</v>
      </c>
      <c r="K128">
        <v>75.23</v>
      </c>
      <c r="L128">
        <v>74.260000000000005</v>
      </c>
    </row>
    <row r="129" spans="1:12" x14ac:dyDescent="0.2">
      <c r="A129" s="4">
        <v>128</v>
      </c>
      <c r="B129" t="s">
        <v>183</v>
      </c>
      <c r="C129">
        <v>74.849999999999994</v>
      </c>
      <c r="D129">
        <v>10</v>
      </c>
      <c r="E129">
        <v>23</v>
      </c>
      <c r="F129">
        <v>80.78</v>
      </c>
      <c r="G129">
        <v>0</v>
      </c>
      <c r="H129">
        <v>2</v>
      </c>
      <c r="I129">
        <v>2</v>
      </c>
      <c r="J129">
        <v>14</v>
      </c>
      <c r="K129">
        <v>74.25</v>
      </c>
      <c r="L129">
        <v>75.11</v>
      </c>
    </row>
    <row r="130" spans="1:12" x14ac:dyDescent="0.2">
      <c r="A130" s="4">
        <v>129</v>
      </c>
      <c r="B130" t="s">
        <v>95</v>
      </c>
      <c r="C130">
        <v>74.8</v>
      </c>
      <c r="D130">
        <v>20</v>
      </c>
      <c r="E130">
        <v>11</v>
      </c>
      <c r="F130">
        <v>71.290000000000006</v>
      </c>
      <c r="G130">
        <v>0</v>
      </c>
      <c r="H130">
        <v>0</v>
      </c>
      <c r="I130">
        <v>0</v>
      </c>
      <c r="J130">
        <v>1</v>
      </c>
      <c r="K130">
        <v>75.849999999999994</v>
      </c>
      <c r="L130">
        <v>73.430000000000007</v>
      </c>
    </row>
    <row r="131" spans="1:12" x14ac:dyDescent="0.2">
      <c r="A131" s="4">
        <v>130</v>
      </c>
      <c r="B131" t="s">
        <v>293</v>
      </c>
      <c r="C131">
        <v>74.790000000000006</v>
      </c>
      <c r="D131">
        <v>19</v>
      </c>
      <c r="E131">
        <v>11</v>
      </c>
      <c r="F131">
        <v>70.58</v>
      </c>
      <c r="G131">
        <v>0</v>
      </c>
      <c r="H131">
        <v>3</v>
      </c>
      <c r="I131">
        <v>0</v>
      </c>
      <c r="J131">
        <v>3</v>
      </c>
      <c r="K131">
        <v>74.430000000000007</v>
      </c>
      <c r="L131">
        <v>74.8</v>
      </c>
    </row>
    <row r="132" spans="1:12" x14ac:dyDescent="0.2">
      <c r="A132" s="4">
        <v>131</v>
      </c>
      <c r="B132" t="s">
        <v>127</v>
      </c>
      <c r="C132">
        <v>74.709999999999994</v>
      </c>
      <c r="D132">
        <v>20</v>
      </c>
      <c r="E132">
        <v>14</v>
      </c>
      <c r="F132">
        <v>73.400000000000006</v>
      </c>
      <c r="G132">
        <v>0</v>
      </c>
      <c r="H132">
        <v>1</v>
      </c>
      <c r="I132">
        <v>1</v>
      </c>
      <c r="J132">
        <v>2</v>
      </c>
      <c r="K132">
        <v>76.459999999999994</v>
      </c>
      <c r="L132">
        <v>72.7</v>
      </c>
    </row>
    <row r="133" spans="1:12" x14ac:dyDescent="0.2">
      <c r="A133" s="4">
        <v>132</v>
      </c>
      <c r="B133" t="s">
        <v>192</v>
      </c>
      <c r="C133">
        <v>74.680000000000007</v>
      </c>
      <c r="D133">
        <v>19</v>
      </c>
      <c r="E133">
        <v>11</v>
      </c>
      <c r="F133">
        <v>70.64</v>
      </c>
      <c r="G133">
        <v>0</v>
      </c>
      <c r="H133">
        <v>0</v>
      </c>
      <c r="I133">
        <v>1</v>
      </c>
      <c r="J133">
        <v>0</v>
      </c>
      <c r="K133">
        <v>73.52</v>
      </c>
      <c r="L133">
        <v>75.52</v>
      </c>
    </row>
    <row r="134" spans="1:12" x14ac:dyDescent="0.2">
      <c r="A134" s="4">
        <v>133</v>
      </c>
      <c r="B134" t="s">
        <v>272</v>
      </c>
      <c r="C134">
        <v>74.540000000000006</v>
      </c>
      <c r="D134">
        <v>17</v>
      </c>
      <c r="E134">
        <v>14</v>
      </c>
      <c r="F134">
        <v>73.12</v>
      </c>
      <c r="G134">
        <v>0</v>
      </c>
      <c r="H134">
        <v>3</v>
      </c>
      <c r="I134">
        <v>0</v>
      </c>
      <c r="J134">
        <v>4</v>
      </c>
      <c r="K134">
        <v>74.16</v>
      </c>
      <c r="L134">
        <v>74.56</v>
      </c>
    </row>
    <row r="135" spans="1:12" x14ac:dyDescent="0.2">
      <c r="A135" s="4">
        <v>134</v>
      </c>
      <c r="B135" t="s">
        <v>47</v>
      </c>
      <c r="C135">
        <v>74.5</v>
      </c>
      <c r="D135">
        <v>17</v>
      </c>
      <c r="E135">
        <v>15</v>
      </c>
      <c r="F135">
        <v>74.430000000000007</v>
      </c>
      <c r="G135">
        <v>0</v>
      </c>
      <c r="H135">
        <v>3</v>
      </c>
      <c r="I135">
        <v>1</v>
      </c>
      <c r="J135">
        <v>5</v>
      </c>
      <c r="K135">
        <v>75.25</v>
      </c>
      <c r="L135">
        <v>73.42</v>
      </c>
    </row>
    <row r="136" spans="1:12" x14ac:dyDescent="0.2">
      <c r="A136" s="4">
        <v>135</v>
      </c>
      <c r="B136" t="s">
        <v>550</v>
      </c>
      <c r="C136">
        <v>74.430000000000007</v>
      </c>
      <c r="D136">
        <v>16</v>
      </c>
      <c r="E136">
        <v>16</v>
      </c>
      <c r="F136">
        <v>73.959999999999994</v>
      </c>
      <c r="G136">
        <v>0</v>
      </c>
      <c r="H136">
        <v>3</v>
      </c>
      <c r="I136">
        <v>0</v>
      </c>
      <c r="J136">
        <v>3</v>
      </c>
      <c r="K136">
        <v>74.09</v>
      </c>
      <c r="L136">
        <v>74.41</v>
      </c>
    </row>
    <row r="137" spans="1:12" x14ac:dyDescent="0.2">
      <c r="A137" s="4">
        <v>136</v>
      </c>
      <c r="B137" t="s">
        <v>859</v>
      </c>
      <c r="C137">
        <v>74.23</v>
      </c>
      <c r="D137">
        <v>17</v>
      </c>
      <c r="E137">
        <v>12</v>
      </c>
      <c r="F137">
        <v>69.59</v>
      </c>
      <c r="G137">
        <v>0</v>
      </c>
      <c r="H137">
        <v>0</v>
      </c>
      <c r="I137">
        <v>0</v>
      </c>
      <c r="J137">
        <v>0</v>
      </c>
      <c r="K137">
        <v>71.680000000000007</v>
      </c>
      <c r="L137">
        <v>76.59</v>
      </c>
    </row>
    <row r="138" spans="1:12" x14ac:dyDescent="0.2">
      <c r="A138" s="4">
        <v>137</v>
      </c>
      <c r="B138" t="s">
        <v>31</v>
      </c>
      <c r="C138">
        <v>74.19</v>
      </c>
      <c r="D138">
        <v>13</v>
      </c>
      <c r="E138">
        <v>19</v>
      </c>
      <c r="F138">
        <v>77.099999999999994</v>
      </c>
      <c r="G138">
        <v>0</v>
      </c>
      <c r="H138">
        <v>4</v>
      </c>
      <c r="I138">
        <v>0</v>
      </c>
      <c r="J138">
        <v>9</v>
      </c>
      <c r="K138">
        <v>73.319999999999993</v>
      </c>
      <c r="L138">
        <v>74.72</v>
      </c>
    </row>
    <row r="139" spans="1:12" x14ac:dyDescent="0.2">
      <c r="A139" s="4">
        <v>138</v>
      </c>
      <c r="B139" t="s">
        <v>113</v>
      </c>
      <c r="C139">
        <v>74.19</v>
      </c>
      <c r="D139">
        <v>12</v>
      </c>
      <c r="E139">
        <v>18</v>
      </c>
      <c r="F139">
        <v>77.94</v>
      </c>
      <c r="G139">
        <v>0</v>
      </c>
      <c r="H139">
        <v>6</v>
      </c>
      <c r="I139">
        <v>0</v>
      </c>
      <c r="J139">
        <v>10</v>
      </c>
      <c r="K139">
        <v>73.900000000000006</v>
      </c>
      <c r="L139">
        <v>74.12</v>
      </c>
    </row>
    <row r="140" spans="1:12" x14ac:dyDescent="0.2">
      <c r="A140" s="4">
        <v>139</v>
      </c>
      <c r="B140" t="s">
        <v>68</v>
      </c>
      <c r="C140">
        <v>74.05</v>
      </c>
      <c r="D140">
        <v>16</v>
      </c>
      <c r="E140">
        <v>15</v>
      </c>
      <c r="F140">
        <v>74.209999999999994</v>
      </c>
      <c r="G140">
        <v>0</v>
      </c>
      <c r="H140">
        <v>0</v>
      </c>
      <c r="I140">
        <v>1</v>
      </c>
      <c r="J140">
        <v>4</v>
      </c>
      <c r="K140">
        <v>74.62</v>
      </c>
      <c r="L140">
        <v>73.13</v>
      </c>
    </row>
    <row r="141" spans="1:12" x14ac:dyDescent="0.2">
      <c r="A141" s="4">
        <v>140</v>
      </c>
      <c r="B141" t="s">
        <v>275</v>
      </c>
      <c r="C141">
        <v>74.02</v>
      </c>
      <c r="D141">
        <v>15</v>
      </c>
      <c r="E141">
        <v>16</v>
      </c>
      <c r="F141">
        <v>75.41</v>
      </c>
      <c r="G141">
        <v>0</v>
      </c>
      <c r="H141">
        <v>0</v>
      </c>
      <c r="I141">
        <v>0</v>
      </c>
      <c r="J141">
        <v>2</v>
      </c>
      <c r="K141">
        <v>74.55</v>
      </c>
      <c r="L141">
        <v>73.14</v>
      </c>
    </row>
    <row r="142" spans="1:12" x14ac:dyDescent="0.2">
      <c r="A142" s="4">
        <v>141</v>
      </c>
      <c r="B142" t="s">
        <v>296</v>
      </c>
      <c r="C142">
        <v>73.88</v>
      </c>
      <c r="D142">
        <v>19</v>
      </c>
      <c r="E142">
        <v>12</v>
      </c>
      <c r="F142">
        <v>70.540000000000006</v>
      </c>
      <c r="G142">
        <v>1</v>
      </c>
      <c r="H142">
        <v>0</v>
      </c>
      <c r="I142">
        <v>1</v>
      </c>
      <c r="J142">
        <v>2</v>
      </c>
      <c r="K142">
        <v>74.489999999999995</v>
      </c>
      <c r="L142">
        <v>72.92</v>
      </c>
    </row>
    <row r="143" spans="1:12" x14ac:dyDescent="0.2">
      <c r="A143" s="4">
        <v>142</v>
      </c>
      <c r="B143" t="s">
        <v>160</v>
      </c>
      <c r="C143">
        <v>73.819999999999993</v>
      </c>
      <c r="D143">
        <v>19</v>
      </c>
      <c r="E143">
        <v>16</v>
      </c>
      <c r="F143">
        <v>72.739999999999995</v>
      </c>
      <c r="G143">
        <v>0</v>
      </c>
      <c r="H143">
        <v>0</v>
      </c>
      <c r="I143">
        <v>0</v>
      </c>
      <c r="J143">
        <v>1</v>
      </c>
      <c r="K143">
        <v>73.08</v>
      </c>
      <c r="L143">
        <v>74.209999999999994</v>
      </c>
    </row>
    <row r="144" spans="1:12" x14ac:dyDescent="0.2">
      <c r="A144" s="4">
        <v>143</v>
      </c>
      <c r="B144" t="s">
        <v>251</v>
      </c>
      <c r="C144">
        <v>73.819999999999993</v>
      </c>
      <c r="D144">
        <v>18</v>
      </c>
      <c r="E144">
        <v>14</v>
      </c>
      <c r="F144">
        <v>71.52</v>
      </c>
      <c r="G144">
        <v>0</v>
      </c>
      <c r="H144">
        <v>3</v>
      </c>
      <c r="I144">
        <v>0</v>
      </c>
      <c r="J144">
        <v>3</v>
      </c>
      <c r="K144">
        <v>74.010000000000005</v>
      </c>
      <c r="L144">
        <v>73.260000000000005</v>
      </c>
    </row>
    <row r="145" spans="1:12" x14ac:dyDescent="0.2">
      <c r="A145" s="4">
        <v>144</v>
      </c>
      <c r="B145" t="s">
        <v>50</v>
      </c>
      <c r="C145">
        <v>73.73</v>
      </c>
      <c r="D145">
        <v>16</v>
      </c>
      <c r="E145">
        <v>15</v>
      </c>
      <c r="F145">
        <v>72.2</v>
      </c>
      <c r="G145">
        <v>0</v>
      </c>
      <c r="H145">
        <v>2</v>
      </c>
      <c r="I145">
        <v>0</v>
      </c>
      <c r="J145">
        <v>3</v>
      </c>
      <c r="K145">
        <v>73.03</v>
      </c>
      <c r="L145">
        <v>74.09</v>
      </c>
    </row>
    <row r="146" spans="1:12" x14ac:dyDescent="0.2">
      <c r="A146" s="4">
        <v>145</v>
      </c>
      <c r="B146" t="s">
        <v>64</v>
      </c>
      <c r="C146">
        <v>73.72</v>
      </c>
      <c r="D146">
        <v>17</v>
      </c>
      <c r="E146">
        <v>15</v>
      </c>
      <c r="F146">
        <v>71.75</v>
      </c>
      <c r="G146">
        <v>0</v>
      </c>
      <c r="H146">
        <v>1</v>
      </c>
      <c r="I146">
        <v>0</v>
      </c>
      <c r="J146">
        <v>3</v>
      </c>
      <c r="K146">
        <v>73.31</v>
      </c>
      <c r="L146">
        <v>73.77</v>
      </c>
    </row>
    <row r="147" spans="1:12" x14ac:dyDescent="0.2">
      <c r="A147" s="4">
        <v>146</v>
      </c>
      <c r="B147" t="s">
        <v>560</v>
      </c>
      <c r="C147">
        <v>73.709999999999994</v>
      </c>
      <c r="D147">
        <v>19</v>
      </c>
      <c r="E147">
        <v>16</v>
      </c>
      <c r="F147">
        <v>71.959999999999994</v>
      </c>
      <c r="G147">
        <v>0</v>
      </c>
      <c r="H147">
        <v>1</v>
      </c>
      <c r="I147">
        <v>0</v>
      </c>
      <c r="J147">
        <v>2</v>
      </c>
      <c r="K147">
        <v>74.239999999999995</v>
      </c>
      <c r="L147">
        <v>72.84</v>
      </c>
    </row>
    <row r="148" spans="1:12" x14ac:dyDescent="0.2">
      <c r="A148" s="4">
        <v>147</v>
      </c>
      <c r="B148" t="s">
        <v>234</v>
      </c>
      <c r="C148">
        <v>73.52</v>
      </c>
      <c r="D148">
        <v>15</v>
      </c>
      <c r="E148">
        <v>16</v>
      </c>
      <c r="F148">
        <v>74.760000000000005</v>
      </c>
      <c r="G148">
        <v>1</v>
      </c>
      <c r="H148">
        <v>3</v>
      </c>
      <c r="I148">
        <v>1</v>
      </c>
      <c r="J148">
        <v>3</v>
      </c>
      <c r="K148">
        <v>74.41</v>
      </c>
      <c r="L148">
        <v>72.28</v>
      </c>
    </row>
    <row r="149" spans="1:12" x14ac:dyDescent="0.2">
      <c r="A149" s="4">
        <v>148</v>
      </c>
      <c r="B149" t="s">
        <v>228</v>
      </c>
      <c r="C149">
        <v>73.47</v>
      </c>
      <c r="D149">
        <v>18</v>
      </c>
      <c r="E149">
        <v>14</v>
      </c>
      <c r="F149">
        <v>70.66</v>
      </c>
      <c r="G149">
        <v>0</v>
      </c>
      <c r="H149">
        <v>1</v>
      </c>
      <c r="I149">
        <v>0</v>
      </c>
      <c r="J149">
        <v>1</v>
      </c>
      <c r="K149">
        <v>72.22</v>
      </c>
      <c r="L149">
        <v>74.39</v>
      </c>
    </row>
    <row r="150" spans="1:12" x14ac:dyDescent="0.2">
      <c r="A150" s="4">
        <v>149</v>
      </c>
      <c r="B150" t="s">
        <v>209</v>
      </c>
      <c r="C150">
        <v>73.290000000000006</v>
      </c>
      <c r="D150">
        <v>16</v>
      </c>
      <c r="E150">
        <v>13</v>
      </c>
      <c r="F150">
        <v>71.62</v>
      </c>
      <c r="G150">
        <v>0</v>
      </c>
      <c r="H150">
        <v>1</v>
      </c>
      <c r="I150">
        <v>1</v>
      </c>
      <c r="J150">
        <v>3</v>
      </c>
      <c r="K150">
        <v>73.31</v>
      </c>
      <c r="L150">
        <v>72.92</v>
      </c>
    </row>
    <row r="151" spans="1:12" x14ac:dyDescent="0.2">
      <c r="A151" s="4">
        <v>150</v>
      </c>
      <c r="B151" t="s">
        <v>74</v>
      </c>
      <c r="C151">
        <v>73.25</v>
      </c>
      <c r="D151">
        <v>11</v>
      </c>
      <c r="E151">
        <v>19</v>
      </c>
      <c r="F151">
        <v>75.58</v>
      </c>
      <c r="G151">
        <v>0</v>
      </c>
      <c r="H151">
        <v>1</v>
      </c>
      <c r="I151">
        <v>0</v>
      </c>
      <c r="J151">
        <v>5</v>
      </c>
      <c r="K151">
        <v>71.459999999999994</v>
      </c>
      <c r="L151">
        <v>74.72</v>
      </c>
    </row>
    <row r="152" spans="1:12" x14ac:dyDescent="0.2">
      <c r="A152" s="4">
        <v>151</v>
      </c>
      <c r="B152" t="s">
        <v>182</v>
      </c>
      <c r="C152">
        <v>73.23</v>
      </c>
      <c r="D152">
        <v>17</v>
      </c>
      <c r="E152">
        <v>14</v>
      </c>
      <c r="F152">
        <v>70.84</v>
      </c>
      <c r="G152">
        <v>0</v>
      </c>
      <c r="H152">
        <v>4</v>
      </c>
      <c r="I152">
        <v>0</v>
      </c>
      <c r="J152">
        <v>4</v>
      </c>
      <c r="K152">
        <v>73.33</v>
      </c>
      <c r="L152">
        <v>72.78</v>
      </c>
    </row>
    <row r="153" spans="1:12" x14ac:dyDescent="0.2">
      <c r="A153" s="4">
        <v>152</v>
      </c>
      <c r="B153" t="s">
        <v>187</v>
      </c>
      <c r="C153">
        <v>73.22</v>
      </c>
      <c r="D153">
        <v>17</v>
      </c>
      <c r="E153">
        <v>14</v>
      </c>
      <c r="F153">
        <v>72.650000000000006</v>
      </c>
      <c r="G153">
        <v>0</v>
      </c>
      <c r="H153">
        <v>0</v>
      </c>
      <c r="I153">
        <v>0</v>
      </c>
      <c r="J153">
        <v>5</v>
      </c>
      <c r="K153">
        <v>74.56</v>
      </c>
      <c r="L153">
        <v>71.540000000000006</v>
      </c>
    </row>
    <row r="154" spans="1:12" x14ac:dyDescent="0.2">
      <c r="A154" s="4">
        <v>153</v>
      </c>
      <c r="B154" t="s">
        <v>561</v>
      </c>
      <c r="C154">
        <v>73.19</v>
      </c>
      <c r="D154">
        <v>22</v>
      </c>
      <c r="E154">
        <v>9</v>
      </c>
      <c r="F154">
        <v>67.92</v>
      </c>
      <c r="G154">
        <v>0</v>
      </c>
      <c r="H154">
        <v>3</v>
      </c>
      <c r="I154">
        <v>0</v>
      </c>
      <c r="J154">
        <v>4</v>
      </c>
      <c r="K154">
        <v>75.62</v>
      </c>
      <c r="L154">
        <v>70.47</v>
      </c>
    </row>
    <row r="155" spans="1:12" x14ac:dyDescent="0.2">
      <c r="A155" s="4">
        <v>154</v>
      </c>
      <c r="B155" t="s">
        <v>819</v>
      </c>
      <c r="C155">
        <v>73.12</v>
      </c>
      <c r="D155">
        <v>14</v>
      </c>
      <c r="E155">
        <v>17</v>
      </c>
      <c r="F155">
        <v>74.150000000000006</v>
      </c>
      <c r="G155">
        <v>0</v>
      </c>
      <c r="H155">
        <v>1</v>
      </c>
      <c r="I155">
        <v>0</v>
      </c>
      <c r="J155">
        <v>3</v>
      </c>
      <c r="K155">
        <v>72.03</v>
      </c>
      <c r="L155">
        <v>73.849999999999994</v>
      </c>
    </row>
    <row r="156" spans="1:12" x14ac:dyDescent="0.2">
      <c r="A156" s="4">
        <v>155</v>
      </c>
      <c r="B156" t="s">
        <v>813</v>
      </c>
      <c r="C156">
        <v>73.12</v>
      </c>
      <c r="D156">
        <v>18</v>
      </c>
      <c r="E156">
        <v>12</v>
      </c>
      <c r="F156">
        <v>70.05</v>
      </c>
      <c r="G156">
        <v>0</v>
      </c>
      <c r="H156">
        <v>1</v>
      </c>
      <c r="I156">
        <v>0</v>
      </c>
      <c r="J156">
        <v>2</v>
      </c>
      <c r="K156">
        <v>73.349999999999994</v>
      </c>
      <c r="L156">
        <v>72.53</v>
      </c>
    </row>
    <row r="157" spans="1:12" x14ac:dyDescent="0.2">
      <c r="A157" s="4">
        <v>156</v>
      </c>
      <c r="B157" t="s">
        <v>254</v>
      </c>
      <c r="C157">
        <v>73.099999999999994</v>
      </c>
      <c r="D157">
        <v>17</v>
      </c>
      <c r="E157">
        <v>13</v>
      </c>
      <c r="F157">
        <v>69.790000000000006</v>
      </c>
      <c r="G157">
        <v>0</v>
      </c>
      <c r="H157">
        <v>1</v>
      </c>
      <c r="I157">
        <v>0</v>
      </c>
      <c r="J157">
        <v>1</v>
      </c>
      <c r="K157">
        <v>71.38</v>
      </c>
      <c r="L157">
        <v>74.489999999999995</v>
      </c>
    </row>
    <row r="158" spans="1:12" x14ac:dyDescent="0.2">
      <c r="A158" s="4">
        <v>157</v>
      </c>
      <c r="B158" t="s">
        <v>259</v>
      </c>
      <c r="C158">
        <v>72.930000000000007</v>
      </c>
      <c r="D158">
        <v>13</v>
      </c>
      <c r="E158">
        <v>18</v>
      </c>
      <c r="F158">
        <v>75.47</v>
      </c>
      <c r="G158">
        <v>0</v>
      </c>
      <c r="H158">
        <v>5</v>
      </c>
      <c r="I158">
        <v>0</v>
      </c>
      <c r="J158">
        <v>5</v>
      </c>
      <c r="K158">
        <v>72.91</v>
      </c>
      <c r="L158">
        <v>72.59</v>
      </c>
    </row>
    <row r="159" spans="1:12" x14ac:dyDescent="0.2">
      <c r="A159" s="4">
        <v>158</v>
      </c>
      <c r="B159" t="s">
        <v>143</v>
      </c>
      <c r="C159">
        <v>72.91</v>
      </c>
      <c r="D159">
        <v>16</v>
      </c>
      <c r="E159">
        <v>14</v>
      </c>
      <c r="F159">
        <v>72</v>
      </c>
      <c r="G159">
        <v>0</v>
      </c>
      <c r="H159">
        <v>2</v>
      </c>
      <c r="I159">
        <v>1</v>
      </c>
      <c r="J159">
        <v>2</v>
      </c>
      <c r="K159">
        <v>71.83</v>
      </c>
      <c r="L159">
        <v>73.63</v>
      </c>
    </row>
    <row r="160" spans="1:12" x14ac:dyDescent="0.2">
      <c r="A160" s="4">
        <v>159</v>
      </c>
      <c r="B160" t="s">
        <v>257</v>
      </c>
      <c r="C160">
        <v>72.790000000000006</v>
      </c>
      <c r="D160">
        <v>17</v>
      </c>
      <c r="E160">
        <v>14</v>
      </c>
      <c r="F160">
        <v>71.760000000000005</v>
      </c>
      <c r="G160">
        <v>0</v>
      </c>
      <c r="H160">
        <v>0</v>
      </c>
      <c r="I160">
        <v>1</v>
      </c>
      <c r="J160">
        <v>1</v>
      </c>
      <c r="K160">
        <v>72.39</v>
      </c>
      <c r="L160">
        <v>72.84</v>
      </c>
    </row>
    <row r="161" spans="1:12" x14ac:dyDescent="0.2">
      <c r="A161" s="4">
        <v>160</v>
      </c>
      <c r="B161" t="s">
        <v>148</v>
      </c>
      <c r="C161">
        <v>72.77</v>
      </c>
      <c r="D161">
        <v>19</v>
      </c>
      <c r="E161">
        <v>11</v>
      </c>
      <c r="F161">
        <v>70.63</v>
      </c>
      <c r="G161">
        <v>0</v>
      </c>
      <c r="H161">
        <v>1</v>
      </c>
      <c r="I161">
        <v>0</v>
      </c>
      <c r="J161">
        <v>2</v>
      </c>
      <c r="K161">
        <v>74.52</v>
      </c>
      <c r="L161">
        <v>70.69</v>
      </c>
    </row>
    <row r="162" spans="1:12" x14ac:dyDescent="0.2">
      <c r="A162" s="4">
        <v>161</v>
      </c>
      <c r="B162" t="s">
        <v>61</v>
      </c>
      <c r="C162">
        <v>72.709999999999994</v>
      </c>
      <c r="D162">
        <v>17</v>
      </c>
      <c r="E162">
        <v>15</v>
      </c>
      <c r="F162">
        <v>71.010000000000005</v>
      </c>
      <c r="G162">
        <v>0</v>
      </c>
      <c r="H162">
        <v>0</v>
      </c>
      <c r="I162">
        <v>0</v>
      </c>
      <c r="J162">
        <v>0</v>
      </c>
      <c r="K162">
        <v>72.59</v>
      </c>
      <c r="L162">
        <v>72.47</v>
      </c>
    </row>
    <row r="163" spans="1:12" x14ac:dyDescent="0.2">
      <c r="A163" s="4">
        <v>162</v>
      </c>
      <c r="B163" t="s">
        <v>556</v>
      </c>
      <c r="C163">
        <v>72.67</v>
      </c>
      <c r="D163">
        <v>18</v>
      </c>
      <c r="E163">
        <v>13</v>
      </c>
      <c r="F163">
        <v>70.739999999999995</v>
      </c>
      <c r="G163">
        <v>0</v>
      </c>
      <c r="H163">
        <v>1</v>
      </c>
      <c r="I163">
        <v>0</v>
      </c>
      <c r="J163">
        <v>4</v>
      </c>
      <c r="K163">
        <v>72.64</v>
      </c>
      <c r="L163">
        <v>72.34</v>
      </c>
    </row>
    <row r="164" spans="1:12" x14ac:dyDescent="0.2">
      <c r="A164" s="4">
        <v>163</v>
      </c>
      <c r="B164" t="s">
        <v>178</v>
      </c>
      <c r="C164">
        <v>72.58</v>
      </c>
      <c r="D164">
        <v>15</v>
      </c>
      <c r="E164">
        <v>18</v>
      </c>
      <c r="F164">
        <v>74.17</v>
      </c>
      <c r="G164">
        <v>0</v>
      </c>
      <c r="H164">
        <v>0</v>
      </c>
      <c r="I164">
        <v>0</v>
      </c>
      <c r="J164">
        <v>7</v>
      </c>
      <c r="K164">
        <v>73.27</v>
      </c>
      <c r="L164">
        <v>71.53</v>
      </c>
    </row>
    <row r="165" spans="1:12" x14ac:dyDescent="0.2">
      <c r="A165" s="4">
        <v>164</v>
      </c>
      <c r="B165" t="s">
        <v>873</v>
      </c>
      <c r="C165">
        <v>72.47</v>
      </c>
      <c r="D165">
        <v>15</v>
      </c>
      <c r="E165">
        <v>17</v>
      </c>
      <c r="F165">
        <v>75.459999999999994</v>
      </c>
      <c r="G165">
        <v>0</v>
      </c>
      <c r="H165">
        <v>5</v>
      </c>
      <c r="I165">
        <v>1</v>
      </c>
      <c r="J165">
        <v>6</v>
      </c>
      <c r="K165">
        <v>74.34</v>
      </c>
      <c r="L165">
        <v>70.25</v>
      </c>
    </row>
    <row r="166" spans="1:12" x14ac:dyDescent="0.2">
      <c r="A166" s="4">
        <v>165</v>
      </c>
      <c r="B166" t="s">
        <v>245</v>
      </c>
      <c r="C166">
        <v>72.38</v>
      </c>
      <c r="D166">
        <v>20</v>
      </c>
      <c r="E166">
        <v>13</v>
      </c>
      <c r="F166">
        <v>69.819999999999993</v>
      </c>
      <c r="G166">
        <v>0</v>
      </c>
      <c r="H166">
        <v>1</v>
      </c>
      <c r="I166">
        <v>0</v>
      </c>
      <c r="J166">
        <v>3</v>
      </c>
      <c r="K166">
        <v>72.56</v>
      </c>
      <c r="L166">
        <v>71.84</v>
      </c>
    </row>
    <row r="167" spans="1:12" x14ac:dyDescent="0.2">
      <c r="A167" s="4">
        <v>166</v>
      </c>
      <c r="B167" t="s">
        <v>150</v>
      </c>
      <c r="C167">
        <v>72.260000000000005</v>
      </c>
      <c r="D167">
        <v>14</v>
      </c>
      <c r="E167">
        <v>17</v>
      </c>
      <c r="F167">
        <v>74.77</v>
      </c>
      <c r="G167">
        <v>0</v>
      </c>
      <c r="H167">
        <v>0</v>
      </c>
      <c r="I167">
        <v>1</v>
      </c>
      <c r="J167">
        <v>6</v>
      </c>
      <c r="K167">
        <v>74.17</v>
      </c>
      <c r="L167">
        <v>70</v>
      </c>
    </row>
    <row r="168" spans="1:12" x14ac:dyDescent="0.2">
      <c r="A168" s="4">
        <v>167</v>
      </c>
      <c r="B168" t="s">
        <v>165</v>
      </c>
      <c r="C168">
        <v>72.25</v>
      </c>
      <c r="D168">
        <v>14</v>
      </c>
      <c r="E168">
        <v>15</v>
      </c>
      <c r="F168">
        <v>73.650000000000006</v>
      </c>
      <c r="G168">
        <v>0</v>
      </c>
      <c r="H168">
        <v>0</v>
      </c>
      <c r="I168">
        <v>0</v>
      </c>
      <c r="J168">
        <v>3</v>
      </c>
      <c r="K168">
        <v>73.38</v>
      </c>
      <c r="L168">
        <v>70.760000000000005</v>
      </c>
    </row>
    <row r="169" spans="1:12" x14ac:dyDescent="0.2">
      <c r="A169" s="4">
        <v>168</v>
      </c>
      <c r="B169" t="s">
        <v>218</v>
      </c>
      <c r="C169">
        <v>72.19</v>
      </c>
      <c r="D169">
        <v>14</v>
      </c>
      <c r="E169">
        <v>15</v>
      </c>
      <c r="F169">
        <v>71.72</v>
      </c>
      <c r="G169">
        <v>0</v>
      </c>
      <c r="H169">
        <v>0</v>
      </c>
      <c r="I169">
        <v>0</v>
      </c>
      <c r="J169">
        <v>2</v>
      </c>
      <c r="K169">
        <v>70.31</v>
      </c>
      <c r="L169">
        <v>73.7</v>
      </c>
    </row>
    <row r="170" spans="1:12" x14ac:dyDescent="0.2">
      <c r="A170" s="4">
        <v>169</v>
      </c>
      <c r="B170" t="s">
        <v>562</v>
      </c>
      <c r="C170">
        <v>72.13</v>
      </c>
      <c r="D170">
        <v>21</v>
      </c>
      <c r="E170">
        <v>14</v>
      </c>
      <c r="F170">
        <v>69.42</v>
      </c>
      <c r="G170">
        <v>0</v>
      </c>
      <c r="H170">
        <v>2</v>
      </c>
      <c r="I170">
        <v>0</v>
      </c>
      <c r="J170">
        <v>3</v>
      </c>
      <c r="K170">
        <v>72.900000000000006</v>
      </c>
      <c r="L170">
        <v>71</v>
      </c>
    </row>
    <row r="171" spans="1:12" x14ac:dyDescent="0.2">
      <c r="A171" s="4">
        <v>170</v>
      </c>
      <c r="B171" t="s">
        <v>884</v>
      </c>
      <c r="C171">
        <v>72.069999999999993</v>
      </c>
      <c r="D171">
        <v>19</v>
      </c>
      <c r="E171">
        <v>12</v>
      </c>
      <c r="F171">
        <v>68.11</v>
      </c>
      <c r="G171">
        <v>0</v>
      </c>
      <c r="H171">
        <v>0</v>
      </c>
      <c r="I171">
        <v>0</v>
      </c>
      <c r="J171">
        <v>1</v>
      </c>
      <c r="K171">
        <v>72.02</v>
      </c>
      <c r="L171">
        <v>71.77</v>
      </c>
    </row>
    <row r="172" spans="1:12" x14ac:dyDescent="0.2">
      <c r="A172" s="4">
        <v>171</v>
      </c>
      <c r="B172" t="s">
        <v>812</v>
      </c>
      <c r="C172">
        <v>72.05</v>
      </c>
      <c r="D172">
        <v>11</v>
      </c>
      <c r="E172">
        <v>20</v>
      </c>
      <c r="F172">
        <v>76.52</v>
      </c>
      <c r="G172">
        <v>2</v>
      </c>
      <c r="H172">
        <v>3</v>
      </c>
      <c r="I172">
        <v>2</v>
      </c>
      <c r="J172">
        <v>5</v>
      </c>
      <c r="K172">
        <v>71.19</v>
      </c>
      <c r="L172">
        <v>72.55</v>
      </c>
    </row>
    <row r="173" spans="1:12" x14ac:dyDescent="0.2">
      <c r="A173" s="4">
        <v>172</v>
      </c>
      <c r="B173" t="s">
        <v>300</v>
      </c>
      <c r="C173">
        <v>72.040000000000006</v>
      </c>
      <c r="D173">
        <v>12</v>
      </c>
      <c r="E173">
        <v>18</v>
      </c>
      <c r="F173">
        <v>74.14</v>
      </c>
      <c r="G173">
        <v>0</v>
      </c>
      <c r="H173">
        <v>2</v>
      </c>
      <c r="I173">
        <v>0</v>
      </c>
      <c r="J173">
        <v>2</v>
      </c>
      <c r="K173">
        <v>70.540000000000006</v>
      </c>
      <c r="L173">
        <v>73.17</v>
      </c>
    </row>
    <row r="174" spans="1:12" x14ac:dyDescent="0.2">
      <c r="A174" s="4">
        <v>173</v>
      </c>
      <c r="B174" t="s">
        <v>203</v>
      </c>
      <c r="C174">
        <v>71.900000000000006</v>
      </c>
      <c r="D174">
        <v>22</v>
      </c>
      <c r="E174">
        <v>10</v>
      </c>
      <c r="F174">
        <v>67.41</v>
      </c>
      <c r="G174">
        <v>0</v>
      </c>
      <c r="H174">
        <v>0</v>
      </c>
      <c r="I174">
        <v>0</v>
      </c>
      <c r="J174">
        <v>0</v>
      </c>
      <c r="K174">
        <v>72.56</v>
      </c>
      <c r="L174">
        <v>70.88</v>
      </c>
    </row>
    <row r="175" spans="1:12" x14ac:dyDescent="0.2">
      <c r="A175" s="4">
        <v>174</v>
      </c>
      <c r="B175" t="s">
        <v>557</v>
      </c>
      <c r="C175">
        <v>71.88</v>
      </c>
      <c r="D175">
        <v>17</v>
      </c>
      <c r="E175">
        <v>12</v>
      </c>
      <c r="F175">
        <v>68.98</v>
      </c>
      <c r="G175">
        <v>0</v>
      </c>
      <c r="H175">
        <v>2</v>
      </c>
      <c r="I175">
        <v>0</v>
      </c>
      <c r="J175">
        <v>3</v>
      </c>
      <c r="K175">
        <v>71.47</v>
      </c>
      <c r="L175">
        <v>71.94</v>
      </c>
    </row>
    <row r="176" spans="1:12" x14ac:dyDescent="0.2">
      <c r="A176" s="4">
        <v>175</v>
      </c>
      <c r="B176" t="s">
        <v>83</v>
      </c>
      <c r="C176">
        <v>71.73</v>
      </c>
      <c r="D176">
        <v>20</v>
      </c>
      <c r="E176">
        <v>11</v>
      </c>
      <c r="F176">
        <v>67.67</v>
      </c>
      <c r="G176">
        <v>0</v>
      </c>
      <c r="H176">
        <v>1</v>
      </c>
      <c r="I176">
        <v>0</v>
      </c>
      <c r="J176">
        <v>1</v>
      </c>
      <c r="K176">
        <v>71.540000000000006</v>
      </c>
      <c r="L176">
        <v>71.56</v>
      </c>
    </row>
    <row r="177" spans="1:12" x14ac:dyDescent="0.2">
      <c r="A177" s="4">
        <v>176</v>
      </c>
      <c r="B177" t="s">
        <v>783</v>
      </c>
      <c r="C177">
        <v>71.56</v>
      </c>
      <c r="D177">
        <v>11</v>
      </c>
      <c r="E177">
        <v>22</v>
      </c>
      <c r="F177">
        <v>76.72</v>
      </c>
      <c r="G177">
        <v>0</v>
      </c>
      <c r="H177">
        <v>0</v>
      </c>
      <c r="I177">
        <v>0</v>
      </c>
      <c r="J177">
        <v>7</v>
      </c>
      <c r="K177">
        <v>71.97</v>
      </c>
      <c r="L177">
        <v>70.790000000000006</v>
      </c>
    </row>
    <row r="178" spans="1:12" x14ac:dyDescent="0.2">
      <c r="A178" s="4">
        <v>177</v>
      </c>
      <c r="B178" t="s">
        <v>816</v>
      </c>
      <c r="C178">
        <v>71.5</v>
      </c>
      <c r="D178">
        <v>15</v>
      </c>
      <c r="E178">
        <v>14</v>
      </c>
      <c r="F178">
        <v>71.31</v>
      </c>
      <c r="G178">
        <v>0</v>
      </c>
      <c r="H178">
        <v>1</v>
      </c>
      <c r="I178">
        <v>0</v>
      </c>
      <c r="J178">
        <v>2</v>
      </c>
      <c r="K178">
        <v>71.14</v>
      </c>
      <c r="L178">
        <v>71.5</v>
      </c>
    </row>
    <row r="179" spans="1:12" x14ac:dyDescent="0.2">
      <c r="A179" s="4">
        <v>178</v>
      </c>
      <c r="B179" t="s">
        <v>226</v>
      </c>
      <c r="C179">
        <v>71.47</v>
      </c>
      <c r="D179">
        <v>17</v>
      </c>
      <c r="E179">
        <v>15</v>
      </c>
      <c r="F179">
        <v>71</v>
      </c>
      <c r="G179">
        <v>0</v>
      </c>
      <c r="H179">
        <v>1</v>
      </c>
      <c r="I179">
        <v>0</v>
      </c>
      <c r="J179">
        <v>2</v>
      </c>
      <c r="K179">
        <v>71.92</v>
      </c>
      <c r="L179">
        <v>70.66</v>
      </c>
    </row>
    <row r="180" spans="1:12" x14ac:dyDescent="0.2">
      <c r="A180" s="4">
        <v>179</v>
      </c>
      <c r="B180" t="s">
        <v>144</v>
      </c>
      <c r="C180">
        <v>71.47</v>
      </c>
      <c r="D180">
        <v>14</v>
      </c>
      <c r="E180">
        <v>13</v>
      </c>
      <c r="F180">
        <v>71.290000000000006</v>
      </c>
      <c r="G180">
        <v>0</v>
      </c>
      <c r="H180">
        <v>1</v>
      </c>
      <c r="I180">
        <v>0</v>
      </c>
      <c r="J180">
        <v>1</v>
      </c>
      <c r="K180">
        <v>72.239999999999995</v>
      </c>
      <c r="L180">
        <v>70.33</v>
      </c>
    </row>
    <row r="181" spans="1:12" x14ac:dyDescent="0.2">
      <c r="A181" s="4">
        <v>180</v>
      </c>
      <c r="B181" t="s">
        <v>828</v>
      </c>
      <c r="C181">
        <v>71.430000000000007</v>
      </c>
      <c r="D181">
        <v>16</v>
      </c>
      <c r="E181">
        <v>16</v>
      </c>
      <c r="F181">
        <v>72.180000000000007</v>
      </c>
      <c r="G181">
        <v>0</v>
      </c>
      <c r="H181">
        <v>0</v>
      </c>
      <c r="I181">
        <v>0</v>
      </c>
      <c r="J181">
        <v>3</v>
      </c>
      <c r="K181">
        <v>71.53</v>
      </c>
      <c r="L181">
        <v>70.97</v>
      </c>
    </row>
    <row r="182" spans="1:12" x14ac:dyDescent="0.2">
      <c r="A182" s="4">
        <v>181</v>
      </c>
      <c r="B182" t="s">
        <v>287</v>
      </c>
      <c r="C182">
        <v>71.31</v>
      </c>
      <c r="D182">
        <v>13</v>
      </c>
      <c r="E182">
        <v>15</v>
      </c>
      <c r="F182">
        <v>72.290000000000006</v>
      </c>
      <c r="G182">
        <v>0</v>
      </c>
      <c r="H182">
        <v>2</v>
      </c>
      <c r="I182">
        <v>0</v>
      </c>
      <c r="J182">
        <v>4</v>
      </c>
      <c r="K182">
        <v>71.739999999999995</v>
      </c>
      <c r="L182">
        <v>70.510000000000005</v>
      </c>
    </row>
    <row r="183" spans="1:12" x14ac:dyDescent="0.2">
      <c r="A183" s="4">
        <v>182</v>
      </c>
      <c r="B183" t="s">
        <v>253</v>
      </c>
      <c r="C183">
        <v>71.19</v>
      </c>
      <c r="D183">
        <v>23</v>
      </c>
      <c r="E183">
        <v>9</v>
      </c>
      <c r="F183">
        <v>66.14</v>
      </c>
      <c r="G183">
        <v>0</v>
      </c>
      <c r="H183">
        <v>1</v>
      </c>
      <c r="I183">
        <v>0</v>
      </c>
      <c r="J183">
        <v>1</v>
      </c>
      <c r="K183">
        <v>73.760000000000005</v>
      </c>
      <c r="L183">
        <v>68.150000000000006</v>
      </c>
    </row>
    <row r="184" spans="1:12" x14ac:dyDescent="0.2">
      <c r="A184" s="4">
        <v>183</v>
      </c>
      <c r="B184" t="s">
        <v>194</v>
      </c>
      <c r="C184">
        <v>71.16</v>
      </c>
      <c r="D184">
        <v>11</v>
      </c>
      <c r="E184">
        <v>20</v>
      </c>
      <c r="F184">
        <v>75.34</v>
      </c>
      <c r="G184">
        <v>0</v>
      </c>
      <c r="H184">
        <v>0</v>
      </c>
      <c r="I184">
        <v>1</v>
      </c>
      <c r="J184">
        <v>5</v>
      </c>
      <c r="K184">
        <v>71.650000000000006</v>
      </c>
      <c r="L184">
        <v>70.31</v>
      </c>
    </row>
    <row r="185" spans="1:12" x14ac:dyDescent="0.2">
      <c r="A185" s="4">
        <v>184</v>
      </c>
      <c r="B185" t="s">
        <v>119</v>
      </c>
      <c r="C185">
        <v>71.12</v>
      </c>
      <c r="D185">
        <v>12</v>
      </c>
      <c r="E185">
        <v>19</v>
      </c>
      <c r="F185">
        <v>73.48</v>
      </c>
      <c r="G185">
        <v>0</v>
      </c>
      <c r="H185">
        <v>1</v>
      </c>
      <c r="I185">
        <v>0</v>
      </c>
      <c r="J185">
        <v>4</v>
      </c>
      <c r="K185">
        <v>69.58</v>
      </c>
      <c r="L185">
        <v>72.27</v>
      </c>
    </row>
    <row r="186" spans="1:12" x14ac:dyDescent="0.2">
      <c r="A186" s="4">
        <v>185</v>
      </c>
      <c r="B186" t="s">
        <v>217</v>
      </c>
      <c r="C186">
        <v>71.06</v>
      </c>
      <c r="D186">
        <v>15</v>
      </c>
      <c r="E186">
        <v>15</v>
      </c>
      <c r="F186">
        <v>70.849999999999994</v>
      </c>
      <c r="G186">
        <v>0</v>
      </c>
      <c r="H186">
        <v>1</v>
      </c>
      <c r="I186">
        <v>0</v>
      </c>
      <c r="J186">
        <v>2</v>
      </c>
      <c r="K186">
        <v>71.63</v>
      </c>
      <c r="L186">
        <v>70.12</v>
      </c>
    </row>
    <row r="187" spans="1:12" x14ac:dyDescent="0.2">
      <c r="A187" s="4">
        <v>186</v>
      </c>
      <c r="B187" t="s">
        <v>49</v>
      </c>
      <c r="C187">
        <v>70.98</v>
      </c>
      <c r="D187">
        <v>11</v>
      </c>
      <c r="E187">
        <v>22</v>
      </c>
      <c r="F187">
        <v>75.88</v>
      </c>
      <c r="G187">
        <v>0</v>
      </c>
      <c r="H187">
        <v>5</v>
      </c>
      <c r="I187">
        <v>0</v>
      </c>
      <c r="J187">
        <v>7</v>
      </c>
      <c r="K187">
        <v>69.489999999999995</v>
      </c>
      <c r="L187">
        <v>72.08</v>
      </c>
    </row>
    <row r="188" spans="1:12" x14ac:dyDescent="0.2">
      <c r="A188" s="4">
        <v>187</v>
      </c>
      <c r="B188" t="s">
        <v>850</v>
      </c>
      <c r="C188">
        <v>70.900000000000006</v>
      </c>
      <c r="D188">
        <v>15</v>
      </c>
      <c r="E188">
        <v>14</v>
      </c>
      <c r="F188">
        <v>70.22</v>
      </c>
      <c r="G188">
        <v>0</v>
      </c>
      <c r="H188">
        <v>1</v>
      </c>
      <c r="I188">
        <v>0</v>
      </c>
      <c r="J188">
        <v>2</v>
      </c>
      <c r="K188">
        <v>69.72</v>
      </c>
      <c r="L188">
        <v>71.7</v>
      </c>
    </row>
    <row r="189" spans="1:12" x14ac:dyDescent="0.2">
      <c r="A189" s="4">
        <v>188</v>
      </c>
      <c r="B189" t="s">
        <v>212</v>
      </c>
      <c r="C189">
        <v>70.819999999999993</v>
      </c>
      <c r="D189">
        <v>15</v>
      </c>
      <c r="E189">
        <v>15</v>
      </c>
      <c r="F189">
        <v>70.319999999999993</v>
      </c>
      <c r="G189">
        <v>0</v>
      </c>
      <c r="H189">
        <v>1</v>
      </c>
      <c r="I189">
        <v>0</v>
      </c>
      <c r="J189">
        <v>1</v>
      </c>
      <c r="K189">
        <v>70.739999999999995</v>
      </c>
      <c r="L189">
        <v>70.540000000000006</v>
      </c>
    </row>
    <row r="190" spans="1:12" x14ac:dyDescent="0.2">
      <c r="A190" s="4">
        <v>189</v>
      </c>
      <c r="B190" t="s">
        <v>804</v>
      </c>
      <c r="C190">
        <v>70.760000000000005</v>
      </c>
      <c r="D190">
        <v>13</v>
      </c>
      <c r="E190">
        <v>17</v>
      </c>
      <c r="F190">
        <v>72.150000000000006</v>
      </c>
      <c r="G190">
        <v>0</v>
      </c>
      <c r="H190">
        <v>1</v>
      </c>
      <c r="I190">
        <v>0</v>
      </c>
      <c r="J190">
        <v>3</v>
      </c>
      <c r="K190">
        <v>69.41</v>
      </c>
      <c r="L190">
        <v>71.73</v>
      </c>
    </row>
    <row r="191" spans="1:12" x14ac:dyDescent="0.2">
      <c r="A191" s="4">
        <v>190</v>
      </c>
      <c r="B191" t="s">
        <v>862</v>
      </c>
      <c r="C191">
        <v>70.53</v>
      </c>
      <c r="D191">
        <v>12</v>
      </c>
      <c r="E191">
        <v>15</v>
      </c>
      <c r="F191">
        <v>70.59</v>
      </c>
      <c r="G191">
        <v>0</v>
      </c>
      <c r="H191">
        <v>0</v>
      </c>
      <c r="I191">
        <v>0</v>
      </c>
      <c r="J191">
        <v>0</v>
      </c>
      <c r="K191">
        <v>68.06</v>
      </c>
      <c r="L191">
        <v>72.52</v>
      </c>
    </row>
    <row r="192" spans="1:12" x14ac:dyDescent="0.2">
      <c r="A192" s="4">
        <v>191</v>
      </c>
      <c r="B192" t="s">
        <v>826</v>
      </c>
      <c r="C192">
        <v>70.39</v>
      </c>
      <c r="D192">
        <v>14</v>
      </c>
      <c r="E192">
        <v>15</v>
      </c>
      <c r="F192">
        <v>71.53</v>
      </c>
      <c r="G192">
        <v>0</v>
      </c>
      <c r="H192">
        <v>1</v>
      </c>
      <c r="I192">
        <v>0</v>
      </c>
      <c r="J192">
        <v>2</v>
      </c>
      <c r="K192">
        <v>71.23</v>
      </c>
      <c r="L192">
        <v>69.17</v>
      </c>
    </row>
    <row r="193" spans="1:12" x14ac:dyDescent="0.2">
      <c r="A193" s="4">
        <v>192</v>
      </c>
      <c r="B193" t="s">
        <v>279</v>
      </c>
      <c r="C193">
        <v>70.27</v>
      </c>
      <c r="D193">
        <v>14</v>
      </c>
      <c r="E193">
        <v>13</v>
      </c>
      <c r="F193">
        <v>69.28</v>
      </c>
      <c r="G193">
        <v>0</v>
      </c>
      <c r="H193">
        <v>1</v>
      </c>
      <c r="I193">
        <v>0</v>
      </c>
      <c r="J193">
        <v>2</v>
      </c>
      <c r="K193">
        <v>70.56</v>
      </c>
      <c r="L193">
        <v>69.61</v>
      </c>
    </row>
    <row r="194" spans="1:12" x14ac:dyDescent="0.2">
      <c r="A194" s="4">
        <v>193</v>
      </c>
      <c r="B194" t="s">
        <v>136</v>
      </c>
      <c r="C194">
        <v>70.19</v>
      </c>
      <c r="D194">
        <v>13</v>
      </c>
      <c r="E194">
        <v>19</v>
      </c>
      <c r="F194">
        <v>73.680000000000007</v>
      </c>
      <c r="G194">
        <v>1</v>
      </c>
      <c r="H194">
        <v>3</v>
      </c>
      <c r="I194">
        <v>1</v>
      </c>
      <c r="J194">
        <v>3</v>
      </c>
      <c r="K194">
        <v>70.56</v>
      </c>
      <c r="L194">
        <v>69.459999999999994</v>
      </c>
    </row>
    <row r="195" spans="1:12" x14ac:dyDescent="0.2">
      <c r="A195" s="4">
        <v>194</v>
      </c>
      <c r="B195" t="s">
        <v>154</v>
      </c>
      <c r="C195">
        <v>70.180000000000007</v>
      </c>
      <c r="D195">
        <v>13</v>
      </c>
      <c r="E195">
        <v>18</v>
      </c>
      <c r="F195">
        <v>72.849999999999994</v>
      </c>
      <c r="G195">
        <v>0</v>
      </c>
      <c r="H195">
        <v>2</v>
      </c>
      <c r="I195">
        <v>0</v>
      </c>
      <c r="J195">
        <v>7</v>
      </c>
      <c r="K195">
        <v>70.48</v>
      </c>
      <c r="L195">
        <v>69.52</v>
      </c>
    </row>
    <row r="196" spans="1:12" x14ac:dyDescent="0.2">
      <c r="A196" s="4">
        <v>195</v>
      </c>
      <c r="B196" t="s">
        <v>137</v>
      </c>
      <c r="C196">
        <v>70.12</v>
      </c>
      <c r="D196">
        <v>16</v>
      </c>
      <c r="E196">
        <v>13</v>
      </c>
      <c r="F196">
        <v>69.72</v>
      </c>
      <c r="G196">
        <v>0</v>
      </c>
      <c r="H196">
        <v>1</v>
      </c>
      <c r="I196">
        <v>0</v>
      </c>
      <c r="J196">
        <v>2</v>
      </c>
      <c r="K196">
        <v>71.94</v>
      </c>
      <c r="L196">
        <v>67.84</v>
      </c>
    </row>
    <row r="197" spans="1:12" x14ac:dyDescent="0.2">
      <c r="A197" s="4">
        <v>196</v>
      </c>
      <c r="B197" t="s">
        <v>91</v>
      </c>
      <c r="C197">
        <v>70.12</v>
      </c>
      <c r="D197">
        <v>13</v>
      </c>
      <c r="E197">
        <v>18</v>
      </c>
      <c r="F197">
        <v>73.3</v>
      </c>
      <c r="G197">
        <v>0</v>
      </c>
      <c r="H197">
        <v>2</v>
      </c>
      <c r="I197">
        <v>0</v>
      </c>
      <c r="J197">
        <v>3</v>
      </c>
      <c r="K197">
        <v>70.5</v>
      </c>
      <c r="L197">
        <v>69.37</v>
      </c>
    </row>
    <row r="198" spans="1:12" x14ac:dyDescent="0.2">
      <c r="A198" s="4">
        <v>197</v>
      </c>
      <c r="B198" t="s">
        <v>285</v>
      </c>
      <c r="C198">
        <v>70.040000000000006</v>
      </c>
      <c r="D198">
        <v>10</v>
      </c>
      <c r="E198">
        <v>20</v>
      </c>
      <c r="F198">
        <v>75.14</v>
      </c>
      <c r="G198">
        <v>0</v>
      </c>
      <c r="H198">
        <v>0</v>
      </c>
      <c r="I198">
        <v>1</v>
      </c>
      <c r="J198">
        <v>5</v>
      </c>
      <c r="K198">
        <v>70.06</v>
      </c>
      <c r="L198">
        <v>69.66</v>
      </c>
    </row>
    <row r="199" spans="1:12" x14ac:dyDescent="0.2">
      <c r="A199" s="4">
        <v>198</v>
      </c>
      <c r="B199" t="s">
        <v>196</v>
      </c>
      <c r="C199">
        <v>70.040000000000006</v>
      </c>
      <c r="D199">
        <v>13</v>
      </c>
      <c r="E199">
        <v>18</v>
      </c>
      <c r="F199">
        <v>72.349999999999994</v>
      </c>
      <c r="G199">
        <v>0</v>
      </c>
      <c r="H199">
        <v>1</v>
      </c>
      <c r="I199">
        <v>0</v>
      </c>
      <c r="J199">
        <v>1</v>
      </c>
      <c r="K199">
        <v>70.53</v>
      </c>
      <c r="L199">
        <v>69.180000000000007</v>
      </c>
    </row>
    <row r="200" spans="1:12" x14ac:dyDescent="0.2">
      <c r="A200" s="4">
        <v>199</v>
      </c>
      <c r="B200" t="s">
        <v>837</v>
      </c>
      <c r="C200">
        <v>70.03</v>
      </c>
      <c r="D200">
        <v>14</v>
      </c>
      <c r="E200">
        <v>13</v>
      </c>
      <c r="F200">
        <v>68.86</v>
      </c>
      <c r="G200">
        <v>0</v>
      </c>
      <c r="H200">
        <v>1</v>
      </c>
      <c r="I200">
        <v>0</v>
      </c>
      <c r="J200">
        <v>1</v>
      </c>
      <c r="K200">
        <v>68.59</v>
      </c>
      <c r="L200">
        <v>71.05</v>
      </c>
    </row>
    <row r="201" spans="1:12" x14ac:dyDescent="0.2">
      <c r="A201" s="4">
        <v>200</v>
      </c>
      <c r="B201" t="s">
        <v>264</v>
      </c>
      <c r="C201">
        <v>69.930000000000007</v>
      </c>
      <c r="D201">
        <v>14</v>
      </c>
      <c r="E201">
        <v>13</v>
      </c>
      <c r="F201">
        <v>69.959999999999994</v>
      </c>
      <c r="G201">
        <v>0</v>
      </c>
      <c r="H201">
        <v>0</v>
      </c>
      <c r="I201">
        <v>0</v>
      </c>
      <c r="J201">
        <v>1</v>
      </c>
      <c r="K201">
        <v>71.16</v>
      </c>
      <c r="L201">
        <v>68.28</v>
      </c>
    </row>
    <row r="202" spans="1:12" x14ac:dyDescent="0.2">
      <c r="A202" s="4">
        <v>201</v>
      </c>
      <c r="B202" t="s">
        <v>815</v>
      </c>
      <c r="C202">
        <v>69.849999999999994</v>
      </c>
      <c r="D202">
        <v>15</v>
      </c>
      <c r="E202">
        <v>15</v>
      </c>
      <c r="F202">
        <v>69.739999999999995</v>
      </c>
      <c r="G202">
        <v>0</v>
      </c>
      <c r="H202">
        <v>0</v>
      </c>
      <c r="I202">
        <v>0</v>
      </c>
      <c r="J202">
        <v>1</v>
      </c>
      <c r="K202">
        <v>69.239999999999995</v>
      </c>
      <c r="L202">
        <v>70.09</v>
      </c>
    </row>
    <row r="203" spans="1:12" x14ac:dyDescent="0.2">
      <c r="A203" s="4">
        <v>202</v>
      </c>
      <c r="B203" t="s">
        <v>114</v>
      </c>
      <c r="C203">
        <v>69.819999999999993</v>
      </c>
      <c r="D203">
        <v>11</v>
      </c>
      <c r="E203">
        <v>20</v>
      </c>
      <c r="F203">
        <v>73.569999999999993</v>
      </c>
      <c r="G203">
        <v>0</v>
      </c>
      <c r="H203">
        <v>4</v>
      </c>
      <c r="I203">
        <v>0</v>
      </c>
      <c r="J203">
        <v>4</v>
      </c>
      <c r="K203">
        <v>68.78</v>
      </c>
      <c r="L203">
        <v>70.47</v>
      </c>
    </row>
    <row r="204" spans="1:12" x14ac:dyDescent="0.2">
      <c r="A204" s="4">
        <v>203</v>
      </c>
      <c r="B204" t="s">
        <v>880</v>
      </c>
      <c r="C204">
        <v>69.819999999999993</v>
      </c>
      <c r="D204">
        <v>15</v>
      </c>
      <c r="E204">
        <v>19</v>
      </c>
      <c r="F204">
        <v>73.760000000000005</v>
      </c>
      <c r="G204">
        <v>0</v>
      </c>
      <c r="H204">
        <v>3</v>
      </c>
      <c r="I204">
        <v>0</v>
      </c>
      <c r="J204">
        <v>9</v>
      </c>
      <c r="K204">
        <v>71.510000000000005</v>
      </c>
      <c r="L204">
        <v>67.66</v>
      </c>
    </row>
    <row r="205" spans="1:12" x14ac:dyDescent="0.2">
      <c r="A205" s="4">
        <v>204</v>
      </c>
      <c r="B205" t="s">
        <v>110</v>
      </c>
      <c r="C205">
        <v>69.739999999999995</v>
      </c>
      <c r="D205">
        <v>10</v>
      </c>
      <c r="E205">
        <v>17</v>
      </c>
      <c r="F205">
        <v>72.39</v>
      </c>
      <c r="G205">
        <v>0</v>
      </c>
      <c r="H205">
        <v>1</v>
      </c>
      <c r="I205">
        <v>0</v>
      </c>
      <c r="J205">
        <v>2</v>
      </c>
      <c r="K205">
        <v>67.11</v>
      </c>
      <c r="L205">
        <v>71.83</v>
      </c>
    </row>
    <row r="206" spans="1:12" x14ac:dyDescent="0.2">
      <c r="A206" s="4">
        <v>205</v>
      </c>
      <c r="B206" t="s">
        <v>237</v>
      </c>
      <c r="C206">
        <v>69.67</v>
      </c>
      <c r="D206">
        <v>16</v>
      </c>
      <c r="E206">
        <v>15</v>
      </c>
      <c r="F206">
        <v>68.61</v>
      </c>
      <c r="G206">
        <v>0</v>
      </c>
      <c r="H206">
        <v>0</v>
      </c>
      <c r="I206">
        <v>0</v>
      </c>
      <c r="J206">
        <v>1</v>
      </c>
      <c r="K206">
        <v>69.39</v>
      </c>
      <c r="L206">
        <v>69.59</v>
      </c>
    </row>
    <row r="207" spans="1:12" x14ac:dyDescent="0.2">
      <c r="A207" s="4">
        <v>206</v>
      </c>
      <c r="B207" t="s">
        <v>121</v>
      </c>
      <c r="C207">
        <v>69.66</v>
      </c>
      <c r="D207">
        <v>16</v>
      </c>
      <c r="E207">
        <v>16</v>
      </c>
      <c r="F207">
        <v>69.91</v>
      </c>
      <c r="G207">
        <v>0</v>
      </c>
      <c r="H207">
        <v>1</v>
      </c>
      <c r="I207">
        <v>0</v>
      </c>
      <c r="J207">
        <v>2</v>
      </c>
      <c r="K207">
        <v>69.849999999999994</v>
      </c>
      <c r="L207">
        <v>69.099999999999994</v>
      </c>
    </row>
    <row r="208" spans="1:12" x14ac:dyDescent="0.2">
      <c r="A208" s="4">
        <v>207</v>
      </c>
      <c r="B208" t="s">
        <v>128</v>
      </c>
      <c r="C208">
        <v>69.650000000000006</v>
      </c>
      <c r="D208">
        <v>15</v>
      </c>
      <c r="E208">
        <v>16</v>
      </c>
      <c r="F208">
        <v>68.81</v>
      </c>
      <c r="G208">
        <v>0</v>
      </c>
      <c r="H208">
        <v>0</v>
      </c>
      <c r="I208">
        <v>0</v>
      </c>
      <c r="J208">
        <v>2</v>
      </c>
      <c r="K208">
        <v>68.31</v>
      </c>
      <c r="L208">
        <v>70.58</v>
      </c>
    </row>
    <row r="209" spans="1:12" x14ac:dyDescent="0.2">
      <c r="A209" s="4">
        <v>208</v>
      </c>
      <c r="B209" t="s">
        <v>282</v>
      </c>
      <c r="C209">
        <v>69.63</v>
      </c>
      <c r="D209">
        <v>14</v>
      </c>
      <c r="E209">
        <v>18</v>
      </c>
      <c r="F209">
        <v>71.31</v>
      </c>
      <c r="G209">
        <v>0</v>
      </c>
      <c r="H209">
        <v>0</v>
      </c>
      <c r="I209">
        <v>0</v>
      </c>
      <c r="J209">
        <v>4</v>
      </c>
      <c r="K209">
        <v>69.56</v>
      </c>
      <c r="L209">
        <v>69.34</v>
      </c>
    </row>
    <row r="210" spans="1:12" x14ac:dyDescent="0.2">
      <c r="A210" s="4">
        <v>209</v>
      </c>
      <c r="B210" t="s">
        <v>295</v>
      </c>
      <c r="C210">
        <v>69.48</v>
      </c>
      <c r="D210">
        <v>10</v>
      </c>
      <c r="E210">
        <v>18</v>
      </c>
      <c r="F210">
        <v>72.540000000000006</v>
      </c>
      <c r="G210">
        <v>0</v>
      </c>
      <c r="H210">
        <v>1</v>
      </c>
      <c r="I210">
        <v>0</v>
      </c>
      <c r="J210">
        <v>1</v>
      </c>
      <c r="K210">
        <v>68.86</v>
      </c>
      <c r="L210">
        <v>69.739999999999995</v>
      </c>
    </row>
    <row r="211" spans="1:12" x14ac:dyDescent="0.2">
      <c r="A211" s="4">
        <v>210</v>
      </c>
      <c r="B211" t="s">
        <v>97</v>
      </c>
      <c r="C211">
        <v>69.41</v>
      </c>
      <c r="D211">
        <v>7</v>
      </c>
      <c r="E211">
        <v>24</v>
      </c>
      <c r="F211">
        <v>79.36</v>
      </c>
      <c r="G211">
        <v>0</v>
      </c>
      <c r="H211">
        <v>2</v>
      </c>
      <c r="I211">
        <v>0</v>
      </c>
      <c r="J211">
        <v>14</v>
      </c>
      <c r="K211">
        <v>68.58</v>
      </c>
      <c r="L211">
        <v>69.86</v>
      </c>
    </row>
    <row r="212" spans="1:12" x14ac:dyDescent="0.2">
      <c r="A212" s="4">
        <v>211</v>
      </c>
      <c r="B212" t="s">
        <v>220</v>
      </c>
      <c r="C212">
        <v>69.34</v>
      </c>
      <c r="D212">
        <v>17</v>
      </c>
      <c r="E212">
        <v>13</v>
      </c>
      <c r="F212">
        <v>68.47</v>
      </c>
      <c r="G212">
        <v>0</v>
      </c>
      <c r="H212">
        <v>0</v>
      </c>
      <c r="I212">
        <v>0</v>
      </c>
      <c r="J212">
        <v>1</v>
      </c>
      <c r="K212">
        <v>69.930000000000007</v>
      </c>
      <c r="L212">
        <v>68.37</v>
      </c>
    </row>
    <row r="213" spans="1:12" x14ac:dyDescent="0.2">
      <c r="A213" s="4">
        <v>212</v>
      </c>
      <c r="B213" t="s">
        <v>552</v>
      </c>
      <c r="C213">
        <v>69.17</v>
      </c>
      <c r="D213">
        <v>17</v>
      </c>
      <c r="E213">
        <v>17</v>
      </c>
      <c r="F213">
        <v>69.91</v>
      </c>
      <c r="G213">
        <v>0</v>
      </c>
      <c r="H213">
        <v>0</v>
      </c>
      <c r="I213">
        <v>0</v>
      </c>
      <c r="J213">
        <v>0</v>
      </c>
      <c r="K213">
        <v>69.290000000000006</v>
      </c>
      <c r="L213">
        <v>68.69</v>
      </c>
    </row>
    <row r="214" spans="1:12" x14ac:dyDescent="0.2">
      <c r="A214" s="4">
        <v>213</v>
      </c>
      <c r="B214" t="s">
        <v>268</v>
      </c>
      <c r="C214">
        <v>69.17</v>
      </c>
      <c r="D214">
        <v>12</v>
      </c>
      <c r="E214">
        <v>16</v>
      </c>
      <c r="F214">
        <v>70.66</v>
      </c>
      <c r="G214">
        <v>0</v>
      </c>
      <c r="H214">
        <v>0</v>
      </c>
      <c r="I214">
        <v>0</v>
      </c>
      <c r="J214">
        <v>1</v>
      </c>
      <c r="K214">
        <v>69.010000000000005</v>
      </c>
      <c r="L214">
        <v>68.97</v>
      </c>
    </row>
    <row r="215" spans="1:12" x14ac:dyDescent="0.2">
      <c r="A215" s="4">
        <v>214</v>
      </c>
      <c r="B215" t="s">
        <v>833</v>
      </c>
      <c r="C215">
        <v>69.17</v>
      </c>
      <c r="D215">
        <v>17</v>
      </c>
      <c r="E215">
        <v>12</v>
      </c>
      <c r="F215">
        <v>67.98</v>
      </c>
      <c r="G215">
        <v>0</v>
      </c>
      <c r="H215">
        <v>1</v>
      </c>
      <c r="I215">
        <v>0</v>
      </c>
      <c r="J215">
        <v>2</v>
      </c>
      <c r="K215">
        <v>69.540000000000006</v>
      </c>
      <c r="L215">
        <v>68.430000000000007</v>
      </c>
    </row>
    <row r="216" spans="1:12" x14ac:dyDescent="0.2">
      <c r="A216" s="4">
        <v>215</v>
      </c>
      <c r="B216" t="s">
        <v>808</v>
      </c>
      <c r="C216">
        <v>69.040000000000006</v>
      </c>
      <c r="D216">
        <v>12</v>
      </c>
      <c r="E216">
        <v>19</v>
      </c>
      <c r="F216">
        <v>72.239999999999995</v>
      </c>
      <c r="G216">
        <v>0</v>
      </c>
      <c r="H216">
        <v>0</v>
      </c>
      <c r="I216">
        <v>1</v>
      </c>
      <c r="J216">
        <v>6</v>
      </c>
      <c r="K216">
        <v>68.97</v>
      </c>
      <c r="L216">
        <v>68.760000000000005</v>
      </c>
    </row>
    <row r="217" spans="1:12" x14ac:dyDescent="0.2">
      <c r="A217" s="4">
        <v>216</v>
      </c>
      <c r="B217" t="s">
        <v>139</v>
      </c>
      <c r="C217">
        <v>68.989999999999995</v>
      </c>
      <c r="D217">
        <v>14</v>
      </c>
      <c r="E217">
        <v>11</v>
      </c>
      <c r="F217">
        <v>65.78</v>
      </c>
      <c r="G217">
        <v>0</v>
      </c>
      <c r="H217">
        <v>0</v>
      </c>
      <c r="I217">
        <v>0</v>
      </c>
      <c r="J217">
        <v>1</v>
      </c>
      <c r="K217">
        <v>67.02</v>
      </c>
      <c r="L217">
        <v>70.47</v>
      </c>
    </row>
    <row r="218" spans="1:12" x14ac:dyDescent="0.2">
      <c r="A218" s="4">
        <v>217</v>
      </c>
      <c r="B218" t="s">
        <v>232</v>
      </c>
      <c r="C218">
        <v>68.900000000000006</v>
      </c>
      <c r="D218">
        <v>17</v>
      </c>
      <c r="E218">
        <v>14</v>
      </c>
      <c r="F218">
        <v>68.39</v>
      </c>
      <c r="G218">
        <v>0</v>
      </c>
      <c r="H218">
        <v>1</v>
      </c>
      <c r="I218">
        <v>0</v>
      </c>
      <c r="J218">
        <v>1</v>
      </c>
      <c r="K218">
        <v>69.400000000000006</v>
      </c>
      <c r="L218">
        <v>68.02</v>
      </c>
    </row>
    <row r="219" spans="1:12" x14ac:dyDescent="0.2">
      <c r="A219" s="4">
        <v>218</v>
      </c>
      <c r="B219" t="s">
        <v>155</v>
      </c>
      <c r="C219">
        <v>68.849999999999994</v>
      </c>
      <c r="D219">
        <v>11</v>
      </c>
      <c r="E219">
        <v>17</v>
      </c>
      <c r="F219">
        <v>71.39</v>
      </c>
      <c r="G219">
        <v>0</v>
      </c>
      <c r="H219">
        <v>1</v>
      </c>
      <c r="I219">
        <v>0</v>
      </c>
      <c r="J219">
        <v>3</v>
      </c>
      <c r="K219">
        <v>69.010000000000005</v>
      </c>
      <c r="L219">
        <v>68.33</v>
      </c>
    </row>
    <row r="220" spans="1:12" x14ac:dyDescent="0.2">
      <c r="A220" s="4">
        <v>219</v>
      </c>
      <c r="B220" t="s">
        <v>258</v>
      </c>
      <c r="C220">
        <v>68.849999999999994</v>
      </c>
      <c r="D220">
        <v>9</v>
      </c>
      <c r="E220">
        <v>22</v>
      </c>
      <c r="F220">
        <v>75.2</v>
      </c>
      <c r="G220">
        <v>0</v>
      </c>
      <c r="H220">
        <v>2</v>
      </c>
      <c r="I220">
        <v>0</v>
      </c>
      <c r="J220">
        <v>8</v>
      </c>
      <c r="K220">
        <v>68.75</v>
      </c>
      <c r="L220">
        <v>68.58</v>
      </c>
    </row>
    <row r="221" spans="1:12" x14ac:dyDescent="0.2">
      <c r="A221" s="4">
        <v>220</v>
      </c>
      <c r="B221" t="s">
        <v>892</v>
      </c>
      <c r="C221">
        <v>68.819999999999993</v>
      </c>
      <c r="D221">
        <v>15</v>
      </c>
      <c r="E221">
        <v>15</v>
      </c>
      <c r="F221">
        <v>68.599999999999994</v>
      </c>
      <c r="G221">
        <v>0</v>
      </c>
      <c r="H221">
        <v>0</v>
      </c>
      <c r="I221">
        <v>0</v>
      </c>
      <c r="J221">
        <v>1</v>
      </c>
      <c r="K221">
        <v>68.95</v>
      </c>
      <c r="L221">
        <v>68.33</v>
      </c>
    </row>
    <row r="222" spans="1:12" x14ac:dyDescent="0.2">
      <c r="A222" s="4">
        <v>221</v>
      </c>
      <c r="B222" t="s">
        <v>273</v>
      </c>
      <c r="C222">
        <v>68.790000000000006</v>
      </c>
      <c r="D222">
        <v>11</v>
      </c>
      <c r="E222">
        <v>21</v>
      </c>
      <c r="F222">
        <v>74.16</v>
      </c>
      <c r="G222">
        <v>0</v>
      </c>
      <c r="H222">
        <v>3</v>
      </c>
      <c r="I222">
        <v>0</v>
      </c>
      <c r="J222">
        <v>7</v>
      </c>
      <c r="K222">
        <v>68.17</v>
      </c>
      <c r="L222">
        <v>69.05</v>
      </c>
    </row>
    <row r="223" spans="1:12" x14ac:dyDescent="0.2">
      <c r="A223" s="4">
        <v>222</v>
      </c>
      <c r="B223" t="s">
        <v>166</v>
      </c>
      <c r="C223">
        <v>68.69</v>
      </c>
      <c r="D223">
        <v>13</v>
      </c>
      <c r="E223">
        <v>17</v>
      </c>
      <c r="F223">
        <v>71.14</v>
      </c>
      <c r="G223">
        <v>0</v>
      </c>
      <c r="H223">
        <v>0</v>
      </c>
      <c r="I223">
        <v>0</v>
      </c>
      <c r="J223">
        <v>2</v>
      </c>
      <c r="K223">
        <v>69.67</v>
      </c>
      <c r="L223">
        <v>67.3</v>
      </c>
    </row>
    <row r="224" spans="1:12" x14ac:dyDescent="0.2">
      <c r="A224" s="4">
        <v>223</v>
      </c>
      <c r="B224" t="s">
        <v>267</v>
      </c>
      <c r="C224">
        <v>68.69</v>
      </c>
      <c r="D224">
        <v>14</v>
      </c>
      <c r="E224">
        <v>15</v>
      </c>
      <c r="F224">
        <v>68.09</v>
      </c>
      <c r="G224">
        <v>0</v>
      </c>
      <c r="H224">
        <v>1</v>
      </c>
      <c r="I224">
        <v>1</v>
      </c>
      <c r="J224">
        <v>1</v>
      </c>
      <c r="K224">
        <v>67.87</v>
      </c>
      <c r="L224">
        <v>69.14</v>
      </c>
    </row>
    <row r="225" spans="1:12" x14ac:dyDescent="0.2">
      <c r="A225" s="4">
        <v>224</v>
      </c>
      <c r="B225" t="s">
        <v>4</v>
      </c>
      <c r="C225">
        <v>68.58</v>
      </c>
      <c r="D225">
        <v>10</v>
      </c>
      <c r="E225">
        <v>18</v>
      </c>
      <c r="F225">
        <v>72.510000000000005</v>
      </c>
      <c r="G225">
        <v>0</v>
      </c>
      <c r="H225">
        <v>0</v>
      </c>
      <c r="I225">
        <v>0</v>
      </c>
      <c r="J225">
        <v>0</v>
      </c>
      <c r="K225">
        <v>67.569999999999993</v>
      </c>
      <c r="L225">
        <v>69.2</v>
      </c>
    </row>
    <row r="226" spans="1:12" x14ac:dyDescent="0.2">
      <c r="A226" s="4">
        <v>225</v>
      </c>
      <c r="B226" t="s">
        <v>818</v>
      </c>
      <c r="C226">
        <v>68.41</v>
      </c>
      <c r="D226">
        <v>12</v>
      </c>
      <c r="E226">
        <v>19</v>
      </c>
      <c r="F226">
        <v>71.760000000000005</v>
      </c>
      <c r="G226">
        <v>0</v>
      </c>
      <c r="H226">
        <v>2</v>
      </c>
      <c r="I226">
        <v>0</v>
      </c>
      <c r="J226">
        <v>3</v>
      </c>
      <c r="K226">
        <v>68.010000000000005</v>
      </c>
      <c r="L226">
        <v>68.459999999999994</v>
      </c>
    </row>
    <row r="227" spans="1:12" x14ac:dyDescent="0.2">
      <c r="A227" s="4">
        <v>226</v>
      </c>
      <c r="B227" t="s">
        <v>172</v>
      </c>
      <c r="C227">
        <v>68.2</v>
      </c>
      <c r="D227">
        <v>9</v>
      </c>
      <c r="E227">
        <v>21</v>
      </c>
      <c r="F227">
        <v>72.87</v>
      </c>
      <c r="G227">
        <v>0</v>
      </c>
      <c r="H227">
        <v>0</v>
      </c>
      <c r="I227">
        <v>0</v>
      </c>
      <c r="J227">
        <v>3</v>
      </c>
      <c r="K227">
        <v>65.989999999999995</v>
      </c>
      <c r="L227">
        <v>69.84</v>
      </c>
    </row>
    <row r="228" spans="1:12" x14ac:dyDescent="0.2">
      <c r="A228" s="4">
        <v>227</v>
      </c>
      <c r="B228" t="s">
        <v>201</v>
      </c>
      <c r="C228">
        <v>68.180000000000007</v>
      </c>
      <c r="D228">
        <v>11</v>
      </c>
      <c r="E228">
        <v>21</v>
      </c>
      <c r="F228">
        <v>73.47</v>
      </c>
      <c r="G228">
        <v>0</v>
      </c>
      <c r="H228">
        <v>0</v>
      </c>
      <c r="I228">
        <v>0</v>
      </c>
      <c r="J228">
        <v>4</v>
      </c>
      <c r="K228">
        <v>67.599999999999994</v>
      </c>
      <c r="L228">
        <v>68.400000000000006</v>
      </c>
    </row>
    <row r="229" spans="1:12" x14ac:dyDescent="0.2">
      <c r="A229" s="4">
        <v>228</v>
      </c>
      <c r="B229" t="s">
        <v>551</v>
      </c>
      <c r="C229">
        <v>68.13</v>
      </c>
      <c r="D229">
        <v>13</v>
      </c>
      <c r="E229">
        <v>14</v>
      </c>
      <c r="F229">
        <v>69.23</v>
      </c>
      <c r="G229">
        <v>0</v>
      </c>
      <c r="H229">
        <v>0</v>
      </c>
      <c r="I229">
        <v>0</v>
      </c>
      <c r="J229">
        <v>0</v>
      </c>
      <c r="K229">
        <v>68.17</v>
      </c>
      <c r="L229">
        <v>67.73</v>
      </c>
    </row>
    <row r="230" spans="1:12" x14ac:dyDescent="0.2">
      <c r="A230" s="4">
        <v>229</v>
      </c>
      <c r="B230" t="s">
        <v>33</v>
      </c>
      <c r="C230">
        <v>68.11</v>
      </c>
      <c r="D230">
        <v>10</v>
      </c>
      <c r="E230">
        <v>20</v>
      </c>
      <c r="F230">
        <v>73.89</v>
      </c>
      <c r="G230">
        <v>0</v>
      </c>
      <c r="H230">
        <v>2</v>
      </c>
      <c r="I230">
        <v>1</v>
      </c>
      <c r="J230">
        <v>5</v>
      </c>
      <c r="K230">
        <v>67.5</v>
      </c>
      <c r="L230">
        <v>68.349999999999994</v>
      </c>
    </row>
    <row r="231" spans="1:12" x14ac:dyDescent="0.2">
      <c r="A231" s="4">
        <v>230</v>
      </c>
      <c r="B231" t="s">
        <v>883</v>
      </c>
      <c r="C231">
        <v>68.06</v>
      </c>
      <c r="D231">
        <v>13</v>
      </c>
      <c r="E231">
        <v>18</v>
      </c>
      <c r="F231">
        <v>71.78</v>
      </c>
      <c r="G231">
        <v>0</v>
      </c>
      <c r="H231">
        <v>0</v>
      </c>
      <c r="I231">
        <v>0</v>
      </c>
      <c r="J231">
        <v>4</v>
      </c>
      <c r="K231">
        <v>69.569999999999993</v>
      </c>
      <c r="L231">
        <v>66.03</v>
      </c>
    </row>
    <row r="232" spans="1:12" x14ac:dyDescent="0.2">
      <c r="A232" s="4">
        <v>231</v>
      </c>
      <c r="B232" t="s">
        <v>92</v>
      </c>
      <c r="C232">
        <v>67.87</v>
      </c>
      <c r="D232">
        <v>8</v>
      </c>
      <c r="E232">
        <v>21</v>
      </c>
      <c r="F232">
        <v>75.349999999999994</v>
      </c>
      <c r="G232">
        <v>0</v>
      </c>
      <c r="H232">
        <v>4</v>
      </c>
      <c r="I232">
        <v>0</v>
      </c>
      <c r="J232">
        <v>7</v>
      </c>
      <c r="K232">
        <v>66.52</v>
      </c>
      <c r="L232">
        <v>68.790000000000006</v>
      </c>
    </row>
    <row r="233" spans="1:12" x14ac:dyDescent="0.2">
      <c r="A233" s="4">
        <v>232</v>
      </c>
      <c r="B233" t="s">
        <v>85</v>
      </c>
      <c r="C233">
        <v>67.86</v>
      </c>
      <c r="D233">
        <v>14</v>
      </c>
      <c r="E233">
        <v>16</v>
      </c>
      <c r="F233">
        <v>71.319999999999993</v>
      </c>
      <c r="G233">
        <v>0</v>
      </c>
      <c r="H233">
        <v>1</v>
      </c>
      <c r="I233">
        <v>0</v>
      </c>
      <c r="J233">
        <v>1</v>
      </c>
      <c r="K233">
        <v>70.25</v>
      </c>
      <c r="L233">
        <v>64.680000000000007</v>
      </c>
    </row>
    <row r="234" spans="1:12" x14ac:dyDescent="0.2">
      <c r="A234" s="4">
        <v>233</v>
      </c>
      <c r="B234" t="s">
        <v>903</v>
      </c>
      <c r="C234">
        <v>67.72</v>
      </c>
      <c r="D234">
        <v>16</v>
      </c>
      <c r="E234">
        <v>16</v>
      </c>
      <c r="F234">
        <v>68.23</v>
      </c>
      <c r="G234">
        <v>0</v>
      </c>
      <c r="H234">
        <v>0</v>
      </c>
      <c r="I234">
        <v>0</v>
      </c>
      <c r="J234">
        <v>1</v>
      </c>
      <c r="K234">
        <v>68.430000000000007</v>
      </c>
      <c r="L234">
        <v>66.62</v>
      </c>
    </row>
    <row r="235" spans="1:12" x14ac:dyDescent="0.2">
      <c r="A235" s="4">
        <v>234</v>
      </c>
      <c r="B235" t="s">
        <v>202</v>
      </c>
      <c r="C235">
        <v>67.709999999999994</v>
      </c>
      <c r="D235">
        <v>11</v>
      </c>
      <c r="E235">
        <v>17</v>
      </c>
      <c r="F235">
        <v>70.7</v>
      </c>
      <c r="G235">
        <v>0</v>
      </c>
      <c r="H235">
        <v>1</v>
      </c>
      <c r="I235">
        <v>0</v>
      </c>
      <c r="J235">
        <v>1</v>
      </c>
      <c r="K235">
        <v>67.48</v>
      </c>
      <c r="L235">
        <v>67.58</v>
      </c>
    </row>
    <row r="236" spans="1:12" x14ac:dyDescent="0.2">
      <c r="A236" s="4">
        <v>235</v>
      </c>
      <c r="B236" t="s">
        <v>207</v>
      </c>
      <c r="C236">
        <v>67.7</v>
      </c>
      <c r="D236">
        <v>13</v>
      </c>
      <c r="E236">
        <v>19</v>
      </c>
      <c r="F236">
        <v>71.069999999999993</v>
      </c>
      <c r="G236">
        <v>0</v>
      </c>
      <c r="H236">
        <v>0</v>
      </c>
      <c r="I236">
        <v>0</v>
      </c>
      <c r="J236">
        <v>2</v>
      </c>
      <c r="K236">
        <v>68.239999999999995</v>
      </c>
      <c r="L236">
        <v>66.77</v>
      </c>
    </row>
    <row r="237" spans="1:12" x14ac:dyDescent="0.2">
      <c r="A237" s="4">
        <v>236</v>
      </c>
      <c r="B237" t="s">
        <v>241</v>
      </c>
      <c r="C237">
        <v>67.66</v>
      </c>
      <c r="D237">
        <v>13</v>
      </c>
      <c r="E237">
        <v>17</v>
      </c>
      <c r="F237">
        <v>69.099999999999994</v>
      </c>
      <c r="G237">
        <v>0</v>
      </c>
      <c r="H237">
        <v>0</v>
      </c>
      <c r="I237">
        <v>0</v>
      </c>
      <c r="J237">
        <v>1</v>
      </c>
      <c r="K237">
        <v>66.64</v>
      </c>
      <c r="L237">
        <v>68.260000000000005</v>
      </c>
    </row>
    <row r="238" spans="1:12" x14ac:dyDescent="0.2">
      <c r="A238" s="4">
        <v>237</v>
      </c>
      <c r="B238" t="s">
        <v>841</v>
      </c>
      <c r="C238">
        <v>67.650000000000006</v>
      </c>
      <c r="D238">
        <v>17</v>
      </c>
      <c r="E238">
        <v>14</v>
      </c>
      <c r="F238">
        <v>66.599999999999994</v>
      </c>
      <c r="G238">
        <v>0</v>
      </c>
      <c r="H238">
        <v>2</v>
      </c>
      <c r="I238">
        <v>0</v>
      </c>
      <c r="J238">
        <v>2</v>
      </c>
      <c r="K238">
        <v>68.739999999999995</v>
      </c>
      <c r="L238">
        <v>66.13</v>
      </c>
    </row>
    <row r="239" spans="1:12" x14ac:dyDescent="0.2">
      <c r="A239" s="4">
        <v>238</v>
      </c>
      <c r="B239" t="s">
        <v>248</v>
      </c>
      <c r="C239">
        <v>67.63</v>
      </c>
      <c r="D239">
        <v>12</v>
      </c>
      <c r="E239">
        <v>18</v>
      </c>
      <c r="F239">
        <v>70.97</v>
      </c>
      <c r="G239">
        <v>0</v>
      </c>
      <c r="H239">
        <v>0</v>
      </c>
      <c r="I239">
        <v>0</v>
      </c>
      <c r="J239">
        <v>2</v>
      </c>
      <c r="K239">
        <v>67.23</v>
      </c>
      <c r="L239">
        <v>67.67</v>
      </c>
    </row>
    <row r="240" spans="1:12" x14ac:dyDescent="0.2">
      <c r="A240" s="4">
        <v>239</v>
      </c>
      <c r="B240" t="s">
        <v>134</v>
      </c>
      <c r="C240">
        <v>67.56</v>
      </c>
      <c r="D240">
        <v>12</v>
      </c>
      <c r="E240">
        <v>19</v>
      </c>
      <c r="F240">
        <v>69.75</v>
      </c>
      <c r="G240">
        <v>0</v>
      </c>
      <c r="H240">
        <v>1</v>
      </c>
      <c r="I240">
        <v>0</v>
      </c>
      <c r="J240">
        <v>2</v>
      </c>
      <c r="K240">
        <v>65.540000000000006</v>
      </c>
      <c r="L240">
        <v>69.010000000000005</v>
      </c>
    </row>
    <row r="241" spans="1:12" x14ac:dyDescent="0.2">
      <c r="A241" s="4">
        <v>240</v>
      </c>
      <c r="B241" t="s">
        <v>845</v>
      </c>
      <c r="C241">
        <v>67.16</v>
      </c>
      <c r="D241">
        <v>10</v>
      </c>
      <c r="E241">
        <v>14</v>
      </c>
      <c r="F241">
        <v>68.930000000000007</v>
      </c>
      <c r="G241">
        <v>0</v>
      </c>
      <c r="H241">
        <v>1</v>
      </c>
      <c r="I241">
        <v>0</v>
      </c>
      <c r="J241">
        <v>2</v>
      </c>
      <c r="K241">
        <v>65.459999999999994</v>
      </c>
      <c r="L241">
        <v>68.349999999999994</v>
      </c>
    </row>
    <row r="242" spans="1:12" x14ac:dyDescent="0.2">
      <c r="A242" s="4">
        <v>241</v>
      </c>
      <c r="B242" t="s">
        <v>244</v>
      </c>
      <c r="C242">
        <v>67.13</v>
      </c>
      <c r="D242">
        <v>12</v>
      </c>
      <c r="E242">
        <v>19</v>
      </c>
      <c r="F242">
        <v>70.55</v>
      </c>
      <c r="G242">
        <v>0</v>
      </c>
      <c r="H242">
        <v>0</v>
      </c>
      <c r="I242">
        <v>0</v>
      </c>
      <c r="J242">
        <v>2</v>
      </c>
      <c r="K242">
        <v>67.12</v>
      </c>
      <c r="L242">
        <v>66.790000000000006</v>
      </c>
    </row>
    <row r="243" spans="1:12" x14ac:dyDescent="0.2">
      <c r="A243" s="4">
        <v>242</v>
      </c>
      <c r="B243" t="s">
        <v>836</v>
      </c>
      <c r="C243">
        <v>67.09</v>
      </c>
      <c r="D243">
        <v>12</v>
      </c>
      <c r="E243">
        <v>16</v>
      </c>
      <c r="F243">
        <v>69.44</v>
      </c>
      <c r="G243">
        <v>0</v>
      </c>
      <c r="H243">
        <v>0</v>
      </c>
      <c r="I243">
        <v>0</v>
      </c>
      <c r="J243">
        <v>1</v>
      </c>
      <c r="K243">
        <v>66.400000000000006</v>
      </c>
      <c r="L243">
        <v>67.400000000000006</v>
      </c>
    </row>
    <row r="244" spans="1:12" x14ac:dyDescent="0.2">
      <c r="A244" s="4">
        <v>243</v>
      </c>
      <c r="B244" t="s">
        <v>558</v>
      </c>
      <c r="C244">
        <v>67.040000000000006</v>
      </c>
      <c r="D244">
        <v>15</v>
      </c>
      <c r="E244">
        <v>14</v>
      </c>
      <c r="F244">
        <v>68.680000000000007</v>
      </c>
      <c r="G244">
        <v>0</v>
      </c>
      <c r="H244">
        <v>2</v>
      </c>
      <c r="I244">
        <v>0</v>
      </c>
      <c r="J244">
        <v>3</v>
      </c>
      <c r="K244">
        <v>68.16</v>
      </c>
      <c r="L244">
        <v>65.47</v>
      </c>
    </row>
    <row r="245" spans="1:12" x14ac:dyDescent="0.2">
      <c r="A245" s="4">
        <v>244</v>
      </c>
      <c r="B245" t="s">
        <v>907</v>
      </c>
      <c r="C245">
        <v>67.03</v>
      </c>
      <c r="D245">
        <v>14</v>
      </c>
      <c r="E245">
        <v>17</v>
      </c>
      <c r="F245">
        <v>67.89</v>
      </c>
      <c r="G245">
        <v>0</v>
      </c>
      <c r="H245">
        <v>2</v>
      </c>
      <c r="I245">
        <v>0</v>
      </c>
      <c r="J245">
        <v>2</v>
      </c>
      <c r="K245">
        <v>66.56</v>
      </c>
      <c r="L245">
        <v>67.13</v>
      </c>
    </row>
    <row r="246" spans="1:12" x14ac:dyDescent="0.2">
      <c r="A246" s="4">
        <v>245</v>
      </c>
      <c r="B246" t="s">
        <v>298</v>
      </c>
      <c r="C246">
        <v>67.02</v>
      </c>
      <c r="D246">
        <v>10</v>
      </c>
      <c r="E246">
        <v>17</v>
      </c>
      <c r="F246">
        <v>70.62</v>
      </c>
      <c r="G246">
        <v>0</v>
      </c>
      <c r="H246">
        <v>0</v>
      </c>
      <c r="I246">
        <v>0</v>
      </c>
      <c r="J246">
        <v>0</v>
      </c>
      <c r="K246">
        <v>67.31</v>
      </c>
      <c r="L246">
        <v>66.349999999999994</v>
      </c>
    </row>
    <row r="247" spans="1:12" x14ac:dyDescent="0.2">
      <c r="A247" s="4">
        <v>246</v>
      </c>
      <c r="B247" t="s">
        <v>53</v>
      </c>
      <c r="C247">
        <v>66.92</v>
      </c>
      <c r="D247">
        <v>8</v>
      </c>
      <c r="E247">
        <v>24</v>
      </c>
      <c r="F247">
        <v>76.5</v>
      </c>
      <c r="G247">
        <v>0</v>
      </c>
      <c r="H247">
        <v>2</v>
      </c>
      <c r="I247">
        <v>0</v>
      </c>
      <c r="J247">
        <v>11</v>
      </c>
      <c r="K247">
        <v>66.56</v>
      </c>
      <c r="L247">
        <v>66.91</v>
      </c>
    </row>
    <row r="248" spans="1:12" x14ac:dyDescent="0.2">
      <c r="A248" s="4">
        <v>247</v>
      </c>
      <c r="B248" t="s">
        <v>895</v>
      </c>
      <c r="C248">
        <v>66.86</v>
      </c>
      <c r="D248">
        <v>17</v>
      </c>
      <c r="E248">
        <v>13</v>
      </c>
      <c r="F248">
        <v>66.760000000000005</v>
      </c>
      <c r="G248">
        <v>0</v>
      </c>
      <c r="H248">
        <v>1</v>
      </c>
      <c r="I248">
        <v>0</v>
      </c>
      <c r="J248">
        <v>2</v>
      </c>
      <c r="K248">
        <v>69.55</v>
      </c>
      <c r="L248">
        <v>63.13</v>
      </c>
    </row>
    <row r="249" spans="1:12" x14ac:dyDescent="0.2">
      <c r="A249" s="4">
        <v>248</v>
      </c>
      <c r="B249" t="s">
        <v>101</v>
      </c>
      <c r="C249">
        <v>66.650000000000006</v>
      </c>
      <c r="D249">
        <v>11</v>
      </c>
      <c r="E249">
        <v>20</v>
      </c>
      <c r="F249">
        <v>71.3</v>
      </c>
      <c r="G249">
        <v>0</v>
      </c>
      <c r="H249">
        <v>1</v>
      </c>
      <c r="I249">
        <v>0</v>
      </c>
      <c r="J249">
        <v>3</v>
      </c>
      <c r="K249">
        <v>66.239999999999995</v>
      </c>
      <c r="L249">
        <v>66.69</v>
      </c>
    </row>
    <row r="250" spans="1:12" x14ac:dyDescent="0.2">
      <c r="A250" s="4">
        <v>249</v>
      </c>
      <c r="B250" t="s">
        <v>299</v>
      </c>
      <c r="C250">
        <v>66.62</v>
      </c>
      <c r="D250">
        <v>19</v>
      </c>
      <c r="E250">
        <v>13</v>
      </c>
      <c r="F250">
        <v>64.67</v>
      </c>
      <c r="G250">
        <v>0</v>
      </c>
      <c r="H250">
        <v>1</v>
      </c>
      <c r="I250">
        <v>0</v>
      </c>
      <c r="J250">
        <v>2</v>
      </c>
      <c r="K250">
        <v>67.83</v>
      </c>
      <c r="L250">
        <v>64.91</v>
      </c>
    </row>
    <row r="251" spans="1:12" x14ac:dyDescent="0.2">
      <c r="A251" s="4">
        <v>250</v>
      </c>
      <c r="B251" t="s">
        <v>831</v>
      </c>
      <c r="C251">
        <v>66.599999999999994</v>
      </c>
      <c r="D251">
        <v>7</v>
      </c>
      <c r="E251">
        <v>21</v>
      </c>
      <c r="F251">
        <v>74.55</v>
      </c>
      <c r="G251">
        <v>1</v>
      </c>
      <c r="H251">
        <v>1</v>
      </c>
      <c r="I251">
        <v>1</v>
      </c>
      <c r="J251">
        <v>1</v>
      </c>
      <c r="K251">
        <v>66.45</v>
      </c>
      <c r="L251">
        <v>66.39</v>
      </c>
    </row>
    <row r="252" spans="1:12" x14ac:dyDescent="0.2">
      <c r="A252" s="4">
        <v>251</v>
      </c>
      <c r="B252" t="s">
        <v>189</v>
      </c>
      <c r="C252">
        <v>66.58</v>
      </c>
      <c r="D252">
        <v>11</v>
      </c>
      <c r="E252">
        <v>19</v>
      </c>
      <c r="F252">
        <v>69.739999999999995</v>
      </c>
      <c r="G252">
        <v>0</v>
      </c>
      <c r="H252">
        <v>0</v>
      </c>
      <c r="I252">
        <v>0</v>
      </c>
      <c r="J252">
        <v>3</v>
      </c>
      <c r="K252">
        <v>66.02</v>
      </c>
      <c r="L252">
        <v>66.77</v>
      </c>
    </row>
    <row r="253" spans="1:12" x14ac:dyDescent="0.2">
      <c r="A253" s="4">
        <v>252</v>
      </c>
      <c r="B253" t="s">
        <v>199</v>
      </c>
      <c r="C253">
        <v>66.5</v>
      </c>
      <c r="D253">
        <v>13</v>
      </c>
      <c r="E253">
        <v>16</v>
      </c>
      <c r="F253">
        <v>67.91</v>
      </c>
      <c r="G253">
        <v>0</v>
      </c>
      <c r="H253">
        <v>0</v>
      </c>
      <c r="I253">
        <v>0</v>
      </c>
      <c r="J253">
        <v>0</v>
      </c>
      <c r="K253">
        <v>65.430000000000007</v>
      </c>
      <c r="L253">
        <v>67.14</v>
      </c>
    </row>
    <row r="254" spans="1:12" x14ac:dyDescent="0.2">
      <c r="A254" s="4">
        <v>253</v>
      </c>
      <c r="B254" t="s">
        <v>823</v>
      </c>
      <c r="C254">
        <v>66.48</v>
      </c>
      <c r="D254">
        <v>11</v>
      </c>
      <c r="E254">
        <v>18</v>
      </c>
      <c r="F254">
        <v>70.2</v>
      </c>
      <c r="G254">
        <v>0</v>
      </c>
      <c r="H254">
        <v>0</v>
      </c>
      <c r="I254">
        <v>0</v>
      </c>
      <c r="J254">
        <v>1</v>
      </c>
      <c r="K254">
        <v>66.180000000000007</v>
      </c>
      <c r="L254">
        <v>66.42</v>
      </c>
    </row>
    <row r="255" spans="1:12" x14ac:dyDescent="0.2">
      <c r="A255" s="4">
        <v>254</v>
      </c>
      <c r="B255" t="s">
        <v>868</v>
      </c>
      <c r="C255">
        <v>66.430000000000007</v>
      </c>
      <c r="D255">
        <v>16</v>
      </c>
      <c r="E255">
        <v>13</v>
      </c>
      <c r="F255">
        <v>66.540000000000006</v>
      </c>
      <c r="G255">
        <v>0</v>
      </c>
      <c r="H255">
        <v>0</v>
      </c>
      <c r="I255">
        <v>0</v>
      </c>
      <c r="J255">
        <v>0</v>
      </c>
      <c r="K255">
        <v>67.22</v>
      </c>
      <c r="L255">
        <v>65.22</v>
      </c>
    </row>
    <row r="256" spans="1:12" x14ac:dyDescent="0.2">
      <c r="A256" s="4">
        <v>255</v>
      </c>
      <c r="B256" t="s">
        <v>861</v>
      </c>
      <c r="C256">
        <v>66.41</v>
      </c>
      <c r="D256">
        <v>14</v>
      </c>
      <c r="E256">
        <v>15</v>
      </c>
      <c r="F256">
        <v>67.319999999999993</v>
      </c>
      <c r="G256">
        <v>0</v>
      </c>
      <c r="H256">
        <v>1</v>
      </c>
      <c r="I256">
        <v>0</v>
      </c>
      <c r="J256">
        <v>1</v>
      </c>
      <c r="K256">
        <v>66.05</v>
      </c>
      <c r="L256">
        <v>66.400000000000006</v>
      </c>
    </row>
    <row r="257" spans="1:12" x14ac:dyDescent="0.2">
      <c r="A257" s="4">
        <v>256</v>
      </c>
      <c r="B257" t="s">
        <v>291</v>
      </c>
      <c r="C257">
        <v>66.13</v>
      </c>
      <c r="D257">
        <v>9</v>
      </c>
      <c r="E257">
        <v>21</v>
      </c>
      <c r="F257">
        <v>72.349999999999994</v>
      </c>
      <c r="G257">
        <v>0</v>
      </c>
      <c r="H257">
        <v>1</v>
      </c>
      <c r="I257">
        <v>0</v>
      </c>
      <c r="J257">
        <v>3</v>
      </c>
      <c r="K257">
        <v>66.77</v>
      </c>
      <c r="L257">
        <v>65.09</v>
      </c>
    </row>
    <row r="258" spans="1:12" x14ac:dyDescent="0.2">
      <c r="A258" s="4">
        <v>257</v>
      </c>
      <c r="B258" t="s">
        <v>146</v>
      </c>
      <c r="C258">
        <v>65.97</v>
      </c>
      <c r="D258">
        <v>15</v>
      </c>
      <c r="E258">
        <v>11</v>
      </c>
      <c r="F258">
        <v>63.68</v>
      </c>
      <c r="G258">
        <v>0</v>
      </c>
      <c r="H258">
        <v>1</v>
      </c>
      <c r="I258">
        <v>0</v>
      </c>
      <c r="J258">
        <v>2</v>
      </c>
      <c r="K258">
        <v>65.180000000000007</v>
      </c>
      <c r="L258">
        <v>66.37</v>
      </c>
    </row>
    <row r="259" spans="1:12" x14ac:dyDescent="0.2">
      <c r="A259" s="4">
        <v>258</v>
      </c>
      <c r="B259" t="s">
        <v>301</v>
      </c>
      <c r="C259">
        <v>65.930000000000007</v>
      </c>
      <c r="D259">
        <v>8</v>
      </c>
      <c r="E259">
        <v>20</v>
      </c>
      <c r="F259">
        <v>70.84</v>
      </c>
      <c r="G259">
        <v>0</v>
      </c>
      <c r="H259">
        <v>0</v>
      </c>
      <c r="I259">
        <v>0</v>
      </c>
      <c r="J259">
        <v>1</v>
      </c>
      <c r="K259">
        <v>63.8</v>
      </c>
      <c r="L259">
        <v>67.42</v>
      </c>
    </row>
    <row r="260" spans="1:12" x14ac:dyDescent="0.2">
      <c r="A260" s="4">
        <v>259</v>
      </c>
      <c r="B260" t="s">
        <v>832</v>
      </c>
      <c r="C260">
        <v>65.92</v>
      </c>
      <c r="D260">
        <v>13</v>
      </c>
      <c r="E260">
        <v>14</v>
      </c>
      <c r="F260">
        <v>66.010000000000005</v>
      </c>
      <c r="G260">
        <v>0</v>
      </c>
      <c r="H260">
        <v>4</v>
      </c>
      <c r="I260">
        <v>0</v>
      </c>
      <c r="J260">
        <v>4</v>
      </c>
      <c r="K260">
        <v>65.92</v>
      </c>
      <c r="L260">
        <v>65.569999999999993</v>
      </c>
    </row>
    <row r="261" spans="1:12" x14ac:dyDescent="0.2">
      <c r="A261" s="4">
        <v>260</v>
      </c>
      <c r="B261" t="s">
        <v>213</v>
      </c>
      <c r="C261">
        <v>65.84</v>
      </c>
      <c r="D261">
        <v>11</v>
      </c>
      <c r="E261">
        <v>21</v>
      </c>
      <c r="F261">
        <v>71.19</v>
      </c>
      <c r="G261">
        <v>0</v>
      </c>
      <c r="H261">
        <v>1</v>
      </c>
      <c r="I261">
        <v>0</v>
      </c>
      <c r="J261">
        <v>4</v>
      </c>
      <c r="K261">
        <v>66.5</v>
      </c>
      <c r="L261">
        <v>64.77</v>
      </c>
    </row>
    <row r="262" spans="1:12" x14ac:dyDescent="0.2">
      <c r="A262" s="4">
        <v>261</v>
      </c>
      <c r="B262" t="s">
        <v>263</v>
      </c>
      <c r="C262">
        <v>65.81</v>
      </c>
      <c r="D262">
        <v>8</v>
      </c>
      <c r="E262">
        <v>21</v>
      </c>
      <c r="F262">
        <v>70.099999999999994</v>
      </c>
      <c r="G262">
        <v>0</v>
      </c>
      <c r="H262">
        <v>0</v>
      </c>
      <c r="I262">
        <v>0</v>
      </c>
      <c r="J262">
        <v>0</v>
      </c>
      <c r="K262">
        <v>63.65</v>
      </c>
      <c r="L262">
        <v>67.319999999999993</v>
      </c>
    </row>
    <row r="263" spans="1:12" x14ac:dyDescent="0.2">
      <c r="A263" s="4">
        <v>262</v>
      </c>
      <c r="B263" t="s">
        <v>825</v>
      </c>
      <c r="C263">
        <v>65.8</v>
      </c>
      <c r="D263">
        <v>13</v>
      </c>
      <c r="E263">
        <v>16</v>
      </c>
      <c r="F263">
        <v>68.209999999999994</v>
      </c>
      <c r="G263">
        <v>0</v>
      </c>
      <c r="H263">
        <v>0</v>
      </c>
      <c r="I263">
        <v>0</v>
      </c>
      <c r="J263">
        <v>0</v>
      </c>
      <c r="K263">
        <v>66.05</v>
      </c>
      <c r="L263">
        <v>65.180000000000007</v>
      </c>
    </row>
    <row r="264" spans="1:12" x14ac:dyDescent="0.2">
      <c r="A264" s="4">
        <v>263</v>
      </c>
      <c r="B264" t="s">
        <v>221</v>
      </c>
      <c r="C264">
        <v>65.69</v>
      </c>
      <c r="D264">
        <v>6</v>
      </c>
      <c r="E264">
        <v>24</v>
      </c>
      <c r="F264">
        <v>75.040000000000006</v>
      </c>
      <c r="G264">
        <v>1</v>
      </c>
      <c r="H264">
        <v>3</v>
      </c>
      <c r="I264">
        <v>1</v>
      </c>
      <c r="J264">
        <v>3</v>
      </c>
      <c r="K264">
        <v>64.75</v>
      </c>
      <c r="L264">
        <v>66.22</v>
      </c>
    </row>
    <row r="265" spans="1:12" x14ac:dyDescent="0.2">
      <c r="A265" s="4">
        <v>264</v>
      </c>
      <c r="B265" t="s">
        <v>164</v>
      </c>
      <c r="C265">
        <v>65.67</v>
      </c>
      <c r="D265">
        <v>10</v>
      </c>
      <c r="E265">
        <v>18</v>
      </c>
      <c r="F265">
        <v>70.27</v>
      </c>
      <c r="G265">
        <v>0</v>
      </c>
      <c r="H265">
        <v>0</v>
      </c>
      <c r="I265">
        <v>0</v>
      </c>
      <c r="J265">
        <v>2</v>
      </c>
      <c r="K265">
        <v>64.709999999999994</v>
      </c>
      <c r="L265">
        <v>66.209999999999994</v>
      </c>
    </row>
    <row r="266" spans="1:12" x14ac:dyDescent="0.2">
      <c r="A266" s="4">
        <v>265</v>
      </c>
      <c r="B266" t="s">
        <v>227</v>
      </c>
      <c r="C266">
        <v>65.67</v>
      </c>
      <c r="D266">
        <v>12</v>
      </c>
      <c r="E266">
        <v>14</v>
      </c>
      <c r="F266">
        <v>68.06</v>
      </c>
      <c r="G266">
        <v>0</v>
      </c>
      <c r="H266">
        <v>0</v>
      </c>
      <c r="I266">
        <v>0</v>
      </c>
      <c r="J266">
        <v>3</v>
      </c>
      <c r="K266">
        <v>65.61</v>
      </c>
      <c r="L266">
        <v>65.37</v>
      </c>
    </row>
    <row r="267" spans="1:12" x14ac:dyDescent="0.2">
      <c r="A267" s="4">
        <v>266</v>
      </c>
      <c r="B267" t="s">
        <v>262</v>
      </c>
      <c r="C267">
        <v>65.430000000000007</v>
      </c>
      <c r="D267">
        <v>9</v>
      </c>
      <c r="E267">
        <v>17</v>
      </c>
      <c r="F267">
        <v>67.849999999999994</v>
      </c>
      <c r="G267">
        <v>0</v>
      </c>
      <c r="H267">
        <v>1</v>
      </c>
      <c r="I267">
        <v>0</v>
      </c>
      <c r="J267">
        <v>1</v>
      </c>
      <c r="K267">
        <v>62.45</v>
      </c>
      <c r="L267">
        <v>67.459999999999994</v>
      </c>
    </row>
    <row r="268" spans="1:12" x14ac:dyDescent="0.2">
      <c r="A268" s="4">
        <v>267</v>
      </c>
      <c r="B268" t="s">
        <v>168</v>
      </c>
      <c r="C268">
        <v>65.42</v>
      </c>
      <c r="D268">
        <v>10</v>
      </c>
      <c r="E268">
        <v>19</v>
      </c>
      <c r="F268">
        <v>71.209999999999994</v>
      </c>
      <c r="G268">
        <v>0</v>
      </c>
      <c r="H268">
        <v>0</v>
      </c>
      <c r="I268">
        <v>0</v>
      </c>
      <c r="J268">
        <v>1</v>
      </c>
      <c r="K268">
        <v>65.66</v>
      </c>
      <c r="L268">
        <v>64.819999999999993</v>
      </c>
    </row>
    <row r="269" spans="1:12" x14ac:dyDescent="0.2">
      <c r="A269" s="4">
        <v>268</v>
      </c>
      <c r="B269" t="s">
        <v>191</v>
      </c>
      <c r="C269">
        <v>65.36</v>
      </c>
      <c r="D269">
        <v>9</v>
      </c>
      <c r="E269">
        <v>16</v>
      </c>
      <c r="F269">
        <v>68.39</v>
      </c>
      <c r="G269">
        <v>0</v>
      </c>
      <c r="H269">
        <v>1</v>
      </c>
      <c r="I269">
        <v>0</v>
      </c>
      <c r="J269">
        <v>1</v>
      </c>
      <c r="K269">
        <v>63.31</v>
      </c>
      <c r="L269">
        <v>66.77</v>
      </c>
    </row>
    <row r="270" spans="1:12" x14ac:dyDescent="0.2">
      <c r="A270" s="4">
        <v>269</v>
      </c>
      <c r="B270" t="s">
        <v>844</v>
      </c>
      <c r="C270">
        <v>65.36</v>
      </c>
      <c r="D270">
        <v>8</v>
      </c>
      <c r="E270">
        <v>18</v>
      </c>
      <c r="F270">
        <v>72.28</v>
      </c>
      <c r="G270">
        <v>0</v>
      </c>
      <c r="H270">
        <v>1</v>
      </c>
      <c r="I270">
        <v>0</v>
      </c>
      <c r="J270">
        <v>3</v>
      </c>
      <c r="K270">
        <v>65.150000000000006</v>
      </c>
      <c r="L270">
        <v>65.209999999999994</v>
      </c>
    </row>
    <row r="271" spans="1:12" x14ac:dyDescent="0.2">
      <c r="A271" s="4">
        <v>270</v>
      </c>
      <c r="B271" t="s">
        <v>152</v>
      </c>
      <c r="C271">
        <v>65.180000000000007</v>
      </c>
      <c r="D271">
        <v>11</v>
      </c>
      <c r="E271">
        <v>20</v>
      </c>
      <c r="F271">
        <v>70.23</v>
      </c>
      <c r="G271">
        <v>0</v>
      </c>
      <c r="H271">
        <v>1</v>
      </c>
      <c r="I271">
        <v>0</v>
      </c>
      <c r="J271">
        <v>1</v>
      </c>
      <c r="K271">
        <v>65.319999999999993</v>
      </c>
      <c r="L271">
        <v>64.680000000000007</v>
      </c>
    </row>
    <row r="272" spans="1:12" x14ac:dyDescent="0.2">
      <c r="A272" s="4">
        <v>271</v>
      </c>
      <c r="B272" t="s">
        <v>169</v>
      </c>
      <c r="C272">
        <v>65.14</v>
      </c>
      <c r="D272">
        <v>10</v>
      </c>
      <c r="E272">
        <v>20</v>
      </c>
      <c r="F272">
        <v>69.84</v>
      </c>
      <c r="G272">
        <v>0</v>
      </c>
      <c r="H272">
        <v>1</v>
      </c>
      <c r="I272">
        <v>0</v>
      </c>
      <c r="J272">
        <v>1</v>
      </c>
      <c r="K272">
        <v>64.13</v>
      </c>
      <c r="L272">
        <v>65.73</v>
      </c>
    </row>
    <row r="273" spans="1:12" x14ac:dyDescent="0.2">
      <c r="A273" s="4">
        <v>272</v>
      </c>
      <c r="B273" t="s">
        <v>288</v>
      </c>
      <c r="C273">
        <v>64.989999999999995</v>
      </c>
      <c r="D273">
        <v>7</v>
      </c>
      <c r="E273">
        <v>21</v>
      </c>
      <c r="F273">
        <v>73.900000000000006</v>
      </c>
      <c r="G273">
        <v>0</v>
      </c>
      <c r="H273">
        <v>0</v>
      </c>
      <c r="I273">
        <v>1</v>
      </c>
      <c r="J273">
        <v>4</v>
      </c>
      <c r="K273">
        <v>66.11</v>
      </c>
      <c r="L273">
        <v>63.37</v>
      </c>
    </row>
    <row r="274" spans="1:12" x14ac:dyDescent="0.2">
      <c r="A274" s="4">
        <v>273</v>
      </c>
      <c r="B274" t="s">
        <v>246</v>
      </c>
      <c r="C274">
        <v>64.98</v>
      </c>
      <c r="D274">
        <v>11</v>
      </c>
      <c r="E274">
        <v>18</v>
      </c>
      <c r="F274">
        <v>68.510000000000005</v>
      </c>
      <c r="G274">
        <v>0</v>
      </c>
      <c r="H274">
        <v>0</v>
      </c>
      <c r="I274">
        <v>0</v>
      </c>
      <c r="J274">
        <v>0</v>
      </c>
      <c r="K274">
        <v>65.22</v>
      </c>
      <c r="L274">
        <v>64.37</v>
      </c>
    </row>
    <row r="275" spans="1:12" x14ac:dyDescent="0.2">
      <c r="A275" s="4">
        <v>274</v>
      </c>
      <c r="B275" t="s">
        <v>229</v>
      </c>
      <c r="C275">
        <v>64.81</v>
      </c>
      <c r="D275">
        <v>12</v>
      </c>
      <c r="E275">
        <v>17</v>
      </c>
      <c r="F275">
        <v>68.540000000000006</v>
      </c>
      <c r="G275">
        <v>0</v>
      </c>
      <c r="H275">
        <v>2</v>
      </c>
      <c r="I275">
        <v>0</v>
      </c>
      <c r="J275">
        <v>2</v>
      </c>
      <c r="K275">
        <v>66.31</v>
      </c>
      <c r="L275">
        <v>62.65</v>
      </c>
    </row>
    <row r="276" spans="1:12" x14ac:dyDescent="0.2">
      <c r="A276" s="4">
        <v>275</v>
      </c>
      <c r="B276" t="s">
        <v>243</v>
      </c>
      <c r="C276">
        <v>64.650000000000006</v>
      </c>
      <c r="D276">
        <v>9</v>
      </c>
      <c r="E276">
        <v>21</v>
      </c>
      <c r="F276">
        <v>70.77</v>
      </c>
      <c r="G276">
        <v>0</v>
      </c>
      <c r="H276">
        <v>0</v>
      </c>
      <c r="I276">
        <v>0</v>
      </c>
      <c r="J276">
        <v>2</v>
      </c>
      <c r="K276">
        <v>64.209999999999994</v>
      </c>
      <c r="L276">
        <v>64.709999999999994</v>
      </c>
    </row>
    <row r="277" spans="1:12" x14ac:dyDescent="0.2">
      <c r="A277" s="4">
        <v>276</v>
      </c>
      <c r="B277" t="s">
        <v>197</v>
      </c>
      <c r="C277">
        <v>64.52</v>
      </c>
      <c r="D277">
        <v>11</v>
      </c>
      <c r="E277">
        <v>18</v>
      </c>
      <c r="F277">
        <v>68.25</v>
      </c>
      <c r="G277">
        <v>0</v>
      </c>
      <c r="H277">
        <v>1</v>
      </c>
      <c r="I277">
        <v>0</v>
      </c>
      <c r="J277">
        <v>2</v>
      </c>
      <c r="K277">
        <v>64.739999999999995</v>
      </c>
      <c r="L277">
        <v>63.92</v>
      </c>
    </row>
    <row r="278" spans="1:12" x14ac:dyDescent="0.2">
      <c r="A278" s="4">
        <v>277</v>
      </c>
      <c r="B278" t="s">
        <v>176</v>
      </c>
      <c r="C278">
        <v>64.47</v>
      </c>
      <c r="D278">
        <v>10</v>
      </c>
      <c r="E278">
        <v>20</v>
      </c>
      <c r="F278">
        <v>70.290000000000006</v>
      </c>
      <c r="G278">
        <v>0</v>
      </c>
      <c r="H278">
        <v>1</v>
      </c>
      <c r="I278">
        <v>0</v>
      </c>
      <c r="J278">
        <v>3</v>
      </c>
      <c r="K278">
        <v>64.97</v>
      </c>
      <c r="L278">
        <v>63.57</v>
      </c>
    </row>
    <row r="279" spans="1:12" x14ac:dyDescent="0.2">
      <c r="A279" s="4">
        <v>278</v>
      </c>
      <c r="B279" t="s">
        <v>211</v>
      </c>
      <c r="C279">
        <v>64.41</v>
      </c>
      <c r="D279">
        <v>10</v>
      </c>
      <c r="E279">
        <v>19</v>
      </c>
      <c r="F279">
        <v>70.52</v>
      </c>
      <c r="G279">
        <v>0</v>
      </c>
      <c r="H279">
        <v>0</v>
      </c>
      <c r="I279">
        <v>0</v>
      </c>
      <c r="J279">
        <v>1</v>
      </c>
      <c r="K279">
        <v>66.66</v>
      </c>
      <c r="L279">
        <v>61.05</v>
      </c>
    </row>
    <row r="280" spans="1:12" x14ac:dyDescent="0.2">
      <c r="A280" s="4">
        <v>279</v>
      </c>
      <c r="B280" t="s">
        <v>184</v>
      </c>
      <c r="C280">
        <v>64.39</v>
      </c>
      <c r="D280">
        <v>8</v>
      </c>
      <c r="E280">
        <v>20</v>
      </c>
      <c r="F280">
        <v>70.72</v>
      </c>
      <c r="G280">
        <v>0</v>
      </c>
      <c r="H280">
        <v>1</v>
      </c>
      <c r="I280">
        <v>0</v>
      </c>
      <c r="J280">
        <v>2</v>
      </c>
      <c r="K280">
        <v>63.47</v>
      </c>
      <c r="L280">
        <v>64.89</v>
      </c>
    </row>
    <row r="281" spans="1:12" x14ac:dyDescent="0.2">
      <c r="A281" s="4">
        <v>280</v>
      </c>
      <c r="B281" t="s">
        <v>108</v>
      </c>
      <c r="C281">
        <v>64.260000000000005</v>
      </c>
      <c r="D281">
        <v>4</v>
      </c>
      <c r="E281">
        <v>26</v>
      </c>
      <c r="F281">
        <v>74.209999999999994</v>
      </c>
      <c r="G281">
        <v>0</v>
      </c>
      <c r="H281">
        <v>0</v>
      </c>
      <c r="I281">
        <v>0</v>
      </c>
      <c r="J281">
        <v>4</v>
      </c>
      <c r="K281">
        <v>62.52</v>
      </c>
      <c r="L281">
        <v>65.400000000000006</v>
      </c>
    </row>
    <row r="282" spans="1:12" x14ac:dyDescent="0.2">
      <c r="A282" s="4">
        <v>281</v>
      </c>
      <c r="B282" t="s">
        <v>222</v>
      </c>
      <c r="C282">
        <v>64.23</v>
      </c>
      <c r="D282">
        <v>11</v>
      </c>
      <c r="E282">
        <v>20</v>
      </c>
      <c r="F282">
        <v>68.680000000000007</v>
      </c>
      <c r="G282">
        <v>0</v>
      </c>
      <c r="H282">
        <v>0</v>
      </c>
      <c r="I282">
        <v>0</v>
      </c>
      <c r="J282">
        <v>1</v>
      </c>
      <c r="K282">
        <v>64.569999999999993</v>
      </c>
      <c r="L282">
        <v>63.51</v>
      </c>
    </row>
    <row r="283" spans="1:12" x14ac:dyDescent="0.2">
      <c r="A283" s="4">
        <v>282</v>
      </c>
      <c r="B283" t="s">
        <v>236</v>
      </c>
      <c r="C283">
        <v>64.22</v>
      </c>
      <c r="D283">
        <v>8</v>
      </c>
      <c r="E283">
        <v>21</v>
      </c>
      <c r="F283">
        <v>70.760000000000005</v>
      </c>
      <c r="G283">
        <v>0</v>
      </c>
      <c r="H283">
        <v>0</v>
      </c>
      <c r="I283">
        <v>0</v>
      </c>
      <c r="J283">
        <v>3</v>
      </c>
      <c r="K283">
        <v>63.02</v>
      </c>
      <c r="L283">
        <v>64.94</v>
      </c>
    </row>
    <row r="284" spans="1:12" x14ac:dyDescent="0.2">
      <c r="A284" s="4">
        <v>283</v>
      </c>
      <c r="B284" t="s">
        <v>198</v>
      </c>
      <c r="C284">
        <v>64.209999999999994</v>
      </c>
      <c r="D284">
        <v>8</v>
      </c>
      <c r="E284">
        <v>22</v>
      </c>
      <c r="F284">
        <v>71.73</v>
      </c>
      <c r="G284">
        <v>0</v>
      </c>
      <c r="H284">
        <v>0</v>
      </c>
      <c r="I284">
        <v>0</v>
      </c>
      <c r="J284">
        <v>2</v>
      </c>
      <c r="K284">
        <v>63.73</v>
      </c>
      <c r="L284">
        <v>64.31</v>
      </c>
    </row>
    <row r="285" spans="1:12" x14ac:dyDescent="0.2">
      <c r="A285" s="4">
        <v>284</v>
      </c>
      <c r="B285" t="s">
        <v>289</v>
      </c>
      <c r="C285">
        <v>64.2</v>
      </c>
      <c r="D285">
        <v>10</v>
      </c>
      <c r="E285">
        <v>19</v>
      </c>
      <c r="F285">
        <v>70.06</v>
      </c>
      <c r="G285">
        <v>0</v>
      </c>
      <c r="H285">
        <v>0</v>
      </c>
      <c r="I285">
        <v>0</v>
      </c>
      <c r="J285">
        <v>0</v>
      </c>
      <c r="K285">
        <v>65.5</v>
      </c>
      <c r="L285">
        <v>62.32</v>
      </c>
    </row>
    <row r="286" spans="1:12" x14ac:dyDescent="0.2">
      <c r="A286" s="4">
        <v>285</v>
      </c>
      <c r="B286" t="s">
        <v>549</v>
      </c>
      <c r="C286">
        <v>64.09</v>
      </c>
      <c r="D286">
        <v>10</v>
      </c>
      <c r="E286">
        <v>19</v>
      </c>
      <c r="F286">
        <v>68.66</v>
      </c>
      <c r="G286">
        <v>0</v>
      </c>
      <c r="H286">
        <v>0</v>
      </c>
      <c r="I286">
        <v>0</v>
      </c>
      <c r="J286">
        <v>0</v>
      </c>
      <c r="K286">
        <v>63.99</v>
      </c>
      <c r="L286">
        <v>63.84</v>
      </c>
    </row>
    <row r="287" spans="1:12" x14ac:dyDescent="0.2">
      <c r="A287" s="4">
        <v>286</v>
      </c>
      <c r="B287" t="s">
        <v>294</v>
      </c>
      <c r="C287">
        <v>64.06</v>
      </c>
      <c r="D287">
        <v>7</v>
      </c>
      <c r="E287">
        <v>21</v>
      </c>
      <c r="F287">
        <v>71.45</v>
      </c>
      <c r="G287">
        <v>0</v>
      </c>
      <c r="H287">
        <v>0</v>
      </c>
      <c r="I287">
        <v>0</v>
      </c>
      <c r="J287">
        <v>3</v>
      </c>
      <c r="K287">
        <v>63.65</v>
      </c>
      <c r="L287">
        <v>64.09</v>
      </c>
    </row>
    <row r="288" spans="1:12" x14ac:dyDescent="0.2">
      <c r="A288" s="4">
        <v>287</v>
      </c>
      <c r="B288" t="s">
        <v>893</v>
      </c>
      <c r="C288">
        <v>64.05</v>
      </c>
      <c r="D288">
        <v>9</v>
      </c>
      <c r="E288">
        <v>21</v>
      </c>
      <c r="F288">
        <v>70.88</v>
      </c>
      <c r="G288">
        <v>0</v>
      </c>
      <c r="H288">
        <v>2</v>
      </c>
      <c r="I288">
        <v>0</v>
      </c>
      <c r="J288">
        <v>2</v>
      </c>
      <c r="K288">
        <v>64.83</v>
      </c>
      <c r="L288">
        <v>62.84</v>
      </c>
    </row>
    <row r="289" spans="1:12" x14ac:dyDescent="0.2">
      <c r="A289" s="4">
        <v>288</v>
      </c>
      <c r="B289" t="s">
        <v>278</v>
      </c>
      <c r="C289">
        <v>63.91</v>
      </c>
      <c r="D289">
        <v>7</v>
      </c>
      <c r="E289">
        <v>24</v>
      </c>
      <c r="F289">
        <v>73.12</v>
      </c>
      <c r="G289">
        <v>0</v>
      </c>
      <c r="H289">
        <v>1</v>
      </c>
      <c r="I289">
        <v>0</v>
      </c>
      <c r="J289">
        <v>6</v>
      </c>
      <c r="K289">
        <v>63.59</v>
      </c>
      <c r="L289">
        <v>63.87</v>
      </c>
    </row>
    <row r="290" spans="1:12" x14ac:dyDescent="0.2">
      <c r="A290" s="4">
        <v>289</v>
      </c>
      <c r="B290" t="s">
        <v>158</v>
      </c>
      <c r="C290">
        <v>63.87</v>
      </c>
      <c r="D290">
        <v>10</v>
      </c>
      <c r="E290">
        <v>16</v>
      </c>
      <c r="F290">
        <v>68.45</v>
      </c>
      <c r="G290">
        <v>0</v>
      </c>
      <c r="H290">
        <v>1</v>
      </c>
      <c r="I290">
        <v>0</v>
      </c>
      <c r="J290">
        <v>2</v>
      </c>
      <c r="K290">
        <v>63.98</v>
      </c>
      <c r="L290">
        <v>63.39</v>
      </c>
    </row>
    <row r="291" spans="1:12" x14ac:dyDescent="0.2">
      <c r="A291" s="4">
        <v>290</v>
      </c>
      <c r="B291" t="s">
        <v>843</v>
      </c>
      <c r="C291">
        <v>63.8</v>
      </c>
      <c r="D291">
        <v>12</v>
      </c>
      <c r="E291">
        <v>20</v>
      </c>
      <c r="F291">
        <v>68.02</v>
      </c>
      <c r="G291">
        <v>0</v>
      </c>
      <c r="H291">
        <v>0</v>
      </c>
      <c r="I291">
        <v>0</v>
      </c>
      <c r="J291">
        <v>0</v>
      </c>
      <c r="K291">
        <v>64.64</v>
      </c>
      <c r="L291">
        <v>62.49</v>
      </c>
    </row>
    <row r="292" spans="1:12" x14ac:dyDescent="0.2">
      <c r="A292" s="4">
        <v>291</v>
      </c>
      <c r="B292" t="s">
        <v>283</v>
      </c>
      <c r="C292">
        <v>63.78</v>
      </c>
      <c r="D292">
        <v>10</v>
      </c>
      <c r="E292">
        <v>20</v>
      </c>
      <c r="F292">
        <v>68.790000000000006</v>
      </c>
      <c r="G292">
        <v>0</v>
      </c>
      <c r="H292">
        <v>1</v>
      </c>
      <c r="I292">
        <v>0</v>
      </c>
      <c r="J292">
        <v>1</v>
      </c>
      <c r="K292">
        <v>63.84</v>
      </c>
      <c r="L292">
        <v>63.37</v>
      </c>
    </row>
    <row r="293" spans="1:12" x14ac:dyDescent="0.2">
      <c r="A293" s="4">
        <v>292</v>
      </c>
      <c r="B293" t="s">
        <v>881</v>
      </c>
      <c r="C293">
        <v>63.76</v>
      </c>
      <c r="D293">
        <v>9</v>
      </c>
      <c r="E293">
        <v>19</v>
      </c>
      <c r="F293">
        <v>68.69</v>
      </c>
      <c r="G293">
        <v>0</v>
      </c>
      <c r="H293">
        <v>1</v>
      </c>
      <c r="I293">
        <v>0</v>
      </c>
      <c r="J293">
        <v>2</v>
      </c>
      <c r="K293">
        <v>63.23</v>
      </c>
      <c r="L293">
        <v>63.92</v>
      </c>
    </row>
    <row r="294" spans="1:12" x14ac:dyDescent="0.2">
      <c r="A294" s="4">
        <v>293</v>
      </c>
      <c r="B294" t="s">
        <v>838</v>
      </c>
      <c r="C294">
        <v>63.71</v>
      </c>
      <c r="D294">
        <v>15</v>
      </c>
      <c r="E294">
        <v>15</v>
      </c>
      <c r="F294">
        <v>63.2</v>
      </c>
      <c r="G294">
        <v>0</v>
      </c>
      <c r="H294">
        <v>1</v>
      </c>
      <c r="I294">
        <v>0</v>
      </c>
      <c r="J294">
        <v>1</v>
      </c>
      <c r="K294">
        <v>62.65</v>
      </c>
      <c r="L294">
        <v>64.319999999999993</v>
      </c>
    </row>
    <row r="295" spans="1:12" x14ac:dyDescent="0.2">
      <c r="A295" s="4">
        <v>294</v>
      </c>
      <c r="B295" t="s">
        <v>233</v>
      </c>
      <c r="C295">
        <v>63.69</v>
      </c>
      <c r="D295">
        <v>8</v>
      </c>
      <c r="E295">
        <v>22</v>
      </c>
      <c r="F295">
        <v>71.08</v>
      </c>
      <c r="G295">
        <v>0</v>
      </c>
      <c r="H295">
        <v>0</v>
      </c>
      <c r="I295">
        <v>0</v>
      </c>
      <c r="J295">
        <v>3</v>
      </c>
      <c r="K295">
        <v>64.069999999999993</v>
      </c>
      <c r="L295">
        <v>62.93</v>
      </c>
    </row>
    <row r="296" spans="1:12" x14ac:dyDescent="0.2">
      <c r="A296" s="4">
        <v>295</v>
      </c>
      <c r="B296" t="s">
        <v>180</v>
      </c>
      <c r="C296">
        <v>63.69</v>
      </c>
      <c r="D296">
        <v>9</v>
      </c>
      <c r="E296">
        <v>23</v>
      </c>
      <c r="F296">
        <v>71.38</v>
      </c>
      <c r="G296">
        <v>0</v>
      </c>
      <c r="H296">
        <v>0</v>
      </c>
      <c r="I296">
        <v>0</v>
      </c>
      <c r="J296">
        <v>0</v>
      </c>
      <c r="K296">
        <v>65.099999999999994</v>
      </c>
      <c r="L296">
        <v>61.61</v>
      </c>
    </row>
    <row r="297" spans="1:12" x14ac:dyDescent="0.2">
      <c r="A297" s="4">
        <v>296</v>
      </c>
      <c r="B297" t="s">
        <v>240</v>
      </c>
      <c r="C297">
        <v>63.62</v>
      </c>
      <c r="D297">
        <v>11</v>
      </c>
      <c r="E297">
        <v>15</v>
      </c>
      <c r="F297">
        <v>67.08</v>
      </c>
      <c r="G297">
        <v>0</v>
      </c>
      <c r="H297">
        <v>0</v>
      </c>
      <c r="I297">
        <v>0</v>
      </c>
      <c r="J297">
        <v>1</v>
      </c>
      <c r="K297">
        <v>65.099999999999994</v>
      </c>
      <c r="L297">
        <v>61.45</v>
      </c>
    </row>
    <row r="298" spans="1:12" x14ac:dyDescent="0.2">
      <c r="A298" s="4">
        <v>297</v>
      </c>
      <c r="B298" t="s">
        <v>161</v>
      </c>
      <c r="C298">
        <v>63.57</v>
      </c>
      <c r="D298">
        <v>9</v>
      </c>
      <c r="E298">
        <v>21</v>
      </c>
      <c r="F298">
        <v>69.39</v>
      </c>
      <c r="G298">
        <v>0</v>
      </c>
      <c r="H298">
        <v>0</v>
      </c>
      <c r="I298">
        <v>0</v>
      </c>
      <c r="J298">
        <v>1</v>
      </c>
      <c r="K298">
        <v>63.36</v>
      </c>
      <c r="L298">
        <v>63.42</v>
      </c>
    </row>
    <row r="299" spans="1:12" x14ac:dyDescent="0.2">
      <c r="A299" s="4">
        <v>298</v>
      </c>
      <c r="B299" t="s">
        <v>303</v>
      </c>
      <c r="C299">
        <v>63.1</v>
      </c>
      <c r="D299">
        <v>14</v>
      </c>
      <c r="E299">
        <v>15</v>
      </c>
      <c r="F299">
        <v>62.8</v>
      </c>
      <c r="G299">
        <v>0</v>
      </c>
      <c r="H299">
        <v>2</v>
      </c>
      <c r="I299">
        <v>0</v>
      </c>
      <c r="J299">
        <v>2</v>
      </c>
      <c r="K299">
        <v>61.18</v>
      </c>
      <c r="L299">
        <v>64.349999999999994</v>
      </c>
    </row>
    <row r="300" spans="1:12" x14ac:dyDescent="0.2">
      <c r="A300" s="4">
        <v>299</v>
      </c>
      <c r="B300" t="s">
        <v>265</v>
      </c>
      <c r="C300">
        <v>63.04</v>
      </c>
      <c r="D300">
        <v>15</v>
      </c>
      <c r="E300">
        <v>15</v>
      </c>
      <c r="F300">
        <v>64.7</v>
      </c>
      <c r="G300">
        <v>0</v>
      </c>
      <c r="H300">
        <v>1</v>
      </c>
      <c r="I300">
        <v>0</v>
      </c>
      <c r="J300">
        <v>1</v>
      </c>
      <c r="K300">
        <v>63.14</v>
      </c>
      <c r="L300">
        <v>62.57</v>
      </c>
    </row>
    <row r="301" spans="1:12" x14ac:dyDescent="0.2">
      <c r="A301" s="4">
        <v>300</v>
      </c>
      <c r="B301" t="s">
        <v>175</v>
      </c>
      <c r="C301">
        <v>62.95</v>
      </c>
      <c r="D301">
        <v>8</v>
      </c>
      <c r="E301">
        <v>21</v>
      </c>
      <c r="F301">
        <v>71.19</v>
      </c>
      <c r="G301">
        <v>0</v>
      </c>
      <c r="H301">
        <v>0</v>
      </c>
      <c r="I301">
        <v>0</v>
      </c>
      <c r="J301">
        <v>1</v>
      </c>
      <c r="K301">
        <v>64.19</v>
      </c>
      <c r="L301">
        <v>61.11</v>
      </c>
    </row>
    <row r="302" spans="1:12" x14ac:dyDescent="0.2">
      <c r="A302" s="4">
        <v>301</v>
      </c>
      <c r="B302" t="s">
        <v>830</v>
      </c>
      <c r="C302">
        <v>62.9</v>
      </c>
      <c r="D302">
        <v>7</v>
      </c>
      <c r="E302">
        <v>20</v>
      </c>
      <c r="F302">
        <v>71.25</v>
      </c>
      <c r="G302">
        <v>0</v>
      </c>
      <c r="H302">
        <v>1</v>
      </c>
      <c r="I302">
        <v>0</v>
      </c>
      <c r="J302">
        <v>2</v>
      </c>
      <c r="K302">
        <v>62.78</v>
      </c>
      <c r="L302">
        <v>62.67</v>
      </c>
    </row>
    <row r="303" spans="1:12" x14ac:dyDescent="0.2">
      <c r="A303" s="4">
        <v>302</v>
      </c>
      <c r="B303" t="s">
        <v>238</v>
      </c>
      <c r="C303">
        <v>62.76</v>
      </c>
      <c r="D303">
        <v>6</v>
      </c>
      <c r="E303">
        <v>22</v>
      </c>
      <c r="F303">
        <v>70.47</v>
      </c>
      <c r="G303">
        <v>0</v>
      </c>
      <c r="H303">
        <v>0</v>
      </c>
      <c r="I303">
        <v>0</v>
      </c>
      <c r="J303">
        <v>1</v>
      </c>
      <c r="K303">
        <v>60.75</v>
      </c>
      <c r="L303">
        <v>64.05</v>
      </c>
    </row>
    <row r="304" spans="1:12" x14ac:dyDescent="0.2">
      <c r="A304" s="4">
        <v>303</v>
      </c>
      <c r="B304" t="s">
        <v>210</v>
      </c>
      <c r="C304">
        <v>62.59</v>
      </c>
      <c r="D304">
        <v>9</v>
      </c>
      <c r="E304">
        <v>19</v>
      </c>
      <c r="F304">
        <v>69.52</v>
      </c>
      <c r="G304">
        <v>0</v>
      </c>
      <c r="H304">
        <v>0</v>
      </c>
      <c r="I304">
        <v>0</v>
      </c>
      <c r="J304">
        <v>2</v>
      </c>
      <c r="K304">
        <v>63.31</v>
      </c>
      <c r="L304">
        <v>61.41</v>
      </c>
    </row>
    <row r="305" spans="1:12" x14ac:dyDescent="0.2">
      <c r="A305" s="4">
        <v>304</v>
      </c>
      <c r="B305" t="s">
        <v>891</v>
      </c>
      <c r="C305">
        <v>62.48</v>
      </c>
      <c r="D305">
        <v>10</v>
      </c>
      <c r="E305">
        <v>21</v>
      </c>
      <c r="F305">
        <v>69.12</v>
      </c>
      <c r="G305">
        <v>0</v>
      </c>
      <c r="H305">
        <v>1</v>
      </c>
      <c r="I305">
        <v>0</v>
      </c>
      <c r="J305">
        <v>1</v>
      </c>
      <c r="K305">
        <v>62.49</v>
      </c>
      <c r="L305">
        <v>62.11</v>
      </c>
    </row>
    <row r="306" spans="1:12" x14ac:dyDescent="0.2">
      <c r="A306" s="4">
        <v>305</v>
      </c>
      <c r="B306" t="s">
        <v>302</v>
      </c>
      <c r="C306">
        <v>62.47</v>
      </c>
      <c r="D306">
        <v>4</v>
      </c>
      <c r="E306">
        <v>24</v>
      </c>
      <c r="F306">
        <v>74.69</v>
      </c>
      <c r="G306">
        <v>0</v>
      </c>
      <c r="H306">
        <v>1</v>
      </c>
      <c r="I306">
        <v>0</v>
      </c>
      <c r="J306">
        <v>3</v>
      </c>
      <c r="K306">
        <v>61.32</v>
      </c>
      <c r="L306">
        <v>63.14</v>
      </c>
    </row>
    <row r="307" spans="1:12" x14ac:dyDescent="0.2">
      <c r="A307" s="4">
        <v>306</v>
      </c>
      <c r="B307" t="s">
        <v>214</v>
      </c>
      <c r="C307">
        <v>62.41</v>
      </c>
      <c r="D307">
        <v>6</v>
      </c>
      <c r="E307">
        <v>25</v>
      </c>
      <c r="F307">
        <v>72.11</v>
      </c>
      <c r="G307">
        <v>0</v>
      </c>
      <c r="H307">
        <v>1</v>
      </c>
      <c r="I307">
        <v>0</v>
      </c>
      <c r="J307">
        <v>2</v>
      </c>
      <c r="K307">
        <v>62.96</v>
      </c>
      <c r="L307">
        <v>61.45</v>
      </c>
    </row>
    <row r="308" spans="1:12" x14ac:dyDescent="0.2">
      <c r="A308" s="4">
        <v>307</v>
      </c>
      <c r="B308" t="s">
        <v>889</v>
      </c>
      <c r="C308">
        <v>62.14</v>
      </c>
      <c r="D308">
        <v>9</v>
      </c>
      <c r="E308">
        <v>22</v>
      </c>
      <c r="F308">
        <v>69.05</v>
      </c>
      <c r="G308">
        <v>0</v>
      </c>
      <c r="H308">
        <v>0</v>
      </c>
      <c r="I308">
        <v>0</v>
      </c>
      <c r="J308">
        <v>0</v>
      </c>
      <c r="K308">
        <v>61.62</v>
      </c>
      <c r="L308">
        <v>62.28</v>
      </c>
    </row>
    <row r="309" spans="1:12" x14ac:dyDescent="0.2">
      <c r="A309" s="4">
        <v>308</v>
      </c>
      <c r="B309" t="s">
        <v>835</v>
      </c>
      <c r="C309">
        <v>62.11</v>
      </c>
      <c r="D309">
        <v>7</v>
      </c>
      <c r="E309">
        <v>21</v>
      </c>
      <c r="F309">
        <v>69.11</v>
      </c>
      <c r="G309">
        <v>0</v>
      </c>
      <c r="H309">
        <v>1</v>
      </c>
      <c r="I309">
        <v>0</v>
      </c>
      <c r="J309">
        <v>2</v>
      </c>
      <c r="K309">
        <v>61.38</v>
      </c>
      <c r="L309">
        <v>62.43</v>
      </c>
    </row>
    <row r="310" spans="1:12" x14ac:dyDescent="0.2">
      <c r="A310" s="4">
        <v>309</v>
      </c>
      <c r="B310" t="s">
        <v>271</v>
      </c>
      <c r="C310">
        <v>61.99</v>
      </c>
      <c r="D310">
        <v>7</v>
      </c>
      <c r="E310">
        <v>20</v>
      </c>
      <c r="F310">
        <v>69.260000000000005</v>
      </c>
      <c r="G310">
        <v>0</v>
      </c>
      <c r="H310">
        <v>0</v>
      </c>
      <c r="I310">
        <v>0</v>
      </c>
      <c r="J310">
        <v>0</v>
      </c>
      <c r="K310">
        <v>60.68</v>
      </c>
      <c r="L310">
        <v>62.78</v>
      </c>
    </row>
    <row r="311" spans="1:12" x14ac:dyDescent="0.2">
      <c r="A311" s="4">
        <v>310</v>
      </c>
      <c r="B311" t="s">
        <v>834</v>
      </c>
      <c r="C311">
        <v>61.7</v>
      </c>
      <c r="D311">
        <v>15</v>
      </c>
      <c r="E311">
        <v>18</v>
      </c>
      <c r="F311">
        <v>64.290000000000006</v>
      </c>
      <c r="G311">
        <v>0</v>
      </c>
      <c r="H311">
        <v>0</v>
      </c>
      <c r="I311">
        <v>0</v>
      </c>
      <c r="J311">
        <v>1</v>
      </c>
      <c r="K311">
        <v>61.85</v>
      </c>
      <c r="L311">
        <v>61.19</v>
      </c>
    </row>
    <row r="312" spans="1:12" x14ac:dyDescent="0.2">
      <c r="A312" s="4">
        <v>311</v>
      </c>
      <c r="B312" t="s">
        <v>231</v>
      </c>
      <c r="C312">
        <v>61.69</v>
      </c>
      <c r="D312">
        <v>5</v>
      </c>
      <c r="E312">
        <v>25</v>
      </c>
      <c r="F312">
        <v>73.2</v>
      </c>
      <c r="G312">
        <v>0</v>
      </c>
      <c r="H312">
        <v>0</v>
      </c>
      <c r="I312">
        <v>0</v>
      </c>
      <c r="J312">
        <v>4</v>
      </c>
      <c r="K312">
        <v>62.05</v>
      </c>
      <c r="L312">
        <v>60.94</v>
      </c>
    </row>
    <row r="313" spans="1:12" x14ac:dyDescent="0.2">
      <c r="A313" s="4">
        <v>312</v>
      </c>
      <c r="B313" t="s">
        <v>887</v>
      </c>
      <c r="C313">
        <v>61.53</v>
      </c>
      <c r="D313">
        <v>7</v>
      </c>
      <c r="E313">
        <v>21</v>
      </c>
      <c r="F313">
        <v>70.64</v>
      </c>
      <c r="G313">
        <v>0</v>
      </c>
      <c r="H313">
        <v>2</v>
      </c>
      <c r="I313">
        <v>0</v>
      </c>
      <c r="J313">
        <v>3</v>
      </c>
      <c r="K313">
        <v>61.73</v>
      </c>
      <c r="L313">
        <v>60.96</v>
      </c>
    </row>
    <row r="314" spans="1:12" x14ac:dyDescent="0.2">
      <c r="A314" s="4">
        <v>313</v>
      </c>
      <c r="B314" t="s">
        <v>865</v>
      </c>
      <c r="C314">
        <v>61.51</v>
      </c>
      <c r="D314">
        <v>7</v>
      </c>
      <c r="E314">
        <v>23</v>
      </c>
      <c r="F314">
        <v>70.64</v>
      </c>
      <c r="G314">
        <v>0</v>
      </c>
      <c r="H314">
        <v>0</v>
      </c>
      <c r="I314">
        <v>0</v>
      </c>
      <c r="J314">
        <v>3</v>
      </c>
      <c r="K314">
        <v>62.46</v>
      </c>
      <c r="L314">
        <v>60.03</v>
      </c>
    </row>
    <row r="315" spans="1:12" x14ac:dyDescent="0.2">
      <c r="A315" s="4">
        <v>314</v>
      </c>
      <c r="B315" t="s">
        <v>901</v>
      </c>
      <c r="C315">
        <v>61.32</v>
      </c>
      <c r="D315">
        <v>8</v>
      </c>
      <c r="E315">
        <v>23</v>
      </c>
      <c r="F315">
        <v>69.489999999999995</v>
      </c>
      <c r="G315">
        <v>0</v>
      </c>
      <c r="H315">
        <v>0</v>
      </c>
      <c r="I315">
        <v>0</v>
      </c>
      <c r="J315">
        <v>0</v>
      </c>
      <c r="K315">
        <v>62.39</v>
      </c>
      <c r="L315">
        <v>59.67</v>
      </c>
    </row>
    <row r="316" spans="1:12" x14ac:dyDescent="0.2">
      <c r="A316" s="4">
        <v>315</v>
      </c>
      <c r="B316" t="s">
        <v>885</v>
      </c>
      <c r="C316">
        <v>61.07</v>
      </c>
      <c r="D316">
        <v>13</v>
      </c>
      <c r="E316">
        <v>19</v>
      </c>
      <c r="F316">
        <v>65.81</v>
      </c>
      <c r="G316">
        <v>0</v>
      </c>
      <c r="H316">
        <v>4</v>
      </c>
      <c r="I316">
        <v>0</v>
      </c>
      <c r="J316">
        <v>4</v>
      </c>
      <c r="K316">
        <v>60.82</v>
      </c>
      <c r="L316">
        <v>60.96</v>
      </c>
    </row>
    <row r="317" spans="1:12" x14ac:dyDescent="0.2">
      <c r="A317" s="4">
        <v>316</v>
      </c>
      <c r="B317" t="s">
        <v>190</v>
      </c>
      <c r="C317">
        <v>61.06</v>
      </c>
      <c r="D317">
        <v>6</v>
      </c>
      <c r="E317">
        <v>27</v>
      </c>
      <c r="F317">
        <v>72.44</v>
      </c>
      <c r="G317">
        <v>0</v>
      </c>
      <c r="H317">
        <v>0</v>
      </c>
      <c r="I317">
        <v>0</v>
      </c>
      <c r="J317">
        <v>2</v>
      </c>
      <c r="K317">
        <v>62.02</v>
      </c>
      <c r="L317">
        <v>59.56</v>
      </c>
    </row>
    <row r="318" spans="1:12" x14ac:dyDescent="0.2">
      <c r="A318" s="4">
        <v>317</v>
      </c>
      <c r="B318" t="s">
        <v>882</v>
      </c>
      <c r="C318">
        <v>61.05</v>
      </c>
      <c r="D318">
        <v>11</v>
      </c>
      <c r="E318">
        <v>15</v>
      </c>
      <c r="F318">
        <v>64.069999999999993</v>
      </c>
      <c r="G318">
        <v>0</v>
      </c>
      <c r="H318">
        <v>0</v>
      </c>
      <c r="I318">
        <v>0</v>
      </c>
      <c r="J318">
        <v>0</v>
      </c>
      <c r="K318">
        <v>60.43</v>
      </c>
      <c r="L318">
        <v>61.27</v>
      </c>
    </row>
    <row r="319" spans="1:12" x14ac:dyDescent="0.2">
      <c r="A319" s="4">
        <v>318</v>
      </c>
      <c r="B319" t="s">
        <v>829</v>
      </c>
      <c r="C319">
        <v>60.99</v>
      </c>
      <c r="D319">
        <v>4</v>
      </c>
      <c r="E319">
        <v>25</v>
      </c>
      <c r="F319">
        <v>69.28</v>
      </c>
      <c r="G319">
        <v>0</v>
      </c>
      <c r="H319">
        <v>0</v>
      </c>
      <c r="I319">
        <v>0</v>
      </c>
      <c r="J319">
        <v>0</v>
      </c>
      <c r="K319">
        <v>56.6</v>
      </c>
      <c r="L319">
        <v>63.33</v>
      </c>
    </row>
    <row r="320" spans="1:12" x14ac:dyDescent="0.2">
      <c r="A320" s="4">
        <v>319</v>
      </c>
      <c r="B320" t="s">
        <v>173</v>
      </c>
      <c r="C320">
        <v>60.74</v>
      </c>
      <c r="D320">
        <v>5</v>
      </c>
      <c r="E320">
        <v>23</v>
      </c>
      <c r="F320">
        <v>71.72</v>
      </c>
      <c r="G320">
        <v>0</v>
      </c>
      <c r="H320">
        <v>0</v>
      </c>
      <c r="I320">
        <v>0</v>
      </c>
      <c r="J320">
        <v>0</v>
      </c>
      <c r="K320">
        <v>61.61</v>
      </c>
      <c r="L320">
        <v>59.35</v>
      </c>
    </row>
    <row r="321" spans="1:12" x14ac:dyDescent="0.2">
      <c r="A321" s="4">
        <v>320</v>
      </c>
      <c r="B321" t="s">
        <v>170</v>
      </c>
      <c r="C321">
        <v>60.51</v>
      </c>
      <c r="D321">
        <v>8</v>
      </c>
      <c r="E321">
        <v>19</v>
      </c>
      <c r="F321">
        <v>69.150000000000006</v>
      </c>
      <c r="G321">
        <v>0</v>
      </c>
      <c r="H321">
        <v>2</v>
      </c>
      <c r="I321">
        <v>0</v>
      </c>
      <c r="J321">
        <v>3</v>
      </c>
      <c r="K321">
        <v>61.42</v>
      </c>
      <c r="L321">
        <v>59.05</v>
      </c>
    </row>
    <row r="322" spans="1:12" x14ac:dyDescent="0.2">
      <c r="A322" s="4">
        <v>321</v>
      </c>
      <c r="B322" t="s">
        <v>140</v>
      </c>
      <c r="C322">
        <v>59.86</v>
      </c>
      <c r="D322">
        <v>7</v>
      </c>
      <c r="E322">
        <v>23</v>
      </c>
      <c r="F322">
        <v>69.12</v>
      </c>
      <c r="G322">
        <v>0</v>
      </c>
      <c r="H322">
        <v>2</v>
      </c>
      <c r="I322">
        <v>0</v>
      </c>
      <c r="J322">
        <v>2</v>
      </c>
      <c r="K322">
        <v>60.53</v>
      </c>
      <c r="L322">
        <v>58.73</v>
      </c>
    </row>
    <row r="323" spans="1:12" x14ac:dyDescent="0.2">
      <c r="A323" s="4">
        <v>322</v>
      </c>
      <c r="B323" t="s">
        <v>822</v>
      </c>
      <c r="C323">
        <v>59.69</v>
      </c>
      <c r="D323">
        <v>5</v>
      </c>
      <c r="E323">
        <v>21</v>
      </c>
      <c r="F323">
        <v>69.400000000000006</v>
      </c>
      <c r="G323">
        <v>0</v>
      </c>
      <c r="H323">
        <v>0</v>
      </c>
      <c r="I323">
        <v>0</v>
      </c>
      <c r="J323">
        <v>0</v>
      </c>
      <c r="K323">
        <v>59.44</v>
      </c>
      <c r="L323">
        <v>59.57</v>
      </c>
    </row>
    <row r="324" spans="1:12" x14ac:dyDescent="0.2">
      <c r="A324" s="4">
        <v>323</v>
      </c>
      <c r="B324" t="s">
        <v>247</v>
      </c>
      <c r="C324">
        <v>59.52</v>
      </c>
      <c r="D324">
        <v>8</v>
      </c>
      <c r="E324">
        <v>20</v>
      </c>
      <c r="F324">
        <v>66.7</v>
      </c>
      <c r="G324">
        <v>0</v>
      </c>
      <c r="H324">
        <v>1</v>
      </c>
      <c r="I324">
        <v>0</v>
      </c>
      <c r="J324">
        <v>2</v>
      </c>
      <c r="K324">
        <v>60.5</v>
      </c>
      <c r="L324">
        <v>57.94</v>
      </c>
    </row>
    <row r="325" spans="1:12" x14ac:dyDescent="0.2">
      <c r="A325" s="4">
        <v>324</v>
      </c>
      <c r="B325" t="s">
        <v>266</v>
      </c>
      <c r="C325">
        <v>59.44</v>
      </c>
      <c r="D325">
        <v>5</v>
      </c>
      <c r="E325">
        <v>24</v>
      </c>
      <c r="F325">
        <v>68.94</v>
      </c>
      <c r="G325">
        <v>0</v>
      </c>
      <c r="H325">
        <v>1</v>
      </c>
      <c r="I325">
        <v>0</v>
      </c>
      <c r="J325">
        <v>1</v>
      </c>
      <c r="K325">
        <v>57.96</v>
      </c>
      <c r="L325">
        <v>60.3</v>
      </c>
    </row>
    <row r="326" spans="1:12" x14ac:dyDescent="0.2">
      <c r="A326" s="4">
        <v>325</v>
      </c>
      <c r="B326" t="s">
        <v>260</v>
      </c>
      <c r="C326">
        <v>59.26</v>
      </c>
      <c r="D326">
        <v>10</v>
      </c>
      <c r="E326">
        <v>15</v>
      </c>
      <c r="F326">
        <v>62.24</v>
      </c>
      <c r="G326">
        <v>0</v>
      </c>
      <c r="H326">
        <v>1</v>
      </c>
      <c r="I326">
        <v>0</v>
      </c>
      <c r="J326">
        <v>2</v>
      </c>
      <c r="K326">
        <v>58.15</v>
      </c>
      <c r="L326">
        <v>59.87</v>
      </c>
    </row>
    <row r="327" spans="1:12" x14ac:dyDescent="0.2">
      <c r="A327" s="4">
        <v>326</v>
      </c>
      <c r="B327" t="s">
        <v>890</v>
      </c>
      <c r="C327">
        <v>58.87</v>
      </c>
      <c r="D327">
        <v>5</v>
      </c>
      <c r="E327">
        <v>24</v>
      </c>
      <c r="F327">
        <v>69.599999999999994</v>
      </c>
      <c r="G327">
        <v>0</v>
      </c>
      <c r="H327">
        <v>0</v>
      </c>
      <c r="I327">
        <v>0</v>
      </c>
      <c r="J327">
        <v>0</v>
      </c>
      <c r="K327">
        <v>58.28</v>
      </c>
      <c r="L327">
        <v>59.06</v>
      </c>
    </row>
    <row r="328" spans="1:12" x14ac:dyDescent="0.2">
      <c r="A328" s="4">
        <v>327</v>
      </c>
      <c r="B328" t="s">
        <v>223</v>
      </c>
      <c r="C328">
        <v>58.47</v>
      </c>
      <c r="D328">
        <v>2</v>
      </c>
      <c r="E328">
        <v>24</v>
      </c>
      <c r="F328">
        <v>72.33</v>
      </c>
      <c r="G328">
        <v>0</v>
      </c>
      <c r="H328">
        <v>1</v>
      </c>
      <c r="I328">
        <v>0</v>
      </c>
      <c r="J328">
        <v>2</v>
      </c>
      <c r="K328">
        <v>58.8</v>
      </c>
      <c r="L328">
        <v>57.75</v>
      </c>
    </row>
    <row r="329" spans="1:12" x14ac:dyDescent="0.2">
      <c r="A329" s="4">
        <v>328</v>
      </c>
      <c r="B329" t="s">
        <v>900</v>
      </c>
      <c r="C329">
        <v>58.42</v>
      </c>
      <c r="D329">
        <v>6</v>
      </c>
      <c r="E329">
        <v>22</v>
      </c>
      <c r="F329">
        <v>66.739999999999995</v>
      </c>
      <c r="G329">
        <v>0</v>
      </c>
      <c r="H329">
        <v>0</v>
      </c>
      <c r="I329">
        <v>0</v>
      </c>
      <c r="J329">
        <v>1</v>
      </c>
      <c r="K329">
        <v>58.54</v>
      </c>
      <c r="L329">
        <v>57.93</v>
      </c>
    </row>
    <row r="330" spans="1:12" x14ac:dyDescent="0.2">
      <c r="A330" s="4">
        <v>329</v>
      </c>
      <c r="B330" t="s">
        <v>206</v>
      </c>
      <c r="C330">
        <v>58.17</v>
      </c>
      <c r="D330">
        <v>4</v>
      </c>
      <c r="E330">
        <v>23</v>
      </c>
      <c r="F330">
        <v>69.83</v>
      </c>
      <c r="G330">
        <v>0</v>
      </c>
      <c r="H330">
        <v>0</v>
      </c>
      <c r="I330">
        <v>0</v>
      </c>
      <c r="J330">
        <v>1</v>
      </c>
      <c r="K330">
        <v>56.64</v>
      </c>
      <c r="L330">
        <v>59.04</v>
      </c>
    </row>
    <row r="331" spans="1:12" x14ac:dyDescent="0.2">
      <c r="A331" s="4">
        <v>330</v>
      </c>
      <c r="B331" t="s">
        <v>886</v>
      </c>
      <c r="C331">
        <v>58.13</v>
      </c>
      <c r="D331">
        <v>7</v>
      </c>
      <c r="E331">
        <v>22</v>
      </c>
      <c r="F331">
        <v>67.66</v>
      </c>
      <c r="G331">
        <v>0</v>
      </c>
      <c r="H331">
        <v>1</v>
      </c>
      <c r="I331">
        <v>0</v>
      </c>
      <c r="J331">
        <v>2</v>
      </c>
      <c r="K331">
        <v>59.64</v>
      </c>
      <c r="L331">
        <v>55.59</v>
      </c>
    </row>
    <row r="332" spans="1:12" x14ac:dyDescent="0.2">
      <c r="A332" s="4">
        <v>331</v>
      </c>
      <c r="B332" t="s">
        <v>193</v>
      </c>
      <c r="C332">
        <v>57.94</v>
      </c>
      <c r="D332">
        <v>5</v>
      </c>
      <c r="E332">
        <v>25</v>
      </c>
      <c r="F332">
        <v>69.67</v>
      </c>
      <c r="G332">
        <v>0</v>
      </c>
      <c r="H332">
        <v>2</v>
      </c>
      <c r="I332">
        <v>0</v>
      </c>
      <c r="J332">
        <v>2</v>
      </c>
      <c r="K332">
        <v>59.04</v>
      </c>
      <c r="L332">
        <v>56.12</v>
      </c>
    </row>
    <row r="333" spans="1:12" x14ac:dyDescent="0.2">
      <c r="A333" s="4">
        <v>332</v>
      </c>
      <c r="B333" t="s">
        <v>867</v>
      </c>
      <c r="C333">
        <v>57.6</v>
      </c>
      <c r="D333">
        <v>12</v>
      </c>
      <c r="E333">
        <v>21</v>
      </c>
      <c r="F333">
        <v>63.81</v>
      </c>
      <c r="G333">
        <v>0</v>
      </c>
      <c r="H333">
        <v>0</v>
      </c>
      <c r="I333">
        <v>0</v>
      </c>
      <c r="J333">
        <v>1</v>
      </c>
      <c r="K333">
        <v>58.24</v>
      </c>
      <c r="L333">
        <v>56.49</v>
      </c>
    </row>
    <row r="334" spans="1:12" x14ac:dyDescent="0.2">
      <c r="A334" s="4">
        <v>333</v>
      </c>
      <c r="B334" t="s">
        <v>93</v>
      </c>
      <c r="C334">
        <v>57.53</v>
      </c>
      <c r="D334">
        <v>3</v>
      </c>
      <c r="E334">
        <v>28</v>
      </c>
      <c r="F334">
        <v>71.989999999999995</v>
      </c>
      <c r="G334">
        <v>0</v>
      </c>
      <c r="H334">
        <v>2</v>
      </c>
      <c r="I334">
        <v>0</v>
      </c>
      <c r="J334">
        <v>4</v>
      </c>
      <c r="K334">
        <v>56.5</v>
      </c>
      <c r="L334">
        <v>58.07</v>
      </c>
    </row>
    <row r="335" spans="1:12" x14ac:dyDescent="0.2">
      <c r="A335" s="4">
        <v>334</v>
      </c>
      <c r="B335" t="s">
        <v>224</v>
      </c>
      <c r="C335">
        <v>57.2</v>
      </c>
      <c r="D335">
        <v>6</v>
      </c>
      <c r="E335">
        <v>24</v>
      </c>
      <c r="F335">
        <v>67.3</v>
      </c>
      <c r="G335">
        <v>0</v>
      </c>
      <c r="H335">
        <v>1</v>
      </c>
      <c r="I335">
        <v>0</v>
      </c>
      <c r="J335">
        <v>1</v>
      </c>
      <c r="K335">
        <v>58.68</v>
      </c>
      <c r="L335">
        <v>54.65</v>
      </c>
    </row>
    <row r="336" spans="1:12" x14ac:dyDescent="0.2">
      <c r="A336" s="4">
        <v>335</v>
      </c>
      <c r="B336" t="s">
        <v>200</v>
      </c>
      <c r="C336">
        <v>56.94</v>
      </c>
      <c r="D336">
        <v>2</v>
      </c>
      <c r="E336">
        <v>27</v>
      </c>
      <c r="F336">
        <v>70.83</v>
      </c>
      <c r="G336">
        <v>0</v>
      </c>
      <c r="H336">
        <v>2</v>
      </c>
      <c r="I336">
        <v>0</v>
      </c>
      <c r="J336">
        <v>2</v>
      </c>
      <c r="K336">
        <v>53.89</v>
      </c>
      <c r="L336">
        <v>58.53</v>
      </c>
    </row>
    <row r="337" spans="1:12" x14ac:dyDescent="0.2">
      <c r="A337" s="4">
        <v>336</v>
      </c>
      <c r="B337" t="s">
        <v>902</v>
      </c>
      <c r="C337">
        <v>56.25</v>
      </c>
      <c r="D337">
        <v>4</v>
      </c>
      <c r="E337">
        <v>21</v>
      </c>
      <c r="F337">
        <v>70.099999999999994</v>
      </c>
      <c r="G337">
        <v>0</v>
      </c>
      <c r="H337">
        <v>0</v>
      </c>
      <c r="I337">
        <v>0</v>
      </c>
      <c r="J337">
        <v>1</v>
      </c>
      <c r="K337">
        <v>57.86</v>
      </c>
      <c r="L337">
        <v>53.32</v>
      </c>
    </row>
    <row r="338" spans="1:12" x14ac:dyDescent="0.2">
      <c r="A338" s="4">
        <v>337</v>
      </c>
      <c r="B338" t="s">
        <v>897</v>
      </c>
      <c r="C338">
        <v>55.79</v>
      </c>
      <c r="D338">
        <v>3</v>
      </c>
      <c r="E338">
        <v>25</v>
      </c>
      <c r="F338">
        <v>67.150000000000006</v>
      </c>
      <c r="G338">
        <v>0</v>
      </c>
      <c r="H338">
        <v>0</v>
      </c>
      <c r="I338">
        <v>0</v>
      </c>
      <c r="J338">
        <v>1</v>
      </c>
      <c r="K338">
        <v>51.08</v>
      </c>
      <c r="L338">
        <v>57.79</v>
      </c>
    </row>
    <row r="339" spans="1:12" x14ac:dyDescent="0.2">
      <c r="A339" s="4">
        <v>338</v>
      </c>
      <c r="B339" t="s">
        <v>261</v>
      </c>
      <c r="C339">
        <v>55.3</v>
      </c>
      <c r="D339">
        <v>5</v>
      </c>
      <c r="E339">
        <v>24</v>
      </c>
      <c r="F339">
        <v>65.27</v>
      </c>
      <c r="G339">
        <v>0</v>
      </c>
      <c r="H339">
        <v>0</v>
      </c>
      <c r="I339">
        <v>0</v>
      </c>
      <c r="J339">
        <v>0</v>
      </c>
      <c r="K339">
        <v>53.32</v>
      </c>
      <c r="L339">
        <v>56.37</v>
      </c>
    </row>
    <row r="340" spans="1:12" x14ac:dyDescent="0.2">
      <c r="A340" s="4">
        <v>339</v>
      </c>
      <c r="B340" t="s">
        <v>270</v>
      </c>
      <c r="C340">
        <v>55.17</v>
      </c>
      <c r="D340">
        <v>7</v>
      </c>
      <c r="E340">
        <v>24</v>
      </c>
      <c r="F340">
        <v>66.790000000000006</v>
      </c>
      <c r="G340">
        <v>0</v>
      </c>
      <c r="H340">
        <v>0</v>
      </c>
      <c r="I340">
        <v>0</v>
      </c>
      <c r="J340">
        <v>2</v>
      </c>
      <c r="K340">
        <v>54.87</v>
      </c>
      <c r="L340">
        <v>55.11</v>
      </c>
    </row>
    <row r="341" spans="1:12" x14ac:dyDescent="0.2">
      <c r="A341" s="4">
        <v>340</v>
      </c>
      <c r="B341" t="s">
        <v>235</v>
      </c>
      <c r="C341">
        <v>55.04</v>
      </c>
      <c r="D341">
        <v>7</v>
      </c>
      <c r="E341">
        <v>22</v>
      </c>
      <c r="F341">
        <v>64.86</v>
      </c>
      <c r="G341">
        <v>0</v>
      </c>
      <c r="H341">
        <v>2</v>
      </c>
      <c r="I341">
        <v>0</v>
      </c>
      <c r="J341">
        <v>4</v>
      </c>
      <c r="K341">
        <v>54.19</v>
      </c>
      <c r="L341">
        <v>55.43</v>
      </c>
    </row>
    <row r="342" spans="1:12" x14ac:dyDescent="0.2">
      <c r="A342" s="4">
        <v>341</v>
      </c>
      <c r="B342" t="s">
        <v>256</v>
      </c>
      <c r="C342">
        <v>54.82</v>
      </c>
      <c r="D342">
        <v>2</v>
      </c>
      <c r="E342">
        <v>24</v>
      </c>
      <c r="F342">
        <v>68.52</v>
      </c>
      <c r="G342">
        <v>0</v>
      </c>
      <c r="H342">
        <v>0</v>
      </c>
      <c r="I342">
        <v>0</v>
      </c>
      <c r="J342">
        <v>1</v>
      </c>
      <c r="K342">
        <v>52.33</v>
      </c>
      <c r="L342">
        <v>56.1</v>
      </c>
    </row>
    <row r="343" spans="1:12" x14ac:dyDescent="0.2">
      <c r="A343" s="4">
        <v>342</v>
      </c>
      <c r="B343" t="s">
        <v>842</v>
      </c>
      <c r="C343">
        <v>52.27</v>
      </c>
      <c r="D343">
        <v>4</v>
      </c>
      <c r="E343">
        <v>24</v>
      </c>
      <c r="F343">
        <v>65.8</v>
      </c>
      <c r="G343">
        <v>0</v>
      </c>
      <c r="H343">
        <v>1</v>
      </c>
      <c r="I343">
        <v>0</v>
      </c>
      <c r="J343">
        <v>3</v>
      </c>
      <c r="K343">
        <v>50.64</v>
      </c>
      <c r="L343">
        <v>53.1</v>
      </c>
    </row>
    <row r="344" spans="1:12" x14ac:dyDescent="0.2">
      <c r="A344" s="4">
        <v>343</v>
      </c>
      <c r="B344" t="s">
        <v>563</v>
      </c>
      <c r="C344">
        <v>52.23</v>
      </c>
      <c r="D344">
        <v>1</v>
      </c>
      <c r="E344">
        <v>27</v>
      </c>
      <c r="F344">
        <v>71.28</v>
      </c>
      <c r="G344">
        <v>0</v>
      </c>
      <c r="H344">
        <v>1</v>
      </c>
      <c r="I344">
        <v>0</v>
      </c>
      <c r="J344">
        <v>1</v>
      </c>
      <c r="K344">
        <v>52.58</v>
      </c>
      <c r="L344">
        <v>51.46</v>
      </c>
    </row>
    <row r="345" spans="1:12" x14ac:dyDescent="0.2">
      <c r="A345" s="4">
        <v>344</v>
      </c>
      <c r="B345" t="s">
        <v>824</v>
      </c>
      <c r="C345">
        <v>51.29</v>
      </c>
      <c r="D345">
        <v>4</v>
      </c>
      <c r="E345">
        <v>25</v>
      </c>
      <c r="F345">
        <v>68.489999999999995</v>
      </c>
      <c r="G345">
        <v>0</v>
      </c>
      <c r="H345">
        <v>3</v>
      </c>
      <c r="I345">
        <v>0</v>
      </c>
      <c r="J345">
        <v>3</v>
      </c>
      <c r="K345">
        <v>52.05</v>
      </c>
      <c r="L345">
        <v>49.9</v>
      </c>
    </row>
    <row r="346" spans="1:12" x14ac:dyDescent="0.2">
      <c r="A346" s="4">
        <v>345</v>
      </c>
      <c r="B346" t="s">
        <v>898</v>
      </c>
      <c r="C346">
        <v>49.51</v>
      </c>
      <c r="D346">
        <v>3</v>
      </c>
      <c r="E346">
        <v>24</v>
      </c>
      <c r="F346">
        <v>64.12</v>
      </c>
      <c r="G346">
        <v>0</v>
      </c>
      <c r="H346">
        <v>0</v>
      </c>
      <c r="I346">
        <v>0</v>
      </c>
      <c r="J346">
        <v>2</v>
      </c>
      <c r="K346">
        <v>48.82</v>
      </c>
      <c r="L346">
        <v>49.75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0298-9681-486F-B168-92A134E84863}">
  <dimension ref="A1:L348"/>
  <sheetViews>
    <sheetView tabSelected="1" topLeftCell="A64" workbookViewId="0">
      <selection activeCell="I96" sqref="I96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854</v>
      </c>
      <c r="L1" t="s">
        <v>28</v>
      </c>
    </row>
    <row r="2" spans="1:12" x14ac:dyDescent="0.2">
      <c r="A2" s="3">
        <v>1</v>
      </c>
      <c r="B2" t="s">
        <v>9</v>
      </c>
      <c r="C2">
        <v>95.75</v>
      </c>
      <c r="D2">
        <v>35</v>
      </c>
      <c r="E2">
        <v>5</v>
      </c>
      <c r="F2">
        <v>80.98</v>
      </c>
      <c r="G2">
        <v>6</v>
      </c>
      <c r="H2">
        <v>3</v>
      </c>
      <c r="I2">
        <v>16</v>
      </c>
      <c r="J2">
        <v>4</v>
      </c>
      <c r="K2">
        <v>95.26</v>
      </c>
      <c r="L2">
        <v>96.02</v>
      </c>
    </row>
    <row r="3" spans="1:12" x14ac:dyDescent="0.2">
      <c r="A3" s="3">
        <v>2</v>
      </c>
      <c r="B3" t="s">
        <v>2</v>
      </c>
      <c r="C3">
        <v>94.44</v>
      </c>
      <c r="D3">
        <v>33</v>
      </c>
      <c r="E3">
        <v>3</v>
      </c>
      <c r="F3">
        <v>79.55</v>
      </c>
      <c r="G3">
        <v>11</v>
      </c>
      <c r="H3">
        <v>2</v>
      </c>
      <c r="I3">
        <v>12</v>
      </c>
      <c r="J3">
        <v>3</v>
      </c>
      <c r="K3">
        <v>94.45</v>
      </c>
      <c r="L3">
        <v>94.15</v>
      </c>
    </row>
    <row r="4" spans="1:12" x14ac:dyDescent="0.2">
      <c r="A4" s="3">
        <v>3</v>
      </c>
      <c r="B4" t="s">
        <v>15</v>
      </c>
      <c r="C4">
        <v>92.35</v>
      </c>
      <c r="D4">
        <v>35</v>
      </c>
      <c r="E4">
        <v>3</v>
      </c>
      <c r="F4">
        <v>77.7</v>
      </c>
      <c r="G4">
        <v>2</v>
      </c>
      <c r="H4">
        <v>2</v>
      </c>
      <c r="I4">
        <v>8</v>
      </c>
      <c r="J4">
        <v>2</v>
      </c>
      <c r="K4">
        <v>92.84</v>
      </c>
      <c r="L4">
        <v>91.63</v>
      </c>
    </row>
    <row r="5" spans="1:12" x14ac:dyDescent="0.2">
      <c r="A5" s="3">
        <v>4</v>
      </c>
      <c r="B5" t="s">
        <v>73</v>
      </c>
      <c r="C5">
        <v>91.31</v>
      </c>
      <c r="D5">
        <v>30</v>
      </c>
      <c r="E5">
        <v>5</v>
      </c>
      <c r="F5">
        <v>78.53</v>
      </c>
      <c r="G5">
        <v>5</v>
      </c>
      <c r="H5">
        <v>2</v>
      </c>
      <c r="I5">
        <v>10</v>
      </c>
      <c r="J5">
        <v>3</v>
      </c>
      <c r="K5">
        <v>90.85</v>
      </c>
      <c r="L5">
        <v>91.53</v>
      </c>
    </row>
    <row r="6" spans="1:12" x14ac:dyDescent="0.2">
      <c r="A6" s="3">
        <v>5</v>
      </c>
      <c r="B6" t="s">
        <v>72</v>
      </c>
      <c r="C6">
        <v>91.15</v>
      </c>
      <c r="D6">
        <v>31</v>
      </c>
      <c r="E6">
        <v>7</v>
      </c>
      <c r="F6">
        <v>81.260000000000005</v>
      </c>
      <c r="G6">
        <v>7</v>
      </c>
      <c r="H6">
        <v>4</v>
      </c>
      <c r="I6">
        <v>12</v>
      </c>
      <c r="J6">
        <v>6</v>
      </c>
      <c r="K6">
        <v>91.72</v>
      </c>
      <c r="L6">
        <v>90.37</v>
      </c>
    </row>
    <row r="7" spans="1:12" x14ac:dyDescent="0.2">
      <c r="A7" s="3">
        <v>6</v>
      </c>
      <c r="B7" t="s">
        <v>802</v>
      </c>
      <c r="C7">
        <v>90.57</v>
      </c>
      <c r="D7">
        <v>28</v>
      </c>
      <c r="E7">
        <v>8</v>
      </c>
      <c r="F7">
        <v>81.150000000000006</v>
      </c>
      <c r="G7">
        <v>9</v>
      </c>
      <c r="H7">
        <v>5</v>
      </c>
      <c r="I7">
        <v>11</v>
      </c>
      <c r="J7">
        <v>7</v>
      </c>
      <c r="K7">
        <v>90.58</v>
      </c>
      <c r="L7">
        <v>90.29</v>
      </c>
    </row>
    <row r="8" spans="1:12" x14ac:dyDescent="0.2">
      <c r="A8" s="3">
        <v>7</v>
      </c>
      <c r="B8" t="s">
        <v>8</v>
      </c>
      <c r="C8">
        <v>89.76</v>
      </c>
      <c r="D8">
        <v>27</v>
      </c>
      <c r="E8">
        <v>8</v>
      </c>
      <c r="F8">
        <v>80.3</v>
      </c>
      <c r="G8">
        <v>6</v>
      </c>
      <c r="H8">
        <v>5</v>
      </c>
      <c r="I8">
        <v>9</v>
      </c>
      <c r="J8">
        <v>6</v>
      </c>
      <c r="K8">
        <v>89.74</v>
      </c>
      <c r="L8">
        <v>89.49</v>
      </c>
    </row>
    <row r="9" spans="1:12" x14ac:dyDescent="0.2">
      <c r="A9" s="3">
        <v>8</v>
      </c>
      <c r="B9" t="s">
        <v>106</v>
      </c>
      <c r="C9">
        <v>89.57</v>
      </c>
      <c r="D9">
        <v>33</v>
      </c>
      <c r="E9">
        <v>5</v>
      </c>
      <c r="F9">
        <v>77.38</v>
      </c>
      <c r="G9">
        <v>5</v>
      </c>
      <c r="H9">
        <v>2</v>
      </c>
      <c r="I9">
        <v>6</v>
      </c>
      <c r="J9">
        <v>4</v>
      </c>
      <c r="K9">
        <v>92.03</v>
      </c>
      <c r="L9">
        <v>87.68</v>
      </c>
    </row>
    <row r="10" spans="1:12" x14ac:dyDescent="0.2">
      <c r="A10" s="3">
        <v>9</v>
      </c>
      <c r="B10" t="s">
        <v>16</v>
      </c>
      <c r="C10">
        <v>89.13</v>
      </c>
      <c r="D10">
        <v>29</v>
      </c>
      <c r="E10">
        <v>6</v>
      </c>
      <c r="F10">
        <v>78.84</v>
      </c>
      <c r="G10">
        <v>6</v>
      </c>
      <c r="H10">
        <v>4</v>
      </c>
      <c r="I10">
        <v>9</v>
      </c>
      <c r="J10">
        <v>5</v>
      </c>
      <c r="K10">
        <v>90.64</v>
      </c>
      <c r="L10">
        <v>87.7</v>
      </c>
    </row>
    <row r="11" spans="1:12" x14ac:dyDescent="0.2">
      <c r="A11" s="3">
        <v>10</v>
      </c>
      <c r="B11" t="s">
        <v>809</v>
      </c>
      <c r="C11">
        <v>88.93</v>
      </c>
      <c r="D11">
        <v>29</v>
      </c>
      <c r="E11">
        <v>8</v>
      </c>
      <c r="F11">
        <v>78.08</v>
      </c>
      <c r="G11">
        <v>4</v>
      </c>
      <c r="H11">
        <v>5</v>
      </c>
      <c r="I11">
        <v>8</v>
      </c>
      <c r="J11">
        <v>7</v>
      </c>
      <c r="K11">
        <v>88.19</v>
      </c>
      <c r="L11">
        <v>89.51</v>
      </c>
    </row>
    <row r="12" spans="1:12" x14ac:dyDescent="0.2">
      <c r="A12" s="4">
        <v>11</v>
      </c>
      <c r="B12" t="s">
        <v>51</v>
      </c>
      <c r="C12">
        <v>87.97</v>
      </c>
      <c r="D12">
        <v>26</v>
      </c>
      <c r="E12">
        <v>9</v>
      </c>
      <c r="F12">
        <v>78.73</v>
      </c>
      <c r="G12">
        <v>2</v>
      </c>
      <c r="H12">
        <v>6</v>
      </c>
      <c r="I12">
        <v>6</v>
      </c>
      <c r="J12">
        <v>9</v>
      </c>
      <c r="K12">
        <v>87.97</v>
      </c>
      <c r="L12">
        <v>87.69</v>
      </c>
    </row>
    <row r="13" spans="1:12" x14ac:dyDescent="0.2">
      <c r="A13" s="4">
        <v>12</v>
      </c>
      <c r="B13" t="s">
        <v>58</v>
      </c>
      <c r="C13">
        <v>87.67</v>
      </c>
      <c r="D13">
        <v>29</v>
      </c>
      <c r="E13">
        <v>6</v>
      </c>
      <c r="F13">
        <v>74.680000000000007</v>
      </c>
      <c r="G13">
        <v>0</v>
      </c>
      <c r="H13">
        <v>1</v>
      </c>
      <c r="I13">
        <v>4</v>
      </c>
      <c r="J13">
        <v>6</v>
      </c>
      <c r="K13">
        <v>86.6</v>
      </c>
      <c r="L13">
        <v>88.68</v>
      </c>
    </row>
    <row r="14" spans="1:12" x14ac:dyDescent="0.2">
      <c r="A14" s="4">
        <v>13</v>
      </c>
      <c r="B14" t="s">
        <v>794</v>
      </c>
      <c r="C14">
        <v>87.59</v>
      </c>
      <c r="D14">
        <v>28</v>
      </c>
      <c r="E14">
        <v>9</v>
      </c>
      <c r="F14">
        <v>79.040000000000006</v>
      </c>
      <c r="G14">
        <v>5</v>
      </c>
      <c r="H14">
        <v>5</v>
      </c>
      <c r="I14">
        <v>8</v>
      </c>
      <c r="J14">
        <v>7</v>
      </c>
      <c r="K14">
        <v>88.7</v>
      </c>
      <c r="L14">
        <v>86.4</v>
      </c>
    </row>
    <row r="15" spans="1:12" x14ac:dyDescent="0.2">
      <c r="A15" s="4">
        <v>14</v>
      </c>
      <c r="B15" t="s">
        <v>43</v>
      </c>
      <c r="C15">
        <v>87.4</v>
      </c>
      <c r="D15">
        <v>24</v>
      </c>
      <c r="E15">
        <v>9</v>
      </c>
      <c r="F15">
        <v>79.03</v>
      </c>
      <c r="G15">
        <v>5</v>
      </c>
      <c r="H15">
        <v>3</v>
      </c>
      <c r="I15">
        <v>6</v>
      </c>
      <c r="J15">
        <v>6</v>
      </c>
      <c r="K15">
        <v>86.52</v>
      </c>
      <c r="L15">
        <v>88.15</v>
      </c>
    </row>
    <row r="16" spans="1:12" x14ac:dyDescent="0.2">
      <c r="A16" s="4">
        <v>15</v>
      </c>
      <c r="B16" t="s">
        <v>13</v>
      </c>
      <c r="C16">
        <v>87.32</v>
      </c>
      <c r="D16">
        <v>28</v>
      </c>
      <c r="E16">
        <v>9</v>
      </c>
      <c r="F16">
        <v>78.69</v>
      </c>
      <c r="G16">
        <v>3</v>
      </c>
      <c r="H16">
        <v>4</v>
      </c>
      <c r="I16">
        <v>6</v>
      </c>
      <c r="J16">
        <v>6</v>
      </c>
      <c r="K16">
        <v>87.85</v>
      </c>
      <c r="L16">
        <v>86.55</v>
      </c>
    </row>
    <row r="17" spans="1:12" x14ac:dyDescent="0.2">
      <c r="A17" s="4">
        <v>16</v>
      </c>
      <c r="B17" t="s">
        <v>57</v>
      </c>
      <c r="C17">
        <v>87.28</v>
      </c>
      <c r="D17">
        <v>23</v>
      </c>
      <c r="E17">
        <v>10</v>
      </c>
      <c r="F17">
        <v>80.790000000000006</v>
      </c>
      <c r="G17">
        <v>3</v>
      </c>
      <c r="H17">
        <v>7</v>
      </c>
      <c r="I17">
        <v>7</v>
      </c>
      <c r="J17">
        <v>10</v>
      </c>
      <c r="K17">
        <v>87.39</v>
      </c>
      <c r="L17">
        <v>86.9</v>
      </c>
    </row>
    <row r="18" spans="1:12" x14ac:dyDescent="0.2">
      <c r="A18" s="4">
        <v>17</v>
      </c>
      <c r="B18" t="s">
        <v>75</v>
      </c>
      <c r="C18">
        <v>87.27</v>
      </c>
      <c r="D18">
        <v>23</v>
      </c>
      <c r="E18">
        <v>9</v>
      </c>
      <c r="F18">
        <v>79.06</v>
      </c>
      <c r="G18">
        <v>1</v>
      </c>
      <c r="H18">
        <v>4</v>
      </c>
      <c r="I18">
        <v>7</v>
      </c>
      <c r="J18">
        <v>7</v>
      </c>
      <c r="K18">
        <v>86.18</v>
      </c>
      <c r="L18">
        <v>88.31</v>
      </c>
    </row>
    <row r="19" spans="1:12" x14ac:dyDescent="0.2">
      <c r="A19" s="4">
        <v>18</v>
      </c>
      <c r="B19" t="s">
        <v>11</v>
      </c>
      <c r="C19">
        <v>87.26</v>
      </c>
      <c r="D19">
        <v>25</v>
      </c>
      <c r="E19">
        <v>8</v>
      </c>
      <c r="F19">
        <v>79.5</v>
      </c>
      <c r="G19">
        <v>4</v>
      </c>
      <c r="H19">
        <v>4</v>
      </c>
      <c r="I19">
        <v>8</v>
      </c>
      <c r="J19">
        <v>7</v>
      </c>
      <c r="K19">
        <v>87.81</v>
      </c>
      <c r="L19">
        <v>86.48</v>
      </c>
    </row>
    <row r="20" spans="1:12" x14ac:dyDescent="0.2">
      <c r="A20" s="4">
        <v>19</v>
      </c>
      <c r="B20" t="s">
        <v>38</v>
      </c>
      <c r="C20">
        <v>87.12</v>
      </c>
      <c r="D20">
        <v>24</v>
      </c>
      <c r="E20">
        <v>10</v>
      </c>
      <c r="F20">
        <v>79.08</v>
      </c>
      <c r="G20">
        <v>2</v>
      </c>
      <c r="H20">
        <v>7</v>
      </c>
      <c r="I20">
        <v>6</v>
      </c>
      <c r="J20">
        <v>8</v>
      </c>
      <c r="K20">
        <v>85.68</v>
      </c>
      <c r="L20">
        <v>88.73</v>
      </c>
    </row>
    <row r="21" spans="1:12" x14ac:dyDescent="0.2">
      <c r="A21" s="4">
        <v>20</v>
      </c>
      <c r="B21" t="s">
        <v>117</v>
      </c>
      <c r="C21">
        <v>86.42</v>
      </c>
      <c r="D21">
        <v>23</v>
      </c>
      <c r="E21">
        <v>11</v>
      </c>
      <c r="F21">
        <v>78.5</v>
      </c>
      <c r="G21">
        <v>2</v>
      </c>
      <c r="H21">
        <v>6</v>
      </c>
      <c r="I21">
        <v>5</v>
      </c>
      <c r="J21">
        <v>8</v>
      </c>
      <c r="K21">
        <v>85.13</v>
      </c>
      <c r="L21">
        <v>87.76</v>
      </c>
    </row>
    <row r="22" spans="1:12" x14ac:dyDescent="0.2">
      <c r="A22" s="4">
        <v>21</v>
      </c>
      <c r="B22" t="s">
        <v>147</v>
      </c>
      <c r="C22">
        <v>86.34</v>
      </c>
      <c r="D22">
        <v>23</v>
      </c>
      <c r="E22">
        <v>11</v>
      </c>
      <c r="F22">
        <v>80.55</v>
      </c>
      <c r="G22">
        <v>5</v>
      </c>
      <c r="H22">
        <v>5</v>
      </c>
      <c r="I22">
        <v>8</v>
      </c>
      <c r="J22">
        <v>8</v>
      </c>
      <c r="K22">
        <v>85.51</v>
      </c>
      <c r="L22">
        <v>87</v>
      </c>
    </row>
    <row r="23" spans="1:12" x14ac:dyDescent="0.2">
      <c r="A23" s="4">
        <v>22</v>
      </c>
      <c r="B23" t="s">
        <v>112</v>
      </c>
      <c r="C23">
        <v>86.33</v>
      </c>
      <c r="D23">
        <v>29</v>
      </c>
      <c r="E23">
        <v>6</v>
      </c>
      <c r="F23">
        <v>77.09</v>
      </c>
      <c r="G23">
        <v>3</v>
      </c>
      <c r="H23">
        <v>2</v>
      </c>
      <c r="I23">
        <v>8</v>
      </c>
      <c r="J23">
        <v>4</v>
      </c>
      <c r="K23">
        <v>88.16</v>
      </c>
      <c r="L23">
        <v>84.67</v>
      </c>
    </row>
    <row r="24" spans="1:12" x14ac:dyDescent="0.2">
      <c r="A24" s="4">
        <v>23</v>
      </c>
      <c r="B24" t="s">
        <v>102</v>
      </c>
      <c r="C24">
        <v>85.98</v>
      </c>
      <c r="D24">
        <v>30</v>
      </c>
      <c r="E24">
        <v>5</v>
      </c>
      <c r="F24">
        <v>75.47</v>
      </c>
      <c r="G24">
        <v>1</v>
      </c>
      <c r="H24">
        <v>1</v>
      </c>
      <c r="I24">
        <v>3</v>
      </c>
      <c r="J24">
        <v>1</v>
      </c>
      <c r="K24">
        <v>88.22</v>
      </c>
      <c r="L24">
        <v>84.09</v>
      </c>
    </row>
    <row r="25" spans="1:12" x14ac:dyDescent="0.2">
      <c r="A25" s="4">
        <v>24</v>
      </c>
      <c r="B25" t="s">
        <v>62</v>
      </c>
      <c r="C25">
        <v>85.79</v>
      </c>
      <c r="D25">
        <v>25</v>
      </c>
      <c r="E25">
        <v>12</v>
      </c>
      <c r="F25">
        <v>77.540000000000006</v>
      </c>
      <c r="G25">
        <v>1</v>
      </c>
      <c r="H25">
        <v>5</v>
      </c>
      <c r="I25">
        <v>5</v>
      </c>
      <c r="J25">
        <v>8</v>
      </c>
      <c r="K25">
        <v>85.58</v>
      </c>
      <c r="L25">
        <v>85.72</v>
      </c>
    </row>
    <row r="26" spans="1:12" x14ac:dyDescent="0.2">
      <c r="A26" s="4">
        <v>25</v>
      </c>
      <c r="B26" t="s">
        <v>131</v>
      </c>
      <c r="C26">
        <v>85.76</v>
      </c>
      <c r="D26">
        <v>24</v>
      </c>
      <c r="E26">
        <v>11</v>
      </c>
      <c r="F26">
        <v>78.59</v>
      </c>
      <c r="G26">
        <v>0</v>
      </c>
      <c r="H26">
        <v>4</v>
      </c>
      <c r="I26">
        <v>1</v>
      </c>
      <c r="J26">
        <v>7</v>
      </c>
      <c r="K26">
        <v>84.11</v>
      </c>
      <c r="L26">
        <v>87.72</v>
      </c>
    </row>
    <row r="27" spans="1:12" x14ac:dyDescent="0.2">
      <c r="A27" s="4">
        <v>26</v>
      </c>
      <c r="B27" t="s">
        <v>153</v>
      </c>
      <c r="C27">
        <v>85.68</v>
      </c>
      <c r="D27">
        <v>25</v>
      </c>
      <c r="E27">
        <v>9</v>
      </c>
      <c r="F27">
        <v>78.11</v>
      </c>
      <c r="G27">
        <v>3</v>
      </c>
      <c r="H27">
        <v>4</v>
      </c>
      <c r="I27">
        <v>4</v>
      </c>
      <c r="J27">
        <v>6</v>
      </c>
      <c r="K27">
        <v>85.82</v>
      </c>
      <c r="L27">
        <v>85.26</v>
      </c>
    </row>
    <row r="28" spans="1:12" x14ac:dyDescent="0.2">
      <c r="A28" s="4">
        <v>27</v>
      </c>
      <c r="B28" t="s">
        <v>78</v>
      </c>
      <c r="C28">
        <v>85.5</v>
      </c>
      <c r="D28">
        <v>21</v>
      </c>
      <c r="E28">
        <v>11</v>
      </c>
      <c r="F28">
        <v>79.19</v>
      </c>
      <c r="G28">
        <v>2</v>
      </c>
      <c r="H28">
        <v>5</v>
      </c>
      <c r="I28">
        <v>6</v>
      </c>
      <c r="J28">
        <v>8</v>
      </c>
      <c r="K28">
        <v>84.08</v>
      </c>
      <c r="L28">
        <v>87.02</v>
      </c>
    </row>
    <row r="29" spans="1:12" x14ac:dyDescent="0.2">
      <c r="A29" s="4">
        <v>28</v>
      </c>
      <c r="B29" t="s">
        <v>875</v>
      </c>
      <c r="C29">
        <v>85.47</v>
      </c>
      <c r="D29">
        <v>27</v>
      </c>
      <c r="E29">
        <v>6</v>
      </c>
      <c r="F29">
        <v>74.45</v>
      </c>
      <c r="G29">
        <v>1</v>
      </c>
      <c r="H29">
        <v>1</v>
      </c>
      <c r="I29">
        <v>5</v>
      </c>
      <c r="J29">
        <v>4</v>
      </c>
      <c r="K29">
        <v>86.92</v>
      </c>
      <c r="L29">
        <v>84.03</v>
      </c>
    </row>
    <row r="30" spans="1:12" x14ac:dyDescent="0.2">
      <c r="A30" s="4">
        <v>29</v>
      </c>
      <c r="B30" t="s">
        <v>130</v>
      </c>
      <c r="C30">
        <v>85.45</v>
      </c>
      <c r="D30">
        <v>22</v>
      </c>
      <c r="E30">
        <v>13</v>
      </c>
      <c r="F30">
        <v>80.72</v>
      </c>
      <c r="G30">
        <v>2</v>
      </c>
      <c r="H30">
        <v>5</v>
      </c>
      <c r="I30">
        <v>8</v>
      </c>
      <c r="J30">
        <v>10</v>
      </c>
      <c r="K30">
        <v>85.08</v>
      </c>
      <c r="L30">
        <v>85.57</v>
      </c>
    </row>
    <row r="31" spans="1:12" x14ac:dyDescent="0.2">
      <c r="A31" s="4">
        <v>30</v>
      </c>
      <c r="B31" t="s">
        <v>793</v>
      </c>
      <c r="C31">
        <v>85.19</v>
      </c>
      <c r="D31">
        <v>22</v>
      </c>
      <c r="E31">
        <v>10</v>
      </c>
      <c r="F31">
        <v>78.78</v>
      </c>
      <c r="G31">
        <v>0</v>
      </c>
      <c r="H31">
        <v>4</v>
      </c>
      <c r="I31">
        <v>6</v>
      </c>
      <c r="J31">
        <v>7</v>
      </c>
      <c r="K31">
        <v>84.53</v>
      </c>
      <c r="L31">
        <v>85.63</v>
      </c>
    </row>
    <row r="32" spans="1:12" x14ac:dyDescent="0.2">
      <c r="A32" s="4">
        <v>31</v>
      </c>
      <c r="B32" t="s">
        <v>111</v>
      </c>
      <c r="C32">
        <v>84.98</v>
      </c>
      <c r="D32">
        <v>26</v>
      </c>
      <c r="E32">
        <v>10</v>
      </c>
      <c r="F32">
        <v>76.900000000000006</v>
      </c>
      <c r="G32">
        <v>3</v>
      </c>
      <c r="H32">
        <v>3</v>
      </c>
      <c r="I32">
        <v>5</v>
      </c>
      <c r="J32">
        <v>3</v>
      </c>
      <c r="K32">
        <v>83.94</v>
      </c>
      <c r="L32">
        <v>85.93</v>
      </c>
    </row>
    <row r="33" spans="1:12" x14ac:dyDescent="0.2">
      <c r="A33" s="4">
        <v>32</v>
      </c>
      <c r="B33" t="s">
        <v>295</v>
      </c>
      <c r="C33">
        <v>84.86</v>
      </c>
      <c r="D33">
        <v>27</v>
      </c>
      <c r="E33">
        <v>5</v>
      </c>
      <c r="F33">
        <v>71.680000000000007</v>
      </c>
      <c r="G33">
        <v>2</v>
      </c>
      <c r="H33">
        <v>3</v>
      </c>
      <c r="I33">
        <v>2</v>
      </c>
      <c r="J33">
        <v>3</v>
      </c>
      <c r="K33">
        <v>88.29</v>
      </c>
      <c r="L33">
        <v>82.35</v>
      </c>
    </row>
    <row r="34" spans="1:12" x14ac:dyDescent="0.2">
      <c r="A34" s="4">
        <v>33</v>
      </c>
      <c r="B34" t="s">
        <v>76</v>
      </c>
      <c r="C34">
        <v>84.83</v>
      </c>
      <c r="D34">
        <v>23</v>
      </c>
      <c r="E34">
        <v>9</v>
      </c>
      <c r="F34">
        <v>78.08</v>
      </c>
      <c r="G34">
        <v>3</v>
      </c>
      <c r="H34">
        <v>2</v>
      </c>
      <c r="I34">
        <v>5</v>
      </c>
      <c r="J34">
        <v>2</v>
      </c>
      <c r="K34">
        <v>84.29</v>
      </c>
      <c r="L34">
        <v>85.12</v>
      </c>
    </row>
    <row r="35" spans="1:12" x14ac:dyDescent="0.2">
      <c r="A35" s="4">
        <v>34</v>
      </c>
      <c r="B35" t="s">
        <v>276</v>
      </c>
      <c r="C35">
        <v>84.74</v>
      </c>
      <c r="D35">
        <v>30</v>
      </c>
      <c r="E35">
        <v>5</v>
      </c>
      <c r="F35">
        <v>75.069999999999993</v>
      </c>
      <c r="G35">
        <v>5</v>
      </c>
      <c r="H35">
        <v>0</v>
      </c>
      <c r="I35">
        <v>7</v>
      </c>
      <c r="J35">
        <v>4</v>
      </c>
      <c r="K35">
        <v>86.87</v>
      </c>
      <c r="L35">
        <v>82.86</v>
      </c>
    </row>
    <row r="36" spans="1:12" x14ac:dyDescent="0.2">
      <c r="A36" s="4">
        <v>35</v>
      </c>
      <c r="B36" t="s">
        <v>0</v>
      </c>
      <c r="C36">
        <v>84.54</v>
      </c>
      <c r="D36">
        <v>26</v>
      </c>
      <c r="E36">
        <v>7</v>
      </c>
      <c r="F36">
        <v>74.989999999999995</v>
      </c>
      <c r="G36">
        <v>1</v>
      </c>
      <c r="H36">
        <v>3</v>
      </c>
      <c r="I36">
        <v>4</v>
      </c>
      <c r="J36">
        <v>5</v>
      </c>
      <c r="K36">
        <v>86.59</v>
      </c>
      <c r="L36">
        <v>82.7</v>
      </c>
    </row>
    <row r="37" spans="1:12" x14ac:dyDescent="0.2">
      <c r="A37" s="4">
        <v>36</v>
      </c>
      <c r="B37" t="s">
        <v>65</v>
      </c>
      <c r="C37">
        <v>84.47</v>
      </c>
      <c r="D37">
        <v>22</v>
      </c>
      <c r="E37">
        <v>12</v>
      </c>
      <c r="F37">
        <v>78.77</v>
      </c>
      <c r="G37">
        <v>3</v>
      </c>
      <c r="H37">
        <v>6</v>
      </c>
      <c r="I37">
        <v>3</v>
      </c>
      <c r="J37">
        <v>10</v>
      </c>
      <c r="K37">
        <v>83.25</v>
      </c>
      <c r="L37">
        <v>85.65</v>
      </c>
    </row>
    <row r="38" spans="1:12" x14ac:dyDescent="0.2">
      <c r="A38" s="4">
        <v>37</v>
      </c>
      <c r="B38" t="s">
        <v>280</v>
      </c>
      <c r="C38">
        <v>84.34</v>
      </c>
      <c r="D38">
        <v>27</v>
      </c>
      <c r="E38">
        <v>9</v>
      </c>
      <c r="F38">
        <v>74.599999999999994</v>
      </c>
      <c r="G38">
        <v>1</v>
      </c>
      <c r="H38">
        <v>4</v>
      </c>
      <c r="I38">
        <v>2</v>
      </c>
      <c r="J38">
        <v>5</v>
      </c>
      <c r="K38">
        <v>84.15</v>
      </c>
      <c r="L38">
        <v>84.26</v>
      </c>
    </row>
    <row r="39" spans="1:12" x14ac:dyDescent="0.2">
      <c r="A39" s="4">
        <v>38</v>
      </c>
      <c r="B39" t="s">
        <v>790</v>
      </c>
      <c r="C39">
        <v>83.93</v>
      </c>
      <c r="D39">
        <v>22</v>
      </c>
      <c r="E39">
        <v>11</v>
      </c>
      <c r="F39">
        <v>78.78</v>
      </c>
      <c r="G39">
        <v>4</v>
      </c>
      <c r="H39">
        <v>6</v>
      </c>
      <c r="I39">
        <v>4</v>
      </c>
      <c r="J39">
        <v>8</v>
      </c>
      <c r="K39">
        <v>84.04</v>
      </c>
      <c r="L39">
        <v>83.54</v>
      </c>
    </row>
    <row r="40" spans="1:12" x14ac:dyDescent="0.2">
      <c r="A40" s="4">
        <v>39</v>
      </c>
      <c r="B40" t="s">
        <v>41</v>
      </c>
      <c r="C40">
        <v>83.93</v>
      </c>
      <c r="D40">
        <v>25</v>
      </c>
      <c r="E40">
        <v>9</v>
      </c>
      <c r="F40">
        <v>76.650000000000006</v>
      </c>
      <c r="G40">
        <v>0</v>
      </c>
      <c r="H40">
        <v>3</v>
      </c>
      <c r="I40">
        <v>4</v>
      </c>
      <c r="J40">
        <v>6</v>
      </c>
      <c r="K40">
        <v>84.33</v>
      </c>
      <c r="L40">
        <v>83.26</v>
      </c>
    </row>
    <row r="41" spans="1:12" x14ac:dyDescent="0.2">
      <c r="A41" s="4">
        <v>40</v>
      </c>
      <c r="B41" t="s">
        <v>53</v>
      </c>
      <c r="C41">
        <v>83.87</v>
      </c>
      <c r="D41">
        <v>20</v>
      </c>
      <c r="E41">
        <v>11</v>
      </c>
      <c r="F41">
        <v>80.28</v>
      </c>
      <c r="G41">
        <v>3</v>
      </c>
      <c r="H41">
        <v>3</v>
      </c>
      <c r="I41">
        <v>8</v>
      </c>
      <c r="J41">
        <v>7</v>
      </c>
      <c r="K41">
        <v>85.5</v>
      </c>
      <c r="L41">
        <v>82.27</v>
      </c>
    </row>
    <row r="42" spans="1:12" x14ac:dyDescent="0.2">
      <c r="A42" s="4">
        <v>41</v>
      </c>
      <c r="B42" t="s">
        <v>80</v>
      </c>
      <c r="C42">
        <v>83.81</v>
      </c>
      <c r="D42">
        <v>26</v>
      </c>
      <c r="E42">
        <v>9</v>
      </c>
      <c r="F42">
        <v>77</v>
      </c>
      <c r="G42">
        <v>4</v>
      </c>
      <c r="H42">
        <v>2</v>
      </c>
      <c r="I42">
        <v>6</v>
      </c>
      <c r="J42">
        <v>4</v>
      </c>
      <c r="K42">
        <v>85.43</v>
      </c>
      <c r="L42">
        <v>82.22</v>
      </c>
    </row>
    <row r="43" spans="1:12" x14ac:dyDescent="0.2">
      <c r="A43" s="4">
        <v>42</v>
      </c>
      <c r="B43" t="s">
        <v>163</v>
      </c>
      <c r="C43">
        <v>83.76</v>
      </c>
      <c r="D43">
        <v>26</v>
      </c>
      <c r="E43">
        <v>7</v>
      </c>
      <c r="F43">
        <v>73.84</v>
      </c>
      <c r="G43">
        <v>0</v>
      </c>
      <c r="H43">
        <v>2</v>
      </c>
      <c r="I43">
        <v>0</v>
      </c>
      <c r="J43">
        <v>3</v>
      </c>
      <c r="K43">
        <v>83.63</v>
      </c>
      <c r="L43">
        <v>83.6</v>
      </c>
    </row>
    <row r="44" spans="1:12" x14ac:dyDescent="0.2">
      <c r="A44" s="4">
        <v>43</v>
      </c>
      <c r="B44" t="s">
        <v>103</v>
      </c>
      <c r="C44">
        <v>83.62</v>
      </c>
      <c r="D44">
        <v>21</v>
      </c>
      <c r="E44">
        <v>14</v>
      </c>
      <c r="F44">
        <v>78.459999999999994</v>
      </c>
      <c r="G44">
        <v>5</v>
      </c>
      <c r="H44">
        <v>8</v>
      </c>
      <c r="I44">
        <v>5</v>
      </c>
      <c r="J44">
        <v>8</v>
      </c>
      <c r="K44">
        <v>81.72</v>
      </c>
      <c r="L44">
        <v>85.88</v>
      </c>
    </row>
    <row r="45" spans="1:12" x14ac:dyDescent="0.2">
      <c r="A45" s="4">
        <v>44</v>
      </c>
      <c r="B45" t="s">
        <v>796</v>
      </c>
      <c r="C45">
        <v>83.33</v>
      </c>
      <c r="D45">
        <v>26</v>
      </c>
      <c r="E45">
        <v>8</v>
      </c>
      <c r="F45">
        <v>73.66</v>
      </c>
      <c r="G45">
        <v>1</v>
      </c>
      <c r="H45">
        <v>1</v>
      </c>
      <c r="I45">
        <v>1</v>
      </c>
      <c r="J45">
        <v>2</v>
      </c>
      <c r="K45">
        <v>82.03</v>
      </c>
      <c r="L45">
        <v>84.62</v>
      </c>
    </row>
    <row r="46" spans="1:12" x14ac:dyDescent="0.2">
      <c r="A46" s="4">
        <v>45</v>
      </c>
      <c r="B46" t="s">
        <v>805</v>
      </c>
      <c r="C46">
        <v>83.31</v>
      </c>
      <c r="D46">
        <v>23</v>
      </c>
      <c r="E46">
        <v>9</v>
      </c>
      <c r="F46">
        <v>76.069999999999993</v>
      </c>
      <c r="G46">
        <v>0</v>
      </c>
      <c r="H46">
        <v>3</v>
      </c>
      <c r="I46">
        <v>4</v>
      </c>
      <c r="J46">
        <v>6</v>
      </c>
      <c r="K46">
        <v>83.32</v>
      </c>
      <c r="L46">
        <v>83.02</v>
      </c>
    </row>
    <row r="47" spans="1:12" x14ac:dyDescent="0.2">
      <c r="A47" s="4">
        <v>46</v>
      </c>
      <c r="B47" t="s">
        <v>100</v>
      </c>
      <c r="C47">
        <v>83.2</v>
      </c>
      <c r="D47">
        <v>24</v>
      </c>
      <c r="E47">
        <v>11</v>
      </c>
      <c r="F47">
        <v>76.239999999999995</v>
      </c>
      <c r="G47">
        <v>1</v>
      </c>
      <c r="H47">
        <v>6</v>
      </c>
      <c r="I47">
        <v>2</v>
      </c>
      <c r="J47">
        <v>7</v>
      </c>
      <c r="K47">
        <v>82.64</v>
      </c>
      <c r="L47">
        <v>83.52</v>
      </c>
    </row>
    <row r="48" spans="1:12" x14ac:dyDescent="0.2">
      <c r="A48" s="4">
        <v>47</v>
      </c>
      <c r="B48" t="s">
        <v>36</v>
      </c>
      <c r="C48">
        <v>83.02</v>
      </c>
      <c r="D48">
        <v>20</v>
      </c>
      <c r="E48">
        <v>17</v>
      </c>
      <c r="F48">
        <v>81.03</v>
      </c>
      <c r="G48">
        <v>2</v>
      </c>
      <c r="H48">
        <v>7</v>
      </c>
      <c r="I48">
        <v>5</v>
      </c>
      <c r="J48">
        <v>14</v>
      </c>
      <c r="K48">
        <v>83.87</v>
      </c>
      <c r="L48">
        <v>81.98</v>
      </c>
    </row>
    <row r="49" spans="1:12" x14ac:dyDescent="0.2">
      <c r="A49" s="4">
        <v>48</v>
      </c>
      <c r="B49" t="s">
        <v>115</v>
      </c>
      <c r="C49">
        <v>82.91</v>
      </c>
      <c r="D49">
        <v>24</v>
      </c>
      <c r="E49">
        <v>9</v>
      </c>
      <c r="F49">
        <v>75.010000000000005</v>
      </c>
      <c r="G49">
        <v>2</v>
      </c>
      <c r="H49">
        <v>3</v>
      </c>
      <c r="I49">
        <v>4</v>
      </c>
      <c r="J49">
        <v>6</v>
      </c>
      <c r="K49">
        <v>82.22</v>
      </c>
      <c r="L49">
        <v>83.38</v>
      </c>
    </row>
    <row r="50" spans="1:12" x14ac:dyDescent="0.2">
      <c r="A50" s="4">
        <v>49</v>
      </c>
      <c r="B50" t="s">
        <v>129</v>
      </c>
      <c r="C50">
        <v>82.87</v>
      </c>
      <c r="D50">
        <v>26</v>
      </c>
      <c r="E50">
        <v>10</v>
      </c>
      <c r="F50">
        <v>76.209999999999994</v>
      </c>
      <c r="G50">
        <v>1</v>
      </c>
      <c r="H50">
        <v>4</v>
      </c>
      <c r="I50">
        <v>3</v>
      </c>
      <c r="J50">
        <v>6</v>
      </c>
      <c r="K50">
        <v>84.39</v>
      </c>
      <c r="L50">
        <v>81.33</v>
      </c>
    </row>
    <row r="51" spans="1:12" x14ac:dyDescent="0.2">
      <c r="A51" s="4">
        <v>50</v>
      </c>
      <c r="B51" t="s">
        <v>54</v>
      </c>
      <c r="C51">
        <v>82.87</v>
      </c>
      <c r="D51">
        <v>23</v>
      </c>
      <c r="E51">
        <v>12</v>
      </c>
      <c r="F51">
        <v>77.22</v>
      </c>
      <c r="G51">
        <v>2</v>
      </c>
      <c r="H51">
        <v>3</v>
      </c>
      <c r="I51">
        <v>5</v>
      </c>
      <c r="J51">
        <v>4</v>
      </c>
      <c r="K51">
        <v>82.38</v>
      </c>
      <c r="L51">
        <v>83.1</v>
      </c>
    </row>
    <row r="52" spans="1:12" x14ac:dyDescent="0.2">
      <c r="A52" s="4">
        <v>51</v>
      </c>
      <c r="B52" t="s">
        <v>60</v>
      </c>
      <c r="C52">
        <v>82.84</v>
      </c>
      <c r="D52">
        <v>21</v>
      </c>
      <c r="E52">
        <v>13</v>
      </c>
      <c r="F52">
        <v>78.459999999999994</v>
      </c>
      <c r="G52">
        <v>2</v>
      </c>
      <c r="H52">
        <v>6</v>
      </c>
      <c r="I52">
        <v>4</v>
      </c>
      <c r="J52">
        <v>9</v>
      </c>
      <c r="K52">
        <v>82.24</v>
      </c>
      <c r="L52">
        <v>83.19</v>
      </c>
    </row>
    <row r="53" spans="1:12" x14ac:dyDescent="0.2">
      <c r="A53" s="4">
        <v>52</v>
      </c>
      <c r="B53" t="s">
        <v>104</v>
      </c>
      <c r="C53">
        <v>82.68</v>
      </c>
      <c r="D53">
        <v>20</v>
      </c>
      <c r="E53">
        <v>13</v>
      </c>
      <c r="F53">
        <v>78.540000000000006</v>
      </c>
      <c r="G53">
        <v>2</v>
      </c>
      <c r="H53">
        <v>5</v>
      </c>
      <c r="I53">
        <v>3</v>
      </c>
      <c r="J53">
        <v>8</v>
      </c>
      <c r="K53">
        <v>81.34</v>
      </c>
      <c r="L53">
        <v>84</v>
      </c>
    </row>
    <row r="54" spans="1:12" x14ac:dyDescent="0.2">
      <c r="A54" s="4">
        <v>53</v>
      </c>
      <c r="B54" t="s">
        <v>798</v>
      </c>
      <c r="C54">
        <v>82.56</v>
      </c>
      <c r="D54">
        <v>29</v>
      </c>
      <c r="E54">
        <v>5</v>
      </c>
      <c r="F54">
        <v>68.31</v>
      </c>
      <c r="G54">
        <v>0</v>
      </c>
      <c r="H54">
        <v>2</v>
      </c>
      <c r="I54">
        <v>1</v>
      </c>
      <c r="J54">
        <v>2</v>
      </c>
      <c r="K54">
        <v>82.66</v>
      </c>
      <c r="L54">
        <v>82.18</v>
      </c>
    </row>
    <row r="55" spans="1:12" x14ac:dyDescent="0.2">
      <c r="A55" s="4">
        <v>54</v>
      </c>
      <c r="B55" t="s">
        <v>876</v>
      </c>
      <c r="C55">
        <v>82.47</v>
      </c>
      <c r="D55">
        <v>27</v>
      </c>
      <c r="E55">
        <v>9</v>
      </c>
      <c r="F55">
        <v>73.19</v>
      </c>
      <c r="G55">
        <v>0</v>
      </c>
      <c r="H55">
        <v>0</v>
      </c>
      <c r="I55">
        <v>3</v>
      </c>
      <c r="J55">
        <v>2</v>
      </c>
      <c r="K55">
        <v>82.43</v>
      </c>
      <c r="L55">
        <v>82.22</v>
      </c>
    </row>
    <row r="56" spans="1:12" x14ac:dyDescent="0.2">
      <c r="A56" s="4">
        <v>55</v>
      </c>
      <c r="B56" t="s">
        <v>196</v>
      </c>
      <c r="C56">
        <v>82.25</v>
      </c>
      <c r="D56">
        <v>27</v>
      </c>
      <c r="E56">
        <v>7</v>
      </c>
      <c r="F56">
        <v>71.94</v>
      </c>
      <c r="G56">
        <v>0</v>
      </c>
      <c r="H56">
        <v>4</v>
      </c>
      <c r="I56">
        <v>0</v>
      </c>
      <c r="J56">
        <v>5</v>
      </c>
      <c r="K56">
        <v>82.93</v>
      </c>
      <c r="L56">
        <v>81.349999999999994</v>
      </c>
    </row>
    <row r="57" spans="1:12" x14ac:dyDescent="0.2">
      <c r="A57" s="4">
        <v>56</v>
      </c>
      <c r="B57" t="s">
        <v>791</v>
      </c>
      <c r="C57">
        <v>82.21</v>
      </c>
      <c r="D57">
        <v>24</v>
      </c>
      <c r="E57">
        <v>12</v>
      </c>
      <c r="F57">
        <v>76.34</v>
      </c>
      <c r="G57">
        <v>0</v>
      </c>
      <c r="H57">
        <v>3</v>
      </c>
      <c r="I57">
        <v>4</v>
      </c>
      <c r="J57">
        <v>6</v>
      </c>
      <c r="K57">
        <v>81.06</v>
      </c>
      <c r="L57">
        <v>83.24</v>
      </c>
    </row>
    <row r="58" spans="1:12" x14ac:dyDescent="0.2">
      <c r="A58" s="4">
        <v>57</v>
      </c>
      <c r="B58" t="s">
        <v>34</v>
      </c>
      <c r="C58">
        <v>82.12</v>
      </c>
      <c r="D58">
        <v>21</v>
      </c>
      <c r="E58">
        <v>15</v>
      </c>
      <c r="F58">
        <v>78.97</v>
      </c>
      <c r="G58">
        <v>3</v>
      </c>
      <c r="H58">
        <v>9</v>
      </c>
      <c r="I58">
        <v>5</v>
      </c>
      <c r="J58">
        <v>11</v>
      </c>
      <c r="K58">
        <v>81.459999999999994</v>
      </c>
      <c r="L58">
        <v>82.54</v>
      </c>
    </row>
    <row r="59" spans="1:12" x14ac:dyDescent="0.2">
      <c r="A59" s="4">
        <v>58</v>
      </c>
      <c r="B59" t="s">
        <v>872</v>
      </c>
      <c r="C59">
        <v>81.91</v>
      </c>
      <c r="D59">
        <v>19</v>
      </c>
      <c r="E59">
        <v>13</v>
      </c>
      <c r="F59">
        <v>77.290000000000006</v>
      </c>
      <c r="G59">
        <v>0</v>
      </c>
      <c r="H59">
        <v>3</v>
      </c>
      <c r="I59">
        <v>6</v>
      </c>
      <c r="J59">
        <v>9</v>
      </c>
      <c r="K59">
        <v>80.89</v>
      </c>
      <c r="L59">
        <v>82.78</v>
      </c>
    </row>
    <row r="60" spans="1:12" x14ac:dyDescent="0.2">
      <c r="A60" s="4">
        <v>59</v>
      </c>
      <c r="B60" t="s">
        <v>40</v>
      </c>
      <c r="C60">
        <v>81.650000000000006</v>
      </c>
      <c r="D60">
        <v>24</v>
      </c>
      <c r="E60">
        <v>10</v>
      </c>
      <c r="F60">
        <v>73.47</v>
      </c>
      <c r="G60">
        <v>0</v>
      </c>
      <c r="H60">
        <v>3</v>
      </c>
      <c r="I60">
        <v>0</v>
      </c>
      <c r="J60">
        <v>6</v>
      </c>
      <c r="K60">
        <v>80.290000000000006</v>
      </c>
      <c r="L60">
        <v>82.96</v>
      </c>
    </row>
    <row r="61" spans="1:12" x14ac:dyDescent="0.2">
      <c r="A61" s="4">
        <v>60</v>
      </c>
      <c r="B61" t="s">
        <v>37</v>
      </c>
      <c r="C61">
        <v>81.400000000000006</v>
      </c>
      <c r="D61">
        <v>18</v>
      </c>
      <c r="E61">
        <v>16</v>
      </c>
      <c r="F61">
        <v>79.44</v>
      </c>
      <c r="G61">
        <v>3</v>
      </c>
      <c r="H61">
        <v>4</v>
      </c>
      <c r="I61">
        <v>4</v>
      </c>
      <c r="J61">
        <v>8</v>
      </c>
      <c r="K61">
        <v>80.180000000000007</v>
      </c>
      <c r="L61">
        <v>82.52</v>
      </c>
    </row>
    <row r="62" spans="1:12" x14ac:dyDescent="0.2">
      <c r="A62" s="4">
        <v>61</v>
      </c>
      <c r="B62" t="s">
        <v>66</v>
      </c>
      <c r="C62">
        <v>81.34</v>
      </c>
      <c r="D62">
        <v>25</v>
      </c>
      <c r="E62">
        <v>9</v>
      </c>
      <c r="F62">
        <v>74.33</v>
      </c>
      <c r="G62">
        <v>1</v>
      </c>
      <c r="H62">
        <v>0</v>
      </c>
      <c r="I62">
        <v>1</v>
      </c>
      <c r="J62">
        <v>3</v>
      </c>
      <c r="K62">
        <v>80.930000000000007</v>
      </c>
      <c r="L62">
        <v>81.47</v>
      </c>
    </row>
    <row r="63" spans="1:12" x14ac:dyDescent="0.2">
      <c r="A63" s="4">
        <v>62</v>
      </c>
      <c r="B63" t="s">
        <v>811</v>
      </c>
      <c r="C63">
        <v>81.239999999999995</v>
      </c>
      <c r="D63">
        <v>22</v>
      </c>
      <c r="E63">
        <v>11</v>
      </c>
      <c r="F63">
        <v>75.180000000000007</v>
      </c>
      <c r="G63">
        <v>0</v>
      </c>
      <c r="H63">
        <v>5</v>
      </c>
      <c r="I63">
        <v>2</v>
      </c>
      <c r="J63">
        <v>6</v>
      </c>
      <c r="K63">
        <v>79.349999999999994</v>
      </c>
      <c r="L63">
        <v>83.33</v>
      </c>
    </row>
    <row r="64" spans="1:12" x14ac:dyDescent="0.2">
      <c r="A64" s="4">
        <v>63</v>
      </c>
      <c r="B64" t="s">
        <v>31</v>
      </c>
      <c r="C64">
        <v>80.97</v>
      </c>
      <c r="D64">
        <v>19</v>
      </c>
      <c r="E64">
        <v>16</v>
      </c>
      <c r="F64">
        <v>79.510000000000005</v>
      </c>
      <c r="G64">
        <v>0</v>
      </c>
      <c r="H64">
        <v>0</v>
      </c>
      <c r="I64">
        <v>3</v>
      </c>
      <c r="J64">
        <v>13</v>
      </c>
      <c r="K64">
        <v>81.31</v>
      </c>
      <c r="L64">
        <v>80.36</v>
      </c>
    </row>
    <row r="65" spans="1:12" x14ac:dyDescent="0.2">
      <c r="A65" s="4">
        <v>64</v>
      </c>
      <c r="B65" t="s">
        <v>48</v>
      </c>
      <c r="C65">
        <v>80.67</v>
      </c>
      <c r="D65">
        <v>19</v>
      </c>
      <c r="E65">
        <v>13</v>
      </c>
      <c r="F65">
        <v>77.930000000000007</v>
      </c>
      <c r="G65">
        <v>0</v>
      </c>
      <c r="H65">
        <v>6</v>
      </c>
      <c r="I65">
        <v>3</v>
      </c>
      <c r="J65">
        <v>10</v>
      </c>
      <c r="K65">
        <v>80.81</v>
      </c>
      <c r="L65">
        <v>80.239999999999995</v>
      </c>
    </row>
    <row r="66" spans="1:12" x14ac:dyDescent="0.2">
      <c r="A66" s="4">
        <v>65</v>
      </c>
      <c r="B66" t="s">
        <v>99</v>
      </c>
      <c r="C66">
        <v>80.63</v>
      </c>
      <c r="D66">
        <v>19</v>
      </c>
      <c r="E66">
        <v>16</v>
      </c>
      <c r="F66">
        <v>79.319999999999993</v>
      </c>
      <c r="G66">
        <v>1</v>
      </c>
      <c r="H66">
        <v>7</v>
      </c>
      <c r="I66">
        <v>3</v>
      </c>
      <c r="J66">
        <v>11</v>
      </c>
      <c r="K66">
        <v>80.569999999999993</v>
      </c>
      <c r="L66">
        <v>80.41</v>
      </c>
    </row>
    <row r="67" spans="1:12" x14ac:dyDescent="0.2">
      <c r="A67" s="4">
        <v>66</v>
      </c>
      <c r="B67" t="s">
        <v>870</v>
      </c>
      <c r="C67">
        <v>80.540000000000006</v>
      </c>
      <c r="D67">
        <v>20</v>
      </c>
      <c r="E67">
        <v>16</v>
      </c>
      <c r="F67">
        <v>78.989999999999995</v>
      </c>
      <c r="G67">
        <v>1</v>
      </c>
      <c r="H67">
        <v>2</v>
      </c>
      <c r="I67">
        <v>6</v>
      </c>
      <c r="J67">
        <v>10</v>
      </c>
      <c r="K67">
        <v>81.06</v>
      </c>
      <c r="L67">
        <v>79.77</v>
      </c>
    </row>
    <row r="68" spans="1:12" x14ac:dyDescent="0.2">
      <c r="A68" s="4">
        <v>67</v>
      </c>
      <c r="B68" t="s">
        <v>801</v>
      </c>
      <c r="C68">
        <v>80.489999999999995</v>
      </c>
      <c r="D68">
        <v>24</v>
      </c>
      <c r="E68">
        <v>10</v>
      </c>
      <c r="F68">
        <v>74.28</v>
      </c>
      <c r="G68">
        <v>1</v>
      </c>
      <c r="H68">
        <v>2</v>
      </c>
      <c r="I68">
        <v>1</v>
      </c>
      <c r="J68">
        <v>4</v>
      </c>
      <c r="K68">
        <v>80.73</v>
      </c>
      <c r="L68">
        <v>79.97</v>
      </c>
    </row>
    <row r="69" spans="1:12" x14ac:dyDescent="0.2">
      <c r="A69" s="4">
        <v>68</v>
      </c>
      <c r="B69" t="s">
        <v>55</v>
      </c>
      <c r="C69">
        <v>80.28</v>
      </c>
      <c r="D69">
        <v>17</v>
      </c>
      <c r="E69">
        <v>16</v>
      </c>
      <c r="F69">
        <v>79.56</v>
      </c>
      <c r="G69">
        <v>1</v>
      </c>
      <c r="H69">
        <v>5</v>
      </c>
      <c r="I69">
        <v>2</v>
      </c>
      <c r="J69">
        <v>10</v>
      </c>
      <c r="K69">
        <v>79.7</v>
      </c>
      <c r="L69">
        <v>80.599999999999994</v>
      </c>
    </row>
    <row r="70" spans="1:12" x14ac:dyDescent="0.2">
      <c r="A70" s="4">
        <v>69</v>
      </c>
      <c r="B70" t="s">
        <v>860</v>
      </c>
      <c r="C70">
        <v>79.78</v>
      </c>
      <c r="D70">
        <v>24</v>
      </c>
      <c r="E70">
        <v>12</v>
      </c>
      <c r="F70">
        <v>73.459999999999994</v>
      </c>
      <c r="G70">
        <v>0</v>
      </c>
      <c r="H70">
        <v>2</v>
      </c>
      <c r="I70">
        <v>0</v>
      </c>
      <c r="J70">
        <v>2</v>
      </c>
      <c r="K70">
        <v>79.52</v>
      </c>
      <c r="L70">
        <v>79.77</v>
      </c>
    </row>
    <row r="71" spans="1:12" x14ac:dyDescent="0.2">
      <c r="A71" s="4">
        <v>70</v>
      </c>
      <c r="B71" t="s">
        <v>42</v>
      </c>
      <c r="C71">
        <v>79.77</v>
      </c>
      <c r="D71">
        <v>17</v>
      </c>
      <c r="E71">
        <v>15</v>
      </c>
      <c r="F71">
        <v>77.48</v>
      </c>
      <c r="G71">
        <v>1</v>
      </c>
      <c r="H71">
        <v>5</v>
      </c>
      <c r="I71">
        <v>1</v>
      </c>
      <c r="J71">
        <v>10</v>
      </c>
      <c r="K71">
        <v>78.34</v>
      </c>
      <c r="L71">
        <v>81.12</v>
      </c>
    </row>
    <row r="72" spans="1:12" x14ac:dyDescent="0.2">
      <c r="A72" s="4">
        <v>71</v>
      </c>
      <c r="B72" t="s">
        <v>122</v>
      </c>
      <c r="C72">
        <v>79.5</v>
      </c>
      <c r="D72">
        <v>15</v>
      </c>
      <c r="E72">
        <v>16</v>
      </c>
      <c r="F72">
        <v>78.75</v>
      </c>
      <c r="G72">
        <v>0</v>
      </c>
      <c r="H72">
        <v>4</v>
      </c>
      <c r="I72">
        <v>3</v>
      </c>
      <c r="J72">
        <v>11</v>
      </c>
      <c r="K72">
        <v>78.31</v>
      </c>
      <c r="L72">
        <v>80.540000000000006</v>
      </c>
    </row>
    <row r="73" spans="1:12" x14ac:dyDescent="0.2">
      <c r="A73" s="4">
        <v>72</v>
      </c>
      <c r="B73" t="s">
        <v>183</v>
      </c>
      <c r="C73">
        <v>79.42</v>
      </c>
      <c r="D73">
        <v>20</v>
      </c>
      <c r="E73">
        <v>13</v>
      </c>
      <c r="F73">
        <v>77.260000000000005</v>
      </c>
      <c r="G73">
        <v>1</v>
      </c>
      <c r="H73">
        <v>4</v>
      </c>
      <c r="I73">
        <v>2</v>
      </c>
      <c r="J73">
        <v>7</v>
      </c>
      <c r="K73">
        <v>79.540000000000006</v>
      </c>
      <c r="L73">
        <v>79.03</v>
      </c>
    </row>
    <row r="74" spans="1:12" x14ac:dyDescent="0.2">
      <c r="A74" s="4">
        <v>73</v>
      </c>
      <c r="B74" t="s">
        <v>795</v>
      </c>
      <c r="C74">
        <v>79.349999999999994</v>
      </c>
      <c r="D74">
        <v>15</v>
      </c>
      <c r="E74">
        <v>17</v>
      </c>
      <c r="F74">
        <v>79.36</v>
      </c>
      <c r="G74">
        <v>1</v>
      </c>
      <c r="H74">
        <v>2</v>
      </c>
      <c r="I74">
        <v>1</v>
      </c>
      <c r="J74">
        <v>13</v>
      </c>
      <c r="K74">
        <v>78.260000000000005</v>
      </c>
      <c r="L74">
        <v>80.27</v>
      </c>
    </row>
    <row r="75" spans="1:12" x14ac:dyDescent="0.2">
      <c r="A75" s="4">
        <v>74</v>
      </c>
      <c r="B75" t="s">
        <v>119</v>
      </c>
      <c r="C75">
        <v>79.34</v>
      </c>
      <c r="D75">
        <v>20</v>
      </c>
      <c r="E75">
        <v>13</v>
      </c>
      <c r="F75">
        <v>75.44</v>
      </c>
      <c r="G75">
        <v>0</v>
      </c>
      <c r="H75">
        <v>1</v>
      </c>
      <c r="I75">
        <v>0</v>
      </c>
      <c r="J75">
        <v>6</v>
      </c>
      <c r="K75">
        <v>79.63</v>
      </c>
      <c r="L75">
        <v>78.77</v>
      </c>
    </row>
    <row r="76" spans="1:12" x14ac:dyDescent="0.2">
      <c r="A76" s="4">
        <v>75</v>
      </c>
      <c r="B76" t="s">
        <v>149</v>
      </c>
      <c r="C76">
        <v>79.23</v>
      </c>
      <c r="D76">
        <v>22</v>
      </c>
      <c r="E76">
        <v>12</v>
      </c>
      <c r="F76">
        <v>74.13</v>
      </c>
      <c r="G76">
        <v>0</v>
      </c>
      <c r="H76">
        <v>1</v>
      </c>
      <c r="I76">
        <v>1</v>
      </c>
      <c r="J76">
        <v>4</v>
      </c>
      <c r="K76">
        <v>78.400000000000006</v>
      </c>
      <c r="L76">
        <v>79.84</v>
      </c>
    </row>
    <row r="77" spans="1:12" x14ac:dyDescent="0.2">
      <c r="A77" s="4">
        <v>76</v>
      </c>
      <c r="B77" t="s">
        <v>79</v>
      </c>
      <c r="C77">
        <v>79.17</v>
      </c>
      <c r="D77">
        <v>20</v>
      </c>
      <c r="E77">
        <v>14</v>
      </c>
      <c r="F77">
        <v>76.19</v>
      </c>
      <c r="G77">
        <v>1</v>
      </c>
      <c r="H77">
        <v>7</v>
      </c>
      <c r="I77">
        <v>3</v>
      </c>
      <c r="J77">
        <v>9</v>
      </c>
      <c r="K77">
        <v>79.150000000000006</v>
      </c>
      <c r="L77">
        <v>78.91</v>
      </c>
    </row>
    <row r="78" spans="1:12" x14ac:dyDescent="0.2">
      <c r="A78" s="4">
        <v>77</v>
      </c>
      <c r="B78" t="s">
        <v>814</v>
      </c>
      <c r="C78">
        <v>79.12</v>
      </c>
      <c r="D78">
        <v>20</v>
      </c>
      <c r="E78">
        <v>12</v>
      </c>
      <c r="F78">
        <v>73.709999999999994</v>
      </c>
      <c r="G78">
        <v>0</v>
      </c>
      <c r="H78">
        <v>3</v>
      </c>
      <c r="I78">
        <v>0</v>
      </c>
      <c r="J78">
        <v>4</v>
      </c>
      <c r="K78">
        <v>77.75</v>
      </c>
      <c r="L78">
        <v>80.38</v>
      </c>
    </row>
    <row r="79" spans="1:12" x14ac:dyDescent="0.2">
      <c r="A79" s="4">
        <v>78</v>
      </c>
      <c r="B79" t="s">
        <v>70</v>
      </c>
      <c r="C79">
        <v>79.05</v>
      </c>
      <c r="D79">
        <v>15</v>
      </c>
      <c r="E79">
        <v>16</v>
      </c>
      <c r="F79">
        <v>78.75</v>
      </c>
      <c r="G79">
        <v>0</v>
      </c>
      <c r="H79">
        <v>4</v>
      </c>
      <c r="I79">
        <v>2</v>
      </c>
      <c r="J79">
        <v>10</v>
      </c>
      <c r="K79">
        <v>78.180000000000007</v>
      </c>
      <c r="L79">
        <v>79.709999999999994</v>
      </c>
    </row>
    <row r="80" spans="1:12" x14ac:dyDescent="0.2">
      <c r="A80" s="4">
        <v>79</v>
      </c>
      <c r="B80" t="s">
        <v>803</v>
      </c>
      <c r="C80">
        <v>78.989999999999995</v>
      </c>
      <c r="D80">
        <v>23</v>
      </c>
      <c r="E80">
        <v>10</v>
      </c>
      <c r="F80">
        <v>73.88</v>
      </c>
      <c r="G80">
        <v>0</v>
      </c>
      <c r="H80">
        <v>1</v>
      </c>
      <c r="I80">
        <v>0</v>
      </c>
      <c r="J80">
        <v>2</v>
      </c>
      <c r="K80">
        <v>79.92</v>
      </c>
      <c r="L80">
        <v>77.849999999999994</v>
      </c>
    </row>
    <row r="81" spans="1:12" x14ac:dyDescent="0.2">
      <c r="A81" s="4">
        <v>80</v>
      </c>
      <c r="B81" t="s">
        <v>123</v>
      </c>
      <c r="C81">
        <v>78.930000000000007</v>
      </c>
      <c r="D81">
        <v>25</v>
      </c>
      <c r="E81">
        <v>9</v>
      </c>
      <c r="F81">
        <v>71.510000000000005</v>
      </c>
      <c r="G81">
        <v>0</v>
      </c>
      <c r="H81">
        <v>2</v>
      </c>
      <c r="I81">
        <v>0</v>
      </c>
      <c r="J81">
        <v>3</v>
      </c>
      <c r="K81">
        <v>79.459999999999994</v>
      </c>
      <c r="L81">
        <v>78.150000000000006</v>
      </c>
    </row>
    <row r="82" spans="1:12" x14ac:dyDescent="0.2">
      <c r="A82" s="4">
        <v>81</v>
      </c>
      <c r="B82" t="s">
        <v>96</v>
      </c>
      <c r="C82">
        <v>78.91</v>
      </c>
      <c r="D82">
        <v>15</v>
      </c>
      <c r="E82">
        <v>16</v>
      </c>
      <c r="F82">
        <v>79.03</v>
      </c>
      <c r="G82">
        <v>1</v>
      </c>
      <c r="H82">
        <v>4</v>
      </c>
      <c r="I82">
        <v>3</v>
      </c>
      <c r="J82">
        <v>7</v>
      </c>
      <c r="K82">
        <v>78.27</v>
      </c>
      <c r="L82">
        <v>79.31</v>
      </c>
    </row>
    <row r="83" spans="1:12" x14ac:dyDescent="0.2">
      <c r="A83" s="4">
        <v>82</v>
      </c>
      <c r="B83" t="s">
        <v>194</v>
      </c>
      <c r="C83">
        <v>78.599999999999994</v>
      </c>
      <c r="D83">
        <v>20</v>
      </c>
      <c r="E83">
        <v>13</v>
      </c>
      <c r="F83">
        <v>74.91</v>
      </c>
      <c r="G83">
        <v>0</v>
      </c>
      <c r="H83">
        <v>0</v>
      </c>
      <c r="I83">
        <v>2</v>
      </c>
      <c r="J83">
        <v>2</v>
      </c>
      <c r="K83">
        <v>77.709999999999994</v>
      </c>
      <c r="L83">
        <v>79.27</v>
      </c>
    </row>
    <row r="84" spans="1:12" x14ac:dyDescent="0.2">
      <c r="A84" s="4">
        <v>83</v>
      </c>
      <c r="B84" t="s">
        <v>285</v>
      </c>
      <c r="C84">
        <v>78.599999999999994</v>
      </c>
      <c r="D84">
        <v>19</v>
      </c>
      <c r="E84">
        <v>12</v>
      </c>
      <c r="F84">
        <v>75.45</v>
      </c>
      <c r="G84">
        <v>1</v>
      </c>
      <c r="H84">
        <v>5</v>
      </c>
      <c r="I84">
        <v>2</v>
      </c>
      <c r="J84">
        <v>9</v>
      </c>
      <c r="K84">
        <v>80.260000000000005</v>
      </c>
      <c r="L84">
        <v>76.849999999999994</v>
      </c>
    </row>
    <row r="85" spans="1:12" x14ac:dyDescent="0.2">
      <c r="A85" s="4">
        <v>84</v>
      </c>
      <c r="B85" t="s">
        <v>74</v>
      </c>
      <c r="C85">
        <v>78.569999999999993</v>
      </c>
      <c r="D85">
        <v>22</v>
      </c>
      <c r="E85">
        <v>13</v>
      </c>
      <c r="F85">
        <v>75.36</v>
      </c>
      <c r="G85">
        <v>2</v>
      </c>
      <c r="H85">
        <v>2</v>
      </c>
      <c r="I85">
        <v>4</v>
      </c>
      <c r="J85">
        <v>5</v>
      </c>
      <c r="K85">
        <v>79.92</v>
      </c>
      <c r="L85">
        <v>77.08</v>
      </c>
    </row>
    <row r="86" spans="1:12" x14ac:dyDescent="0.2">
      <c r="A86" s="4">
        <v>85</v>
      </c>
      <c r="B86" t="s">
        <v>877</v>
      </c>
      <c r="C86">
        <v>78.56</v>
      </c>
      <c r="D86">
        <v>16</v>
      </c>
      <c r="E86">
        <v>14</v>
      </c>
      <c r="F86">
        <v>76.91</v>
      </c>
      <c r="G86">
        <v>2</v>
      </c>
      <c r="H86">
        <v>2</v>
      </c>
      <c r="I86">
        <v>6</v>
      </c>
      <c r="J86">
        <v>3</v>
      </c>
      <c r="K86">
        <v>77.459999999999994</v>
      </c>
      <c r="L86">
        <v>79.48</v>
      </c>
    </row>
    <row r="87" spans="1:12" x14ac:dyDescent="0.2">
      <c r="A87" s="4">
        <v>86</v>
      </c>
      <c r="B87" t="s">
        <v>181</v>
      </c>
      <c r="C87">
        <v>78.5</v>
      </c>
      <c r="D87">
        <v>21</v>
      </c>
      <c r="E87">
        <v>10</v>
      </c>
      <c r="F87">
        <v>73.36</v>
      </c>
      <c r="G87">
        <v>0</v>
      </c>
      <c r="H87">
        <v>1</v>
      </c>
      <c r="I87">
        <v>0</v>
      </c>
      <c r="J87">
        <v>4</v>
      </c>
      <c r="K87">
        <v>77.989999999999995</v>
      </c>
      <c r="L87">
        <v>78.75</v>
      </c>
    </row>
    <row r="88" spans="1:12" x14ac:dyDescent="0.2">
      <c r="A88" s="4">
        <v>87</v>
      </c>
      <c r="B88" t="s">
        <v>39</v>
      </c>
      <c r="C88">
        <v>78.42</v>
      </c>
      <c r="D88">
        <v>14</v>
      </c>
      <c r="E88">
        <v>17</v>
      </c>
      <c r="F88">
        <v>78.900000000000006</v>
      </c>
      <c r="G88">
        <v>1</v>
      </c>
      <c r="H88">
        <v>8</v>
      </c>
      <c r="I88">
        <v>3</v>
      </c>
      <c r="J88">
        <v>9</v>
      </c>
      <c r="K88">
        <v>76.61</v>
      </c>
      <c r="L88">
        <v>80.23</v>
      </c>
    </row>
    <row r="89" spans="1:12" x14ac:dyDescent="0.2">
      <c r="A89" s="4">
        <v>88</v>
      </c>
      <c r="B89" t="s">
        <v>818</v>
      </c>
      <c r="C89">
        <v>78.28</v>
      </c>
      <c r="D89">
        <v>22</v>
      </c>
      <c r="E89">
        <v>11</v>
      </c>
      <c r="F89">
        <v>73.58</v>
      </c>
      <c r="G89">
        <v>0</v>
      </c>
      <c r="H89">
        <v>3</v>
      </c>
      <c r="I89">
        <v>0</v>
      </c>
      <c r="J89">
        <v>3</v>
      </c>
      <c r="K89">
        <v>79.06</v>
      </c>
      <c r="L89">
        <v>77.27</v>
      </c>
    </row>
    <row r="90" spans="1:12" x14ac:dyDescent="0.2">
      <c r="A90" s="4">
        <v>89</v>
      </c>
      <c r="B90" t="s">
        <v>177</v>
      </c>
      <c r="C90">
        <v>78.25</v>
      </c>
      <c r="D90">
        <v>19</v>
      </c>
      <c r="E90">
        <v>11</v>
      </c>
      <c r="F90">
        <v>73.78</v>
      </c>
      <c r="G90">
        <v>0</v>
      </c>
      <c r="H90">
        <v>1</v>
      </c>
      <c r="I90">
        <v>2</v>
      </c>
      <c r="J90">
        <v>6</v>
      </c>
      <c r="K90">
        <v>78.06</v>
      </c>
      <c r="L90">
        <v>78.150000000000006</v>
      </c>
    </row>
    <row r="91" spans="1:12" x14ac:dyDescent="0.2">
      <c r="A91" s="4">
        <v>90</v>
      </c>
      <c r="B91" t="s">
        <v>6</v>
      </c>
      <c r="C91">
        <v>78.16</v>
      </c>
      <c r="D91">
        <v>16</v>
      </c>
      <c r="E91">
        <v>15</v>
      </c>
      <c r="F91">
        <v>77.95</v>
      </c>
      <c r="G91">
        <v>1</v>
      </c>
      <c r="H91">
        <v>3</v>
      </c>
      <c r="I91">
        <v>2</v>
      </c>
      <c r="J91">
        <v>7</v>
      </c>
      <c r="K91">
        <v>77.87</v>
      </c>
      <c r="L91">
        <v>78.17</v>
      </c>
    </row>
    <row r="92" spans="1:12" x14ac:dyDescent="0.2">
      <c r="A92" s="4">
        <v>91</v>
      </c>
      <c r="B92" t="s">
        <v>286</v>
      </c>
      <c r="C92">
        <v>78.13</v>
      </c>
      <c r="D92">
        <v>14</v>
      </c>
      <c r="E92">
        <v>17</v>
      </c>
      <c r="F92">
        <v>79.48</v>
      </c>
      <c r="G92">
        <v>1</v>
      </c>
      <c r="H92">
        <v>4</v>
      </c>
      <c r="I92">
        <v>3</v>
      </c>
      <c r="J92">
        <v>8</v>
      </c>
      <c r="K92">
        <v>77.69</v>
      </c>
      <c r="L92">
        <v>78.3</v>
      </c>
    </row>
    <row r="93" spans="1:12" x14ac:dyDescent="0.2">
      <c r="A93" s="4">
        <v>92</v>
      </c>
      <c r="B93" t="s">
        <v>258</v>
      </c>
      <c r="C93">
        <v>78.02</v>
      </c>
      <c r="D93">
        <v>21</v>
      </c>
      <c r="E93">
        <v>11</v>
      </c>
      <c r="F93">
        <v>75.12</v>
      </c>
      <c r="G93">
        <v>1</v>
      </c>
      <c r="H93">
        <v>0</v>
      </c>
      <c r="I93">
        <v>3</v>
      </c>
      <c r="J93">
        <v>4</v>
      </c>
      <c r="K93">
        <v>79.98</v>
      </c>
      <c r="L93">
        <v>76.03</v>
      </c>
    </row>
    <row r="94" spans="1:12" x14ac:dyDescent="0.2">
      <c r="A94" s="4">
        <v>93</v>
      </c>
      <c r="B94" t="s">
        <v>69</v>
      </c>
      <c r="C94">
        <v>77.88</v>
      </c>
      <c r="D94">
        <v>13</v>
      </c>
      <c r="E94">
        <v>16</v>
      </c>
      <c r="F94">
        <v>79.27</v>
      </c>
      <c r="G94">
        <v>1</v>
      </c>
      <c r="H94">
        <v>8</v>
      </c>
      <c r="I94">
        <v>1</v>
      </c>
      <c r="J94">
        <v>10</v>
      </c>
      <c r="K94">
        <v>77.349999999999994</v>
      </c>
      <c r="L94">
        <v>78.14</v>
      </c>
    </row>
    <row r="95" spans="1:12" x14ac:dyDescent="0.2">
      <c r="A95" s="4">
        <v>94</v>
      </c>
      <c r="B95" t="s">
        <v>218</v>
      </c>
      <c r="C95">
        <v>77.72</v>
      </c>
      <c r="D95">
        <v>23</v>
      </c>
      <c r="E95">
        <v>12</v>
      </c>
      <c r="F95">
        <v>72.17</v>
      </c>
      <c r="G95">
        <v>0</v>
      </c>
      <c r="H95">
        <v>1</v>
      </c>
      <c r="I95">
        <v>1</v>
      </c>
      <c r="J95">
        <v>3</v>
      </c>
      <c r="K95">
        <v>78.5</v>
      </c>
      <c r="L95">
        <v>76.709999999999994</v>
      </c>
    </row>
    <row r="96" spans="1:12" x14ac:dyDescent="0.2">
      <c r="A96" s="4">
        <v>95</v>
      </c>
      <c r="B96" t="s">
        <v>120</v>
      </c>
      <c r="C96">
        <v>77.459999999999994</v>
      </c>
      <c r="D96">
        <v>15</v>
      </c>
      <c r="E96">
        <v>18</v>
      </c>
      <c r="F96">
        <v>78.459999999999994</v>
      </c>
      <c r="G96">
        <v>1</v>
      </c>
      <c r="H96">
        <v>11</v>
      </c>
      <c r="I96">
        <v>1</v>
      </c>
      <c r="J96">
        <v>12</v>
      </c>
      <c r="K96">
        <v>76.59</v>
      </c>
      <c r="L96">
        <v>78.09</v>
      </c>
    </row>
    <row r="97" spans="1:12" x14ac:dyDescent="0.2">
      <c r="A97" s="4">
        <v>96</v>
      </c>
      <c r="B97" t="s">
        <v>45</v>
      </c>
      <c r="C97">
        <v>77.23</v>
      </c>
      <c r="D97">
        <v>13</v>
      </c>
      <c r="E97">
        <v>18</v>
      </c>
      <c r="F97">
        <v>79.62</v>
      </c>
      <c r="G97">
        <v>2</v>
      </c>
      <c r="H97">
        <v>7</v>
      </c>
      <c r="I97">
        <v>3</v>
      </c>
      <c r="J97">
        <v>11</v>
      </c>
      <c r="K97">
        <v>76.72</v>
      </c>
      <c r="L97">
        <v>77.47</v>
      </c>
    </row>
    <row r="98" spans="1:12" x14ac:dyDescent="0.2">
      <c r="A98" s="4">
        <v>97</v>
      </c>
      <c r="B98" t="s">
        <v>819</v>
      </c>
      <c r="C98">
        <v>77.180000000000007</v>
      </c>
      <c r="D98">
        <v>21</v>
      </c>
      <c r="E98">
        <v>12</v>
      </c>
      <c r="F98">
        <v>75.16</v>
      </c>
      <c r="G98">
        <v>0</v>
      </c>
      <c r="H98">
        <v>1</v>
      </c>
      <c r="I98">
        <v>3</v>
      </c>
      <c r="J98">
        <v>6</v>
      </c>
      <c r="K98">
        <v>79.849999999999994</v>
      </c>
      <c r="L98">
        <v>74.64</v>
      </c>
    </row>
    <row r="99" spans="1:12" x14ac:dyDescent="0.2">
      <c r="A99" s="4">
        <v>98</v>
      </c>
      <c r="B99" t="s">
        <v>560</v>
      </c>
      <c r="C99">
        <v>77</v>
      </c>
      <c r="D99">
        <v>21</v>
      </c>
      <c r="E99">
        <v>15</v>
      </c>
      <c r="F99">
        <v>73.040000000000006</v>
      </c>
      <c r="G99">
        <v>1</v>
      </c>
      <c r="H99">
        <v>1</v>
      </c>
      <c r="I99">
        <v>1</v>
      </c>
      <c r="J99">
        <v>2</v>
      </c>
      <c r="K99">
        <v>76.47</v>
      </c>
      <c r="L99">
        <v>77.260000000000005</v>
      </c>
    </row>
    <row r="100" spans="1:12" x14ac:dyDescent="0.2">
      <c r="A100" s="4">
        <v>99</v>
      </c>
      <c r="B100" t="s">
        <v>101</v>
      </c>
      <c r="C100">
        <v>76.94</v>
      </c>
      <c r="D100">
        <v>24</v>
      </c>
      <c r="E100">
        <v>11</v>
      </c>
      <c r="F100">
        <v>72.8</v>
      </c>
      <c r="G100">
        <v>0</v>
      </c>
      <c r="H100">
        <v>0</v>
      </c>
      <c r="I100">
        <v>1</v>
      </c>
      <c r="J100">
        <v>3</v>
      </c>
      <c r="K100">
        <v>78.709999999999994</v>
      </c>
      <c r="L100">
        <v>75.08</v>
      </c>
    </row>
    <row r="101" spans="1:12" x14ac:dyDescent="0.2">
      <c r="A101" s="4">
        <v>100</v>
      </c>
      <c r="B101" t="s">
        <v>44</v>
      </c>
      <c r="C101">
        <v>76.790000000000006</v>
      </c>
      <c r="D101">
        <v>12</v>
      </c>
      <c r="E101">
        <v>19</v>
      </c>
      <c r="F101">
        <v>78.959999999999994</v>
      </c>
      <c r="G101">
        <v>0</v>
      </c>
      <c r="H101">
        <v>5</v>
      </c>
      <c r="I101">
        <v>0</v>
      </c>
      <c r="J101">
        <v>10</v>
      </c>
      <c r="K101">
        <v>74.98</v>
      </c>
      <c r="L101">
        <v>78.52</v>
      </c>
    </row>
    <row r="102" spans="1:12" x14ac:dyDescent="0.2">
      <c r="A102" s="4">
        <v>101</v>
      </c>
      <c r="B102" t="s">
        <v>548</v>
      </c>
      <c r="C102">
        <v>76.77</v>
      </c>
      <c r="D102">
        <v>21</v>
      </c>
      <c r="E102">
        <v>10</v>
      </c>
      <c r="F102">
        <v>71.58</v>
      </c>
      <c r="G102">
        <v>0</v>
      </c>
      <c r="H102">
        <v>1</v>
      </c>
      <c r="I102">
        <v>0</v>
      </c>
      <c r="J102">
        <v>2</v>
      </c>
      <c r="K102">
        <v>77.37</v>
      </c>
      <c r="L102">
        <v>75.91</v>
      </c>
    </row>
    <row r="103" spans="1:12" x14ac:dyDescent="0.2">
      <c r="A103" s="4">
        <v>102</v>
      </c>
      <c r="B103" t="s">
        <v>837</v>
      </c>
      <c r="C103">
        <v>76.52</v>
      </c>
      <c r="D103">
        <v>21</v>
      </c>
      <c r="E103">
        <v>8</v>
      </c>
      <c r="F103">
        <v>69.34</v>
      </c>
      <c r="G103">
        <v>0</v>
      </c>
      <c r="H103">
        <v>2</v>
      </c>
      <c r="I103">
        <v>0</v>
      </c>
      <c r="J103">
        <v>2</v>
      </c>
      <c r="K103">
        <v>76</v>
      </c>
      <c r="L103">
        <v>76.78</v>
      </c>
    </row>
    <row r="104" spans="1:12" x14ac:dyDescent="0.2">
      <c r="A104" s="4">
        <v>103</v>
      </c>
      <c r="B104" t="s">
        <v>52</v>
      </c>
      <c r="C104">
        <v>76.400000000000006</v>
      </c>
      <c r="D104">
        <v>18</v>
      </c>
      <c r="E104">
        <v>16</v>
      </c>
      <c r="F104">
        <v>75.09</v>
      </c>
      <c r="G104">
        <v>0</v>
      </c>
      <c r="H104">
        <v>4</v>
      </c>
      <c r="I104">
        <v>0</v>
      </c>
      <c r="J104">
        <v>5</v>
      </c>
      <c r="K104">
        <v>76.73</v>
      </c>
      <c r="L104">
        <v>75.790000000000006</v>
      </c>
    </row>
    <row r="105" spans="1:12" x14ac:dyDescent="0.2">
      <c r="A105" s="4">
        <v>104</v>
      </c>
      <c r="B105" t="s">
        <v>4</v>
      </c>
      <c r="C105">
        <v>76.290000000000006</v>
      </c>
      <c r="D105">
        <v>18</v>
      </c>
      <c r="E105">
        <v>16</v>
      </c>
      <c r="F105">
        <v>74.42</v>
      </c>
      <c r="G105">
        <v>0</v>
      </c>
      <c r="H105">
        <v>1</v>
      </c>
      <c r="I105">
        <v>2</v>
      </c>
      <c r="J105">
        <v>2</v>
      </c>
      <c r="K105">
        <v>74.44</v>
      </c>
      <c r="L105">
        <v>78.06</v>
      </c>
    </row>
    <row r="106" spans="1:12" x14ac:dyDescent="0.2">
      <c r="A106" s="4">
        <v>105</v>
      </c>
      <c r="B106" t="s">
        <v>297</v>
      </c>
      <c r="C106">
        <v>76.23</v>
      </c>
      <c r="D106">
        <v>20</v>
      </c>
      <c r="E106">
        <v>8</v>
      </c>
      <c r="F106">
        <v>69.14</v>
      </c>
      <c r="G106">
        <v>0</v>
      </c>
      <c r="H106">
        <v>1</v>
      </c>
      <c r="I106">
        <v>0</v>
      </c>
      <c r="J106">
        <v>3</v>
      </c>
      <c r="K106">
        <v>76.89</v>
      </c>
      <c r="L106">
        <v>75.31</v>
      </c>
    </row>
    <row r="107" spans="1:12" x14ac:dyDescent="0.2">
      <c r="A107" s="4">
        <v>106</v>
      </c>
      <c r="B107" t="s">
        <v>192</v>
      </c>
      <c r="C107">
        <v>76.209999999999994</v>
      </c>
      <c r="D107">
        <v>20</v>
      </c>
      <c r="E107">
        <v>10</v>
      </c>
      <c r="F107">
        <v>70.400000000000006</v>
      </c>
      <c r="G107">
        <v>0</v>
      </c>
      <c r="H107">
        <v>0</v>
      </c>
      <c r="I107">
        <v>0</v>
      </c>
      <c r="J107">
        <v>2</v>
      </c>
      <c r="K107">
        <v>75.83</v>
      </c>
      <c r="L107">
        <v>76.319999999999993</v>
      </c>
    </row>
    <row r="108" spans="1:12" x14ac:dyDescent="0.2">
      <c r="A108" s="4">
        <v>107</v>
      </c>
      <c r="B108" t="s">
        <v>114</v>
      </c>
      <c r="C108">
        <v>76.16</v>
      </c>
      <c r="D108">
        <v>16</v>
      </c>
      <c r="E108">
        <v>15</v>
      </c>
      <c r="F108">
        <v>75.97</v>
      </c>
      <c r="G108">
        <v>1</v>
      </c>
      <c r="H108">
        <v>3</v>
      </c>
      <c r="I108">
        <v>1</v>
      </c>
      <c r="J108">
        <v>4</v>
      </c>
      <c r="K108">
        <v>76.83</v>
      </c>
      <c r="L108">
        <v>75.23</v>
      </c>
    </row>
    <row r="109" spans="1:12" x14ac:dyDescent="0.2">
      <c r="A109" s="4">
        <v>108</v>
      </c>
      <c r="B109" t="s">
        <v>826</v>
      </c>
      <c r="C109">
        <v>76.12</v>
      </c>
      <c r="D109">
        <v>22</v>
      </c>
      <c r="E109">
        <v>12</v>
      </c>
      <c r="F109">
        <v>71.180000000000007</v>
      </c>
      <c r="G109">
        <v>0</v>
      </c>
      <c r="H109">
        <v>1</v>
      </c>
      <c r="I109">
        <v>0</v>
      </c>
      <c r="J109">
        <v>1</v>
      </c>
      <c r="K109">
        <v>76.36</v>
      </c>
      <c r="L109">
        <v>75.599999999999994</v>
      </c>
    </row>
    <row r="110" spans="1:12" x14ac:dyDescent="0.2">
      <c r="A110" s="4">
        <v>109</v>
      </c>
      <c r="B110" t="s">
        <v>272</v>
      </c>
      <c r="C110">
        <v>76.08</v>
      </c>
      <c r="D110">
        <v>23</v>
      </c>
      <c r="E110">
        <v>11</v>
      </c>
      <c r="F110">
        <v>70.36</v>
      </c>
      <c r="G110">
        <v>0</v>
      </c>
      <c r="H110">
        <v>1</v>
      </c>
      <c r="I110">
        <v>0</v>
      </c>
      <c r="J110">
        <v>2</v>
      </c>
      <c r="K110">
        <v>76.3</v>
      </c>
      <c r="L110">
        <v>75.59</v>
      </c>
    </row>
    <row r="111" spans="1:12" x14ac:dyDescent="0.2">
      <c r="A111" s="4">
        <v>110</v>
      </c>
      <c r="B111" t="s">
        <v>133</v>
      </c>
      <c r="C111">
        <v>76.03</v>
      </c>
      <c r="D111">
        <v>23</v>
      </c>
      <c r="E111">
        <v>11</v>
      </c>
      <c r="F111">
        <v>71.58</v>
      </c>
      <c r="G111">
        <v>0</v>
      </c>
      <c r="H111">
        <v>1</v>
      </c>
      <c r="I111">
        <v>0</v>
      </c>
      <c r="J111">
        <v>2</v>
      </c>
      <c r="K111">
        <v>76.849999999999994</v>
      </c>
      <c r="L111">
        <v>74.959999999999994</v>
      </c>
    </row>
    <row r="112" spans="1:12" x14ac:dyDescent="0.2">
      <c r="A112" s="4">
        <v>111</v>
      </c>
      <c r="B112" t="s">
        <v>124</v>
      </c>
      <c r="C112">
        <v>76.03</v>
      </c>
      <c r="D112">
        <v>21</v>
      </c>
      <c r="E112">
        <v>9</v>
      </c>
      <c r="F112">
        <v>68.23</v>
      </c>
      <c r="G112">
        <v>0</v>
      </c>
      <c r="H112">
        <v>1</v>
      </c>
      <c r="I112">
        <v>0</v>
      </c>
      <c r="J112">
        <v>3</v>
      </c>
      <c r="K112">
        <v>77.05</v>
      </c>
      <c r="L112">
        <v>74.78</v>
      </c>
    </row>
    <row r="113" spans="1:12" x14ac:dyDescent="0.2">
      <c r="A113" s="4">
        <v>112</v>
      </c>
      <c r="B113" t="s">
        <v>820</v>
      </c>
      <c r="C113">
        <v>75.989999999999995</v>
      </c>
      <c r="D113">
        <v>22</v>
      </c>
      <c r="E113">
        <v>11</v>
      </c>
      <c r="F113">
        <v>69.430000000000007</v>
      </c>
      <c r="G113">
        <v>0</v>
      </c>
      <c r="H113">
        <v>1</v>
      </c>
      <c r="I113">
        <v>0</v>
      </c>
      <c r="J113">
        <v>2</v>
      </c>
      <c r="K113">
        <v>75.19</v>
      </c>
      <c r="L113">
        <v>76.540000000000006</v>
      </c>
    </row>
    <row r="114" spans="1:12" x14ac:dyDescent="0.2">
      <c r="A114" s="4">
        <v>113</v>
      </c>
      <c r="B114" t="s">
        <v>878</v>
      </c>
      <c r="C114">
        <v>75.959999999999994</v>
      </c>
      <c r="D114">
        <v>24</v>
      </c>
      <c r="E114">
        <v>9</v>
      </c>
      <c r="F114">
        <v>70.39</v>
      </c>
      <c r="G114">
        <v>0</v>
      </c>
      <c r="H114">
        <v>4</v>
      </c>
      <c r="I114">
        <v>0</v>
      </c>
      <c r="J114">
        <v>5</v>
      </c>
      <c r="K114">
        <v>79.150000000000006</v>
      </c>
      <c r="L114">
        <v>72.94</v>
      </c>
    </row>
    <row r="115" spans="1:12" x14ac:dyDescent="0.2">
      <c r="A115" s="4">
        <v>114</v>
      </c>
      <c r="B115" t="s">
        <v>188</v>
      </c>
      <c r="C115">
        <v>75.88</v>
      </c>
      <c r="D115">
        <v>23</v>
      </c>
      <c r="E115">
        <v>11</v>
      </c>
      <c r="F115">
        <v>71</v>
      </c>
      <c r="G115">
        <v>0</v>
      </c>
      <c r="H115">
        <v>1</v>
      </c>
      <c r="I115">
        <v>0</v>
      </c>
      <c r="J115">
        <v>2</v>
      </c>
      <c r="K115">
        <v>77.180000000000007</v>
      </c>
      <c r="L115">
        <v>74.38</v>
      </c>
    </row>
    <row r="116" spans="1:12" x14ac:dyDescent="0.2">
      <c r="A116" s="4">
        <v>115</v>
      </c>
      <c r="B116" t="s">
        <v>816</v>
      </c>
      <c r="C116">
        <v>75.739999999999995</v>
      </c>
      <c r="D116">
        <v>18</v>
      </c>
      <c r="E116">
        <v>11</v>
      </c>
      <c r="F116">
        <v>71.87</v>
      </c>
      <c r="G116">
        <v>0</v>
      </c>
      <c r="H116">
        <v>1</v>
      </c>
      <c r="I116">
        <v>0</v>
      </c>
      <c r="J116">
        <v>4</v>
      </c>
      <c r="K116">
        <v>75.58</v>
      </c>
      <c r="L116">
        <v>75.62</v>
      </c>
    </row>
    <row r="117" spans="1:12" x14ac:dyDescent="0.2">
      <c r="A117" s="4">
        <v>116</v>
      </c>
      <c r="B117" t="s">
        <v>98</v>
      </c>
      <c r="C117">
        <v>75.739999999999995</v>
      </c>
      <c r="D117">
        <v>14</v>
      </c>
      <c r="E117">
        <v>18</v>
      </c>
      <c r="F117">
        <v>77.05</v>
      </c>
      <c r="G117">
        <v>0</v>
      </c>
      <c r="H117">
        <v>3</v>
      </c>
      <c r="I117">
        <v>0</v>
      </c>
      <c r="J117">
        <v>7</v>
      </c>
      <c r="K117">
        <v>74.709999999999994</v>
      </c>
      <c r="L117">
        <v>76.53</v>
      </c>
    </row>
    <row r="118" spans="1:12" x14ac:dyDescent="0.2">
      <c r="A118" s="4">
        <v>117</v>
      </c>
      <c r="B118" t="s">
        <v>33</v>
      </c>
      <c r="C118">
        <v>75.72</v>
      </c>
      <c r="D118">
        <v>14</v>
      </c>
      <c r="E118">
        <v>17</v>
      </c>
      <c r="F118">
        <v>76.33</v>
      </c>
      <c r="G118">
        <v>0</v>
      </c>
      <c r="H118">
        <v>2</v>
      </c>
      <c r="I118">
        <v>0</v>
      </c>
      <c r="J118">
        <v>6</v>
      </c>
      <c r="K118">
        <v>74.400000000000006</v>
      </c>
      <c r="L118">
        <v>76.84</v>
      </c>
    </row>
    <row r="119" spans="1:12" x14ac:dyDescent="0.2">
      <c r="A119" s="4">
        <v>118</v>
      </c>
      <c r="B119" t="s">
        <v>259</v>
      </c>
      <c r="C119">
        <v>75.510000000000005</v>
      </c>
      <c r="D119">
        <v>20</v>
      </c>
      <c r="E119">
        <v>13</v>
      </c>
      <c r="F119">
        <v>73.28</v>
      </c>
      <c r="G119">
        <v>1</v>
      </c>
      <c r="H119">
        <v>2</v>
      </c>
      <c r="I119">
        <v>1</v>
      </c>
      <c r="J119">
        <v>2</v>
      </c>
      <c r="K119">
        <v>77.150000000000006</v>
      </c>
      <c r="L119">
        <v>73.709999999999994</v>
      </c>
    </row>
    <row r="120" spans="1:12" x14ac:dyDescent="0.2">
      <c r="A120" s="4">
        <v>119</v>
      </c>
      <c r="B120" t="s">
        <v>59</v>
      </c>
      <c r="C120">
        <v>75.45</v>
      </c>
      <c r="D120">
        <v>16</v>
      </c>
      <c r="E120">
        <v>16</v>
      </c>
      <c r="F120">
        <v>75.69</v>
      </c>
      <c r="G120">
        <v>0</v>
      </c>
      <c r="H120">
        <v>4</v>
      </c>
      <c r="I120">
        <v>1</v>
      </c>
      <c r="J120">
        <v>6</v>
      </c>
      <c r="K120">
        <v>75.41</v>
      </c>
      <c r="L120">
        <v>75.209999999999994</v>
      </c>
    </row>
    <row r="121" spans="1:12" x14ac:dyDescent="0.2">
      <c r="A121" s="4">
        <v>120</v>
      </c>
      <c r="B121" t="s">
        <v>187</v>
      </c>
      <c r="C121">
        <v>75.42</v>
      </c>
      <c r="D121">
        <v>16</v>
      </c>
      <c r="E121">
        <v>15</v>
      </c>
      <c r="F121">
        <v>74.37</v>
      </c>
      <c r="G121">
        <v>0</v>
      </c>
      <c r="H121">
        <v>4</v>
      </c>
      <c r="I121">
        <v>0</v>
      </c>
      <c r="J121">
        <v>7</v>
      </c>
      <c r="K121">
        <v>74.849999999999994</v>
      </c>
      <c r="L121">
        <v>75.709999999999994</v>
      </c>
    </row>
    <row r="122" spans="1:12" x14ac:dyDescent="0.2">
      <c r="A122" s="4">
        <v>121</v>
      </c>
      <c r="B122" t="s">
        <v>807</v>
      </c>
      <c r="C122">
        <v>75.37</v>
      </c>
      <c r="D122">
        <v>15</v>
      </c>
      <c r="E122">
        <v>15</v>
      </c>
      <c r="F122">
        <v>75.16</v>
      </c>
      <c r="G122">
        <v>0</v>
      </c>
      <c r="H122">
        <v>3</v>
      </c>
      <c r="I122">
        <v>0</v>
      </c>
      <c r="J122">
        <v>6</v>
      </c>
      <c r="K122">
        <v>74.64</v>
      </c>
      <c r="L122">
        <v>75.83</v>
      </c>
    </row>
    <row r="123" spans="1:12" x14ac:dyDescent="0.2">
      <c r="A123" s="4">
        <v>122</v>
      </c>
      <c r="B123" t="s">
        <v>30</v>
      </c>
      <c r="C123">
        <v>75.349999999999994</v>
      </c>
      <c r="D123">
        <v>14</v>
      </c>
      <c r="E123">
        <v>18</v>
      </c>
      <c r="F123">
        <v>77.17</v>
      </c>
      <c r="G123">
        <v>1</v>
      </c>
      <c r="H123">
        <v>4</v>
      </c>
      <c r="I123">
        <v>2</v>
      </c>
      <c r="J123">
        <v>6</v>
      </c>
      <c r="K123">
        <v>74.98</v>
      </c>
      <c r="L123">
        <v>75.44</v>
      </c>
    </row>
    <row r="124" spans="1:12" x14ac:dyDescent="0.2">
      <c r="A124" s="4">
        <v>123</v>
      </c>
      <c r="B124" t="s">
        <v>255</v>
      </c>
      <c r="C124">
        <v>75.3</v>
      </c>
      <c r="D124">
        <v>16</v>
      </c>
      <c r="E124">
        <v>14</v>
      </c>
      <c r="F124">
        <v>73.72</v>
      </c>
      <c r="G124">
        <v>0</v>
      </c>
      <c r="H124">
        <v>0</v>
      </c>
      <c r="I124">
        <v>0</v>
      </c>
      <c r="J124">
        <v>4</v>
      </c>
      <c r="K124">
        <v>73.94</v>
      </c>
      <c r="L124">
        <v>76.45</v>
      </c>
    </row>
    <row r="125" spans="1:12" x14ac:dyDescent="0.2">
      <c r="A125" s="4">
        <v>124</v>
      </c>
      <c r="B125" t="s">
        <v>293</v>
      </c>
      <c r="C125">
        <v>75.22</v>
      </c>
      <c r="D125">
        <v>24</v>
      </c>
      <c r="E125">
        <v>8</v>
      </c>
      <c r="F125">
        <v>68.48</v>
      </c>
      <c r="G125">
        <v>0</v>
      </c>
      <c r="H125">
        <v>0</v>
      </c>
      <c r="I125">
        <v>0</v>
      </c>
      <c r="J125">
        <v>0</v>
      </c>
      <c r="K125">
        <v>75.83</v>
      </c>
      <c r="L125">
        <v>74.349999999999994</v>
      </c>
    </row>
    <row r="126" spans="1:12" x14ac:dyDescent="0.2">
      <c r="A126" s="4">
        <v>125</v>
      </c>
      <c r="B126" t="s">
        <v>35</v>
      </c>
      <c r="C126">
        <v>75.180000000000007</v>
      </c>
      <c r="D126">
        <v>14</v>
      </c>
      <c r="E126">
        <v>18</v>
      </c>
      <c r="F126">
        <v>76.23</v>
      </c>
      <c r="G126">
        <v>0</v>
      </c>
      <c r="H126">
        <v>4</v>
      </c>
      <c r="I126">
        <v>1</v>
      </c>
      <c r="J126">
        <v>6</v>
      </c>
      <c r="K126">
        <v>73.87</v>
      </c>
      <c r="L126">
        <v>76.260000000000005</v>
      </c>
    </row>
    <row r="127" spans="1:12" x14ac:dyDescent="0.2">
      <c r="A127" s="4">
        <v>126</v>
      </c>
      <c r="B127" t="s">
        <v>821</v>
      </c>
      <c r="C127">
        <v>74.88</v>
      </c>
      <c r="D127">
        <v>16</v>
      </c>
      <c r="E127">
        <v>15</v>
      </c>
      <c r="F127">
        <v>75.540000000000006</v>
      </c>
      <c r="G127">
        <v>0</v>
      </c>
      <c r="H127">
        <v>2</v>
      </c>
      <c r="I127">
        <v>0</v>
      </c>
      <c r="J127">
        <v>2</v>
      </c>
      <c r="K127">
        <v>76.13</v>
      </c>
      <c r="L127">
        <v>73.41</v>
      </c>
    </row>
    <row r="128" spans="1:12" x14ac:dyDescent="0.2">
      <c r="A128" s="4">
        <v>127</v>
      </c>
      <c r="B128" t="s">
        <v>157</v>
      </c>
      <c r="C128">
        <v>74.81</v>
      </c>
      <c r="D128">
        <v>22</v>
      </c>
      <c r="E128">
        <v>12</v>
      </c>
      <c r="F128">
        <v>71.47</v>
      </c>
      <c r="G128">
        <v>0</v>
      </c>
      <c r="H128">
        <v>1</v>
      </c>
      <c r="I128">
        <v>1</v>
      </c>
      <c r="J128">
        <v>2</v>
      </c>
      <c r="K128">
        <v>76.31</v>
      </c>
      <c r="L128">
        <v>73.099999999999994</v>
      </c>
    </row>
    <row r="129" spans="1:12" x14ac:dyDescent="0.2">
      <c r="A129" s="4">
        <v>128</v>
      </c>
      <c r="B129" t="s">
        <v>249</v>
      </c>
      <c r="C129">
        <v>74.78</v>
      </c>
      <c r="D129">
        <v>18</v>
      </c>
      <c r="E129">
        <v>14</v>
      </c>
      <c r="F129">
        <v>73.2</v>
      </c>
      <c r="G129">
        <v>0</v>
      </c>
      <c r="H129">
        <v>4</v>
      </c>
      <c r="I129">
        <v>0</v>
      </c>
      <c r="J129">
        <v>5</v>
      </c>
      <c r="K129">
        <v>75.099999999999994</v>
      </c>
      <c r="L129">
        <v>74.19</v>
      </c>
    </row>
    <row r="130" spans="1:12" x14ac:dyDescent="0.2">
      <c r="A130" s="4">
        <v>129</v>
      </c>
      <c r="B130" t="s">
        <v>136</v>
      </c>
      <c r="C130">
        <v>74.69</v>
      </c>
      <c r="D130">
        <v>14</v>
      </c>
      <c r="E130">
        <v>15</v>
      </c>
      <c r="F130">
        <v>74.03</v>
      </c>
      <c r="G130">
        <v>0</v>
      </c>
      <c r="H130">
        <v>2</v>
      </c>
      <c r="I130">
        <v>0</v>
      </c>
      <c r="J130">
        <v>3</v>
      </c>
      <c r="K130">
        <v>73.95</v>
      </c>
      <c r="L130">
        <v>75.16</v>
      </c>
    </row>
    <row r="131" spans="1:12" x14ac:dyDescent="0.2">
      <c r="A131" s="4">
        <v>130</v>
      </c>
      <c r="B131" t="s">
        <v>550</v>
      </c>
      <c r="C131">
        <v>74.63</v>
      </c>
      <c r="D131">
        <v>19</v>
      </c>
      <c r="E131">
        <v>14</v>
      </c>
      <c r="F131">
        <v>72.03</v>
      </c>
      <c r="G131">
        <v>0</v>
      </c>
      <c r="H131">
        <v>3</v>
      </c>
      <c r="I131">
        <v>0</v>
      </c>
      <c r="J131">
        <v>3</v>
      </c>
      <c r="K131">
        <v>74.45</v>
      </c>
      <c r="L131">
        <v>74.52</v>
      </c>
    </row>
    <row r="132" spans="1:12" x14ac:dyDescent="0.2">
      <c r="A132" s="4">
        <v>131</v>
      </c>
      <c r="B132" t="s">
        <v>817</v>
      </c>
      <c r="C132">
        <v>74.58</v>
      </c>
      <c r="D132">
        <v>11</v>
      </c>
      <c r="E132">
        <v>20</v>
      </c>
      <c r="F132">
        <v>78.03</v>
      </c>
      <c r="G132">
        <v>0</v>
      </c>
      <c r="H132">
        <v>9</v>
      </c>
      <c r="I132">
        <v>0</v>
      </c>
      <c r="J132">
        <v>13</v>
      </c>
      <c r="K132">
        <v>71.92</v>
      </c>
      <c r="L132">
        <v>77.23</v>
      </c>
    </row>
    <row r="133" spans="1:12" x14ac:dyDescent="0.2">
      <c r="A133" s="4">
        <v>132</v>
      </c>
      <c r="B133" t="s">
        <v>562</v>
      </c>
      <c r="C133">
        <v>74.58</v>
      </c>
      <c r="D133">
        <v>21</v>
      </c>
      <c r="E133">
        <v>14</v>
      </c>
      <c r="F133">
        <v>70.12</v>
      </c>
      <c r="G133">
        <v>0</v>
      </c>
      <c r="H133">
        <v>2</v>
      </c>
      <c r="I133">
        <v>0</v>
      </c>
      <c r="J133">
        <v>3</v>
      </c>
      <c r="K133">
        <v>74.17</v>
      </c>
      <c r="L133">
        <v>74.72</v>
      </c>
    </row>
    <row r="134" spans="1:12" x14ac:dyDescent="0.2">
      <c r="A134" s="4">
        <v>133</v>
      </c>
      <c r="B134" t="s">
        <v>143</v>
      </c>
      <c r="C134">
        <v>74.569999999999993</v>
      </c>
      <c r="D134">
        <v>19</v>
      </c>
      <c r="E134">
        <v>10</v>
      </c>
      <c r="F134">
        <v>71.81</v>
      </c>
      <c r="G134">
        <v>0</v>
      </c>
      <c r="H134">
        <v>2</v>
      </c>
      <c r="I134">
        <v>0</v>
      </c>
      <c r="J134">
        <v>3</v>
      </c>
      <c r="K134">
        <v>76.650000000000006</v>
      </c>
      <c r="L134">
        <v>72.349999999999994</v>
      </c>
    </row>
    <row r="135" spans="1:12" x14ac:dyDescent="0.2">
      <c r="A135" s="4">
        <v>134</v>
      </c>
      <c r="B135" t="s">
        <v>205</v>
      </c>
      <c r="C135">
        <v>74.52</v>
      </c>
      <c r="D135">
        <v>15</v>
      </c>
      <c r="E135">
        <v>16</v>
      </c>
      <c r="F135">
        <v>75.930000000000007</v>
      </c>
      <c r="G135">
        <v>1</v>
      </c>
      <c r="H135">
        <v>4</v>
      </c>
      <c r="I135">
        <v>1</v>
      </c>
      <c r="J135">
        <v>8</v>
      </c>
      <c r="K135">
        <v>75.63</v>
      </c>
      <c r="L135">
        <v>73.180000000000007</v>
      </c>
    </row>
    <row r="136" spans="1:12" x14ac:dyDescent="0.2">
      <c r="A136" s="4">
        <v>135</v>
      </c>
      <c r="B136" t="s">
        <v>68</v>
      </c>
      <c r="C136">
        <v>74.5</v>
      </c>
      <c r="D136">
        <v>14</v>
      </c>
      <c r="E136">
        <v>16</v>
      </c>
      <c r="F136">
        <v>75.33</v>
      </c>
      <c r="G136">
        <v>0</v>
      </c>
      <c r="H136">
        <v>5</v>
      </c>
      <c r="I136">
        <v>1</v>
      </c>
      <c r="J136">
        <v>6</v>
      </c>
      <c r="K136">
        <v>74.790000000000006</v>
      </c>
      <c r="L136">
        <v>73.930000000000007</v>
      </c>
    </row>
    <row r="137" spans="1:12" x14ac:dyDescent="0.2">
      <c r="A137" s="4">
        <v>136</v>
      </c>
      <c r="B137" t="s">
        <v>113</v>
      </c>
      <c r="C137">
        <v>74.27</v>
      </c>
      <c r="D137">
        <v>14</v>
      </c>
      <c r="E137">
        <v>17</v>
      </c>
      <c r="F137">
        <v>75</v>
      </c>
      <c r="G137">
        <v>0</v>
      </c>
      <c r="H137">
        <v>2</v>
      </c>
      <c r="I137">
        <v>3</v>
      </c>
      <c r="J137">
        <v>8</v>
      </c>
      <c r="K137">
        <v>73.31</v>
      </c>
      <c r="L137">
        <v>74.97</v>
      </c>
    </row>
    <row r="138" spans="1:12" x14ac:dyDescent="0.2">
      <c r="A138" s="4">
        <v>137</v>
      </c>
      <c r="B138" t="s">
        <v>121</v>
      </c>
      <c r="C138">
        <v>74.150000000000006</v>
      </c>
      <c r="D138">
        <v>21</v>
      </c>
      <c r="E138">
        <v>13</v>
      </c>
      <c r="F138">
        <v>70.11</v>
      </c>
      <c r="G138">
        <v>0</v>
      </c>
      <c r="H138">
        <v>0</v>
      </c>
      <c r="I138">
        <v>1</v>
      </c>
      <c r="J138">
        <v>0</v>
      </c>
      <c r="K138">
        <v>73.33</v>
      </c>
      <c r="L138">
        <v>74.709999999999994</v>
      </c>
    </row>
    <row r="139" spans="1:12" x14ac:dyDescent="0.2">
      <c r="A139" s="4">
        <v>138</v>
      </c>
      <c r="B139" t="s">
        <v>296</v>
      </c>
      <c r="C139">
        <v>74</v>
      </c>
      <c r="D139">
        <v>20</v>
      </c>
      <c r="E139">
        <v>13</v>
      </c>
      <c r="F139">
        <v>70.45</v>
      </c>
      <c r="G139">
        <v>0</v>
      </c>
      <c r="H139">
        <v>1</v>
      </c>
      <c r="I139">
        <v>0</v>
      </c>
      <c r="J139">
        <v>2</v>
      </c>
      <c r="K139">
        <v>74.099999999999994</v>
      </c>
      <c r="L139">
        <v>73.61</v>
      </c>
    </row>
    <row r="140" spans="1:12" x14ac:dyDescent="0.2">
      <c r="A140" s="4">
        <v>139</v>
      </c>
      <c r="B140" t="s">
        <v>89</v>
      </c>
      <c r="C140">
        <v>73.91</v>
      </c>
      <c r="D140">
        <v>25</v>
      </c>
      <c r="E140">
        <v>10</v>
      </c>
      <c r="F140">
        <v>67.45</v>
      </c>
      <c r="G140">
        <v>0</v>
      </c>
      <c r="H140">
        <v>1</v>
      </c>
      <c r="I140">
        <v>0</v>
      </c>
      <c r="J140">
        <v>2</v>
      </c>
      <c r="K140">
        <v>74.47</v>
      </c>
      <c r="L140">
        <v>73.09</v>
      </c>
    </row>
    <row r="141" spans="1:12" x14ac:dyDescent="0.2">
      <c r="A141" s="4">
        <v>140</v>
      </c>
      <c r="B141" t="s">
        <v>71</v>
      </c>
      <c r="C141">
        <v>73.88</v>
      </c>
      <c r="D141">
        <v>14</v>
      </c>
      <c r="E141">
        <v>17</v>
      </c>
      <c r="F141">
        <v>77.08</v>
      </c>
      <c r="G141">
        <v>1</v>
      </c>
      <c r="H141">
        <v>4</v>
      </c>
      <c r="I141">
        <v>2</v>
      </c>
      <c r="J141">
        <v>7</v>
      </c>
      <c r="K141">
        <v>75.36</v>
      </c>
      <c r="L141">
        <v>72.180000000000007</v>
      </c>
    </row>
    <row r="142" spans="1:12" x14ac:dyDescent="0.2">
      <c r="A142" s="4">
        <v>141</v>
      </c>
      <c r="B142" t="s">
        <v>180</v>
      </c>
      <c r="C142">
        <v>73.790000000000006</v>
      </c>
      <c r="D142">
        <v>18</v>
      </c>
      <c r="E142">
        <v>15</v>
      </c>
      <c r="F142">
        <v>71.84</v>
      </c>
      <c r="G142">
        <v>0</v>
      </c>
      <c r="H142">
        <v>0</v>
      </c>
      <c r="I142">
        <v>0</v>
      </c>
      <c r="J142">
        <v>0</v>
      </c>
      <c r="K142">
        <v>73.38</v>
      </c>
      <c r="L142">
        <v>73.92</v>
      </c>
    </row>
    <row r="143" spans="1:12" x14ac:dyDescent="0.2">
      <c r="A143" s="4">
        <v>142</v>
      </c>
      <c r="B143" t="s">
        <v>226</v>
      </c>
      <c r="C143">
        <v>73.709999999999994</v>
      </c>
      <c r="D143">
        <v>19</v>
      </c>
      <c r="E143">
        <v>12</v>
      </c>
      <c r="F143">
        <v>70.89</v>
      </c>
      <c r="G143">
        <v>0</v>
      </c>
      <c r="H143">
        <v>1</v>
      </c>
      <c r="I143">
        <v>0</v>
      </c>
      <c r="J143">
        <v>2</v>
      </c>
      <c r="K143">
        <v>74.489999999999995</v>
      </c>
      <c r="L143">
        <v>72.67</v>
      </c>
    </row>
    <row r="144" spans="1:12" x14ac:dyDescent="0.2">
      <c r="A144" s="4">
        <v>143</v>
      </c>
      <c r="B144" t="s">
        <v>245</v>
      </c>
      <c r="C144">
        <v>73.7</v>
      </c>
      <c r="D144">
        <v>17</v>
      </c>
      <c r="E144">
        <v>15</v>
      </c>
      <c r="F144">
        <v>72.31</v>
      </c>
      <c r="G144">
        <v>0</v>
      </c>
      <c r="H144">
        <v>1</v>
      </c>
      <c r="I144">
        <v>0</v>
      </c>
      <c r="J144">
        <v>1</v>
      </c>
      <c r="K144">
        <v>73.56</v>
      </c>
      <c r="L144">
        <v>73.55</v>
      </c>
    </row>
    <row r="145" spans="1:12" x14ac:dyDescent="0.2">
      <c r="A145" s="4">
        <v>144</v>
      </c>
      <c r="B145" t="s">
        <v>839</v>
      </c>
      <c r="C145">
        <v>73.69</v>
      </c>
      <c r="D145">
        <v>15</v>
      </c>
      <c r="E145">
        <v>16</v>
      </c>
      <c r="F145">
        <v>74.42</v>
      </c>
      <c r="G145">
        <v>0</v>
      </c>
      <c r="H145">
        <v>4</v>
      </c>
      <c r="I145">
        <v>1</v>
      </c>
      <c r="J145">
        <v>6</v>
      </c>
      <c r="K145">
        <v>74.37</v>
      </c>
      <c r="L145">
        <v>72.73</v>
      </c>
    </row>
    <row r="146" spans="1:12" x14ac:dyDescent="0.2">
      <c r="A146" s="4">
        <v>145</v>
      </c>
      <c r="B146" t="s">
        <v>873</v>
      </c>
      <c r="C146">
        <v>73.63</v>
      </c>
      <c r="D146">
        <v>14</v>
      </c>
      <c r="E146">
        <v>18</v>
      </c>
      <c r="F146">
        <v>75.069999999999993</v>
      </c>
      <c r="G146">
        <v>0</v>
      </c>
      <c r="H146">
        <v>4</v>
      </c>
      <c r="I146">
        <v>0</v>
      </c>
      <c r="J146">
        <v>5</v>
      </c>
      <c r="K146">
        <v>73.61</v>
      </c>
      <c r="L146">
        <v>73.36</v>
      </c>
    </row>
    <row r="147" spans="1:12" x14ac:dyDescent="0.2">
      <c r="A147" s="4">
        <v>146</v>
      </c>
      <c r="B147" t="s">
        <v>160</v>
      </c>
      <c r="C147">
        <v>73.61</v>
      </c>
      <c r="D147">
        <v>19</v>
      </c>
      <c r="E147">
        <v>13</v>
      </c>
      <c r="F147">
        <v>70.59</v>
      </c>
      <c r="G147">
        <v>1</v>
      </c>
      <c r="H147">
        <v>0</v>
      </c>
      <c r="I147">
        <v>2</v>
      </c>
      <c r="J147">
        <v>1</v>
      </c>
      <c r="K147">
        <v>73.97</v>
      </c>
      <c r="L147">
        <v>72.97</v>
      </c>
    </row>
    <row r="148" spans="1:12" x14ac:dyDescent="0.2">
      <c r="A148" s="4">
        <v>147</v>
      </c>
      <c r="B148" t="s">
        <v>162</v>
      </c>
      <c r="C148">
        <v>73.56</v>
      </c>
      <c r="D148">
        <v>16</v>
      </c>
      <c r="E148">
        <v>16</v>
      </c>
      <c r="F148">
        <v>73.59</v>
      </c>
      <c r="G148">
        <v>0</v>
      </c>
      <c r="H148">
        <v>2</v>
      </c>
      <c r="I148">
        <v>0</v>
      </c>
      <c r="J148">
        <v>5</v>
      </c>
      <c r="K148">
        <v>73.849999999999994</v>
      </c>
      <c r="L148">
        <v>72.989999999999995</v>
      </c>
    </row>
    <row r="149" spans="1:12" x14ac:dyDescent="0.2">
      <c r="A149" s="4">
        <v>148</v>
      </c>
      <c r="B149" t="s">
        <v>841</v>
      </c>
      <c r="C149">
        <v>73.489999999999995</v>
      </c>
      <c r="D149">
        <v>27</v>
      </c>
      <c r="E149">
        <v>10</v>
      </c>
      <c r="F149">
        <v>66.400000000000006</v>
      </c>
      <c r="G149">
        <v>0</v>
      </c>
      <c r="H149">
        <v>2</v>
      </c>
      <c r="I149">
        <v>0</v>
      </c>
      <c r="J149">
        <v>3</v>
      </c>
      <c r="K149">
        <v>74.349999999999994</v>
      </c>
      <c r="L149">
        <v>72.36</v>
      </c>
    </row>
    <row r="150" spans="1:12" x14ac:dyDescent="0.2">
      <c r="A150" s="4">
        <v>149</v>
      </c>
      <c r="B150" t="s">
        <v>810</v>
      </c>
      <c r="C150">
        <v>73.39</v>
      </c>
      <c r="D150">
        <v>15</v>
      </c>
      <c r="E150">
        <v>16</v>
      </c>
      <c r="F150">
        <v>74.819999999999993</v>
      </c>
      <c r="G150">
        <v>0</v>
      </c>
      <c r="H150">
        <v>2</v>
      </c>
      <c r="I150">
        <v>0</v>
      </c>
      <c r="J150">
        <v>9</v>
      </c>
      <c r="K150">
        <v>74.02</v>
      </c>
      <c r="L150">
        <v>72.489999999999995</v>
      </c>
    </row>
    <row r="151" spans="1:12" x14ac:dyDescent="0.2">
      <c r="A151" s="4">
        <v>150</v>
      </c>
      <c r="B151" t="s">
        <v>142</v>
      </c>
      <c r="C151">
        <v>73.38</v>
      </c>
      <c r="D151">
        <v>18</v>
      </c>
      <c r="E151">
        <v>15</v>
      </c>
      <c r="F151">
        <v>72.08</v>
      </c>
      <c r="G151">
        <v>0</v>
      </c>
      <c r="H151">
        <v>1</v>
      </c>
      <c r="I151">
        <v>0</v>
      </c>
      <c r="J151">
        <v>2</v>
      </c>
      <c r="K151">
        <v>73.040000000000006</v>
      </c>
      <c r="L151">
        <v>73.45</v>
      </c>
    </row>
    <row r="152" spans="1:12" x14ac:dyDescent="0.2">
      <c r="A152" s="4">
        <v>151</v>
      </c>
      <c r="B152" t="s">
        <v>87</v>
      </c>
      <c r="C152">
        <v>73.34</v>
      </c>
      <c r="D152">
        <v>19</v>
      </c>
      <c r="E152">
        <v>12</v>
      </c>
      <c r="F152">
        <v>69.09</v>
      </c>
      <c r="G152">
        <v>0</v>
      </c>
      <c r="H152">
        <v>1</v>
      </c>
      <c r="I152">
        <v>0</v>
      </c>
      <c r="J152">
        <v>2</v>
      </c>
      <c r="K152">
        <v>72.38</v>
      </c>
      <c r="L152">
        <v>74.040000000000006</v>
      </c>
    </row>
    <row r="153" spans="1:12" x14ac:dyDescent="0.2">
      <c r="A153" s="4">
        <v>152</v>
      </c>
      <c r="B153" t="s">
        <v>840</v>
      </c>
      <c r="C153">
        <v>73.27</v>
      </c>
      <c r="D153">
        <v>14</v>
      </c>
      <c r="E153">
        <v>17</v>
      </c>
      <c r="F153">
        <v>74.84</v>
      </c>
      <c r="G153">
        <v>0</v>
      </c>
      <c r="H153">
        <v>6</v>
      </c>
      <c r="I153">
        <v>0</v>
      </c>
      <c r="J153">
        <v>6</v>
      </c>
      <c r="K153">
        <v>73.33</v>
      </c>
      <c r="L153">
        <v>72.94</v>
      </c>
    </row>
    <row r="154" spans="1:12" x14ac:dyDescent="0.2">
      <c r="A154" s="4">
        <v>153</v>
      </c>
      <c r="B154" t="s">
        <v>812</v>
      </c>
      <c r="C154">
        <v>73.260000000000005</v>
      </c>
      <c r="D154">
        <v>14</v>
      </c>
      <c r="E154">
        <v>18</v>
      </c>
      <c r="F154">
        <v>75.8</v>
      </c>
      <c r="G154">
        <v>1</v>
      </c>
      <c r="H154">
        <v>1</v>
      </c>
      <c r="I154">
        <v>1</v>
      </c>
      <c r="J154">
        <v>4</v>
      </c>
      <c r="K154">
        <v>72.88</v>
      </c>
      <c r="L154">
        <v>73.37</v>
      </c>
    </row>
    <row r="155" spans="1:12" x14ac:dyDescent="0.2">
      <c r="A155" s="4">
        <v>154</v>
      </c>
      <c r="B155" t="s">
        <v>116</v>
      </c>
      <c r="C155">
        <v>73.25</v>
      </c>
      <c r="D155">
        <v>17</v>
      </c>
      <c r="E155">
        <v>12</v>
      </c>
      <c r="F155">
        <v>71.760000000000005</v>
      </c>
      <c r="G155">
        <v>0</v>
      </c>
      <c r="H155">
        <v>1</v>
      </c>
      <c r="I155">
        <v>0</v>
      </c>
      <c r="J155">
        <v>1</v>
      </c>
      <c r="K155">
        <v>74.58</v>
      </c>
      <c r="L155">
        <v>71.67</v>
      </c>
    </row>
    <row r="156" spans="1:12" x14ac:dyDescent="0.2">
      <c r="A156" s="4">
        <v>155</v>
      </c>
      <c r="B156" t="s">
        <v>159</v>
      </c>
      <c r="C156">
        <v>73.209999999999994</v>
      </c>
      <c r="D156">
        <v>24</v>
      </c>
      <c r="E156">
        <v>7</v>
      </c>
      <c r="F156">
        <v>63.87</v>
      </c>
      <c r="G156">
        <v>0</v>
      </c>
      <c r="H156">
        <v>1</v>
      </c>
      <c r="I156">
        <v>0</v>
      </c>
      <c r="J156">
        <v>1</v>
      </c>
      <c r="K156">
        <v>73.45</v>
      </c>
      <c r="L156">
        <v>72.69</v>
      </c>
    </row>
    <row r="157" spans="1:12" x14ac:dyDescent="0.2">
      <c r="A157" s="4">
        <v>156</v>
      </c>
      <c r="B157" t="s">
        <v>553</v>
      </c>
      <c r="C157">
        <v>73.040000000000006</v>
      </c>
      <c r="D157">
        <v>19</v>
      </c>
      <c r="E157">
        <v>15</v>
      </c>
      <c r="F157">
        <v>71.16</v>
      </c>
      <c r="G157">
        <v>0</v>
      </c>
      <c r="H157">
        <v>2</v>
      </c>
      <c r="I157">
        <v>0</v>
      </c>
      <c r="J157">
        <v>2</v>
      </c>
      <c r="K157">
        <v>72.8</v>
      </c>
      <c r="L157">
        <v>73</v>
      </c>
    </row>
    <row r="158" spans="1:12" x14ac:dyDescent="0.2">
      <c r="A158" s="4">
        <v>157</v>
      </c>
      <c r="B158" t="s">
        <v>83</v>
      </c>
      <c r="C158">
        <v>72.86</v>
      </c>
      <c r="D158">
        <v>22</v>
      </c>
      <c r="E158">
        <v>9</v>
      </c>
      <c r="F158">
        <v>67.930000000000007</v>
      </c>
      <c r="G158">
        <v>0</v>
      </c>
      <c r="H158">
        <v>2</v>
      </c>
      <c r="I158">
        <v>0</v>
      </c>
      <c r="J158">
        <v>3</v>
      </c>
      <c r="K158">
        <v>74.2</v>
      </c>
      <c r="L158">
        <v>71.260000000000005</v>
      </c>
    </row>
    <row r="159" spans="1:12" x14ac:dyDescent="0.2">
      <c r="A159" s="4">
        <v>158</v>
      </c>
      <c r="B159" t="s">
        <v>118</v>
      </c>
      <c r="C159">
        <v>72.680000000000007</v>
      </c>
      <c r="D159">
        <v>17</v>
      </c>
      <c r="E159">
        <v>15</v>
      </c>
      <c r="F159">
        <v>72.900000000000006</v>
      </c>
      <c r="G159">
        <v>0</v>
      </c>
      <c r="H159">
        <v>2</v>
      </c>
      <c r="I159">
        <v>1</v>
      </c>
      <c r="J159">
        <v>4</v>
      </c>
      <c r="K159">
        <v>73.38</v>
      </c>
      <c r="L159">
        <v>71.7</v>
      </c>
    </row>
    <row r="160" spans="1:12" x14ac:dyDescent="0.2">
      <c r="A160" s="4">
        <v>159</v>
      </c>
      <c r="B160" t="s">
        <v>257</v>
      </c>
      <c r="C160">
        <v>72.650000000000006</v>
      </c>
      <c r="D160">
        <v>13</v>
      </c>
      <c r="E160">
        <v>16</v>
      </c>
      <c r="F160">
        <v>73.53</v>
      </c>
      <c r="G160">
        <v>0</v>
      </c>
      <c r="H160">
        <v>0</v>
      </c>
      <c r="I160">
        <v>0</v>
      </c>
      <c r="J160">
        <v>2</v>
      </c>
      <c r="K160">
        <v>72.31</v>
      </c>
      <c r="L160">
        <v>72.709999999999994</v>
      </c>
    </row>
    <row r="161" spans="1:12" x14ac:dyDescent="0.2">
      <c r="A161" s="4">
        <v>160</v>
      </c>
      <c r="B161" t="s">
        <v>178</v>
      </c>
      <c r="C161">
        <v>72.48</v>
      </c>
      <c r="D161">
        <v>12</v>
      </c>
      <c r="E161">
        <v>18</v>
      </c>
      <c r="F161">
        <v>75.48</v>
      </c>
      <c r="G161">
        <v>0</v>
      </c>
      <c r="H161">
        <v>6</v>
      </c>
      <c r="I161">
        <v>0</v>
      </c>
      <c r="J161">
        <v>10</v>
      </c>
      <c r="K161">
        <v>72.41</v>
      </c>
      <c r="L161">
        <v>72.27</v>
      </c>
    </row>
    <row r="162" spans="1:12" x14ac:dyDescent="0.2">
      <c r="A162" s="4">
        <v>161</v>
      </c>
      <c r="B162" t="s">
        <v>165</v>
      </c>
      <c r="C162">
        <v>72.42</v>
      </c>
      <c r="D162">
        <v>11</v>
      </c>
      <c r="E162">
        <v>20</v>
      </c>
      <c r="F162">
        <v>77.59</v>
      </c>
      <c r="G162">
        <v>0</v>
      </c>
      <c r="H162">
        <v>5</v>
      </c>
      <c r="I162">
        <v>1</v>
      </c>
      <c r="J162">
        <v>9</v>
      </c>
      <c r="K162">
        <v>73.260000000000005</v>
      </c>
      <c r="L162">
        <v>71.31</v>
      </c>
    </row>
    <row r="163" spans="1:12" x14ac:dyDescent="0.2">
      <c r="A163" s="4">
        <v>162</v>
      </c>
      <c r="B163" t="s">
        <v>804</v>
      </c>
      <c r="C163">
        <v>72.099999999999994</v>
      </c>
      <c r="D163">
        <v>14</v>
      </c>
      <c r="E163">
        <v>18</v>
      </c>
      <c r="F163">
        <v>73.37</v>
      </c>
      <c r="G163">
        <v>0</v>
      </c>
      <c r="H163">
        <v>1</v>
      </c>
      <c r="I163">
        <v>0</v>
      </c>
      <c r="J163">
        <v>4</v>
      </c>
      <c r="K163">
        <v>72.099999999999994</v>
      </c>
      <c r="L163">
        <v>71.819999999999993</v>
      </c>
    </row>
    <row r="164" spans="1:12" x14ac:dyDescent="0.2">
      <c r="A164" s="4">
        <v>163</v>
      </c>
      <c r="B164" t="s">
        <v>91</v>
      </c>
      <c r="C164">
        <v>72.03</v>
      </c>
      <c r="D164">
        <v>14</v>
      </c>
      <c r="E164">
        <v>19</v>
      </c>
      <c r="F164">
        <v>74.53</v>
      </c>
      <c r="G164">
        <v>0</v>
      </c>
      <c r="H164">
        <v>3</v>
      </c>
      <c r="I164">
        <v>0</v>
      </c>
      <c r="J164">
        <v>4</v>
      </c>
      <c r="K164">
        <v>72.66</v>
      </c>
      <c r="L164">
        <v>71.12</v>
      </c>
    </row>
    <row r="165" spans="1:12" x14ac:dyDescent="0.2">
      <c r="A165" s="4">
        <v>164</v>
      </c>
      <c r="B165" t="s">
        <v>294</v>
      </c>
      <c r="C165">
        <v>72.010000000000005</v>
      </c>
      <c r="D165">
        <v>17</v>
      </c>
      <c r="E165">
        <v>13</v>
      </c>
      <c r="F165">
        <v>71.33</v>
      </c>
      <c r="G165">
        <v>0</v>
      </c>
      <c r="H165">
        <v>0</v>
      </c>
      <c r="I165">
        <v>0</v>
      </c>
      <c r="J165">
        <v>1</v>
      </c>
      <c r="K165">
        <v>72.95</v>
      </c>
      <c r="L165">
        <v>70.78</v>
      </c>
    </row>
    <row r="166" spans="1:12" x14ac:dyDescent="0.2">
      <c r="A166" s="4">
        <v>165</v>
      </c>
      <c r="B166" t="s">
        <v>783</v>
      </c>
      <c r="C166">
        <v>71.87</v>
      </c>
      <c r="D166">
        <v>11</v>
      </c>
      <c r="E166">
        <v>20</v>
      </c>
      <c r="F166">
        <v>77.349999999999994</v>
      </c>
      <c r="G166">
        <v>1</v>
      </c>
      <c r="H166">
        <v>5</v>
      </c>
      <c r="I166">
        <v>1</v>
      </c>
      <c r="J166">
        <v>10</v>
      </c>
      <c r="K166">
        <v>72.81</v>
      </c>
      <c r="L166">
        <v>70.650000000000006</v>
      </c>
    </row>
    <row r="167" spans="1:12" x14ac:dyDescent="0.2">
      <c r="A167" s="4">
        <v>166</v>
      </c>
      <c r="B167" t="s">
        <v>172</v>
      </c>
      <c r="C167">
        <v>71.81</v>
      </c>
      <c r="D167">
        <v>17</v>
      </c>
      <c r="E167">
        <v>16</v>
      </c>
      <c r="F167">
        <v>72.209999999999994</v>
      </c>
      <c r="G167">
        <v>0</v>
      </c>
      <c r="H167">
        <v>0</v>
      </c>
      <c r="I167">
        <v>2</v>
      </c>
      <c r="J167">
        <v>4</v>
      </c>
      <c r="K167">
        <v>72.64</v>
      </c>
      <c r="L167">
        <v>70.7</v>
      </c>
    </row>
    <row r="168" spans="1:12" x14ac:dyDescent="0.2">
      <c r="A168" s="4">
        <v>167</v>
      </c>
      <c r="B168" t="s">
        <v>284</v>
      </c>
      <c r="C168">
        <v>71.75</v>
      </c>
      <c r="D168">
        <v>12</v>
      </c>
      <c r="E168">
        <v>17</v>
      </c>
      <c r="F168">
        <v>74.599999999999994</v>
      </c>
      <c r="G168">
        <v>0</v>
      </c>
      <c r="H168">
        <v>4</v>
      </c>
      <c r="I168">
        <v>0</v>
      </c>
      <c r="J168">
        <v>5</v>
      </c>
      <c r="K168">
        <v>72.150000000000006</v>
      </c>
      <c r="L168">
        <v>71.06</v>
      </c>
    </row>
    <row r="169" spans="1:12" x14ac:dyDescent="0.2">
      <c r="A169" s="4">
        <v>168</v>
      </c>
      <c r="B169" t="s">
        <v>32</v>
      </c>
      <c r="C169">
        <v>71.680000000000007</v>
      </c>
      <c r="D169">
        <v>10</v>
      </c>
      <c r="E169">
        <v>22</v>
      </c>
      <c r="F169">
        <v>78.349999999999994</v>
      </c>
      <c r="G169">
        <v>0</v>
      </c>
      <c r="H169">
        <v>9</v>
      </c>
      <c r="I169">
        <v>0</v>
      </c>
      <c r="J169">
        <v>12</v>
      </c>
      <c r="K169">
        <v>71.05</v>
      </c>
      <c r="L169">
        <v>72.02</v>
      </c>
    </row>
    <row r="170" spans="1:12" x14ac:dyDescent="0.2">
      <c r="A170" s="4">
        <v>169</v>
      </c>
      <c r="B170" t="s">
        <v>139</v>
      </c>
      <c r="C170">
        <v>71.650000000000006</v>
      </c>
      <c r="D170">
        <v>20</v>
      </c>
      <c r="E170">
        <v>9</v>
      </c>
      <c r="F170">
        <v>66.16</v>
      </c>
      <c r="G170">
        <v>0</v>
      </c>
      <c r="H170">
        <v>0</v>
      </c>
      <c r="I170">
        <v>0</v>
      </c>
      <c r="J170">
        <v>1</v>
      </c>
      <c r="K170">
        <v>71.48</v>
      </c>
      <c r="L170">
        <v>71.53</v>
      </c>
    </row>
    <row r="171" spans="1:12" x14ac:dyDescent="0.2">
      <c r="A171" s="4">
        <v>170</v>
      </c>
      <c r="B171" t="s">
        <v>61</v>
      </c>
      <c r="C171">
        <v>71.64</v>
      </c>
      <c r="D171">
        <v>12</v>
      </c>
      <c r="E171">
        <v>17</v>
      </c>
      <c r="F171">
        <v>72.89</v>
      </c>
      <c r="G171">
        <v>0</v>
      </c>
      <c r="H171">
        <v>1</v>
      </c>
      <c r="I171">
        <v>0</v>
      </c>
      <c r="J171">
        <v>4</v>
      </c>
      <c r="K171">
        <v>69.430000000000007</v>
      </c>
      <c r="L171">
        <v>73.58</v>
      </c>
    </row>
    <row r="172" spans="1:12" x14ac:dyDescent="0.2">
      <c r="A172" s="4">
        <v>171</v>
      </c>
      <c r="B172" t="s">
        <v>64</v>
      </c>
      <c r="C172">
        <v>71.63</v>
      </c>
      <c r="D172">
        <v>14</v>
      </c>
      <c r="E172">
        <v>15</v>
      </c>
      <c r="F172">
        <v>72.36</v>
      </c>
      <c r="G172">
        <v>0</v>
      </c>
      <c r="H172">
        <v>1</v>
      </c>
      <c r="I172">
        <v>0</v>
      </c>
      <c r="J172">
        <v>4</v>
      </c>
      <c r="K172">
        <v>72.12</v>
      </c>
      <c r="L172">
        <v>70.86</v>
      </c>
    </row>
    <row r="173" spans="1:12" x14ac:dyDescent="0.2">
      <c r="A173" s="4">
        <v>172</v>
      </c>
      <c r="B173" t="s">
        <v>189</v>
      </c>
      <c r="C173">
        <v>71.61</v>
      </c>
      <c r="D173">
        <v>17</v>
      </c>
      <c r="E173">
        <v>11</v>
      </c>
      <c r="F173">
        <v>68.28</v>
      </c>
      <c r="G173">
        <v>0</v>
      </c>
      <c r="H173">
        <v>0</v>
      </c>
      <c r="I173">
        <v>0</v>
      </c>
      <c r="J173">
        <v>1</v>
      </c>
      <c r="K173">
        <v>71.22</v>
      </c>
      <c r="L173">
        <v>71.72</v>
      </c>
    </row>
    <row r="174" spans="1:12" x14ac:dyDescent="0.2">
      <c r="A174" s="4">
        <v>173</v>
      </c>
      <c r="B174" t="s">
        <v>46</v>
      </c>
      <c r="C174">
        <v>71.599999999999994</v>
      </c>
      <c r="D174">
        <v>10</v>
      </c>
      <c r="E174">
        <v>21</v>
      </c>
      <c r="F174">
        <v>78.44</v>
      </c>
      <c r="G174">
        <v>0</v>
      </c>
      <c r="H174">
        <v>9</v>
      </c>
      <c r="I174">
        <v>2</v>
      </c>
      <c r="J174">
        <v>11</v>
      </c>
      <c r="K174">
        <v>71.19</v>
      </c>
      <c r="L174">
        <v>71.73</v>
      </c>
    </row>
    <row r="175" spans="1:12" x14ac:dyDescent="0.2">
      <c r="A175" s="4">
        <v>174</v>
      </c>
      <c r="B175" t="s">
        <v>874</v>
      </c>
      <c r="C175">
        <v>71.56</v>
      </c>
      <c r="D175">
        <v>14</v>
      </c>
      <c r="E175">
        <v>17</v>
      </c>
      <c r="F175">
        <v>73.61</v>
      </c>
      <c r="G175">
        <v>0</v>
      </c>
      <c r="H175">
        <v>0</v>
      </c>
      <c r="I175">
        <v>0</v>
      </c>
      <c r="J175">
        <v>4</v>
      </c>
      <c r="K175">
        <v>71.31</v>
      </c>
      <c r="L175">
        <v>71.540000000000006</v>
      </c>
    </row>
    <row r="176" spans="1:12" x14ac:dyDescent="0.2">
      <c r="A176" s="4">
        <v>175</v>
      </c>
      <c r="B176" t="s">
        <v>828</v>
      </c>
      <c r="C176">
        <v>71.540000000000006</v>
      </c>
      <c r="D176">
        <v>13</v>
      </c>
      <c r="E176">
        <v>17</v>
      </c>
      <c r="F176">
        <v>73.61</v>
      </c>
      <c r="G176">
        <v>0</v>
      </c>
      <c r="H176">
        <v>0</v>
      </c>
      <c r="I176">
        <v>0</v>
      </c>
      <c r="J176">
        <v>4</v>
      </c>
      <c r="K176">
        <v>72.16</v>
      </c>
      <c r="L176">
        <v>70.64</v>
      </c>
    </row>
    <row r="177" spans="1:12" x14ac:dyDescent="0.2">
      <c r="A177" s="4">
        <v>176</v>
      </c>
      <c r="B177" t="s">
        <v>797</v>
      </c>
      <c r="C177">
        <v>71.39</v>
      </c>
      <c r="D177">
        <v>14</v>
      </c>
      <c r="E177">
        <v>17</v>
      </c>
      <c r="F177">
        <v>71.72</v>
      </c>
      <c r="G177">
        <v>0</v>
      </c>
      <c r="H177">
        <v>0</v>
      </c>
      <c r="I177">
        <v>0</v>
      </c>
      <c r="J177">
        <v>3</v>
      </c>
      <c r="K177">
        <v>70.59</v>
      </c>
      <c r="L177">
        <v>71.900000000000006</v>
      </c>
    </row>
    <row r="178" spans="1:12" x14ac:dyDescent="0.2">
      <c r="A178" s="4">
        <v>177</v>
      </c>
      <c r="B178" t="s">
        <v>195</v>
      </c>
      <c r="C178">
        <v>71.290000000000006</v>
      </c>
      <c r="D178">
        <v>17</v>
      </c>
      <c r="E178">
        <v>16</v>
      </c>
      <c r="F178">
        <v>72.09</v>
      </c>
      <c r="G178">
        <v>0</v>
      </c>
      <c r="H178">
        <v>1</v>
      </c>
      <c r="I178">
        <v>0</v>
      </c>
      <c r="J178">
        <v>1</v>
      </c>
      <c r="K178">
        <v>72.52</v>
      </c>
      <c r="L178">
        <v>69.77</v>
      </c>
    </row>
    <row r="179" spans="1:12" x14ac:dyDescent="0.2">
      <c r="A179" s="4">
        <v>178</v>
      </c>
      <c r="B179" t="s">
        <v>127</v>
      </c>
      <c r="C179">
        <v>71.239999999999995</v>
      </c>
      <c r="D179">
        <v>16</v>
      </c>
      <c r="E179">
        <v>14</v>
      </c>
      <c r="F179">
        <v>69.77</v>
      </c>
      <c r="G179">
        <v>0</v>
      </c>
      <c r="H179">
        <v>0</v>
      </c>
      <c r="I179">
        <v>0</v>
      </c>
      <c r="J179">
        <v>0</v>
      </c>
      <c r="K179">
        <v>71.12</v>
      </c>
      <c r="L179">
        <v>71.069999999999993</v>
      </c>
    </row>
    <row r="180" spans="1:12" x14ac:dyDescent="0.2">
      <c r="A180" s="4">
        <v>179</v>
      </c>
      <c r="B180" t="s">
        <v>128</v>
      </c>
      <c r="C180">
        <v>71.23</v>
      </c>
      <c r="D180">
        <v>17</v>
      </c>
      <c r="E180">
        <v>14</v>
      </c>
      <c r="F180">
        <v>68.86</v>
      </c>
      <c r="G180">
        <v>0</v>
      </c>
      <c r="H180">
        <v>1</v>
      </c>
      <c r="I180">
        <v>0</v>
      </c>
      <c r="J180">
        <v>2</v>
      </c>
      <c r="K180">
        <v>70.180000000000007</v>
      </c>
      <c r="L180">
        <v>71.989999999999995</v>
      </c>
    </row>
    <row r="181" spans="1:12" x14ac:dyDescent="0.2">
      <c r="A181" s="4">
        <v>180</v>
      </c>
      <c r="B181" t="s">
        <v>907</v>
      </c>
      <c r="C181">
        <v>71.11</v>
      </c>
      <c r="D181">
        <v>21</v>
      </c>
      <c r="E181">
        <v>10</v>
      </c>
      <c r="F181">
        <v>66.239999999999995</v>
      </c>
      <c r="G181">
        <v>0</v>
      </c>
      <c r="H181">
        <v>0</v>
      </c>
      <c r="I181">
        <v>0</v>
      </c>
      <c r="J181">
        <v>1</v>
      </c>
      <c r="K181">
        <v>71.39</v>
      </c>
      <c r="L181">
        <v>70.540000000000006</v>
      </c>
    </row>
    <row r="182" spans="1:12" x14ac:dyDescent="0.2">
      <c r="A182" s="4">
        <v>181</v>
      </c>
      <c r="B182" t="s">
        <v>273</v>
      </c>
      <c r="C182">
        <v>71.06</v>
      </c>
      <c r="D182">
        <v>11</v>
      </c>
      <c r="E182">
        <v>20</v>
      </c>
      <c r="F182">
        <v>76.37</v>
      </c>
      <c r="G182">
        <v>0</v>
      </c>
      <c r="H182">
        <v>4</v>
      </c>
      <c r="I182">
        <v>0</v>
      </c>
      <c r="J182">
        <v>7</v>
      </c>
      <c r="K182">
        <v>70.48</v>
      </c>
      <c r="L182">
        <v>71.36</v>
      </c>
    </row>
    <row r="183" spans="1:12" x14ac:dyDescent="0.2">
      <c r="A183" s="4">
        <v>182</v>
      </c>
      <c r="B183" t="s">
        <v>251</v>
      </c>
      <c r="C183">
        <v>70.97</v>
      </c>
      <c r="D183">
        <v>23</v>
      </c>
      <c r="E183">
        <v>12</v>
      </c>
      <c r="F183">
        <v>66.45</v>
      </c>
      <c r="G183">
        <v>0</v>
      </c>
      <c r="H183">
        <v>2</v>
      </c>
      <c r="I183">
        <v>0</v>
      </c>
      <c r="J183">
        <v>3</v>
      </c>
      <c r="K183">
        <v>71.39</v>
      </c>
      <c r="L183">
        <v>70.27</v>
      </c>
    </row>
    <row r="184" spans="1:12" x14ac:dyDescent="0.2">
      <c r="A184" s="4">
        <v>183</v>
      </c>
      <c r="B184" t="s">
        <v>199</v>
      </c>
      <c r="C184">
        <v>70.959999999999994</v>
      </c>
      <c r="D184">
        <v>18</v>
      </c>
      <c r="E184">
        <v>13</v>
      </c>
      <c r="F184">
        <v>68.099999999999994</v>
      </c>
      <c r="G184">
        <v>0</v>
      </c>
      <c r="H184">
        <v>1</v>
      </c>
      <c r="I184">
        <v>0</v>
      </c>
      <c r="J184">
        <v>2</v>
      </c>
      <c r="K184">
        <v>70.53</v>
      </c>
      <c r="L184">
        <v>71.12</v>
      </c>
    </row>
    <row r="185" spans="1:12" x14ac:dyDescent="0.2">
      <c r="A185" s="4">
        <v>184</v>
      </c>
      <c r="B185" t="s">
        <v>152</v>
      </c>
      <c r="C185">
        <v>70.930000000000007</v>
      </c>
      <c r="D185">
        <v>17</v>
      </c>
      <c r="E185">
        <v>14</v>
      </c>
      <c r="F185">
        <v>69.930000000000007</v>
      </c>
      <c r="G185">
        <v>0</v>
      </c>
      <c r="H185">
        <v>0</v>
      </c>
      <c r="I185">
        <v>0</v>
      </c>
      <c r="J185">
        <v>2</v>
      </c>
      <c r="K185">
        <v>71.75</v>
      </c>
      <c r="L185">
        <v>69.819999999999993</v>
      </c>
    </row>
    <row r="186" spans="1:12" x14ac:dyDescent="0.2">
      <c r="A186" s="4">
        <v>185</v>
      </c>
      <c r="B186" t="s">
        <v>49</v>
      </c>
      <c r="C186">
        <v>70.87</v>
      </c>
      <c r="D186">
        <v>11</v>
      </c>
      <c r="E186">
        <v>19</v>
      </c>
      <c r="F186">
        <v>75.42</v>
      </c>
      <c r="G186">
        <v>0</v>
      </c>
      <c r="H186">
        <v>3</v>
      </c>
      <c r="I186">
        <v>0</v>
      </c>
      <c r="J186">
        <v>9</v>
      </c>
      <c r="K186">
        <v>70.45</v>
      </c>
      <c r="L186">
        <v>71.02</v>
      </c>
    </row>
    <row r="187" spans="1:12" x14ac:dyDescent="0.2">
      <c r="A187" s="4">
        <v>186</v>
      </c>
      <c r="B187" t="s">
        <v>97</v>
      </c>
      <c r="C187">
        <v>70.790000000000006</v>
      </c>
      <c r="D187">
        <v>8</v>
      </c>
      <c r="E187">
        <v>23</v>
      </c>
      <c r="F187">
        <v>78.7</v>
      </c>
      <c r="G187">
        <v>1</v>
      </c>
      <c r="H187">
        <v>5</v>
      </c>
      <c r="I187">
        <v>2</v>
      </c>
      <c r="J187">
        <v>9</v>
      </c>
      <c r="K187">
        <v>69.38</v>
      </c>
      <c r="L187">
        <v>71.89</v>
      </c>
    </row>
    <row r="188" spans="1:12" x14ac:dyDescent="0.2">
      <c r="A188" s="4">
        <v>187</v>
      </c>
      <c r="B188" t="s">
        <v>241</v>
      </c>
      <c r="C188">
        <v>70.66</v>
      </c>
      <c r="D188">
        <v>19</v>
      </c>
      <c r="E188">
        <v>13</v>
      </c>
      <c r="F188">
        <v>68.25</v>
      </c>
      <c r="G188">
        <v>0</v>
      </c>
      <c r="H188">
        <v>1</v>
      </c>
      <c r="I188">
        <v>0</v>
      </c>
      <c r="J188">
        <v>1</v>
      </c>
      <c r="K188">
        <v>70.92</v>
      </c>
      <c r="L188">
        <v>70.11</v>
      </c>
    </row>
    <row r="189" spans="1:12" x14ac:dyDescent="0.2">
      <c r="A189" s="4">
        <v>188</v>
      </c>
      <c r="B189" t="s">
        <v>243</v>
      </c>
      <c r="C189">
        <v>70.569999999999993</v>
      </c>
      <c r="D189">
        <v>14</v>
      </c>
      <c r="E189">
        <v>15</v>
      </c>
      <c r="F189">
        <v>70.88</v>
      </c>
      <c r="G189">
        <v>0</v>
      </c>
      <c r="H189">
        <v>1</v>
      </c>
      <c r="I189">
        <v>0</v>
      </c>
      <c r="J189">
        <v>1</v>
      </c>
      <c r="K189">
        <v>70.67</v>
      </c>
      <c r="L189">
        <v>70.2</v>
      </c>
    </row>
    <row r="190" spans="1:12" x14ac:dyDescent="0.2">
      <c r="A190" s="4">
        <v>189</v>
      </c>
      <c r="B190" t="s">
        <v>228</v>
      </c>
      <c r="C190">
        <v>70.44</v>
      </c>
      <c r="D190">
        <v>15</v>
      </c>
      <c r="E190">
        <v>15</v>
      </c>
      <c r="F190">
        <v>71.290000000000006</v>
      </c>
      <c r="G190">
        <v>0</v>
      </c>
      <c r="H190">
        <v>3</v>
      </c>
      <c r="I190">
        <v>0</v>
      </c>
      <c r="J190">
        <v>3</v>
      </c>
      <c r="K190">
        <v>71.17</v>
      </c>
      <c r="L190">
        <v>69.430000000000007</v>
      </c>
    </row>
    <row r="191" spans="1:12" ht="11.5" customHeight="1" x14ac:dyDescent="0.2">
      <c r="A191" s="4">
        <v>190</v>
      </c>
      <c r="B191" t="s">
        <v>238</v>
      </c>
      <c r="C191">
        <v>70.400000000000006</v>
      </c>
      <c r="D191">
        <v>15</v>
      </c>
      <c r="E191">
        <v>15</v>
      </c>
      <c r="F191">
        <v>70.180000000000007</v>
      </c>
      <c r="G191">
        <v>0</v>
      </c>
      <c r="H191">
        <v>1</v>
      </c>
      <c r="I191">
        <v>0</v>
      </c>
      <c r="J191">
        <v>1</v>
      </c>
      <c r="K191">
        <v>70.45</v>
      </c>
      <c r="L191">
        <v>70.069999999999993</v>
      </c>
    </row>
    <row r="192" spans="1:12" x14ac:dyDescent="0.2">
      <c r="A192" s="4">
        <v>191</v>
      </c>
      <c r="B192" t="s">
        <v>209</v>
      </c>
      <c r="C192">
        <v>70.36</v>
      </c>
      <c r="D192">
        <v>16</v>
      </c>
      <c r="E192">
        <v>13</v>
      </c>
      <c r="F192">
        <v>68</v>
      </c>
      <c r="G192">
        <v>0</v>
      </c>
      <c r="H192">
        <v>1</v>
      </c>
      <c r="I192">
        <v>0</v>
      </c>
      <c r="J192">
        <v>2</v>
      </c>
      <c r="K192">
        <v>69.47</v>
      </c>
      <c r="L192">
        <v>70.94</v>
      </c>
    </row>
    <row r="193" spans="1:12" x14ac:dyDescent="0.2">
      <c r="A193" s="4">
        <v>192</v>
      </c>
      <c r="B193" t="s">
        <v>207</v>
      </c>
      <c r="C193">
        <v>70.319999999999993</v>
      </c>
      <c r="D193">
        <v>13</v>
      </c>
      <c r="E193">
        <v>16</v>
      </c>
      <c r="F193">
        <v>73.03</v>
      </c>
      <c r="G193">
        <v>0</v>
      </c>
      <c r="H193">
        <v>2</v>
      </c>
      <c r="I193">
        <v>0</v>
      </c>
      <c r="J193">
        <v>2</v>
      </c>
      <c r="K193">
        <v>71.8</v>
      </c>
      <c r="L193">
        <v>68.52</v>
      </c>
    </row>
    <row r="194" spans="1:12" x14ac:dyDescent="0.2">
      <c r="A194" s="4">
        <v>193</v>
      </c>
      <c r="B194" t="s">
        <v>203</v>
      </c>
      <c r="C194">
        <v>70.150000000000006</v>
      </c>
      <c r="D194">
        <v>23</v>
      </c>
      <c r="E194">
        <v>10</v>
      </c>
      <c r="F194">
        <v>63.38</v>
      </c>
      <c r="G194">
        <v>0</v>
      </c>
      <c r="H194">
        <v>0</v>
      </c>
      <c r="I194">
        <v>0</v>
      </c>
      <c r="J194">
        <v>2</v>
      </c>
      <c r="K194">
        <v>69.63</v>
      </c>
      <c r="L194">
        <v>70.37</v>
      </c>
    </row>
    <row r="195" spans="1:12" x14ac:dyDescent="0.2">
      <c r="A195" s="4">
        <v>194</v>
      </c>
      <c r="B195" t="s">
        <v>198</v>
      </c>
      <c r="C195">
        <v>70.12</v>
      </c>
      <c r="D195">
        <v>14</v>
      </c>
      <c r="E195">
        <v>16</v>
      </c>
      <c r="F195">
        <v>70.790000000000006</v>
      </c>
      <c r="G195">
        <v>0</v>
      </c>
      <c r="H195">
        <v>3</v>
      </c>
      <c r="I195">
        <v>0</v>
      </c>
      <c r="J195">
        <v>3</v>
      </c>
      <c r="K195">
        <v>69.86</v>
      </c>
      <c r="L195">
        <v>70.099999999999994</v>
      </c>
    </row>
    <row r="196" spans="1:12" x14ac:dyDescent="0.2">
      <c r="A196" s="4">
        <v>195</v>
      </c>
      <c r="B196" t="s">
        <v>823</v>
      </c>
      <c r="C196">
        <v>70.12</v>
      </c>
      <c r="D196">
        <v>13</v>
      </c>
      <c r="E196">
        <v>14</v>
      </c>
      <c r="F196">
        <v>70.900000000000006</v>
      </c>
      <c r="G196">
        <v>0</v>
      </c>
      <c r="H196">
        <v>0</v>
      </c>
      <c r="I196">
        <v>0</v>
      </c>
      <c r="J196">
        <v>0</v>
      </c>
      <c r="K196">
        <v>70.62</v>
      </c>
      <c r="L196">
        <v>69.319999999999993</v>
      </c>
    </row>
    <row r="197" spans="1:12" x14ac:dyDescent="0.2">
      <c r="A197" s="4">
        <v>196</v>
      </c>
      <c r="B197" t="s">
        <v>887</v>
      </c>
      <c r="C197">
        <v>70.040000000000006</v>
      </c>
      <c r="D197">
        <v>14</v>
      </c>
      <c r="E197">
        <v>15</v>
      </c>
      <c r="F197">
        <v>69.72</v>
      </c>
      <c r="G197">
        <v>0</v>
      </c>
      <c r="H197">
        <v>1</v>
      </c>
      <c r="I197">
        <v>0</v>
      </c>
      <c r="J197">
        <v>3</v>
      </c>
      <c r="K197">
        <v>68.41</v>
      </c>
      <c r="L197">
        <v>71.34</v>
      </c>
    </row>
    <row r="198" spans="1:12" x14ac:dyDescent="0.2">
      <c r="A198" s="4">
        <v>197</v>
      </c>
      <c r="B198" t="s">
        <v>237</v>
      </c>
      <c r="C198">
        <v>69.97</v>
      </c>
      <c r="D198">
        <v>22</v>
      </c>
      <c r="E198">
        <v>11</v>
      </c>
      <c r="F198">
        <v>64.61</v>
      </c>
      <c r="G198">
        <v>0</v>
      </c>
      <c r="H198">
        <v>2</v>
      </c>
      <c r="I198">
        <v>0</v>
      </c>
      <c r="J198">
        <v>3</v>
      </c>
      <c r="K198">
        <v>69.239999999999995</v>
      </c>
      <c r="L198">
        <v>70.42</v>
      </c>
    </row>
    <row r="199" spans="1:12" x14ac:dyDescent="0.2">
      <c r="A199" s="4">
        <v>198</v>
      </c>
      <c r="B199" t="s">
        <v>50</v>
      </c>
      <c r="C199">
        <v>69.91</v>
      </c>
      <c r="D199">
        <v>12</v>
      </c>
      <c r="E199">
        <v>16</v>
      </c>
      <c r="F199">
        <v>73.260000000000005</v>
      </c>
      <c r="G199">
        <v>0</v>
      </c>
      <c r="H199">
        <v>3</v>
      </c>
      <c r="I199">
        <v>0</v>
      </c>
      <c r="J199">
        <v>3</v>
      </c>
      <c r="K199">
        <v>70.900000000000006</v>
      </c>
      <c r="L199">
        <v>68.62</v>
      </c>
    </row>
    <row r="200" spans="1:12" x14ac:dyDescent="0.2">
      <c r="A200" s="4">
        <v>199</v>
      </c>
      <c r="B200" t="s">
        <v>271</v>
      </c>
      <c r="C200">
        <v>69.83</v>
      </c>
      <c r="D200">
        <v>17</v>
      </c>
      <c r="E200">
        <v>12</v>
      </c>
      <c r="F200">
        <v>68.510000000000005</v>
      </c>
      <c r="G200">
        <v>0</v>
      </c>
      <c r="H200">
        <v>0</v>
      </c>
      <c r="I200">
        <v>0</v>
      </c>
      <c r="J200">
        <v>0</v>
      </c>
      <c r="K200">
        <v>70.930000000000007</v>
      </c>
      <c r="L200">
        <v>68.41</v>
      </c>
    </row>
    <row r="201" spans="1:12" x14ac:dyDescent="0.2">
      <c r="A201" s="4">
        <v>200</v>
      </c>
      <c r="B201" t="s">
        <v>564</v>
      </c>
      <c r="C201">
        <v>69.819999999999993</v>
      </c>
      <c r="D201">
        <v>16</v>
      </c>
      <c r="E201">
        <v>11</v>
      </c>
      <c r="F201">
        <v>67.36</v>
      </c>
      <c r="G201">
        <v>0</v>
      </c>
      <c r="H201">
        <v>0</v>
      </c>
      <c r="I201">
        <v>0</v>
      </c>
      <c r="J201">
        <v>1</v>
      </c>
      <c r="K201">
        <v>69.34</v>
      </c>
      <c r="L201">
        <v>70.010000000000005</v>
      </c>
    </row>
    <row r="202" spans="1:12" x14ac:dyDescent="0.2">
      <c r="A202" s="4">
        <v>201</v>
      </c>
      <c r="B202" t="s">
        <v>169</v>
      </c>
      <c r="C202">
        <v>69.75</v>
      </c>
      <c r="D202">
        <v>14</v>
      </c>
      <c r="E202">
        <v>15</v>
      </c>
      <c r="F202">
        <v>70.55</v>
      </c>
      <c r="G202">
        <v>0</v>
      </c>
      <c r="H202">
        <v>0</v>
      </c>
      <c r="I202">
        <v>0</v>
      </c>
      <c r="J202">
        <v>2</v>
      </c>
      <c r="K202">
        <v>70.62</v>
      </c>
      <c r="L202">
        <v>68.58</v>
      </c>
    </row>
    <row r="203" spans="1:12" x14ac:dyDescent="0.2">
      <c r="A203" s="4">
        <v>202</v>
      </c>
      <c r="B203" t="s">
        <v>47</v>
      </c>
      <c r="C203">
        <v>69.69</v>
      </c>
      <c r="D203">
        <v>10</v>
      </c>
      <c r="E203">
        <v>18</v>
      </c>
      <c r="F203">
        <v>74.81</v>
      </c>
      <c r="G203">
        <v>0</v>
      </c>
      <c r="H203">
        <v>1</v>
      </c>
      <c r="I203">
        <v>1</v>
      </c>
      <c r="J203">
        <v>5</v>
      </c>
      <c r="K203">
        <v>70.52</v>
      </c>
      <c r="L203">
        <v>68.56</v>
      </c>
    </row>
    <row r="204" spans="1:12" x14ac:dyDescent="0.2">
      <c r="A204" s="4">
        <v>203</v>
      </c>
      <c r="B204" t="s">
        <v>267</v>
      </c>
      <c r="C204">
        <v>69.63</v>
      </c>
      <c r="D204">
        <v>18</v>
      </c>
      <c r="E204">
        <v>11</v>
      </c>
      <c r="F204">
        <v>67.540000000000006</v>
      </c>
      <c r="G204">
        <v>0</v>
      </c>
      <c r="H204">
        <v>1</v>
      </c>
      <c r="I204">
        <v>0</v>
      </c>
      <c r="J204">
        <v>1</v>
      </c>
      <c r="K204">
        <v>70.900000000000006</v>
      </c>
      <c r="L204">
        <v>68.040000000000006</v>
      </c>
    </row>
    <row r="205" spans="1:12" x14ac:dyDescent="0.2">
      <c r="A205" s="4">
        <v>204</v>
      </c>
      <c r="B205" t="s">
        <v>212</v>
      </c>
      <c r="C205">
        <v>69.58</v>
      </c>
      <c r="D205">
        <v>15</v>
      </c>
      <c r="E205">
        <v>17</v>
      </c>
      <c r="F205">
        <v>70.72</v>
      </c>
      <c r="G205">
        <v>0</v>
      </c>
      <c r="H205">
        <v>0</v>
      </c>
      <c r="I205">
        <v>0</v>
      </c>
      <c r="J205">
        <v>0</v>
      </c>
      <c r="K205">
        <v>69.989999999999995</v>
      </c>
      <c r="L205">
        <v>68.89</v>
      </c>
    </row>
    <row r="206" spans="1:12" x14ac:dyDescent="0.2">
      <c r="A206" s="4">
        <v>205</v>
      </c>
      <c r="B206" t="s">
        <v>825</v>
      </c>
      <c r="C206">
        <v>69.25</v>
      </c>
      <c r="D206">
        <v>11</v>
      </c>
      <c r="E206">
        <v>19</v>
      </c>
      <c r="F206">
        <v>72.53</v>
      </c>
      <c r="G206">
        <v>0</v>
      </c>
      <c r="H206">
        <v>0</v>
      </c>
      <c r="I206">
        <v>0</v>
      </c>
      <c r="J206">
        <v>2</v>
      </c>
      <c r="K206">
        <v>68.73</v>
      </c>
      <c r="L206">
        <v>69.48</v>
      </c>
    </row>
    <row r="207" spans="1:12" x14ac:dyDescent="0.2">
      <c r="A207" s="4">
        <v>206</v>
      </c>
      <c r="B207" t="s">
        <v>815</v>
      </c>
      <c r="C207">
        <v>69.14</v>
      </c>
      <c r="D207">
        <v>15</v>
      </c>
      <c r="E207">
        <v>14</v>
      </c>
      <c r="F207">
        <v>68.61</v>
      </c>
      <c r="G207">
        <v>0</v>
      </c>
      <c r="H207">
        <v>0</v>
      </c>
      <c r="I207">
        <v>0</v>
      </c>
      <c r="J207">
        <v>2</v>
      </c>
      <c r="K207">
        <v>68.88</v>
      </c>
      <c r="L207">
        <v>69.12</v>
      </c>
    </row>
    <row r="208" spans="1:12" x14ac:dyDescent="0.2">
      <c r="A208" s="4">
        <v>207</v>
      </c>
      <c r="B208" t="s">
        <v>302</v>
      </c>
      <c r="C208">
        <v>69.09</v>
      </c>
      <c r="D208">
        <v>10</v>
      </c>
      <c r="E208">
        <v>21</v>
      </c>
      <c r="F208">
        <v>74.33</v>
      </c>
      <c r="G208">
        <v>0</v>
      </c>
      <c r="H208">
        <v>0</v>
      </c>
      <c r="I208">
        <v>0</v>
      </c>
      <c r="J208">
        <v>6</v>
      </c>
      <c r="K208">
        <v>69.02</v>
      </c>
      <c r="L208">
        <v>68.87</v>
      </c>
    </row>
    <row r="209" spans="1:12" x14ac:dyDescent="0.2">
      <c r="A209" s="4">
        <v>208</v>
      </c>
      <c r="B209" t="s">
        <v>227</v>
      </c>
      <c r="C209">
        <v>69.08</v>
      </c>
      <c r="D209">
        <v>15</v>
      </c>
      <c r="E209">
        <v>12</v>
      </c>
      <c r="F209">
        <v>67.040000000000006</v>
      </c>
      <c r="G209">
        <v>0</v>
      </c>
      <c r="H209">
        <v>0</v>
      </c>
      <c r="I209">
        <v>0</v>
      </c>
      <c r="J209">
        <v>0</v>
      </c>
      <c r="K209">
        <v>68.13</v>
      </c>
      <c r="L209">
        <v>69.72</v>
      </c>
    </row>
    <row r="210" spans="1:12" x14ac:dyDescent="0.2">
      <c r="A210" s="4">
        <v>209</v>
      </c>
      <c r="B210" t="s">
        <v>813</v>
      </c>
      <c r="C210">
        <v>69.010000000000005</v>
      </c>
      <c r="D210">
        <v>14</v>
      </c>
      <c r="E210">
        <v>15</v>
      </c>
      <c r="F210">
        <v>70.67</v>
      </c>
      <c r="G210">
        <v>0</v>
      </c>
      <c r="H210">
        <v>4</v>
      </c>
      <c r="I210">
        <v>0</v>
      </c>
      <c r="J210">
        <v>4</v>
      </c>
      <c r="K210">
        <v>70.459999999999994</v>
      </c>
      <c r="L210">
        <v>67.209999999999994</v>
      </c>
    </row>
    <row r="211" spans="1:12" x14ac:dyDescent="0.2">
      <c r="A211" s="4">
        <v>210</v>
      </c>
      <c r="B211" t="s">
        <v>213</v>
      </c>
      <c r="C211">
        <v>68.97</v>
      </c>
      <c r="D211">
        <v>16</v>
      </c>
      <c r="E211">
        <v>15</v>
      </c>
      <c r="F211">
        <v>66.91</v>
      </c>
      <c r="G211">
        <v>0</v>
      </c>
      <c r="H211">
        <v>1</v>
      </c>
      <c r="I211">
        <v>0</v>
      </c>
      <c r="J211">
        <v>3</v>
      </c>
      <c r="K211">
        <v>67.040000000000006</v>
      </c>
      <c r="L211">
        <v>70.510000000000005</v>
      </c>
    </row>
    <row r="212" spans="1:12" x14ac:dyDescent="0.2">
      <c r="A212" s="4">
        <v>211</v>
      </c>
      <c r="B212" t="s">
        <v>282</v>
      </c>
      <c r="C212">
        <v>68.680000000000007</v>
      </c>
      <c r="D212">
        <v>14</v>
      </c>
      <c r="E212">
        <v>17</v>
      </c>
      <c r="F212">
        <v>70.27</v>
      </c>
      <c r="G212">
        <v>0</v>
      </c>
      <c r="H212">
        <v>0</v>
      </c>
      <c r="I212">
        <v>0</v>
      </c>
      <c r="J212">
        <v>3</v>
      </c>
      <c r="K212">
        <v>68.34</v>
      </c>
      <c r="L212">
        <v>68.73</v>
      </c>
    </row>
    <row r="213" spans="1:12" x14ac:dyDescent="0.2">
      <c r="A213" s="4">
        <v>212</v>
      </c>
      <c r="B213" t="s">
        <v>223</v>
      </c>
      <c r="C213">
        <v>68.59</v>
      </c>
      <c r="D213">
        <v>17</v>
      </c>
      <c r="E213">
        <v>12</v>
      </c>
      <c r="F213">
        <v>65.98</v>
      </c>
      <c r="G213">
        <v>0</v>
      </c>
      <c r="H213">
        <v>2</v>
      </c>
      <c r="I213">
        <v>0</v>
      </c>
      <c r="J213">
        <v>2</v>
      </c>
      <c r="K213">
        <v>69.42</v>
      </c>
      <c r="L213">
        <v>67.459999999999994</v>
      </c>
    </row>
    <row r="214" spans="1:12" x14ac:dyDescent="0.2">
      <c r="A214" s="4">
        <v>213</v>
      </c>
      <c r="B214" t="s">
        <v>808</v>
      </c>
      <c r="C214">
        <v>68.47</v>
      </c>
      <c r="D214">
        <v>11</v>
      </c>
      <c r="E214">
        <v>20</v>
      </c>
      <c r="F214">
        <v>71.8</v>
      </c>
      <c r="G214">
        <v>0</v>
      </c>
      <c r="H214">
        <v>0</v>
      </c>
      <c r="I214">
        <v>0</v>
      </c>
      <c r="J214">
        <v>3</v>
      </c>
      <c r="K214">
        <v>67.44</v>
      </c>
      <c r="L214">
        <v>69.2</v>
      </c>
    </row>
    <row r="215" spans="1:12" x14ac:dyDescent="0.2">
      <c r="A215" s="4">
        <v>214</v>
      </c>
      <c r="B215" t="s">
        <v>148</v>
      </c>
      <c r="C215">
        <v>68.38</v>
      </c>
      <c r="D215">
        <v>12</v>
      </c>
      <c r="E215">
        <v>16</v>
      </c>
      <c r="F215">
        <v>69.95</v>
      </c>
      <c r="G215">
        <v>0</v>
      </c>
      <c r="H215">
        <v>1</v>
      </c>
      <c r="I215">
        <v>0</v>
      </c>
      <c r="J215">
        <v>1</v>
      </c>
      <c r="K215">
        <v>67.45</v>
      </c>
      <c r="L215">
        <v>68.989999999999995</v>
      </c>
    </row>
    <row r="216" spans="1:12" x14ac:dyDescent="0.2">
      <c r="A216" s="4">
        <v>215</v>
      </c>
      <c r="B216" t="s">
        <v>217</v>
      </c>
      <c r="C216">
        <v>68.349999999999994</v>
      </c>
      <c r="D216">
        <v>13</v>
      </c>
      <c r="E216">
        <v>17</v>
      </c>
      <c r="F216">
        <v>70</v>
      </c>
      <c r="G216">
        <v>0</v>
      </c>
      <c r="H216">
        <v>1</v>
      </c>
      <c r="I216">
        <v>0</v>
      </c>
      <c r="J216">
        <v>1</v>
      </c>
      <c r="K216">
        <v>67.73</v>
      </c>
      <c r="L216">
        <v>68.69</v>
      </c>
    </row>
    <row r="217" spans="1:12" x14ac:dyDescent="0.2">
      <c r="A217" s="4">
        <v>216</v>
      </c>
      <c r="B217" t="s">
        <v>154</v>
      </c>
      <c r="C217">
        <v>68.22</v>
      </c>
      <c r="D217">
        <v>9</v>
      </c>
      <c r="E217">
        <v>22</v>
      </c>
      <c r="F217">
        <v>74.23</v>
      </c>
      <c r="G217">
        <v>0</v>
      </c>
      <c r="H217">
        <v>0</v>
      </c>
      <c r="I217">
        <v>0</v>
      </c>
      <c r="J217">
        <v>3</v>
      </c>
      <c r="K217">
        <v>67.8</v>
      </c>
      <c r="L217">
        <v>68.36</v>
      </c>
    </row>
    <row r="218" spans="1:12" x14ac:dyDescent="0.2">
      <c r="A218" s="4">
        <v>217</v>
      </c>
      <c r="B218" t="s">
        <v>254</v>
      </c>
      <c r="C218">
        <v>68.209999999999994</v>
      </c>
      <c r="D218">
        <v>12</v>
      </c>
      <c r="E218">
        <v>14</v>
      </c>
      <c r="F218">
        <v>71.260000000000005</v>
      </c>
      <c r="G218">
        <v>0</v>
      </c>
      <c r="H218">
        <v>0</v>
      </c>
      <c r="I218">
        <v>0</v>
      </c>
      <c r="J218">
        <v>2</v>
      </c>
      <c r="K218">
        <v>70.069999999999993</v>
      </c>
      <c r="L218">
        <v>65.92</v>
      </c>
    </row>
    <row r="219" spans="1:12" x14ac:dyDescent="0.2">
      <c r="A219" s="4">
        <v>218</v>
      </c>
      <c r="B219" t="s">
        <v>214</v>
      </c>
      <c r="C219">
        <v>68.099999999999994</v>
      </c>
      <c r="D219">
        <v>11</v>
      </c>
      <c r="E219">
        <v>20</v>
      </c>
      <c r="F219">
        <v>71.42</v>
      </c>
      <c r="G219">
        <v>0</v>
      </c>
      <c r="H219">
        <v>0</v>
      </c>
      <c r="I219">
        <v>0</v>
      </c>
      <c r="J219">
        <v>1</v>
      </c>
      <c r="K219">
        <v>66.83</v>
      </c>
      <c r="L219">
        <v>69.03</v>
      </c>
    </row>
    <row r="220" spans="1:12" x14ac:dyDescent="0.2">
      <c r="A220" s="4">
        <v>219</v>
      </c>
      <c r="B220" t="s">
        <v>234</v>
      </c>
      <c r="C220">
        <v>68.08</v>
      </c>
      <c r="D220">
        <v>8</v>
      </c>
      <c r="E220">
        <v>21</v>
      </c>
      <c r="F220">
        <v>74.77</v>
      </c>
      <c r="G220">
        <v>1</v>
      </c>
      <c r="H220">
        <v>2</v>
      </c>
      <c r="I220">
        <v>1</v>
      </c>
      <c r="J220">
        <v>2</v>
      </c>
      <c r="K220">
        <v>67.69</v>
      </c>
      <c r="L220">
        <v>68.19</v>
      </c>
    </row>
    <row r="221" spans="1:12" x14ac:dyDescent="0.2">
      <c r="A221" s="4">
        <v>220</v>
      </c>
      <c r="B221" t="s">
        <v>174</v>
      </c>
      <c r="C221">
        <v>68.08</v>
      </c>
      <c r="D221">
        <v>13</v>
      </c>
      <c r="E221">
        <v>20</v>
      </c>
      <c r="F221">
        <v>71.599999999999994</v>
      </c>
      <c r="G221">
        <v>0</v>
      </c>
      <c r="H221">
        <v>1</v>
      </c>
      <c r="I221">
        <v>0</v>
      </c>
      <c r="J221">
        <v>3</v>
      </c>
      <c r="K221">
        <v>67.989999999999995</v>
      </c>
      <c r="L221">
        <v>67.89</v>
      </c>
    </row>
    <row r="222" spans="1:12" x14ac:dyDescent="0.2">
      <c r="A222" s="4">
        <v>221</v>
      </c>
      <c r="B222" t="s">
        <v>270</v>
      </c>
      <c r="C222">
        <v>67.900000000000006</v>
      </c>
      <c r="D222">
        <v>18</v>
      </c>
      <c r="E222">
        <v>16</v>
      </c>
      <c r="F222">
        <v>66.319999999999993</v>
      </c>
      <c r="G222">
        <v>0</v>
      </c>
      <c r="H222">
        <v>3</v>
      </c>
      <c r="I222">
        <v>0</v>
      </c>
      <c r="J222">
        <v>6</v>
      </c>
      <c r="K222">
        <v>68.099999999999994</v>
      </c>
      <c r="L222">
        <v>67.42</v>
      </c>
    </row>
    <row r="223" spans="1:12" x14ac:dyDescent="0.2">
      <c r="A223" s="4">
        <v>222</v>
      </c>
      <c r="B223" t="s">
        <v>551</v>
      </c>
      <c r="C223">
        <v>67.739999999999995</v>
      </c>
      <c r="D223">
        <v>12</v>
      </c>
      <c r="E223">
        <v>16</v>
      </c>
      <c r="F223">
        <v>68.77</v>
      </c>
      <c r="G223">
        <v>0</v>
      </c>
      <c r="H223">
        <v>0</v>
      </c>
      <c r="I223">
        <v>0</v>
      </c>
      <c r="J223">
        <v>0</v>
      </c>
      <c r="K223">
        <v>66.400000000000006</v>
      </c>
      <c r="L223">
        <v>68.72</v>
      </c>
    </row>
    <row r="224" spans="1:12" x14ac:dyDescent="0.2">
      <c r="A224" s="4">
        <v>223</v>
      </c>
      <c r="B224" t="s">
        <v>301</v>
      </c>
      <c r="C224">
        <v>67.67</v>
      </c>
      <c r="D224">
        <v>12</v>
      </c>
      <c r="E224">
        <v>18</v>
      </c>
      <c r="F224">
        <v>70.75</v>
      </c>
      <c r="G224">
        <v>0</v>
      </c>
      <c r="H224">
        <v>0</v>
      </c>
      <c r="I224">
        <v>0</v>
      </c>
      <c r="J224">
        <v>0</v>
      </c>
      <c r="K224">
        <v>68.69</v>
      </c>
      <c r="L224">
        <v>66.31</v>
      </c>
    </row>
    <row r="225" spans="1:12" x14ac:dyDescent="0.2">
      <c r="A225" s="4">
        <v>224</v>
      </c>
      <c r="B225" t="s">
        <v>155</v>
      </c>
      <c r="C225">
        <v>67.5</v>
      </c>
      <c r="D225">
        <v>17</v>
      </c>
      <c r="E225">
        <v>14</v>
      </c>
      <c r="F225">
        <v>67.09</v>
      </c>
      <c r="G225">
        <v>0</v>
      </c>
      <c r="H225">
        <v>0</v>
      </c>
      <c r="I225">
        <v>0</v>
      </c>
      <c r="J225">
        <v>1</v>
      </c>
      <c r="K225">
        <v>68.599999999999994</v>
      </c>
      <c r="L225">
        <v>66.05</v>
      </c>
    </row>
    <row r="226" spans="1:12" x14ac:dyDescent="0.2">
      <c r="A226" s="4">
        <v>225</v>
      </c>
      <c r="B226" t="s">
        <v>168</v>
      </c>
      <c r="C226">
        <v>67.45</v>
      </c>
      <c r="D226">
        <v>10</v>
      </c>
      <c r="E226">
        <v>17</v>
      </c>
      <c r="F226">
        <v>70.81</v>
      </c>
      <c r="G226">
        <v>0</v>
      </c>
      <c r="H226">
        <v>0</v>
      </c>
      <c r="I226">
        <v>0</v>
      </c>
      <c r="J226">
        <v>2</v>
      </c>
      <c r="K226">
        <v>67.58</v>
      </c>
      <c r="L226">
        <v>67.040000000000006</v>
      </c>
    </row>
    <row r="227" spans="1:12" x14ac:dyDescent="0.2">
      <c r="A227" s="4">
        <v>226</v>
      </c>
      <c r="B227" t="s">
        <v>859</v>
      </c>
      <c r="C227">
        <v>67.44</v>
      </c>
      <c r="D227">
        <v>12</v>
      </c>
      <c r="E227">
        <v>16</v>
      </c>
      <c r="F227">
        <v>68.83</v>
      </c>
      <c r="G227">
        <v>0</v>
      </c>
      <c r="H227">
        <v>1</v>
      </c>
      <c r="I227">
        <v>0</v>
      </c>
      <c r="J227">
        <v>2</v>
      </c>
      <c r="K227">
        <v>66.849999999999994</v>
      </c>
      <c r="L227">
        <v>67.73</v>
      </c>
    </row>
    <row r="228" spans="1:12" x14ac:dyDescent="0.2">
      <c r="A228" s="4">
        <v>227</v>
      </c>
      <c r="B228" t="s">
        <v>248</v>
      </c>
      <c r="C228">
        <v>67.41</v>
      </c>
      <c r="D228">
        <v>11</v>
      </c>
      <c r="E228">
        <v>21</v>
      </c>
      <c r="F228">
        <v>71.459999999999994</v>
      </c>
      <c r="G228">
        <v>0</v>
      </c>
      <c r="H228">
        <v>1</v>
      </c>
      <c r="I228">
        <v>0</v>
      </c>
      <c r="J228">
        <v>2</v>
      </c>
      <c r="K228">
        <v>67.540000000000006</v>
      </c>
      <c r="L228">
        <v>67</v>
      </c>
    </row>
    <row r="229" spans="1:12" x14ac:dyDescent="0.2">
      <c r="A229" s="4">
        <v>228</v>
      </c>
      <c r="B229" t="s">
        <v>158</v>
      </c>
      <c r="C229">
        <v>67.349999999999994</v>
      </c>
      <c r="D229">
        <v>15</v>
      </c>
      <c r="E229">
        <v>15</v>
      </c>
      <c r="F229">
        <v>69.09</v>
      </c>
      <c r="G229">
        <v>0</v>
      </c>
      <c r="H229">
        <v>0</v>
      </c>
      <c r="I229">
        <v>0</v>
      </c>
      <c r="J229">
        <v>0</v>
      </c>
      <c r="K229">
        <v>68.66</v>
      </c>
      <c r="L229">
        <v>65.67</v>
      </c>
    </row>
    <row r="230" spans="1:12" x14ac:dyDescent="0.2">
      <c r="A230" s="4">
        <v>229</v>
      </c>
      <c r="B230" t="s">
        <v>557</v>
      </c>
      <c r="C230">
        <v>67.02</v>
      </c>
      <c r="D230">
        <v>14</v>
      </c>
      <c r="E230">
        <v>15</v>
      </c>
      <c r="F230">
        <v>68.099999999999994</v>
      </c>
      <c r="G230">
        <v>0</v>
      </c>
      <c r="H230">
        <v>2</v>
      </c>
      <c r="I230">
        <v>0</v>
      </c>
      <c r="J230">
        <v>3</v>
      </c>
      <c r="K230">
        <v>67.73</v>
      </c>
      <c r="L230">
        <v>66</v>
      </c>
    </row>
    <row r="231" spans="1:12" x14ac:dyDescent="0.2">
      <c r="A231" s="4">
        <v>230</v>
      </c>
      <c r="B231" t="s">
        <v>303</v>
      </c>
      <c r="C231">
        <v>66.92</v>
      </c>
      <c r="D231">
        <v>18</v>
      </c>
      <c r="E231">
        <v>10</v>
      </c>
      <c r="F231">
        <v>62.77</v>
      </c>
      <c r="G231">
        <v>0</v>
      </c>
      <c r="H231">
        <v>1</v>
      </c>
      <c r="I231">
        <v>0</v>
      </c>
      <c r="J231">
        <v>3</v>
      </c>
      <c r="K231">
        <v>67.89</v>
      </c>
      <c r="L231">
        <v>65.62</v>
      </c>
    </row>
    <row r="232" spans="1:12" x14ac:dyDescent="0.2">
      <c r="A232" s="4">
        <v>231</v>
      </c>
      <c r="B232" t="s">
        <v>850</v>
      </c>
      <c r="C232">
        <v>66.77</v>
      </c>
      <c r="D232">
        <v>12</v>
      </c>
      <c r="E232">
        <v>19</v>
      </c>
      <c r="F232">
        <v>70.83</v>
      </c>
      <c r="G232">
        <v>0</v>
      </c>
      <c r="H232">
        <v>1</v>
      </c>
      <c r="I232">
        <v>0</v>
      </c>
      <c r="J232">
        <v>2</v>
      </c>
      <c r="K232">
        <v>68.05</v>
      </c>
      <c r="L232">
        <v>65.099999999999994</v>
      </c>
    </row>
    <row r="233" spans="1:12" x14ac:dyDescent="0.2">
      <c r="A233" s="4">
        <v>232</v>
      </c>
      <c r="B233" t="s">
        <v>556</v>
      </c>
      <c r="C233">
        <v>66.72</v>
      </c>
      <c r="D233">
        <v>9</v>
      </c>
      <c r="E233">
        <v>20</v>
      </c>
      <c r="F233">
        <v>72.58</v>
      </c>
      <c r="G233">
        <v>0</v>
      </c>
      <c r="H233">
        <v>1</v>
      </c>
      <c r="I233">
        <v>0</v>
      </c>
      <c r="J233">
        <v>6</v>
      </c>
      <c r="K233">
        <v>66.650000000000006</v>
      </c>
      <c r="L233">
        <v>66.5</v>
      </c>
    </row>
    <row r="234" spans="1:12" x14ac:dyDescent="0.2">
      <c r="A234" s="4">
        <v>233</v>
      </c>
      <c r="B234" t="s">
        <v>88</v>
      </c>
      <c r="C234">
        <v>66.58</v>
      </c>
      <c r="D234">
        <v>9</v>
      </c>
      <c r="E234">
        <v>21</v>
      </c>
      <c r="F234">
        <v>72.959999999999994</v>
      </c>
      <c r="G234">
        <v>0</v>
      </c>
      <c r="H234">
        <v>0</v>
      </c>
      <c r="I234">
        <v>0</v>
      </c>
      <c r="J234">
        <v>6</v>
      </c>
      <c r="K234">
        <v>67.11</v>
      </c>
      <c r="L234">
        <v>65.760000000000005</v>
      </c>
    </row>
    <row r="235" spans="1:12" x14ac:dyDescent="0.2">
      <c r="A235" s="4">
        <v>234</v>
      </c>
      <c r="B235" t="s">
        <v>220</v>
      </c>
      <c r="C235">
        <v>66.58</v>
      </c>
      <c r="D235">
        <v>13</v>
      </c>
      <c r="E235">
        <v>17</v>
      </c>
      <c r="F235">
        <v>70.540000000000006</v>
      </c>
      <c r="G235">
        <v>0</v>
      </c>
      <c r="H235">
        <v>1</v>
      </c>
      <c r="I235">
        <v>0</v>
      </c>
      <c r="J235">
        <v>2</v>
      </c>
      <c r="K235">
        <v>68.09</v>
      </c>
      <c r="L235">
        <v>64.63</v>
      </c>
    </row>
    <row r="236" spans="1:12" x14ac:dyDescent="0.2">
      <c r="A236" s="4">
        <v>235</v>
      </c>
      <c r="B236" t="s">
        <v>275</v>
      </c>
      <c r="C236">
        <v>66.510000000000005</v>
      </c>
      <c r="D236">
        <v>7</v>
      </c>
      <c r="E236">
        <v>21</v>
      </c>
      <c r="F236">
        <v>75.569999999999993</v>
      </c>
      <c r="G236">
        <v>0</v>
      </c>
      <c r="H236">
        <v>2</v>
      </c>
      <c r="I236">
        <v>0</v>
      </c>
      <c r="J236">
        <v>5</v>
      </c>
      <c r="K236">
        <v>65.97</v>
      </c>
      <c r="L236">
        <v>66.760000000000005</v>
      </c>
    </row>
    <row r="237" spans="1:12" x14ac:dyDescent="0.2">
      <c r="A237" s="4">
        <v>236</v>
      </c>
      <c r="B237" t="s">
        <v>85</v>
      </c>
      <c r="C237">
        <v>66.48</v>
      </c>
      <c r="D237">
        <v>13</v>
      </c>
      <c r="E237">
        <v>18</v>
      </c>
      <c r="F237">
        <v>69.92</v>
      </c>
      <c r="G237">
        <v>0</v>
      </c>
      <c r="H237">
        <v>1</v>
      </c>
      <c r="I237">
        <v>0</v>
      </c>
      <c r="J237">
        <v>3</v>
      </c>
      <c r="K237">
        <v>67.400000000000006</v>
      </c>
      <c r="L237">
        <v>65.22</v>
      </c>
    </row>
    <row r="238" spans="1:12" x14ac:dyDescent="0.2">
      <c r="A238" s="4">
        <v>237</v>
      </c>
      <c r="B238" t="s">
        <v>92</v>
      </c>
      <c r="C238">
        <v>66.459999999999994</v>
      </c>
      <c r="D238">
        <v>8</v>
      </c>
      <c r="E238">
        <v>21</v>
      </c>
      <c r="F238">
        <v>74.03</v>
      </c>
      <c r="G238">
        <v>0</v>
      </c>
      <c r="H238">
        <v>4</v>
      </c>
      <c r="I238">
        <v>1</v>
      </c>
      <c r="J238">
        <v>9</v>
      </c>
      <c r="K238">
        <v>65.959999999999994</v>
      </c>
      <c r="L238">
        <v>66.66</v>
      </c>
    </row>
    <row r="239" spans="1:12" x14ac:dyDescent="0.2">
      <c r="A239" s="4">
        <v>238</v>
      </c>
      <c r="B239" t="s">
        <v>110</v>
      </c>
      <c r="C239">
        <v>66.37</v>
      </c>
      <c r="D239">
        <v>8</v>
      </c>
      <c r="E239">
        <v>22</v>
      </c>
      <c r="F239">
        <v>72.83</v>
      </c>
      <c r="G239">
        <v>0</v>
      </c>
      <c r="H239">
        <v>1</v>
      </c>
      <c r="I239">
        <v>0</v>
      </c>
      <c r="J239">
        <v>2</v>
      </c>
      <c r="K239">
        <v>64.05</v>
      </c>
      <c r="L239">
        <v>68.12</v>
      </c>
    </row>
    <row r="240" spans="1:12" x14ac:dyDescent="0.2">
      <c r="A240" s="4">
        <v>239</v>
      </c>
      <c r="B240" t="s">
        <v>95</v>
      </c>
      <c r="C240">
        <v>66.239999999999995</v>
      </c>
      <c r="D240">
        <v>11</v>
      </c>
      <c r="E240">
        <v>17</v>
      </c>
      <c r="F240">
        <v>68.8</v>
      </c>
      <c r="G240">
        <v>0</v>
      </c>
      <c r="H240">
        <v>0</v>
      </c>
      <c r="I240">
        <v>0</v>
      </c>
      <c r="J240">
        <v>1</v>
      </c>
      <c r="K240">
        <v>65.69</v>
      </c>
      <c r="L240">
        <v>66.48</v>
      </c>
    </row>
    <row r="241" spans="1:12" x14ac:dyDescent="0.2">
      <c r="A241" s="4">
        <v>240</v>
      </c>
      <c r="B241" t="s">
        <v>134</v>
      </c>
      <c r="C241">
        <v>66.209999999999994</v>
      </c>
      <c r="D241">
        <v>12</v>
      </c>
      <c r="E241">
        <v>18</v>
      </c>
      <c r="F241">
        <v>69.349999999999994</v>
      </c>
      <c r="G241">
        <v>0</v>
      </c>
      <c r="H241">
        <v>1</v>
      </c>
      <c r="I241">
        <v>0</v>
      </c>
      <c r="J241">
        <v>1</v>
      </c>
      <c r="K241">
        <v>67.05</v>
      </c>
      <c r="L241">
        <v>65.040000000000006</v>
      </c>
    </row>
    <row r="242" spans="1:12" x14ac:dyDescent="0.2">
      <c r="A242" s="4">
        <v>241</v>
      </c>
      <c r="B242" t="s">
        <v>831</v>
      </c>
      <c r="C242">
        <v>66.180000000000007</v>
      </c>
      <c r="D242">
        <v>6</v>
      </c>
      <c r="E242">
        <v>22</v>
      </c>
      <c r="F242">
        <v>73.959999999999994</v>
      </c>
      <c r="G242">
        <v>0</v>
      </c>
      <c r="H242">
        <v>3</v>
      </c>
      <c r="I242">
        <v>0</v>
      </c>
      <c r="J242">
        <v>4</v>
      </c>
      <c r="K242">
        <v>64.739999999999995</v>
      </c>
      <c r="L242">
        <v>67.23</v>
      </c>
    </row>
    <row r="243" spans="1:12" x14ac:dyDescent="0.2">
      <c r="A243" s="4">
        <v>242</v>
      </c>
      <c r="B243" t="s">
        <v>221</v>
      </c>
      <c r="C243">
        <v>66.12</v>
      </c>
      <c r="D243">
        <v>7</v>
      </c>
      <c r="E243">
        <v>22</v>
      </c>
      <c r="F243">
        <v>74.400000000000006</v>
      </c>
      <c r="G243">
        <v>0</v>
      </c>
      <c r="H243">
        <v>3</v>
      </c>
      <c r="I243">
        <v>0</v>
      </c>
      <c r="J243">
        <v>3</v>
      </c>
      <c r="K243">
        <v>66.400000000000006</v>
      </c>
      <c r="L243">
        <v>65.56</v>
      </c>
    </row>
    <row r="244" spans="1:12" x14ac:dyDescent="0.2">
      <c r="A244" s="4">
        <v>243</v>
      </c>
      <c r="B244" t="s">
        <v>861</v>
      </c>
      <c r="C244">
        <v>66.12</v>
      </c>
      <c r="D244">
        <v>11</v>
      </c>
      <c r="E244">
        <v>16</v>
      </c>
      <c r="F244">
        <v>69.3</v>
      </c>
      <c r="G244">
        <v>0</v>
      </c>
      <c r="H244">
        <v>1</v>
      </c>
      <c r="I244">
        <v>0</v>
      </c>
      <c r="J244">
        <v>1</v>
      </c>
      <c r="K244">
        <v>65.680000000000007</v>
      </c>
      <c r="L244">
        <v>66.260000000000005</v>
      </c>
    </row>
    <row r="245" spans="1:12" x14ac:dyDescent="0.2">
      <c r="A245" s="4">
        <v>244</v>
      </c>
      <c r="B245" t="s">
        <v>289</v>
      </c>
      <c r="C245">
        <v>66</v>
      </c>
      <c r="D245">
        <v>8</v>
      </c>
      <c r="E245">
        <v>20</v>
      </c>
      <c r="F245">
        <v>72.06</v>
      </c>
      <c r="G245">
        <v>0</v>
      </c>
      <c r="H245">
        <v>1</v>
      </c>
      <c r="I245">
        <v>0</v>
      </c>
      <c r="J245">
        <v>1</v>
      </c>
      <c r="K245">
        <v>65.31</v>
      </c>
      <c r="L245">
        <v>66.37</v>
      </c>
    </row>
    <row r="246" spans="1:12" x14ac:dyDescent="0.2">
      <c r="A246" s="4">
        <v>245</v>
      </c>
      <c r="B246" t="s">
        <v>236</v>
      </c>
      <c r="C246">
        <v>65.97</v>
      </c>
      <c r="D246">
        <v>10</v>
      </c>
      <c r="E246">
        <v>20</v>
      </c>
      <c r="F246">
        <v>71.3</v>
      </c>
      <c r="G246">
        <v>0</v>
      </c>
      <c r="H246">
        <v>2</v>
      </c>
      <c r="I246">
        <v>0</v>
      </c>
      <c r="J246">
        <v>3</v>
      </c>
      <c r="K246">
        <v>65.87</v>
      </c>
      <c r="L246">
        <v>65.790000000000006</v>
      </c>
    </row>
    <row r="247" spans="1:12" x14ac:dyDescent="0.2">
      <c r="A247" s="4">
        <v>246</v>
      </c>
      <c r="B247" t="s">
        <v>244</v>
      </c>
      <c r="C247">
        <v>65.849999999999994</v>
      </c>
      <c r="D247">
        <v>19</v>
      </c>
      <c r="E247">
        <v>13</v>
      </c>
      <c r="F247">
        <v>63.98</v>
      </c>
      <c r="G247">
        <v>0</v>
      </c>
      <c r="H247">
        <v>1</v>
      </c>
      <c r="I247">
        <v>0</v>
      </c>
      <c r="J247">
        <v>1</v>
      </c>
      <c r="K247">
        <v>65.78</v>
      </c>
      <c r="L247">
        <v>65.63</v>
      </c>
    </row>
    <row r="248" spans="1:12" x14ac:dyDescent="0.2">
      <c r="A248" s="4">
        <v>247</v>
      </c>
      <c r="B248" t="s">
        <v>216</v>
      </c>
      <c r="C248">
        <v>65.84</v>
      </c>
      <c r="D248">
        <v>8</v>
      </c>
      <c r="E248">
        <v>21</v>
      </c>
      <c r="F248">
        <v>74.23</v>
      </c>
      <c r="G248">
        <v>0</v>
      </c>
      <c r="H248">
        <v>2</v>
      </c>
      <c r="I248">
        <v>0</v>
      </c>
      <c r="J248">
        <v>10</v>
      </c>
      <c r="K248">
        <v>65.59</v>
      </c>
      <c r="L248">
        <v>65.8</v>
      </c>
    </row>
    <row r="249" spans="1:12" x14ac:dyDescent="0.2">
      <c r="A249" s="4">
        <v>248</v>
      </c>
      <c r="B249" t="s">
        <v>108</v>
      </c>
      <c r="C249">
        <v>65.75</v>
      </c>
      <c r="D249">
        <v>10</v>
      </c>
      <c r="E249">
        <v>21</v>
      </c>
      <c r="F249">
        <v>72.06</v>
      </c>
      <c r="G249">
        <v>0</v>
      </c>
      <c r="H249">
        <v>1</v>
      </c>
      <c r="I249">
        <v>0</v>
      </c>
      <c r="J249">
        <v>4</v>
      </c>
      <c r="K249">
        <v>66.48</v>
      </c>
      <c r="L249">
        <v>64.69</v>
      </c>
    </row>
    <row r="250" spans="1:12" x14ac:dyDescent="0.2">
      <c r="A250" s="4">
        <v>249</v>
      </c>
      <c r="B250" t="s">
        <v>880</v>
      </c>
      <c r="C250">
        <v>65.64</v>
      </c>
      <c r="D250">
        <v>12</v>
      </c>
      <c r="E250">
        <v>18</v>
      </c>
      <c r="F250">
        <v>70.42</v>
      </c>
      <c r="G250">
        <v>0</v>
      </c>
      <c r="H250">
        <v>0</v>
      </c>
      <c r="I250">
        <v>0</v>
      </c>
      <c r="J250">
        <v>2</v>
      </c>
      <c r="K250">
        <v>66.8</v>
      </c>
      <c r="L250">
        <v>64.09</v>
      </c>
    </row>
    <row r="251" spans="1:12" x14ac:dyDescent="0.2">
      <c r="A251" s="4">
        <v>250</v>
      </c>
      <c r="B251" t="s">
        <v>278</v>
      </c>
      <c r="C251">
        <v>65.56</v>
      </c>
      <c r="D251">
        <v>8</v>
      </c>
      <c r="E251">
        <v>23</v>
      </c>
      <c r="F251">
        <v>73.400000000000006</v>
      </c>
      <c r="G251">
        <v>0</v>
      </c>
      <c r="H251">
        <v>2</v>
      </c>
      <c r="I251">
        <v>0</v>
      </c>
      <c r="J251">
        <v>6</v>
      </c>
      <c r="K251">
        <v>65.55</v>
      </c>
      <c r="L251">
        <v>65.28</v>
      </c>
    </row>
    <row r="252" spans="1:12" x14ac:dyDescent="0.2">
      <c r="A252" s="4">
        <v>251</v>
      </c>
      <c r="B252" t="s">
        <v>253</v>
      </c>
      <c r="C252">
        <v>65.5</v>
      </c>
      <c r="D252">
        <v>14</v>
      </c>
      <c r="E252">
        <v>18</v>
      </c>
      <c r="F252">
        <v>65.510000000000005</v>
      </c>
      <c r="G252">
        <v>0</v>
      </c>
      <c r="H252">
        <v>0</v>
      </c>
      <c r="I252">
        <v>0</v>
      </c>
      <c r="J252">
        <v>0</v>
      </c>
      <c r="K252">
        <v>63.7</v>
      </c>
      <c r="L252">
        <v>66.819999999999993</v>
      </c>
    </row>
    <row r="253" spans="1:12" x14ac:dyDescent="0.2">
      <c r="A253" s="4">
        <v>252</v>
      </c>
      <c r="B253" t="s">
        <v>900</v>
      </c>
      <c r="C253">
        <v>65.39</v>
      </c>
      <c r="D253">
        <v>15</v>
      </c>
      <c r="E253">
        <v>14</v>
      </c>
      <c r="F253">
        <v>65.290000000000006</v>
      </c>
      <c r="G253">
        <v>0</v>
      </c>
      <c r="H253">
        <v>0</v>
      </c>
      <c r="I253">
        <v>0</v>
      </c>
      <c r="J253">
        <v>1</v>
      </c>
      <c r="K253">
        <v>65.95</v>
      </c>
      <c r="L253">
        <v>64.53</v>
      </c>
    </row>
    <row r="254" spans="1:12" x14ac:dyDescent="0.2">
      <c r="A254" s="4">
        <v>253</v>
      </c>
      <c r="B254" t="s">
        <v>835</v>
      </c>
      <c r="C254">
        <v>65.14</v>
      </c>
      <c r="D254">
        <v>14</v>
      </c>
      <c r="E254">
        <v>12</v>
      </c>
      <c r="F254">
        <v>64.959999999999994</v>
      </c>
      <c r="G254">
        <v>0</v>
      </c>
      <c r="H254">
        <v>1</v>
      </c>
      <c r="I254">
        <v>0</v>
      </c>
      <c r="J254">
        <v>1</v>
      </c>
      <c r="K254">
        <v>66</v>
      </c>
      <c r="L254">
        <v>63.92</v>
      </c>
    </row>
    <row r="255" spans="1:12" x14ac:dyDescent="0.2">
      <c r="A255" s="4">
        <v>254</v>
      </c>
      <c r="B255" t="s">
        <v>862</v>
      </c>
      <c r="C255">
        <v>65.13</v>
      </c>
      <c r="D255">
        <v>9</v>
      </c>
      <c r="E255">
        <v>18</v>
      </c>
      <c r="F255">
        <v>69.14</v>
      </c>
      <c r="G255">
        <v>0</v>
      </c>
      <c r="H255">
        <v>0</v>
      </c>
      <c r="I255">
        <v>0</v>
      </c>
      <c r="J255">
        <v>0</v>
      </c>
      <c r="K255">
        <v>64.400000000000006</v>
      </c>
      <c r="L255">
        <v>65.55</v>
      </c>
    </row>
    <row r="256" spans="1:12" x14ac:dyDescent="0.2">
      <c r="A256" s="4">
        <v>255</v>
      </c>
      <c r="B256" t="s">
        <v>191</v>
      </c>
      <c r="C256">
        <v>65.13</v>
      </c>
      <c r="D256">
        <v>12</v>
      </c>
      <c r="E256">
        <v>14</v>
      </c>
      <c r="F256">
        <v>66.12</v>
      </c>
      <c r="G256">
        <v>0</v>
      </c>
      <c r="H256">
        <v>2</v>
      </c>
      <c r="I256">
        <v>0</v>
      </c>
      <c r="J256">
        <v>2</v>
      </c>
      <c r="K256">
        <v>64.430000000000007</v>
      </c>
      <c r="L256">
        <v>65.52</v>
      </c>
    </row>
    <row r="257" spans="1:12" x14ac:dyDescent="0.2">
      <c r="A257" s="4">
        <v>256</v>
      </c>
      <c r="B257" t="s">
        <v>150</v>
      </c>
      <c r="C257">
        <v>65.08</v>
      </c>
      <c r="D257">
        <v>7</v>
      </c>
      <c r="E257">
        <v>24</v>
      </c>
      <c r="F257">
        <v>74.290000000000006</v>
      </c>
      <c r="G257">
        <v>0</v>
      </c>
      <c r="H257">
        <v>2</v>
      </c>
      <c r="I257">
        <v>0</v>
      </c>
      <c r="J257">
        <v>5</v>
      </c>
      <c r="K257">
        <v>64.89</v>
      </c>
      <c r="L257">
        <v>64.98</v>
      </c>
    </row>
    <row r="258" spans="1:12" x14ac:dyDescent="0.2">
      <c r="A258" s="4">
        <v>257</v>
      </c>
      <c r="B258" t="s">
        <v>252</v>
      </c>
      <c r="C258">
        <v>64.88</v>
      </c>
      <c r="D258">
        <v>14</v>
      </c>
      <c r="E258">
        <v>17</v>
      </c>
      <c r="F258">
        <v>66.040000000000006</v>
      </c>
      <c r="G258">
        <v>0</v>
      </c>
      <c r="H258">
        <v>0</v>
      </c>
      <c r="I258">
        <v>0</v>
      </c>
      <c r="J258">
        <v>3</v>
      </c>
      <c r="K258">
        <v>63.63</v>
      </c>
      <c r="L258">
        <v>65.739999999999995</v>
      </c>
    </row>
    <row r="259" spans="1:12" x14ac:dyDescent="0.2">
      <c r="A259" s="4">
        <v>258</v>
      </c>
      <c r="B259" t="s">
        <v>838</v>
      </c>
      <c r="C259">
        <v>64.67</v>
      </c>
      <c r="D259">
        <v>18</v>
      </c>
      <c r="E259">
        <v>13</v>
      </c>
      <c r="F259">
        <v>63.55</v>
      </c>
      <c r="G259">
        <v>0</v>
      </c>
      <c r="H259">
        <v>1</v>
      </c>
      <c r="I259">
        <v>0</v>
      </c>
      <c r="J259">
        <v>1</v>
      </c>
      <c r="K259">
        <v>66.36</v>
      </c>
      <c r="L259">
        <v>62.43</v>
      </c>
    </row>
    <row r="260" spans="1:12" x14ac:dyDescent="0.2">
      <c r="A260" s="4">
        <v>259</v>
      </c>
      <c r="B260" t="s">
        <v>300</v>
      </c>
      <c r="C260">
        <v>64.61</v>
      </c>
      <c r="D260">
        <v>7</v>
      </c>
      <c r="E260">
        <v>23</v>
      </c>
      <c r="F260">
        <v>72.02</v>
      </c>
      <c r="G260">
        <v>0</v>
      </c>
      <c r="H260">
        <v>1</v>
      </c>
      <c r="I260">
        <v>0</v>
      </c>
      <c r="J260">
        <v>2</v>
      </c>
      <c r="K260">
        <v>62.46</v>
      </c>
      <c r="L260">
        <v>66.17</v>
      </c>
    </row>
    <row r="261" spans="1:12" x14ac:dyDescent="0.2">
      <c r="A261" s="4">
        <v>260</v>
      </c>
      <c r="B261" t="s">
        <v>197</v>
      </c>
      <c r="C261">
        <v>64.599999999999994</v>
      </c>
      <c r="D261">
        <v>12</v>
      </c>
      <c r="E261">
        <v>17</v>
      </c>
      <c r="F261">
        <v>67.819999999999993</v>
      </c>
      <c r="G261">
        <v>0</v>
      </c>
      <c r="H261">
        <v>1</v>
      </c>
      <c r="I261">
        <v>0</v>
      </c>
      <c r="J261">
        <v>2</v>
      </c>
      <c r="K261">
        <v>64.73</v>
      </c>
      <c r="L261">
        <v>64.19</v>
      </c>
    </row>
    <row r="262" spans="1:12" x14ac:dyDescent="0.2">
      <c r="A262" s="4">
        <v>261</v>
      </c>
      <c r="B262" t="s">
        <v>901</v>
      </c>
      <c r="C262">
        <v>64.48</v>
      </c>
      <c r="D262">
        <v>11</v>
      </c>
      <c r="E262">
        <v>18</v>
      </c>
      <c r="F262">
        <v>69.75</v>
      </c>
      <c r="G262">
        <v>0</v>
      </c>
      <c r="H262">
        <v>0</v>
      </c>
      <c r="I262">
        <v>0</v>
      </c>
      <c r="J262">
        <v>2</v>
      </c>
      <c r="K262">
        <v>65.760000000000005</v>
      </c>
      <c r="L262">
        <v>62.74</v>
      </c>
    </row>
    <row r="263" spans="1:12" x14ac:dyDescent="0.2">
      <c r="A263" s="4">
        <v>262</v>
      </c>
      <c r="B263" t="s">
        <v>549</v>
      </c>
      <c r="C263">
        <v>64.39</v>
      </c>
      <c r="D263">
        <v>13</v>
      </c>
      <c r="E263">
        <v>15</v>
      </c>
      <c r="F263">
        <v>65.27</v>
      </c>
      <c r="G263">
        <v>0</v>
      </c>
      <c r="H263">
        <v>0</v>
      </c>
      <c r="I263">
        <v>0</v>
      </c>
      <c r="J263">
        <v>0</v>
      </c>
      <c r="K263">
        <v>63.47</v>
      </c>
      <c r="L263">
        <v>64.98</v>
      </c>
    </row>
    <row r="264" spans="1:12" x14ac:dyDescent="0.2">
      <c r="A264" s="4">
        <v>263</v>
      </c>
      <c r="B264" t="s">
        <v>836</v>
      </c>
      <c r="C264">
        <v>64.3</v>
      </c>
      <c r="D264">
        <v>9</v>
      </c>
      <c r="E264">
        <v>23</v>
      </c>
      <c r="F264">
        <v>71.739999999999995</v>
      </c>
      <c r="G264">
        <v>0</v>
      </c>
      <c r="H264">
        <v>0</v>
      </c>
      <c r="I264">
        <v>0</v>
      </c>
      <c r="J264">
        <v>1</v>
      </c>
      <c r="K264">
        <v>63.83</v>
      </c>
      <c r="L264">
        <v>64.48</v>
      </c>
    </row>
    <row r="265" spans="1:12" x14ac:dyDescent="0.2">
      <c r="A265" s="4">
        <v>264</v>
      </c>
      <c r="B265" t="s">
        <v>263</v>
      </c>
      <c r="C265">
        <v>64.17</v>
      </c>
      <c r="D265">
        <v>9</v>
      </c>
      <c r="E265">
        <v>22</v>
      </c>
      <c r="F265">
        <v>68.22</v>
      </c>
      <c r="G265">
        <v>0</v>
      </c>
      <c r="H265">
        <v>0</v>
      </c>
      <c r="I265">
        <v>0</v>
      </c>
      <c r="J265">
        <v>2</v>
      </c>
      <c r="K265">
        <v>61.13</v>
      </c>
      <c r="L265">
        <v>66.31</v>
      </c>
    </row>
    <row r="266" spans="1:12" x14ac:dyDescent="0.2">
      <c r="A266" s="4">
        <v>265</v>
      </c>
      <c r="B266" t="s">
        <v>202</v>
      </c>
      <c r="C266">
        <v>64.010000000000005</v>
      </c>
      <c r="D266">
        <v>8</v>
      </c>
      <c r="E266">
        <v>23</v>
      </c>
      <c r="F266">
        <v>71.510000000000005</v>
      </c>
      <c r="G266">
        <v>0</v>
      </c>
      <c r="H266">
        <v>0</v>
      </c>
      <c r="I266">
        <v>0</v>
      </c>
      <c r="J266">
        <v>1</v>
      </c>
      <c r="K266">
        <v>64.23</v>
      </c>
      <c r="L266">
        <v>63.5</v>
      </c>
    </row>
    <row r="267" spans="1:12" x14ac:dyDescent="0.2">
      <c r="A267" s="4">
        <v>266</v>
      </c>
      <c r="B267" t="s">
        <v>201</v>
      </c>
      <c r="C267">
        <v>63.89</v>
      </c>
      <c r="D267">
        <v>6</v>
      </c>
      <c r="E267">
        <v>23</v>
      </c>
      <c r="F267">
        <v>72.92</v>
      </c>
      <c r="G267">
        <v>0</v>
      </c>
      <c r="H267">
        <v>0</v>
      </c>
      <c r="I267">
        <v>0</v>
      </c>
      <c r="J267">
        <v>4</v>
      </c>
      <c r="K267">
        <v>64.290000000000006</v>
      </c>
      <c r="L267">
        <v>63.19</v>
      </c>
    </row>
    <row r="268" spans="1:12" x14ac:dyDescent="0.2">
      <c r="A268" s="4">
        <v>267</v>
      </c>
      <c r="B268" t="s">
        <v>865</v>
      </c>
      <c r="C268">
        <v>63.87</v>
      </c>
      <c r="D268">
        <v>11</v>
      </c>
      <c r="E268">
        <v>20</v>
      </c>
      <c r="F268">
        <v>68.900000000000006</v>
      </c>
      <c r="G268">
        <v>0</v>
      </c>
      <c r="H268">
        <v>0</v>
      </c>
      <c r="I268">
        <v>0</v>
      </c>
      <c r="J268">
        <v>2</v>
      </c>
      <c r="K268">
        <v>63.96</v>
      </c>
      <c r="L268">
        <v>63.49</v>
      </c>
    </row>
    <row r="269" spans="1:12" x14ac:dyDescent="0.2">
      <c r="A269" s="4">
        <v>268</v>
      </c>
      <c r="B269" t="s">
        <v>299</v>
      </c>
      <c r="C269">
        <v>63.84</v>
      </c>
      <c r="D269">
        <v>15</v>
      </c>
      <c r="E269">
        <v>16</v>
      </c>
      <c r="F269">
        <v>64.06</v>
      </c>
      <c r="G269">
        <v>0</v>
      </c>
      <c r="H269">
        <v>0</v>
      </c>
      <c r="I269">
        <v>0</v>
      </c>
      <c r="J269">
        <v>1</v>
      </c>
      <c r="K269">
        <v>63.39</v>
      </c>
      <c r="L269">
        <v>63.99</v>
      </c>
    </row>
    <row r="270" spans="1:12" x14ac:dyDescent="0.2">
      <c r="A270" s="4">
        <v>269</v>
      </c>
      <c r="B270" t="s">
        <v>890</v>
      </c>
      <c r="C270">
        <v>63.81</v>
      </c>
      <c r="D270">
        <v>10</v>
      </c>
      <c r="E270">
        <v>19</v>
      </c>
      <c r="F270">
        <v>69.14</v>
      </c>
      <c r="G270">
        <v>0</v>
      </c>
      <c r="H270">
        <v>0</v>
      </c>
      <c r="I270">
        <v>0</v>
      </c>
      <c r="J270">
        <v>0</v>
      </c>
      <c r="K270">
        <v>64.260000000000005</v>
      </c>
      <c r="L270">
        <v>63.06</v>
      </c>
    </row>
    <row r="271" spans="1:12" x14ac:dyDescent="0.2">
      <c r="A271" s="4">
        <v>270</v>
      </c>
      <c r="B271" t="s">
        <v>829</v>
      </c>
      <c r="C271">
        <v>63.76</v>
      </c>
      <c r="D271">
        <v>9</v>
      </c>
      <c r="E271">
        <v>19</v>
      </c>
      <c r="F271">
        <v>68.62</v>
      </c>
      <c r="G271">
        <v>0</v>
      </c>
      <c r="H271">
        <v>0</v>
      </c>
      <c r="I271">
        <v>0</v>
      </c>
      <c r="J271">
        <v>1</v>
      </c>
      <c r="K271">
        <v>62.41</v>
      </c>
      <c r="L271">
        <v>64.69</v>
      </c>
    </row>
    <row r="272" spans="1:12" x14ac:dyDescent="0.2">
      <c r="A272" s="4">
        <v>271</v>
      </c>
      <c r="B272" t="s">
        <v>144</v>
      </c>
      <c r="C272">
        <v>63.69</v>
      </c>
      <c r="D272">
        <v>11</v>
      </c>
      <c r="E272">
        <v>19</v>
      </c>
      <c r="F272">
        <v>67.959999999999994</v>
      </c>
      <c r="G272">
        <v>0</v>
      </c>
      <c r="H272">
        <v>0</v>
      </c>
      <c r="I272">
        <v>0</v>
      </c>
      <c r="J272">
        <v>2</v>
      </c>
      <c r="K272">
        <v>62.58</v>
      </c>
      <c r="L272">
        <v>64.42</v>
      </c>
    </row>
    <row r="273" spans="1:12" x14ac:dyDescent="0.2">
      <c r="A273" s="4">
        <v>272</v>
      </c>
      <c r="B273" t="s">
        <v>137</v>
      </c>
      <c r="C273">
        <v>63.51</v>
      </c>
      <c r="D273">
        <v>12</v>
      </c>
      <c r="E273">
        <v>16</v>
      </c>
      <c r="F273">
        <v>67.13</v>
      </c>
      <c r="G273">
        <v>0</v>
      </c>
      <c r="H273">
        <v>0</v>
      </c>
      <c r="I273">
        <v>0</v>
      </c>
      <c r="J273">
        <v>3</v>
      </c>
      <c r="K273">
        <v>65.27</v>
      </c>
      <c r="L273">
        <v>61.11</v>
      </c>
    </row>
    <row r="274" spans="1:12" x14ac:dyDescent="0.2">
      <c r="A274" s="4">
        <v>273</v>
      </c>
      <c r="B274" t="s">
        <v>200</v>
      </c>
      <c r="C274">
        <v>63.48</v>
      </c>
      <c r="D274">
        <v>7</v>
      </c>
      <c r="E274">
        <v>23</v>
      </c>
      <c r="F274">
        <v>72.53</v>
      </c>
      <c r="G274">
        <v>0</v>
      </c>
      <c r="H274">
        <v>0</v>
      </c>
      <c r="I274">
        <v>0</v>
      </c>
      <c r="J274">
        <v>0</v>
      </c>
      <c r="K274">
        <v>64.75</v>
      </c>
      <c r="L274">
        <v>61.74</v>
      </c>
    </row>
    <row r="275" spans="1:12" x14ac:dyDescent="0.2">
      <c r="A275" s="4">
        <v>274</v>
      </c>
      <c r="B275" t="s">
        <v>845</v>
      </c>
      <c r="C275">
        <v>63.39</v>
      </c>
      <c r="D275">
        <v>8</v>
      </c>
      <c r="E275">
        <v>18</v>
      </c>
      <c r="F275">
        <v>70.31</v>
      </c>
      <c r="G275">
        <v>0</v>
      </c>
      <c r="H275">
        <v>0</v>
      </c>
      <c r="I275">
        <v>0</v>
      </c>
      <c r="J275">
        <v>1</v>
      </c>
      <c r="K275">
        <v>63.55</v>
      </c>
      <c r="L275">
        <v>62.94</v>
      </c>
    </row>
    <row r="276" spans="1:12" x14ac:dyDescent="0.2">
      <c r="A276" s="4">
        <v>275</v>
      </c>
      <c r="B276" t="s">
        <v>182</v>
      </c>
      <c r="C276">
        <v>63.3</v>
      </c>
      <c r="D276">
        <v>12</v>
      </c>
      <c r="E276">
        <v>16</v>
      </c>
      <c r="F276">
        <v>67.27</v>
      </c>
      <c r="G276">
        <v>0</v>
      </c>
      <c r="H276">
        <v>2</v>
      </c>
      <c r="I276">
        <v>0</v>
      </c>
      <c r="J276">
        <v>2</v>
      </c>
      <c r="K276">
        <v>65.349999999999994</v>
      </c>
      <c r="L276">
        <v>60.44</v>
      </c>
    </row>
    <row r="277" spans="1:12" x14ac:dyDescent="0.2">
      <c r="A277" s="4">
        <v>276</v>
      </c>
      <c r="B277" t="s">
        <v>559</v>
      </c>
      <c r="C277">
        <v>63.25</v>
      </c>
      <c r="D277">
        <v>14</v>
      </c>
      <c r="E277">
        <v>17</v>
      </c>
      <c r="F277">
        <v>64.98</v>
      </c>
      <c r="G277">
        <v>0</v>
      </c>
      <c r="H277">
        <v>0</v>
      </c>
      <c r="I277">
        <v>0</v>
      </c>
      <c r="J277">
        <v>0</v>
      </c>
      <c r="K277">
        <v>62.99</v>
      </c>
      <c r="L277">
        <v>63.21</v>
      </c>
    </row>
    <row r="278" spans="1:12" x14ac:dyDescent="0.2">
      <c r="A278" s="4">
        <v>277</v>
      </c>
      <c r="B278" t="s">
        <v>211</v>
      </c>
      <c r="C278">
        <v>63.17</v>
      </c>
      <c r="D278">
        <v>13</v>
      </c>
      <c r="E278">
        <v>15</v>
      </c>
      <c r="F278">
        <v>65</v>
      </c>
      <c r="G278">
        <v>0</v>
      </c>
      <c r="H278">
        <v>0</v>
      </c>
      <c r="I278">
        <v>0</v>
      </c>
      <c r="J278">
        <v>1</v>
      </c>
      <c r="K278">
        <v>64.44</v>
      </c>
      <c r="L278">
        <v>61.42</v>
      </c>
    </row>
    <row r="279" spans="1:12" x14ac:dyDescent="0.2">
      <c r="A279" s="4">
        <v>278</v>
      </c>
      <c r="B279" t="s">
        <v>830</v>
      </c>
      <c r="C279">
        <v>63.15</v>
      </c>
      <c r="D279">
        <v>5</v>
      </c>
      <c r="E279">
        <v>22</v>
      </c>
      <c r="F279">
        <v>73.319999999999993</v>
      </c>
      <c r="G279">
        <v>0</v>
      </c>
      <c r="H279">
        <v>1</v>
      </c>
      <c r="I279">
        <v>0</v>
      </c>
      <c r="J279">
        <v>3</v>
      </c>
      <c r="K279">
        <v>62.83</v>
      </c>
      <c r="L279">
        <v>63.19</v>
      </c>
    </row>
    <row r="280" spans="1:12" x14ac:dyDescent="0.2">
      <c r="A280" s="4">
        <v>279</v>
      </c>
      <c r="B280" t="s">
        <v>184</v>
      </c>
      <c r="C280">
        <v>63.14</v>
      </c>
      <c r="D280">
        <v>7</v>
      </c>
      <c r="E280">
        <v>21</v>
      </c>
      <c r="F280">
        <v>71.64</v>
      </c>
      <c r="G280">
        <v>0</v>
      </c>
      <c r="H280">
        <v>1</v>
      </c>
      <c r="I280">
        <v>0</v>
      </c>
      <c r="J280">
        <v>2</v>
      </c>
      <c r="K280">
        <v>63.93</v>
      </c>
      <c r="L280">
        <v>61.99</v>
      </c>
    </row>
    <row r="281" spans="1:12" x14ac:dyDescent="0.2">
      <c r="A281" s="4">
        <v>280</v>
      </c>
      <c r="B281" t="s">
        <v>206</v>
      </c>
      <c r="C281">
        <v>63.11</v>
      </c>
      <c r="D281">
        <v>10</v>
      </c>
      <c r="E281">
        <v>17</v>
      </c>
      <c r="F281">
        <v>67.260000000000005</v>
      </c>
      <c r="G281">
        <v>0</v>
      </c>
      <c r="H281">
        <v>1</v>
      </c>
      <c r="I281">
        <v>0</v>
      </c>
      <c r="J281">
        <v>1</v>
      </c>
      <c r="K281">
        <v>63.17</v>
      </c>
      <c r="L281">
        <v>62.77</v>
      </c>
    </row>
    <row r="282" spans="1:12" x14ac:dyDescent="0.2">
      <c r="A282" s="4">
        <v>281</v>
      </c>
      <c r="B282" t="s">
        <v>895</v>
      </c>
      <c r="C282">
        <v>62.97</v>
      </c>
      <c r="D282">
        <v>14</v>
      </c>
      <c r="E282">
        <v>16</v>
      </c>
      <c r="F282">
        <v>64.510000000000005</v>
      </c>
      <c r="G282">
        <v>0</v>
      </c>
      <c r="H282">
        <v>0</v>
      </c>
      <c r="I282">
        <v>0</v>
      </c>
      <c r="J282">
        <v>1</v>
      </c>
      <c r="K282">
        <v>63.41</v>
      </c>
      <c r="L282">
        <v>62.23</v>
      </c>
    </row>
    <row r="283" spans="1:12" x14ac:dyDescent="0.2">
      <c r="A283" s="4">
        <v>282</v>
      </c>
      <c r="B283" t="s">
        <v>552</v>
      </c>
      <c r="C283">
        <v>62.85</v>
      </c>
      <c r="D283">
        <v>6</v>
      </c>
      <c r="E283">
        <v>22</v>
      </c>
      <c r="F283">
        <v>71.010000000000005</v>
      </c>
      <c r="G283">
        <v>0</v>
      </c>
      <c r="H283">
        <v>0</v>
      </c>
      <c r="I283">
        <v>0</v>
      </c>
      <c r="J283">
        <v>1</v>
      </c>
      <c r="K283">
        <v>62.17</v>
      </c>
      <c r="L283">
        <v>63.21</v>
      </c>
    </row>
    <row r="284" spans="1:12" x14ac:dyDescent="0.2">
      <c r="A284" s="4">
        <v>283</v>
      </c>
      <c r="B284" t="s">
        <v>262</v>
      </c>
      <c r="C284">
        <v>62.84</v>
      </c>
      <c r="D284">
        <v>10</v>
      </c>
      <c r="E284">
        <v>18</v>
      </c>
      <c r="F284">
        <v>68.180000000000007</v>
      </c>
      <c r="G284">
        <v>0</v>
      </c>
      <c r="H284">
        <v>0</v>
      </c>
      <c r="I284">
        <v>0</v>
      </c>
      <c r="J284">
        <v>0</v>
      </c>
      <c r="K284">
        <v>62.86</v>
      </c>
      <c r="L284">
        <v>62.53</v>
      </c>
    </row>
    <row r="285" spans="1:12" x14ac:dyDescent="0.2">
      <c r="A285" s="4">
        <v>284</v>
      </c>
      <c r="B285" t="s">
        <v>246</v>
      </c>
      <c r="C285">
        <v>62.82</v>
      </c>
      <c r="D285">
        <v>14</v>
      </c>
      <c r="E285">
        <v>15</v>
      </c>
      <c r="F285">
        <v>63.5</v>
      </c>
      <c r="G285">
        <v>0</v>
      </c>
      <c r="H285">
        <v>1</v>
      </c>
      <c r="I285">
        <v>0</v>
      </c>
      <c r="J285">
        <v>1</v>
      </c>
      <c r="K285">
        <v>62.23</v>
      </c>
      <c r="L285">
        <v>63.1</v>
      </c>
    </row>
    <row r="286" spans="1:12" x14ac:dyDescent="0.2">
      <c r="A286" s="4">
        <v>285</v>
      </c>
      <c r="B286" t="s">
        <v>822</v>
      </c>
      <c r="C286">
        <v>62.69</v>
      </c>
      <c r="D286">
        <v>7</v>
      </c>
      <c r="E286">
        <v>21</v>
      </c>
      <c r="F286">
        <v>70.69</v>
      </c>
      <c r="G286">
        <v>0</v>
      </c>
      <c r="H286">
        <v>0</v>
      </c>
      <c r="I286">
        <v>0</v>
      </c>
      <c r="J286">
        <v>0</v>
      </c>
      <c r="K286">
        <v>63.65</v>
      </c>
      <c r="L286">
        <v>61.33</v>
      </c>
    </row>
    <row r="287" spans="1:12" x14ac:dyDescent="0.2">
      <c r="A287" s="4">
        <v>286</v>
      </c>
      <c r="B287" t="s">
        <v>843</v>
      </c>
      <c r="C287">
        <v>62.67</v>
      </c>
      <c r="D287">
        <v>11</v>
      </c>
      <c r="E287">
        <v>19</v>
      </c>
      <c r="F287">
        <v>66.8</v>
      </c>
      <c r="G287">
        <v>0</v>
      </c>
      <c r="H287">
        <v>1</v>
      </c>
      <c r="I287">
        <v>0</v>
      </c>
      <c r="J287">
        <v>2</v>
      </c>
      <c r="K287">
        <v>62.27</v>
      </c>
      <c r="L287">
        <v>62.77</v>
      </c>
    </row>
    <row r="288" spans="1:12" x14ac:dyDescent="0.2">
      <c r="A288" s="4">
        <v>287</v>
      </c>
      <c r="B288" t="s">
        <v>210</v>
      </c>
      <c r="C288">
        <v>62.6</v>
      </c>
      <c r="D288">
        <v>7</v>
      </c>
      <c r="E288">
        <v>22</v>
      </c>
      <c r="F288">
        <v>71.05</v>
      </c>
      <c r="G288">
        <v>0</v>
      </c>
      <c r="H288">
        <v>0</v>
      </c>
      <c r="I288">
        <v>0</v>
      </c>
      <c r="J288">
        <v>2</v>
      </c>
      <c r="K288">
        <v>63.12</v>
      </c>
      <c r="L288">
        <v>61.77</v>
      </c>
    </row>
    <row r="289" spans="1:12" x14ac:dyDescent="0.2">
      <c r="A289" s="4">
        <v>288</v>
      </c>
      <c r="B289" t="s">
        <v>283</v>
      </c>
      <c r="C289">
        <v>62.6</v>
      </c>
      <c r="D289">
        <v>13</v>
      </c>
      <c r="E289">
        <v>17</v>
      </c>
      <c r="F289">
        <v>65.569999999999993</v>
      </c>
      <c r="G289">
        <v>0</v>
      </c>
      <c r="H289">
        <v>0</v>
      </c>
      <c r="I289">
        <v>0</v>
      </c>
      <c r="J289">
        <v>0</v>
      </c>
      <c r="K289">
        <v>63.01</v>
      </c>
      <c r="L289">
        <v>61.88</v>
      </c>
    </row>
    <row r="290" spans="1:12" x14ac:dyDescent="0.2">
      <c r="A290" s="4">
        <v>289</v>
      </c>
      <c r="B290" t="s">
        <v>558</v>
      </c>
      <c r="C290">
        <v>62.52</v>
      </c>
      <c r="D290">
        <v>10</v>
      </c>
      <c r="E290">
        <v>18</v>
      </c>
      <c r="F290">
        <v>67.930000000000007</v>
      </c>
      <c r="G290">
        <v>0</v>
      </c>
      <c r="H290">
        <v>1</v>
      </c>
      <c r="I290">
        <v>0</v>
      </c>
      <c r="J290">
        <v>1</v>
      </c>
      <c r="K290">
        <v>63.25</v>
      </c>
      <c r="L290">
        <v>61.45</v>
      </c>
    </row>
    <row r="291" spans="1:12" x14ac:dyDescent="0.2">
      <c r="A291" s="4">
        <v>290</v>
      </c>
      <c r="B291" t="s">
        <v>298</v>
      </c>
      <c r="C291">
        <v>62.26</v>
      </c>
      <c r="D291">
        <v>9</v>
      </c>
      <c r="E291">
        <v>20</v>
      </c>
      <c r="F291">
        <v>69.31</v>
      </c>
      <c r="G291">
        <v>0</v>
      </c>
      <c r="H291">
        <v>0</v>
      </c>
      <c r="I291">
        <v>0</v>
      </c>
      <c r="J291">
        <v>5</v>
      </c>
      <c r="K291">
        <v>61</v>
      </c>
      <c r="L291">
        <v>63.09</v>
      </c>
    </row>
    <row r="292" spans="1:12" x14ac:dyDescent="0.2">
      <c r="A292" s="4">
        <v>291</v>
      </c>
      <c r="B292" t="s">
        <v>264</v>
      </c>
      <c r="C292">
        <v>62.22</v>
      </c>
      <c r="D292">
        <v>11</v>
      </c>
      <c r="E292">
        <v>17</v>
      </c>
      <c r="F292">
        <v>66.64</v>
      </c>
      <c r="G292">
        <v>0</v>
      </c>
      <c r="H292">
        <v>1</v>
      </c>
      <c r="I292">
        <v>0</v>
      </c>
      <c r="J292">
        <v>3</v>
      </c>
      <c r="K292">
        <v>62.18</v>
      </c>
      <c r="L292">
        <v>61.98</v>
      </c>
    </row>
    <row r="293" spans="1:12" x14ac:dyDescent="0.2">
      <c r="A293" s="4">
        <v>292</v>
      </c>
      <c r="B293" t="s">
        <v>231</v>
      </c>
      <c r="C293">
        <v>62.08</v>
      </c>
      <c r="D293">
        <v>6</v>
      </c>
      <c r="E293">
        <v>23</v>
      </c>
      <c r="F293">
        <v>70.72</v>
      </c>
      <c r="G293">
        <v>0</v>
      </c>
      <c r="H293">
        <v>0</v>
      </c>
      <c r="I293">
        <v>0</v>
      </c>
      <c r="J293">
        <v>1</v>
      </c>
      <c r="K293">
        <v>61.04</v>
      </c>
      <c r="L293">
        <v>62.74</v>
      </c>
    </row>
    <row r="294" spans="1:12" x14ac:dyDescent="0.2">
      <c r="A294" s="4">
        <v>293</v>
      </c>
      <c r="B294" t="s">
        <v>140</v>
      </c>
      <c r="C294">
        <v>62.08</v>
      </c>
      <c r="D294">
        <v>10</v>
      </c>
      <c r="E294">
        <v>19</v>
      </c>
      <c r="F294">
        <v>66.069999999999993</v>
      </c>
      <c r="G294">
        <v>0</v>
      </c>
      <c r="H294">
        <v>1</v>
      </c>
      <c r="I294">
        <v>0</v>
      </c>
      <c r="J294">
        <v>1</v>
      </c>
      <c r="K294">
        <v>60.74</v>
      </c>
      <c r="L294">
        <v>62.98</v>
      </c>
    </row>
    <row r="295" spans="1:12" x14ac:dyDescent="0.2">
      <c r="A295" s="4">
        <v>294</v>
      </c>
      <c r="B295" t="s">
        <v>833</v>
      </c>
      <c r="C295">
        <v>61.98</v>
      </c>
      <c r="D295">
        <v>7</v>
      </c>
      <c r="E295">
        <v>20</v>
      </c>
      <c r="F295">
        <v>68.760000000000005</v>
      </c>
      <c r="G295">
        <v>0</v>
      </c>
      <c r="H295">
        <v>0</v>
      </c>
      <c r="I295">
        <v>0</v>
      </c>
      <c r="J295">
        <v>1</v>
      </c>
      <c r="K295">
        <v>60.61</v>
      </c>
      <c r="L295">
        <v>62.9</v>
      </c>
    </row>
    <row r="296" spans="1:12" x14ac:dyDescent="0.2">
      <c r="A296" s="4">
        <v>295</v>
      </c>
      <c r="B296" t="s">
        <v>268</v>
      </c>
      <c r="C296">
        <v>61.97</v>
      </c>
      <c r="D296">
        <v>9</v>
      </c>
      <c r="E296">
        <v>17</v>
      </c>
      <c r="F296">
        <v>66.73</v>
      </c>
      <c r="G296">
        <v>0</v>
      </c>
      <c r="H296">
        <v>1</v>
      </c>
      <c r="I296">
        <v>0</v>
      </c>
      <c r="J296">
        <v>2</v>
      </c>
      <c r="K296">
        <v>62.43</v>
      </c>
      <c r="L296">
        <v>61.2</v>
      </c>
    </row>
    <row r="297" spans="1:12" x14ac:dyDescent="0.2">
      <c r="A297" s="4">
        <v>296</v>
      </c>
      <c r="B297" t="s">
        <v>161</v>
      </c>
      <c r="C297">
        <v>61.74</v>
      </c>
      <c r="D297">
        <v>12</v>
      </c>
      <c r="E297">
        <v>19</v>
      </c>
      <c r="F297">
        <v>65.150000000000006</v>
      </c>
      <c r="G297">
        <v>0</v>
      </c>
      <c r="H297">
        <v>0</v>
      </c>
      <c r="I297">
        <v>0</v>
      </c>
      <c r="J297">
        <v>0</v>
      </c>
      <c r="K297">
        <v>61.23</v>
      </c>
      <c r="L297">
        <v>61.95</v>
      </c>
    </row>
    <row r="298" spans="1:12" x14ac:dyDescent="0.2">
      <c r="A298" s="4">
        <v>297</v>
      </c>
      <c r="B298" t="s">
        <v>834</v>
      </c>
      <c r="C298">
        <v>61.62</v>
      </c>
      <c r="D298">
        <v>13</v>
      </c>
      <c r="E298">
        <v>15</v>
      </c>
      <c r="F298">
        <v>63.45</v>
      </c>
      <c r="G298">
        <v>0</v>
      </c>
      <c r="H298">
        <v>0</v>
      </c>
      <c r="I298">
        <v>0</v>
      </c>
      <c r="J298">
        <v>1</v>
      </c>
      <c r="K298">
        <v>61.89</v>
      </c>
      <c r="L298">
        <v>61.07</v>
      </c>
    </row>
    <row r="299" spans="1:12" x14ac:dyDescent="0.2">
      <c r="A299" s="4">
        <v>298</v>
      </c>
      <c r="B299" t="s">
        <v>561</v>
      </c>
      <c r="C299">
        <v>61.6</v>
      </c>
      <c r="D299">
        <v>11</v>
      </c>
      <c r="E299">
        <v>20</v>
      </c>
      <c r="F299">
        <v>65.89</v>
      </c>
      <c r="G299">
        <v>0</v>
      </c>
      <c r="H299">
        <v>1</v>
      </c>
      <c r="I299">
        <v>0</v>
      </c>
      <c r="J299">
        <v>1</v>
      </c>
      <c r="K299">
        <v>60.83</v>
      </c>
      <c r="L299">
        <v>62.04</v>
      </c>
    </row>
    <row r="300" spans="1:12" x14ac:dyDescent="0.2">
      <c r="A300" s="4">
        <v>299</v>
      </c>
      <c r="B300" t="s">
        <v>176</v>
      </c>
      <c r="C300">
        <v>61.27</v>
      </c>
      <c r="D300">
        <v>8</v>
      </c>
      <c r="E300">
        <v>21</v>
      </c>
      <c r="F300">
        <v>68.12</v>
      </c>
      <c r="G300">
        <v>0</v>
      </c>
      <c r="H300">
        <v>1</v>
      </c>
      <c r="I300">
        <v>0</v>
      </c>
      <c r="J300">
        <v>1</v>
      </c>
      <c r="K300">
        <v>61.01</v>
      </c>
      <c r="L300">
        <v>61.24</v>
      </c>
    </row>
    <row r="301" spans="1:12" x14ac:dyDescent="0.2">
      <c r="A301" s="4">
        <v>300</v>
      </c>
      <c r="B301" t="s">
        <v>170</v>
      </c>
      <c r="C301">
        <v>61.14</v>
      </c>
      <c r="D301">
        <v>8</v>
      </c>
      <c r="E301">
        <v>19</v>
      </c>
      <c r="F301">
        <v>68.400000000000006</v>
      </c>
      <c r="G301">
        <v>0</v>
      </c>
      <c r="H301">
        <v>1</v>
      </c>
      <c r="I301">
        <v>0</v>
      </c>
      <c r="J301">
        <v>4</v>
      </c>
      <c r="K301">
        <v>61.16</v>
      </c>
      <c r="L301">
        <v>60.84</v>
      </c>
    </row>
    <row r="302" spans="1:12" x14ac:dyDescent="0.2">
      <c r="A302" s="4">
        <v>301</v>
      </c>
      <c r="B302" t="s">
        <v>844</v>
      </c>
      <c r="C302">
        <v>61.06</v>
      </c>
      <c r="D302">
        <v>7</v>
      </c>
      <c r="E302">
        <v>15</v>
      </c>
      <c r="F302">
        <v>67.64</v>
      </c>
      <c r="G302">
        <v>0</v>
      </c>
      <c r="H302">
        <v>2</v>
      </c>
      <c r="I302">
        <v>0</v>
      </c>
      <c r="J302">
        <v>2</v>
      </c>
      <c r="K302">
        <v>61.36</v>
      </c>
      <c r="L302">
        <v>60.47</v>
      </c>
    </row>
    <row r="303" spans="1:12" x14ac:dyDescent="0.2">
      <c r="A303" s="4">
        <v>302</v>
      </c>
      <c r="B303" t="s">
        <v>881</v>
      </c>
      <c r="C303">
        <v>61.04</v>
      </c>
      <c r="D303">
        <v>6</v>
      </c>
      <c r="E303">
        <v>25</v>
      </c>
      <c r="F303">
        <v>70.599999999999994</v>
      </c>
      <c r="G303">
        <v>0</v>
      </c>
      <c r="H303">
        <v>0</v>
      </c>
      <c r="I303">
        <v>0</v>
      </c>
      <c r="J303">
        <v>2</v>
      </c>
      <c r="K303">
        <v>60.56</v>
      </c>
      <c r="L303">
        <v>61.22</v>
      </c>
    </row>
    <row r="304" spans="1:12" x14ac:dyDescent="0.2">
      <c r="A304" s="4">
        <v>303</v>
      </c>
      <c r="B304" t="s">
        <v>868</v>
      </c>
      <c r="C304">
        <v>60.99</v>
      </c>
      <c r="D304">
        <v>7</v>
      </c>
      <c r="E304">
        <v>18</v>
      </c>
      <c r="F304">
        <v>68.05</v>
      </c>
      <c r="G304">
        <v>0</v>
      </c>
      <c r="H304">
        <v>1</v>
      </c>
      <c r="I304">
        <v>0</v>
      </c>
      <c r="J304">
        <v>1</v>
      </c>
      <c r="K304">
        <v>60.11</v>
      </c>
      <c r="L304">
        <v>61.5</v>
      </c>
    </row>
    <row r="305" spans="1:12" x14ac:dyDescent="0.2">
      <c r="A305" s="4">
        <v>304</v>
      </c>
      <c r="B305" t="s">
        <v>903</v>
      </c>
      <c r="C305">
        <v>60.95</v>
      </c>
      <c r="D305">
        <v>7</v>
      </c>
      <c r="E305">
        <v>25</v>
      </c>
      <c r="F305">
        <v>69.02</v>
      </c>
      <c r="G305">
        <v>0</v>
      </c>
      <c r="H305">
        <v>1</v>
      </c>
      <c r="I305">
        <v>0</v>
      </c>
      <c r="J305">
        <v>2</v>
      </c>
      <c r="K305">
        <v>59.29</v>
      </c>
      <c r="L305">
        <v>62.06</v>
      </c>
    </row>
    <row r="306" spans="1:12" x14ac:dyDescent="0.2">
      <c r="A306" s="4">
        <v>305</v>
      </c>
      <c r="B306" t="s">
        <v>229</v>
      </c>
      <c r="C306">
        <v>60.82</v>
      </c>
      <c r="D306">
        <v>8</v>
      </c>
      <c r="E306">
        <v>22</v>
      </c>
      <c r="F306">
        <v>67.64</v>
      </c>
      <c r="G306">
        <v>0</v>
      </c>
      <c r="H306">
        <v>1</v>
      </c>
      <c r="I306">
        <v>0</v>
      </c>
      <c r="J306">
        <v>2</v>
      </c>
      <c r="K306">
        <v>59.42</v>
      </c>
      <c r="L306">
        <v>61.74</v>
      </c>
    </row>
    <row r="307" spans="1:12" x14ac:dyDescent="0.2">
      <c r="A307" s="4">
        <v>306</v>
      </c>
      <c r="B307" t="s">
        <v>235</v>
      </c>
      <c r="C307">
        <v>60.65</v>
      </c>
      <c r="D307">
        <v>12</v>
      </c>
      <c r="E307">
        <v>14</v>
      </c>
      <c r="F307">
        <v>62.58</v>
      </c>
      <c r="G307">
        <v>0</v>
      </c>
      <c r="H307">
        <v>1</v>
      </c>
      <c r="I307">
        <v>0</v>
      </c>
      <c r="J307">
        <v>2</v>
      </c>
      <c r="K307">
        <v>60.96</v>
      </c>
      <c r="L307">
        <v>60.04</v>
      </c>
    </row>
    <row r="308" spans="1:12" x14ac:dyDescent="0.2">
      <c r="A308" s="4">
        <v>307</v>
      </c>
      <c r="B308" t="s">
        <v>288</v>
      </c>
      <c r="C308">
        <v>60.46</v>
      </c>
      <c r="D308">
        <v>2</v>
      </c>
      <c r="E308">
        <v>26</v>
      </c>
      <c r="F308">
        <v>75.83</v>
      </c>
      <c r="G308">
        <v>0</v>
      </c>
      <c r="H308">
        <v>5</v>
      </c>
      <c r="I308">
        <v>0</v>
      </c>
      <c r="J308">
        <v>8</v>
      </c>
      <c r="K308">
        <v>59.8</v>
      </c>
      <c r="L308">
        <v>60.78</v>
      </c>
    </row>
    <row r="309" spans="1:12" x14ac:dyDescent="0.2">
      <c r="A309" s="4">
        <v>308</v>
      </c>
      <c r="B309" t="s">
        <v>222</v>
      </c>
      <c r="C309">
        <v>60.11</v>
      </c>
      <c r="D309">
        <v>8</v>
      </c>
      <c r="E309">
        <v>22</v>
      </c>
      <c r="F309">
        <v>67.510000000000005</v>
      </c>
      <c r="G309">
        <v>0</v>
      </c>
      <c r="H309">
        <v>2</v>
      </c>
      <c r="I309">
        <v>0</v>
      </c>
      <c r="J309">
        <v>2</v>
      </c>
      <c r="K309">
        <v>59.31</v>
      </c>
      <c r="L309">
        <v>60.56</v>
      </c>
    </row>
    <row r="310" spans="1:12" x14ac:dyDescent="0.2">
      <c r="A310" s="4">
        <v>309</v>
      </c>
      <c r="B310" t="s">
        <v>884</v>
      </c>
      <c r="C310">
        <v>60.06</v>
      </c>
      <c r="D310">
        <v>12</v>
      </c>
      <c r="E310">
        <v>18</v>
      </c>
      <c r="F310">
        <v>63.34</v>
      </c>
      <c r="G310">
        <v>0</v>
      </c>
      <c r="H310">
        <v>0</v>
      </c>
      <c r="I310">
        <v>0</v>
      </c>
      <c r="J310">
        <v>0</v>
      </c>
      <c r="K310">
        <v>59.72</v>
      </c>
      <c r="L310">
        <v>60.1</v>
      </c>
    </row>
    <row r="311" spans="1:12" x14ac:dyDescent="0.2">
      <c r="A311" s="4">
        <v>310</v>
      </c>
      <c r="B311" t="s">
        <v>892</v>
      </c>
      <c r="C311">
        <v>59.9</v>
      </c>
      <c r="D311">
        <v>11</v>
      </c>
      <c r="E311">
        <v>18</v>
      </c>
      <c r="F311">
        <v>63.97</v>
      </c>
      <c r="G311">
        <v>0</v>
      </c>
      <c r="H311">
        <v>1</v>
      </c>
      <c r="I311">
        <v>0</v>
      </c>
      <c r="J311">
        <v>1</v>
      </c>
      <c r="K311">
        <v>59.4</v>
      </c>
      <c r="L311">
        <v>60.09</v>
      </c>
    </row>
    <row r="312" spans="1:12" x14ac:dyDescent="0.2">
      <c r="A312" s="4">
        <v>311</v>
      </c>
      <c r="B312" t="s">
        <v>287</v>
      </c>
      <c r="C312">
        <v>59.87</v>
      </c>
      <c r="D312">
        <v>6</v>
      </c>
      <c r="E312">
        <v>22</v>
      </c>
      <c r="F312">
        <v>69.73</v>
      </c>
      <c r="G312">
        <v>0</v>
      </c>
      <c r="H312">
        <v>3</v>
      </c>
      <c r="I312">
        <v>1</v>
      </c>
      <c r="J312">
        <v>4</v>
      </c>
      <c r="K312">
        <v>58.84</v>
      </c>
      <c r="L312">
        <v>60.51</v>
      </c>
    </row>
    <row r="313" spans="1:12" x14ac:dyDescent="0.2">
      <c r="A313" s="4">
        <v>312</v>
      </c>
      <c r="B313" t="s">
        <v>889</v>
      </c>
      <c r="C313">
        <v>59.81</v>
      </c>
      <c r="D313">
        <v>6</v>
      </c>
      <c r="E313">
        <v>23</v>
      </c>
      <c r="F313">
        <v>70.02</v>
      </c>
      <c r="G313">
        <v>0</v>
      </c>
      <c r="H313">
        <v>0</v>
      </c>
      <c r="I313">
        <v>0</v>
      </c>
      <c r="J313">
        <v>0</v>
      </c>
      <c r="K313">
        <v>59.76</v>
      </c>
      <c r="L313">
        <v>59.58</v>
      </c>
    </row>
    <row r="314" spans="1:12" x14ac:dyDescent="0.2">
      <c r="A314" s="4">
        <v>313</v>
      </c>
      <c r="B314" t="s">
        <v>256</v>
      </c>
      <c r="C314">
        <v>59.78</v>
      </c>
      <c r="D314">
        <v>6</v>
      </c>
      <c r="E314">
        <v>20</v>
      </c>
      <c r="F314">
        <v>67.03</v>
      </c>
      <c r="G314">
        <v>0</v>
      </c>
      <c r="H314">
        <v>1</v>
      </c>
      <c r="I314">
        <v>0</v>
      </c>
      <c r="J314">
        <v>1</v>
      </c>
      <c r="K314">
        <v>58.05</v>
      </c>
      <c r="L314">
        <v>60.91</v>
      </c>
    </row>
    <row r="315" spans="1:12" x14ac:dyDescent="0.2">
      <c r="A315" s="4">
        <v>314</v>
      </c>
      <c r="B315" t="s">
        <v>893</v>
      </c>
      <c r="C315">
        <v>59.77</v>
      </c>
      <c r="D315">
        <v>11</v>
      </c>
      <c r="E315">
        <v>19</v>
      </c>
      <c r="F315">
        <v>65.319999999999993</v>
      </c>
      <c r="G315">
        <v>0</v>
      </c>
      <c r="H315">
        <v>1</v>
      </c>
      <c r="I315">
        <v>0</v>
      </c>
      <c r="J315">
        <v>2</v>
      </c>
      <c r="K315">
        <v>60.31</v>
      </c>
      <c r="L315">
        <v>58.89</v>
      </c>
    </row>
    <row r="316" spans="1:12" x14ac:dyDescent="0.2">
      <c r="A316" s="4">
        <v>315</v>
      </c>
      <c r="B316" t="s">
        <v>219</v>
      </c>
      <c r="C316">
        <v>59.74</v>
      </c>
      <c r="D316">
        <v>6</v>
      </c>
      <c r="E316">
        <v>22</v>
      </c>
      <c r="F316">
        <v>68.59</v>
      </c>
      <c r="G316">
        <v>0</v>
      </c>
      <c r="H316">
        <v>0</v>
      </c>
      <c r="I316">
        <v>0</v>
      </c>
      <c r="J316">
        <v>0</v>
      </c>
      <c r="K316">
        <v>59.36</v>
      </c>
      <c r="L316">
        <v>59.81</v>
      </c>
    </row>
    <row r="317" spans="1:12" x14ac:dyDescent="0.2">
      <c r="A317" s="4">
        <v>316</v>
      </c>
      <c r="B317" t="s">
        <v>266</v>
      </c>
      <c r="C317">
        <v>59.4</v>
      </c>
      <c r="D317">
        <v>11</v>
      </c>
      <c r="E317">
        <v>21</v>
      </c>
      <c r="F317">
        <v>65.63</v>
      </c>
      <c r="G317">
        <v>0</v>
      </c>
      <c r="H317">
        <v>2</v>
      </c>
      <c r="I317">
        <v>0</v>
      </c>
      <c r="J317">
        <v>2</v>
      </c>
      <c r="K317">
        <v>60.3</v>
      </c>
      <c r="L317">
        <v>58.09</v>
      </c>
    </row>
    <row r="318" spans="1:12" x14ac:dyDescent="0.2">
      <c r="A318" s="4">
        <v>317</v>
      </c>
      <c r="B318" t="s">
        <v>886</v>
      </c>
      <c r="C318">
        <v>59.36</v>
      </c>
      <c r="D318">
        <v>11</v>
      </c>
      <c r="E318">
        <v>21</v>
      </c>
      <c r="F318">
        <v>65.7</v>
      </c>
      <c r="G318">
        <v>0</v>
      </c>
      <c r="H318">
        <v>0</v>
      </c>
      <c r="I318">
        <v>0</v>
      </c>
      <c r="J318">
        <v>1</v>
      </c>
      <c r="K318">
        <v>60.63</v>
      </c>
      <c r="L318">
        <v>57.52</v>
      </c>
    </row>
    <row r="319" spans="1:12" x14ac:dyDescent="0.2">
      <c r="A319" s="4">
        <v>318</v>
      </c>
      <c r="B319" t="s">
        <v>93</v>
      </c>
      <c r="C319">
        <v>59.28</v>
      </c>
      <c r="D319">
        <v>3</v>
      </c>
      <c r="E319">
        <v>28</v>
      </c>
      <c r="F319">
        <v>73.099999999999994</v>
      </c>
      <c r="G319">
        <v>0</v>
      </c>
      <c r="H319">
        <v>1</v>
      </c>
      <c r="I319">
        <v>0</v>
      </c>
      <c r="J319">
        <v>2</v>
      </c>
      <c r="K319">
        <v>59.67</v>
      </c>
      <c r="L319">
        <v>58.59</v>
      </c>
    </row>
    <row r="320" spans="1:12" x14ac:dyDescent="0.2">
      <c r="A320" s="4">
        <v>319</v>
      </c>
      <c r="B320" t="s">
        <v>563</v>
      </c>
      <c r="C320">
        <v>58.93</v>
      </c>
      <c r="D320">
        <v>6</v>
      </c>
      <c r="E320">
        <v>21</v>
      </c>
      <c r="F320">
        <v>69.239999999999995</v>
      </c>
      <c r="G320">
        <v>0</v>
      </c>
      <c r="H320">
        <v>0</v>
      </c>
      <c r="I320">
        <v>0</v>
      </c>
      <c r="J320">
        <v>2</v>
      </c>
      <c r="K320">
        <v>59.78</v>
      </c>
      <c r="L320">
        <v>57.67</v>
      </c>
    </row>
    <row r="321" spans="1:12" x14ac:dyDescent="0.2">
      <c r="A321" s="4">
        <v>320</v>
      </c>
      <c r="B321" t="s">
        <v>899</v>
      </c>
      <c r="C321">
        <v>58.62</v>
      </c>
      <c r="D321">
        <v>8</v>
      </c>
      <c r="E321">
        <v>17</v>
      </c>
      <c r="F321">
        <v>66.989999999999995</v>
      </c>
      <c r="G321">
        <v>0</v>
      </c>
      <c r="H321">
        <v>1</v>
      </c>
      <c r="I321">
        <v>0</v>
      </c>
      <c r="J321">
        <v>3</v>
      </c>
      <c r="K321">
        <v>60.64</v>
      </c>
      <c r="L321">
        <v>55.37</v>
      </c>
    </row>
    <row r="322" spans="1:12" x14ac:dyDescent="0.2">
      <c r="A322" s="4">
        <v>321</v>
      </c>
      <c r="B322" t="s">
        <v>164</v>
      </c>
      <c r="C322">
        <v>58.44</v>
      </c>
      <c r="D322">
        <v>5</v>
      </c>
      <c r="E322">
        <v>22</v>
      </c>
      <c r="F322">
        <v>69.5</v>
      </c>
      <c r="G322">
        <v>0</v>
      </c>
      <c r="H322">
        <v>0</v>
      </c>
      <c r="I322">
        <v>0</v>
      </c>
      <c r="J322">
        <v>2</v>
      </c>
      <c r="K322">
        <v>59.4</v>
      </c>
      <c r="L322">
        <v>57.03</v>
      </c>
    </row>
    <row r="323" spans="1:12" x14ac:dyDescent="0.2">
      <c r="A323" s="4">
        <v>322</v>
      </c>
      <c r="B323" t="s">
        <v>279</v>
      </c>
      <c r="C323">
        <v>58.28</v>
      </c>
      <c r="D323">
        <v>6</v>
      </c>
      <c r="E323">
        <v>19</v>
      </c>
      <c r="F323">
        <v>67.239999999999995</v>
      </c>
      <c r="G323">
        <v>0</v>
      </c>
      <c r="H323">
        <v>0</v>
      </c>
      <c r="I323">
        <v>0</v>
      </c>
      <c r="J323">
        <v>2</v>
      </c>
      <c r="K323">
        <v>59.2</v>
      </c>
      <c r="L323">
        <v>56.92</v>
      </c>
    </row>
    <row r="324" spans="1:12" x14ac:dyDescent="0.2">
      <c r="A324" s="4">
        <v>323</v>
      </c>
      <c r="B324" t="s">
        <v>233</v>
      </c>
      <c r="C324">
        <v>58.27</v>
      </c>
      <c r="D324">
        <v>5</v>
      </c>
      <c r="E324">
        <v>22</v>
      </c>
      <c r="F324">
        <v>69.86</v>
      </c>
      <c r="G324">
        <v>0</v>
      </c>
      <c r="H324">
        <v>0</v>
      </c>
      <c r="I324">
        <v>0</v>
      </c>
      <c r="J324">
        <v>1</v>
      </c>
      <c r="K324">
        <v>59.4</v>
      </c>
      <c r="L324">
        <v>56.62</v>
      </c>
    </row>
    <row r="325" spans="1:12" x14ac:dyDescent="0.2">
      <c r="A325" s="4">
        <v>324</v>
      </c>
      <c r="B325" t="s">
        <v>247</v>
      </c>
      <c r="C325">
        <v>57.92</v>
      </c>
      <c r="D325">
        <v>8</v>
      </c>
      <c r="E325">
        <v>22</v>
      </c>
      <c r="F325">
        <v>66.739999999999995</v>
      </c>
      <c r="G325">
        <v>0</v>
      </c>
      <c r="H325">
        <v>0</v>
      </c>
      <c r="I325">
        <v>0</v>
      </c>
      <c r="J325">
        <v>1</v>
      </c>
      <c r="K325">
        <v>59.03</v>
      </c>
      <c r="L325">
        <v>56.27</v>
      </c>
    </row>
    <row r="326" spans="1:12" x14ac:dyDescent="0.2">
      <c r="A326" s="4">
        <v>325</v>
      </c>
      <c r="B326" t="s">
        <v>261</v>
      </c>
      <c r="C326">
        <v>57.58</v>
      </c>
      <c r="D326">
        <v>12</v>
      </c>
      <c r="E326">
        <v>21</v>
      </c>
      <c r="F326">
        <v>63.22</v>
      </c>
      <c r="G326">
        <v>0</v>
      </c>
      <c r="H326">
        <v>0</v>
      </c>
      <c r="I326">
        <v>0</v>
      </c>
      <c r="J326">
        <v>0</v>
      </c>
      <c r="K326">
        <v>58.38</v>
      </c>
      <c r="L326">
        <v>56.38</v>
      </c>
    </row>
    <row r="327" spans="1:12" x14ac:dyDescent="0.2">
      <c r="A327" s="4">
        <v>326</v>
      </c>
      <c r="B327" t="s">
        <v>832</v>
      </c>
      <c r="C327">
        <v>57.11</v>
      </c>
      <c r="D327">
        <v>5</v>
      </c>
      <c r="E327">
        <v>22</v>
      </c>
      <c r="F327">
        <v>66.05</v>
      </c>
      <c r="G327">
        <v>0</v>
      </c>
      <c r="H327">
        <v>1</v>
      </c>
      <c r="I327">
        <v>0</v>
      </c>
      <c r="J327">
        <v>2</v>
      </c>
      <c r="K327">
        <v>55.83</v>
      </c>
      <c r="L327">
        <v>57.89</v>
      </c>
    </row>
    <row r="328" spans="1:12" x14ac:dyDescent="0.2">
      <c r="A328" s="4">
        <v>327</v>
      </c>
      <c r="B328" t="s">
        <v>146</v>
      </c>
      <c r="C328">
        <v>56.81</v>
      </c>
      <c r="D328">
        <v>8</v>
      </c>
      <c r="E328">
        <v>18</v>
      </c>
      <c r="F328">
        <v>62.34</v>
      </c>
      <c r="G328">
        <v>0</v>
      </c>
      <c r="H328">
        <v>1</v>
      </c>
      <c r="I328">
        <v>0</v>
      </c>
      <c r="J328">
        <v>3</v>
      </c>
      <c r="K328">
        <v>55.4</v>
      </c>
      <c r="L328">
        <v>57.69</v>
      </c>
    </row>
    <row r="329" spans="1:12" x14ac:dyDescent="0.2">
      <c r="A329" s="4">
        <v>328</v>
      </c>
      <c r="B329" t="s">
        <v>224</v>
      </c>
      <c r="C329">
        <v>56.79</v>
      </c>
      <c r="D329">
        <v>7</v>
      </c>
      <c r="E329">
        <v>25</v>
      </c>
      <c r="F329">
        <v>67.150000000000006</v>
      </c>
      <c r="G329">
        <v>0</v>
      </c>
      <c r="H329">
        <v>0</v>
      </c>
      <c r="I329">
        <v>0</v>
      </c>
      <c r="J329">
        <v>1</v>
      </c>
      <c r="K329">
        <v>58.06</v>
      </c>
      <c r="L329">
        <v>54.86</v>
      </c>
    </row>
    <row r="330" spans="1:12" x14ac:dyDescent="0.2">
      <c r="A330" s="4">
        <v>329</v>
      </c>
      <c r="B330" t="s">
        <v>291</v>
      </c>
      <c r="C330">
        <v>56.76</v>
      </c>
      <c r="D330">
        <v>5</v>
      </c>
      <c r="E330">
        <v>21</v>
      </c>
      <c r="F330">
        <v>67.38</v>
      </c>
      <c r="G330">
        <v>0</v>
      </c>
      <c r="H330">
        <v>2</v>
      </c>
      <c r="I330">
        <v>0</v>
      </c>
      <c r="J330">
        <v>3</v>
      </c>
      <c r="K330">
        <v>57.61</v>
      </c>
      <c r="L330">
        <v>55.46</v>
      </c>
    </row>
    <row r="331" spans="1:12" x14ac:dyDescent="0.2">
      <c r="A331" s="4">
        <v>330</v>
      </c>
      <c r="B331" t="s">
        <v>193</v>
      </c>
      <c r="C331">
        <v>56.61</v>
      </c>
      <c r="D331">
        <v>4</v>
      </c>
      <c r="E331">
        <v>26</v>
      </c>
      <c r="F331">
        <v>67.98</v>
      </c>
      <c r="G331">
        <v>0</v>
      </c>
      <c r="H331">
        <v>0</v>
      </c>
      <c r="I331">
        <v>0</v>
      </c>
      <c r="J331">
        <v>1</v>
      </c>
      <c r="K331">
        <v>55.44</v>
      </c>
      <c r="L331">
        <v>57.32</v>
      </c>
    </row>
    <row r="332" spans="1:12" x14ac:dyDescent="0.2">
      <c r="A332" s="4">
        <v>331</v>
      </c>
      <c r="B332" t="s">
        <v>885</v>
      </c>
      <c r="C332">
        <v>56.3</v>
      </c>
      <c r="D332">
        <v>8</v>
      </c>
      <c r="E332">
        <v>23</v>
      </c>
      <c r="F332">
        <v>65.83</v>
      </c>
      <c r="G332">
        <v>0</v>
      </c>
      <c r="H332">
        <v>0</v>
      </c>
      <c r="I332">
        <v>0</v>
      </c>
      <c r="J332">
        <v>1</v>
      </c>
      <c r="K332">
        <v>56.35</v>
      </c>
      <c r="L332">
        <v>55.97</v>
      </c>
    </row>
    <row r="333" spans="1:12" x14ac:dyDescent="0.2">
      <c r="A333" s="4">
        <v>332</v>
      </c>
      <c r="B333" t="s">
        <v>190</v>
      </c>
      <c r="C333">
        <v>56.21</v>
      </c>
      <c r="D333">
        <v>1</v>
      </c>
      <c r="E333">
        <v>29</v>
      </c>
      <c r="F333">
        <v>71.53</v>
      </c>
      <c r="G333">
        <v>0</v>
      </c>
      <c r="H333">
        <v>0</v>
      </c>
      <c r="I333">
        <v>0</v>
      </c>
      <c r="J333">
        <v>0</v>
      </c>
      <c r="K333">
        <v>55.17</v>
      </c>
      <c r="L333">
        <v>56.81</v>
      </c>
    </row>
    <row r="334" spans="1:12" x14ac:dyDescent="0.2">
      <c r="A334" s="4">
        <v>333</v>
      </c>
      <c r="B334" t="s">
        <v>891</v>
      </c>
      <c r="C334">
        <v>56.03</v>
      </c>
      <c r="D334">
        <v>2</v>
      </c>
      <c r="E334">
        <v>25</v>
      </c>
      <c r="F334">
        <v>70.81</v>
      </c>
      <c r="G334">
        <v>0</v>
      </c>
      <c r="H334">
        <v>1</v>
      </c>
      <c r="I334">
        <v>0</v>
      </c>
      <c r="J334">
        <v>2</v>
      </c>
      <c r="K334">
        <v>53.56</v>
      </c>
      <c r="L334">
        <v>57.48</v>
      </c>
    </row>
    <row r="335" spans="1:12" x14ac:dyDescent="0.2">
      <c r="A335" s="4">
        <v>334</v>
      </c>
      <c r="B335" t="s">
        <v>883</v>
      </c>
      <c r="C335">
        <v>56.03</v>
      </c>
      <c r="D335">
        <v>4</v>
      </c>
      <c r="E335">
        <v>26</v>
      </c>
      <c r="F335">
        <v>69.540000000000006</v>
      </c>
      <c r="G335">
        <v>0</v>
      </c>
      <c r="H335">
        <v>2</v>
      </c>
      <c r="I335">
        <v>0</v>
      </c>
      <c r="J335">
        <v>5</v>
      </c>
      <c r="K335">
        <v>55.68</v>
      </c>
      <c r="L335">
        <v>56.08</v>
      </c>
    </row>
    <row r="336" spans="1:12" x14ac:dyDescent="0.2">
      <c r="A336" s="4">
        <v>335</v>
      </c>
      <c r="B336" t="s">
        <v>260</v>
      </c>
      <c r="C336">
        <v>55.93</v>
      </c>
      <c r="D336">
        <v>8</v>
      </c>
      <c r="E336">
        <v>15</v>
      </c>
      <c r="F336">
        <v>61.48</v>
      </c>
      <c r="G336">
        <v>0</v>
      </c>
      <c r="H336">
        <v>0</v>
      </c>
      <c r="I336">
        <v>0</v>
      </c>
      <c r="J336">
        <v>1</v>
      </c>
      <c r="K336">
        <v>56.32</v>
      </c>
      <c r="L336">
        <v>55.22</v>
      </c>
    </row>
    <row r="337" spans="1:12" x14ac:dyDescent="0.2">
      <c r="A337" s="4">
        <v>336</v>
      </c>
      <c r="B337" t="s">
        <v>897</v>
      </c>
      <c r="C337">
        <v>55.89</v>
      </c>
      <c r="D337">
        <v>6</v>
      </c>
      <c r="E337">
        <v>27</v>
      </c>
      <c r="F337">
        <v>67.17</v>
      </c>
      <c r="G337">
        <v>0</v>
      </c>
      <c r="H337">
        <v>2</v>
      </c>
      <c r="I337">
        <v>0</v>
      </c>
      <c r="J337">
        <v>2</v>
      </c>
      <c r="K337">
        <v>54.48</v>
      </c>
      <c r="L337">
        <v>56.75</v>
      </c>
    </row>
    <row r="338" spans="1:12" x14ac:dyDescent="0.2">
      <c r="A338" s="4">
        <v>337</v>
      </c>
      <c r="B338" t="s">
        <v>902</v>
      </c>
      <c r="C338">
        <v>55.74</v>
      </c>
      <c r="D338">
        <v>3</v>
      </c>
      <c r="E338">
        <v>23</v>
      </c>
      <c r="F338">
        <v>70.41</v>
      </c>
      <c r="G338">
        <v>0</v>
      </c>
      <c r="H338">
        <v>1</v>
      </c>
      <c r="I338">
        <v>0</v>
      </c>
      <c r="J338">
        <v>1</v>
      </c>
      <c r="K338">
        <v>56.19</v>
      </c>
      <c r="L338">
        <v>54.95</v>
      </c>
    </row>
    <row r="339" spans="1:12" x14ac:dyDescent="0.2">
      <c r="A339" s="4">
        <v>338</v>
      </c>
      <c r="B339" t="s">
        <v>240</v>
      </c>
      <c r="C339">
        <v>55.33</v>
      </c>
      <c r="D339">
        <v>3</v>
      </c>
      <c r="E339">
        <v>22</v>
      </c>
      <c r="F339">
        <v>69.5</v>
      </c>
      <c r="G339">
        <v>0</v>
      </c>
      <c r="H339">
        <v>0</v>
      </c>
      <c r="I339">
        <v>0</v>
      </c>
      <c r="J339">
        <v>2</v>
      </c>
      <c r="K339">
        <v>55.64</v>
      </c>
      <c r="L339">
        <v>54.7</v>
      </c>
    </row>
    <row r="340" spans="1:12" x14ac:dyDescent="0.2">
      <c r="A340" s="4">
        <v>339</v>
      </c>
      <c r="B340" t="s">
        <v>173</v>
      </c>
      <c r="C340">
        <v>55.09</v>
      </c>
      <c r="D340">
        <v>4</v>
      </c>
      <c r="E340">
        <v>23</v>
      </c>
      <c r="F340">
        <v>67.94</v>
      </c>
      <c r="G340">
        <v>0</v>
      </c>
      <c r="H340">
        <v>0</v>
      </c>
      <c r="I340">
        <v>0</v>
      </c>
      <c r="J340">
        <v>2</v>
      </c>
      <c r="K340">
        <v>54.84</v>
      </c>
      <c r="L340">
        <v>55.05</v>
      </c>
    </row>
    <row r="341" spans="1:12" x14ac:dyDescent="0.2">
      <c r="A341" s="4">
        <v>340</v>
      </c>
      <c r="B341" t="s">
        <v>166</v>
      </c>
      <c r="C341">
        <v>54.76</v>
      </c>
      <c r="D341">
        <v>5</v>
      </c>
      <c r="E341">
        <v>26</v>
      </c>
      <c r="F341">
        <v>64.790000000000006</v>
      </c>
      <c r="G341">
        <v>0</v>
      </c>
      <c r="H341">
        <v>1</v>
      </c>
      <c r="I341">
        <v>0</v>
      </c>
      <c r="J341">
        <v>1</v>
      </c>
      <c r="K341">
        <v>52.8</v>
      </c>
      <c r="L341">
        <v>55.92</v>
      </c>
    </row>
    <row r="342" spans="1:12" x14ac:dyDescent="0.2">
      <c r="A342" s="4">
        <v>341</v>
      </c>
      <c r="B342" t="s">
        <v>882</v>
      </c>
      <c r="C342">
        <v>53.87</v>
      </c>
      <c r="D342">
        <v>7</v>
      </c>
      <c r="E342">
        <v>21</v>
      </c>
      <c r="F342">
        <v>63.28</v>
      </c>
      <c r="G342">
        <v>0</v>
      </c>
      <c r="H342">
        <v>0</v>
      </c>
      <c r="I342">
        <v>0</v>
      </c>
      <c r="J342">
        <v>0</v>
      </c>
      <c r="K342">
        <v>53.65</v>
      </c>
      <c r="L342">
        <v>53.79</v>
      </c>
    </row>
    <row r="343" spans="1:12" x14ac:dyDescent="0.2">
      <c r="A343" s="4">
        <v>342</v>
      </c>
      <c r="B343" t="s">
        <v>265</v>
      </c>
      <c r="C343">
        <v>53.57</v>
      </c>
      <c r="D343">
        <v>6</v>
      </c>
      <c r="E343">
        <v>22</v>
      </c>
      <c r="F343">
        <v>64.3</v>
      </c>
      <c r="G343">
        <v>0</v>
      </c>
      <c r="H343">
        <v>2</v>
      </c>
      <c r="I343">
        <v>0</v>
      </c>
      <c r="J343">
        <v>2</v>
      </c>
      <c r="K343">
        <v>53.4</v>
      </c>
      <c r="L343">
        <v>53.46</v>
      </c>
    </row>
    <row r="344" spans="1:12" x14ac:dyDescent="0.2">
      <c r="A344" s="4">
        <v>343</v>
      </c>
      <c r="B344" t="s">
        <v>824</v>
      </c>
      <c r="C344">
        <v>53.44</v>
      </c>
      <c r="D344">
        <v>6</v>
      </c>
      <c r="E344">
        <v>22</v>
      </c>
      <c r="F344">
        <v>64.7</v>
      </c>
      <c r="G344">
        <v>0</v>
      </c>
      <c r="H344">
        <v>0</v>
      </c>
      <c r="I344">
        <v>0</v>
      </c>
      <c r="J344">
        <v>0</v>
      </c>
      <c r="K344">
        <v>53.51</v>
      </c>
      <c r="L344">
        <v>53.08</v>
      </c>
    </row>
    <row r="345" spans="1:12" x14ac:dyDescent="0.2">
      <c r="A345" s="4">
        <v>344</v>
      </c>
      <c r="B345" t="s">
        <v>867</v>
      </c>
      <c r="C345">
        <v>53.07</v>
      </c>
      <c r="D345">
        <v>6</v>
      </c>
      <c r="E345">
        <v>21</v>
      </c>
      <c r="F345">
        <v>62.61</v>
      </c>
      <c r="G345">
        <v>0</v>
      </c>
      <c r="H345">
        <v>1</v>
      </c>
      <c r="I345">
        <v>0</v>
      </c>
      <c r="J345">
        <v>2</v>
      </c>
      <c r="K345">
        <v>52.98</v>
      </c>
      <c r="L345">
        <v>52.88</v>
      </c>
    </row>
    <row r="346" spans="1:12" x14ac:dyDescent="0.2">
      <c r="A346" s="4">
        <v>345</v>
      </c>
      <c r="B346" t="s">
        <v>898</v>
      </c>
      <c r="C346">
        <v>51.13</v>
      </c>
      <c r="D346">
        <v>5</v>
      </c>
      <c r="E346">
        <v>24</v>
      </c>
      <c r="F346">
        <v>62.93</v>
      </c>
      <c r="G346">
        <v>0</v>
      </c>
      <c r="H346">
        <v>2</v>
      </c>
      <c r="I346">
        <v>0</v>
      </c>
      <c r="J346">
        <v>3</v>
      </c>
      <c r="K346">
        <v>50.42</v>
      </c>
      <c r="L346">
        <v>51.46</v>
      </c>
    </row>
    <row r="347" spans="1:12" x14ac:dyDescent="0.2">
      <c r="A347" s="4">
        <v>346</v>
      </c>
      <c r="B347" t="s">
        <v>175</v>
      </c>
      <c r="C347">
        <v>48.84</v>
      </c>
      <c r="D347">
        <v>1</v>
      </c>
      <c r="E347">
        <v>29</v>
      </c>
      <c r="F347">
        <v>66.13</v>
      </c>
      <c r="G347">
        <v>0</v>
      </c>
      <c r="H347">
        <v>0</v>
      </c>
      <c r="I347">
        <v>0</v>
      </c>
      <c r="J347">
        <v>1</v>
      </c>
      <c r="K347">
        <v>47.69</v>
      </c>
      <c r="L347">
        <v>49.45</v>
      </c>
    </row>
    <row r="348" spans="1:12" x14ac:dyDescent="0.2">
      <c r="A348" s="4">
        <v>347</v>
      </c>
      <c r="B348" t="s">
        <v>842</v>
      </c>
      <c r="C348">
        <v>47.22</v>
      </c>
      <c r="D348">
        <v>2</v>
      </c>
      <c r="E348">
        <v>29</v>
      </c>
      <c r="F348">
        <v>65.48</v>
      </c>
      <c r="G348">
        <v>0</v>
      </c>
      <c r="H348">
        <v>2</v>
      </c>
      <c r="I348">
        <v>0</v>
      </c>
      <c r="J348">
        <v>3</v>
      </c>
      <c r="K348">
        <v>47.09</v>
      </c>
      <c r="L348">
        <v>47.06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1DF1-759D-4176-8D34-B02BC2DE2F75}">
  <dimension ref="A1:L348"/>
  <sheetViews>
    <sheetView topLeftCell="A60" workbookViewId="0">
      <selection activeCell="B80" sqref="B80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854</v>
      </c>
      <c r="L1" t="s">
        <v>28</v>
      </c>
    </row>
    <row r="2" spans="1:12" x14ac:dyDescent="0.2">
      <c r="A2" s="3">
        <v>1</v>
      </c>
      <c r="B2" t="s">
        <v>36</v>
      </c>
      <c r="C2">
        <v>96.5</v>
      </c>
      <c r="D2">
        <v>33</v>
      </c>
      <c r="E2">
        <v>4</v>
      </c>
      <c r="F2">
        <v>79.97</v>
      </c>
      <c r="G2">
        <v>8</v>
      </c>
      <c r="H2">
        <v>1</v>
      </c>
      <c r="I2">
        <v>14</v>
      </c>
      <c r="J2">
        <v>3</v>
      </c>
      <c r="K2">
        <v>97.14</v>
      </c>
      <c r="L2">
        <v>95.81</v>
      </c>
    </row>
    <row r="3" spans="1:12" x14ac:dyDescent="0.2">
      <c r="A3" s="3">
        <v>2</v>
      </c>
      <c r="B3" t="s">
        <v>37</v>
      </c>
      <c r="C3">
        <v>94.35</v>
      </c>
      <c r="D3">
        <v>31</v>
      </c>
      <c r="E3">
        <v>5</v>
      </c>
      <c r="F3">
        <v>79.75</v>
      </c>
      <c r="G3">
        <v>8</v>
      </c>
      <c r="H3">
        <v>4</v>
      </c>
      <c r="I3">
        <v>14</v>
      </c>
      <c r="J3">
        <v>5</v>
      </c>
      <c r="K3">
        <v>94.69</v>
      </c>
      <c r="L3">
        <v>93.86</v>
      </c>
    </row>
    <row r="4" spans="1:12" x14ac:dyDescent="0.2">
      <c r="A4" s="3">
        <v>3</v>
      </c>
      <c r="B4" t="s">
        <v>153</v>
      </c>
      <c r="C4">
        <v>92.39</v>
      </c>
      <c r="D4">
        <v>30</v>
      </c>
      <c r="E4">
        <v>5</v>
      </c>
      <c r="F4">
        <v>79.8</v>
      </c>
      <c r="G4">
        <v>8</v>
      </c>
      <c r="H4">
        <v>4</v>
      </c>
      <c r="I4">
        <v>11</v>
      </c>
      <c r="J4">
        <v>4</v>
      </c>
      <c r="K4">
        <v>92.99</v>
      </c>
      <c r="L4">
        <v>91.7</v>
      </c>
    </row>
    <row r="5" spans="1:12" x14ac:dyDescent="0.2">
      <c r="A5" s="3">
        <v>4</v>
      </c>
      <c r="B5" t="s">
        <v>104</v>
      </c>
      <c r="C5">
        <v>91.74</v>
      </c>
      <c r="D5">
        <v>31</v>
      </c>
      <c r="E5">
        <v>6</v>
      </c>
      <c r="F5">
        <v>79.510000000000005</v>
      </c>
      <c r="G5">
        <v>8</v>
      </c>
      <c r="H5">
        <v>2</v>
      </c>
      <c r="I5">
        <v>11</v>
      </c>
      <c r="J5">
        <v>4</v>
      </c>
      <c r="K5">
        <v>91.58</v>
      </c>
      <c r="L5">
        <v>91.68</v>
      </c>
    </row>
    <row r="6" spans="1:12" x14ac:dyDescent="0.2">
      <c r="A6" s="3">
        <v>5</v>
      </c>
      <c r="B6" t="s">
        <v>794</v>
      </c>
      <c r="C6">
        <v>91.31</v>
      </c>
      <c r="D6">
        <v>31</v>
      </c>
      <c r="E6">
        <v>7</v>
      </c>
      <c r="F6">
        <v>81.400000000000006</v>
      </c>
      <c r="G6">
        <v>9</v>
      </c>
      <c r="H6">
        <v>3</v>
      </c>
      <c r="I6">
        <v>18</v>
      </c>
      <c r="J6">
        <v>6</v>
      </c>
      <c r="K6">
        <v>94.18</v>
      </c>
      <c r="L6">
        <v>89.55</v>
      </c>
    </row>
    <row r="7" spans="1:12" x14ac:dyDescent="0.2">
      <c r="A7" s="3">
        <v>6</v>
      </c>
      <c r="B7" t="s">
        <v>9</v>
      </c>
      <c r="C7">
        <v>90.89</v>
      </c>
      <c r="D7">
        <v>30</v>
      </c>
      <c r="E7">
        <v>7</v>
      </c>
      <c r="F7">
        <v>80.239999999999995</v>
      </c>
      <c r="G7">
        <v>4</v>
      </c>
      <c r="H7">
        <v>5</v>
      </c>
      <c r="I7">
        <v>13</v>
      </c>
      <c r="J7">
        <v>6</v>
      </c>
      <c r="K7">
        <v>91.54</v>
      </c>
      <c r="L7">
        <v>90.16</v>
      </c>
    </row>
    <row r="8" spans="1:12" x14ac:dyDescent="0.2">
      <c r="A8" s="3">
        <v>7</v>
      </c>
      <c r="B8" t="s">
        <v>117</v>
      </c>
      <c r="C8">
        <v>90.87</v>
      </c>
      <c r="D8">
        <v>31</v>
      </c>
      <c r="E8">
        <v>7</v>
      </c>
      <c r="F8">
        <v>77.56</v>
      </c>
      <c r="G8">
        <v>7</v>
      </c>
      <c r="H8">
        <v>4</v>
      </c>
      <c r="I8">
        <v>12</v>
      </c>
      <c r="J8">
        <v>6</v>
      </c>
      <c r="K8">
        <v>90.62</v>
      </c>
      <c r="L8">
        <v>90.9</v>
      </c>
    </row>
    <row r="9" spans="1:12" x14ac:dyDescent="0.2">
      <c r="A9" s="3">
        <v>8</v>
      </c>
      <c r="B9" t="s">
        <v>45</v>
      </c>
      <c r="C9">
        <v>90.83</v>
      </c>
      <c r="D9">
        <v>30</v>
      </c>
      <c r="E9">
        <v>6</v>
      </c>
      <c r="F9">
        <v>78.760000000000005</v>
      </c>
      <c r="G9">
        <v>5</v>
      </c>
      <c r="H9">
        <v>5</v>
      </c>
      <c r="I9">
        <v>13</v>
      </c>
      <c r="J9">
        <v>5</v>
      </c>
      <c r="K9">
        <v>92.12</v>
      </c>
      <c r="L9">
        <v>89.71</v>
      </c>
    </row>
    <row r="10" spans="1:12" x14ac:dyDescent="0.2">
      <c r="A10" s="3">
        <v>9</v>
      </c>
      <c r="B10" t="s">
        <v>40</v>
      </c>
      <c r="C10">
        <v>90.57</v>
      </c>
      <c r="D10">
        <v>33</v>
      </c>
      <c r="E10">
        <v>4</v>
      </c>
      <c r="F10">
        <v>75.92</v>
      </c>
      <c r="G10">
        <v>1</v>
      </c>
      <c r="H10">
        <v>3</v>
      </c>
      <c r="I10">
        <v>3</v>
      </c>
      <c r="J10">
        <v>4</v>
      </c>
      <c r="K10">
        <v>89.39</v>
      </c>
      <c r="L10">
        <v>91.84</v>
      </c>
    </row>
    <row r="11" spans="1:12" x14ac:dyDescent="0.2">
      <c r="A11" s="3">
        <v>10</v>
      </c>
      <c r="B11" t="s">
        <v>11</v>
      </c>
      <c r="C11">
        <v>90.52</v>
      </c>
      <c r="D11">
        <v>30</v>
      </c>
      <c r="E11">
        <v>8</v>
      </c>
      <c r="F11">
        <v>79.3</v>
      </c>
      <c r="G11">
        <v>8</v>
      </c>
      <c r="H11">
        <v>7</v>
      </c>
      <c r="I11">
        <v>9</v>
      </c>
      <c r="J11">
        <v>8</v>
      </c>
      <c r="K11">
        <v>91.96</v>
      </c>
      <c r="L11">
        <v>89.31</v>
      </c>
    </row>
    <row r="12" spans="1:12" x14ac:dyDescent="0.2">
      <c r="A12" s="4">
        <v>11</v>
      </c>
      <c r="B12" t="s">
        <v>2</v>
      </c>
      <c r="C12">
        <v>89.39</v>
      </c>
      <c r="D12">
        <v>27</v>
      </c>
      <c r="E12">
        <v>8</v>
      </c>
      <c r="F12">
        <v>78.67</v>
      </c>
      <c r="G12">
        <v>5</v>
      </c>
      <c r="H12">
        <v>4</v>
      </c>
      <c r="I12">
        <v>10</v>
      </c>
      <c r="J12">
        <v>6</v>
      </c>
      <c r="K12">
        <v>89.02</v>
      </c>
      <c r="L12">
        <v>89.54</v>
      </c>
    </row>
    <row r="13" spans="1:12" x14ac:dyDescent="0.2">
      <c r="A13" s="4">
        <v>12</v>
      </c>
      <c r="B13" t="s">
        <v>0</v>
      </c>
      <c r="C13">
        <v>88.93</v>
      </c>
      <c r="D13">
        <v>27</v>
      </c>
      <c r="E13">
        <v>6</v>
      </c>
      <c r="F13">
        <v>75.73</v>
      </c>
      <c r="G13">
        <v>1</v>
      </c>
      <c r="H13">
        <v>3</v>
      </c>
      <c r="I13">
        <v>7</v>
      </c>
      <c r="J13">
        <v>5</v>
      </c>
      <c r="K13">
        <v>88</v>
      </c>
      <c r="L13">
        <v>89.79</v>
      </c>
    </row>
    <row r="14" spans="1:12" x14ac:dyDescent="0.2">
      <c r="A14" s="4">
        <v>13</v>
      </c>
      <c r="B14" t="s">
        <v>73</v>
      </c>
      <c r="C14">
        <v>88.76</v>
      </c>
      <c r="D14">
        <v>27</v>
      </c>
      <c r="E14">
        <v>10</v>
      </c>
      <c r="F14">
        <v>80.52</v>
      </c>
      <c r="G14">
        <v>7</v>
      </c>
      <c r="H14">
        <v>7</v>
      </c>
      <c r="I14">
        <v>10</v>
      </c>
      <c r="J14">
        <v>8</v>
      </c>
      <c r="K14">
        <v>88.97</v>
      </c>
      <c r="L14">
        <v>88.35</v>
      </c>
    </row>
    <row r="15" spans="1:12" x14ac:dyDescent="0.2">
      <c r="A15" s="4">
        <v>14</v>
      </c>
      <c r="B15" t="s">
        <v>16</v>
      </c>
      <c r="C15">
        <v>88.71</v>
      </c>
      <c r="D15">
        <v>27</v>
      </c>
      <c r="E15">
        <v>10</v>
      </c>
      <c r="F15">
        <v>79.12</v>
      </c>
      <c r="G15">
        <v>3</v>
      </c>
      <c r="H15">
        <v>6</v>
      </c>
      <c r="I15">
        <v>11</v>
      </c>
      <c r="J15">
        <v>9</v>
      </c>
      <c r="K15">
        <v>89.7</v>
      </c>
      <c r="L15">
        <v>87.73</v>
      </c>
    </row>
    <row r="16" spans="1:12" x14ac:dyDescent="0.2">
      <c r="A16" s="4">
        <v>15</v>
      </c>
      <c r="B16" t="s">
        <v>30</v>
      </c>
      <c r="C16">
        <v>87.84</v>
      </c>
      <c r="D16">
        <v>26</v>
      </c>
      <c r="E16">
        <v>9</v>
      </c>
      <c r="F16">
        <v>78.39</v>
      </c>
      <c r="G16">
        <v>1</v>
      </c>
      <c r="H16">
        <v>5</v>
      </c>
      <c r="I16">
        <v>7</v>
      </c>
      <c r="J16">
        <v>8</v>
      </c>
      <c r="K16">
        <v>86.76</v>
      </c>
      <c r="L16">
        <v>88.89</v>
      </c>
    </row>
    <row r="17" spans="1:12" x14ac:dyDescent="0.2">
      <c r="A17" s="4">
        <v>16</v>
      </c>
      <c r="B17" t="s">
        <v>111</v>
      </c>
      <c r="C17">
        <v>87.63</v>
      </c>
      <c r="D17">
        <v>26</v>
      </c>
      <c r="E17">
        <v>9</v>
      </c>
      <c r="F17">
        <v>79.069999999999993</v>
      </c>
      <c r="G17">
        <v>4</v>
      </c>
      <c r="H17">
        <v>4</v>
      </c>
      <c r="I17">
        <v>7</v>
      </c>
      <c r="J17">
        <v>8</v>
      </c>
      <c r="K17">
        <v>86.89</v>
      </c>
      <c r="L17">
        <v>88.23</v>
      </c>
    </row>
    <row r="18" spans="1:12" x14ac:dyDescent="0.2">
      <c r="A18" s="4">
        <v>17</v>
      </c>
      <c r="B18" t="s">
        <v>811</v>
      </c>
      <c r="C18">
        <v>87.4</v>
      </c>
      <c r="D18">
        <v>25</v>
      </c>
      <c r="E18">
        <v>10</v>
      </c>
      <c r="F18">
        <v>79.150000000000006</v>
      </c>
      <c r="G18">
        <v>3</v>
      </c>
      <c r="H18">
        <v>3</v>
      </c>
      <c r="I18">
        <v>10</v>
      </c>
      <c r="J18">
        <v>7</v>
      </c>
      <c r="K18">
        <v>86.47</v>
      </c>
      <c r="L18">
        <v>88.25</v>
      </c>
    </row>
    <row r="19" spans="1:12" x14ac:dyDescent="0.2">
      <c r="A19" s="4">
        <v>18</v>
      </c>
      <c r="B19" t="s">
        <v>72</v>
      </c>
      <c r="C19">
        <v>87.29</v>
      </c>
      <c r="D19">
        <v>23</v>
      </c>
      <c r="E19">
        <v>12</v>
      </c>
      <c r="F19">
        <v>80.14</v>
      </c>
      <c r="G19">
        <v>2</v>
      </c>
      <c r="H19">
        <v>8</v>
      </c>
      <c r="I19">
        <v>6</v>
      </c>
      <c r="J19">
        <v>8</v>
      </c>
      <c r="K19">
        <v>85.63</v>
      </c>
      <c r="L19">
        <v>89.37</v>
      </c>
    </row>
    <row r="20" spans="1:12" x14ac:dyDescent="0.2">
      <c r="A20" s="4">
        <v>19</v>
      </c>
      <c r="B20" t="s">
        <v>51</v>
      </c>
      <c r="C20">
        <v>86.92</v>
      </c>
      <c r="D20">
        <v>27</v>
      </c>
      <c r="E20">
        <v>8</v>
      </c>
      <c r="F20">
        <v>76.83</v>
      </c>
      <c r="G20">
        <v>2</v>
      </c>
      <c r="H20">
        <v>2</v>
      </c>
      <c r="I20">
        <v>4</v>
      </c>
      <c r="J20">
        <v>3</v>
      </c>
      <c r="K20">
        <v>86.69</v>
      </c>
      <c r="L20">
        <v>86.94</v>
      </c>
    </row>
    <row r="21" spans="1:12" x14ac:dyDescent="0.2">
      <c r="A21" s="4">
        <v>20</v>
      </c>
      <c r="B21" t="s">
        <v>65</v>
      </c>
      <c r="C21">
        <v>86.79</v>
      </c>
      <c r="D21">
        <v>25</v>
      </c>
      <c r="E21">
        <v>10</v>
      </c>
      <c r="F21">
        <v>78.11</v>
      </c>
      <c r="G21">
        <v>2</v>
      </c>
      <c r="H21">
        <v>7</v>
      </c>
      <c r="I21">
        <v>7</v>
      </c>
      <c r="J21">
        <v>8</v>
      </c>
      <c r="K21">
        <v>86.63</v>
      </c>
      <c r="L21">
        <v>86.73</v>
      </c>
    </row>
    <row r="22" spans="1:12" x14ac:dyDescent="0.2">
      <c r="A22" s="4">
        <v>21</v>
      </c>
      <c r="B22" t="s">
        <v>53</v>
      </c>
      <c r="C22">
        <v>86.62</v>
      </c>
      <c r="D22">
        <v>24</v>
      </c>
      <c r="E22">
        <v>7</v>
      </c>
      <c r="F22">
        <v>77.349999999999994</v>
      </c>
      <c r="G22">
        <v>4</v>
      </c>
      <c r="H22">
        <v>1</v>
      </c>
      <c r="I22">
        <v>8</v>
      </c>
      <c r="J22">
        <v>3</v>
      </c>
      <c r="K22">
        <v>86.97</v>
      </c>
      <c r="L22">
        <v>86.1</v>
      </c>
    </row>
    <row r="23" spans="1:12" x14ac:dyDescent="0.2">
      <c r="A23" s="4">
        <v>22</v>
      </c>
      <c r="B23" t="s">
        <v>38</v>
      </c>
      <c r="C23">
        <v>86.6</v>
      </c>
      <c r="D23">
        <v>23</v>
      </c>
      <c r="E23">
        <v>12</v>
      </c>
      <c r="F23">
        <v>79.59</v>
      </c>
      <c r="G23">
        <v>4</v>
      </c>
      <c r="H23">
        <v>6</v>
      </c>
      <c r="I23">
        <v>10</v>
      </c>
      <c r="J23">
        <v>10</v>
      </c>
      <c r="K23">
        <v>86.36</v>
      </c>
      <c r="L23">
        <v>86.61</v>
      </c>
    </row>
    <row r="24" spans="1:12" x14ac:dyDescent="0.2">
      <c r="A24" s="4">
        <v>23</v>
      </c>
      <c r="B24" t="s">
        <v>34</v>
      </c>
      <c r="C24">
        <v>86.25</v>
      </c>
      <c r="D24">
        <v>24</v>
      </c>
      <c r="E24">
        <v>10</v>
      </c>
      <c r="F24">
        <v>78.599999999999994</v>
      </c>
      <c r="G24">
        <v>3</v>
      </c>
      <c r="H24">
        <v>4</v>
      </c>
      <c r="I24">
        <v>9</v>
      </c>
      <c r="J24">
        <v>9</v>
      </c>
      <c r="K24">
        <v>86.97</v>
      </c>
      <c r="L24">
        <v>85.44</v>
      </c>
    </row>
    <row r="25" spans="1:12" x14ac:dyDescent="0.2">
      <c r="A25" s="4">
        <v>24</v>
      </c>
      <c r="B25" t="s">
        <v>790</v>
      </c>
      <c r="C25">
        <v>85.93</v>
      </c>
      <c r="D25">
        <v>23</v>
      </c>
      <c r="E25">
        <v>12</v>
      </c>
      <c r="F25">
        <v>79.510000000000005</v>
      </c>
      <c r="G25">
        <v>2</v>
      </c>
      <c r="H25">
        <v>0</v>
      </c>
      <c r="I25">
        <v>6</v>
      </c>
      <c r="J25">
        <v>12</v>
      </c>
      <c r="K25">
        <v>86.58</v>
      </c>
      <c r="L25">
        <v>85.16</v>
      </c>
    </row>
    <row r="26" spans="1:12" x14ac:dyDescent="0.2">
      <c r="A26" s="4">
        <v>25</v>
      </c>
      <c r="B26" t="s">
        <v>78</v>
      </c>
      <c r="C26">
        <v>85.86</v>
      </c>
      <c r="D26">
        <v>23</v>
      </c>
      <c r="E26">
        <v>9</v>
      </c>
      <c r="F26">
        <v>77.31</v>
      </c>
      <c r="G26">
        <v>2</v>
      </c>
      <c r="H26">
        <v>3</v>
      </c>
      <c r="I26">
        <v>4</v>
      </c>
      <c r="J26">
        <v>6</v>
      </c>
      <c r="K26">
        <v>84.99</v>
      </c>
      <c r="L26">
        <v>86.61</v>
      </c>
    </row>
    <row r="27" spans="1:12" x14ac:dyDescent="0.2">
      <c r="A27" s="4">
        <v>26</v>
      </c>
      <c r="B27" t="s">
        <v>877</v>
      </c>
      <c r="C27">
        <v>85.25</v>
      </c>
      <c r="D27">
        <v>22</v>
      </c>
      <c r="E27">
        <v>13</v>
      </c>
      <c r="F27">
        <v>80.069999999999993</v>
      </c>
      <c r="G27">
        <v>3</v>
      </c>
      <c r="H27">
        <v>8</v>
      </c>
      <c r="I27">
        <v>6</v>
      </c>
      <c r="J27">
        <v>10</v>
      </c>
      <c r="K27">
        <v>84.61</v>
      </c>
      <c r="L27">
        <v>85.7</v>
      </c>
    </row>
    <row r="28" spans="1:12" x14ac:dyDescent="0.2">
      <c r="A28" s="4">
        <v>27</v>
      </c>
      <c r="B28" t="s">
        <v>8</v>
      </c>
      <c r="C28">
        <v>85.01</v>
      </c>
      <c r="D28">
        <v>23</v>
      </c>
      <c r="E28">
        <v>15</v>
      </c>
      <c r="F28">
        <v>79.349999999999994</v>
      </c>
      <c r="G28">
        <v>4</v>
      </c>
      <c r="H28">
        <v>9</v>
      </c>
      <c r="I28">
        <v>8</v>
      </c>
      <c r="J28">
        <v>11</v>
      </c>
      <c r="K28">
        <v>85.19</v>
      </c>
      <c r="L28">
        <v>84.63</v>
      </c>
    </row>
    <row r="29" spans="1:12" x14ac:dyDescent="0.2">
      <c r="A29" s="4">
        <v>28</v>
      </c>
      <c r="B29" t="s">
        <v>809</v>
      </c>
      <c r="C29">
        <v>84.98</v>
      </c>
      <c r="D29">
        <v>22</v>
      </c>
      <c r="E29">
        <v>11</v>
      </c>
      <c r="F29">
        <v>79.37</v>
      </c>
      <c r="G29">
        <v>2</v>
      </c>
      <c r="H29">
        <v>7</v>
      </c>
      <c r="I29">
        <v>10</v>
      </c>
      <c r="J29">
        <v>9</v>
      </c>
      <c r="K29">
        <v>86.39</v>
      </c>
      <c r="L29">
        <v>83.68</v>
      </c>
    </row>
    <row r="30" spans="1:12" x14ac:dyDescent="0.2">
      <c r="A30" s="4">
        <v>29</v>
      </c>
      <c r="B30" t="s">
        <v>43</v>
      </c>
      <c r="C30">
        <v>84.65</v>
      </c>
      <c r="D30">
        <v>20</v>
      </c>
      <c r="E30">
        <v>13</v>
      </c>
      <c r="F30">
        <v>80</v>
      </c>
      <c r="G30">
        <v>1</v>
      </c>
      <c r="H30">
        <v>8</v>
      </c>
      <c r="I30">
        <v>7</v>
      </c>
      <c r="J30">
        <v>11</v>
      </c>
      <c r="K30">
        <v>85.23</v>
      </c>
      <c r="L30">
        <v>83.92</v>
      </c>
    </row>
    <row r="31" spans="1:12" x14ac:dyDescent="0.2">
      <c r="A31" s="4">
        <v>30</v>
      </c>
      <c r="B31" t="s">
        <v>793</v>
      </c>
      <c r="C31">
        <v>84.62</v>
      </c>
      <c r="D31">
        <v>25</v>
      </c>
      <c r="E31">
        <v>10</v>
      </c>
      <c r="F31">
        <v>79.33</v>
      </c>
      <c r="G31">
        <v>3</v>
      </c>
      <c r="H31">
        <v>6</v>
      </c>
      <c r="I31">
        <v>7</v>
      </c>
      <c r="J31">
        <v>8</v>
      </c>
      <c r="K31">
        <v>86.87</v>
      </c>
      <c r="L31">
        <v>82.83</v>
      </c>
    </row>
    <row r="32" spans="1:12" x14ac:dyDescent="0.2">
      <c r="A32" s="4">
        <v>31</v>
      </c>
      <c r="B32" t="s">
        <v>58</v>
      </c>
      <c r="C32">
        <v>84.52</v>
      </c>
      <c r="D32">
        <v>24</v>
      </c>
      <c r="E32">
        <v>8</v>
      </c>
      <c r="F32">
        <v>75.319999999999993</v>
      </c>
      <c r="G32">
        <v>0</v>
      </c>
      <c r="H32">
        <v>2</v>
      </c>
      <c r="I32">
        <v>4</v>
      </c>
      <c r="J32">
        <v>5</v>
      </c>
      <c r="K32">
        <v>82.93</v>
      </c>
      <c r="L32">
        <v>86.3</v>
      </c>
    </row>
    <row r="33" spans="1:12" x14ac:dyDescent="0.2">
      <c r="A33" s="4">
        <v>32</v>
      </c>
      <c r="B33" t="s">
        <v>131</v>
      </c>
      <c r="C33">
        <v>84.44</v>
      </c>
      <c r="D33">
        <v>22</v>
      </c>
      <c r="E33">
        <v>11</v>
      </c>
      <c r="F33">
        <v>78.489999999999995</v>
      </c>
      <c r="G33">
        <v>3</v>
      </c>
      <c r="H33">
        <v>4</v>
      </c>
      <c r="I33">
        <v>7</v>
      </c>
      <c r="J33">
        <v>8</v>
      </c>
      <c r="K33">
        <v>84.49</v>
      </c>
      <c r="L33">
        <v>84.18</v>
      </c>
    </row>
    <row r="34" spans="1:12" x14ac:dyDescent="0.2">
      <c r="A34" s="4">
        <v>33</v>
      </c>
      <c r="B34" t="s">
        <v>817</v>
      </c>
      <c r="C34">
        <v>84.15</v>
      </c>
      <c r="D34">
        <v>27</v>
      </c>
      <c r="E34">
        <v>11</v>
      </c>
      <c r="F34">
        <v>76.89</v>
      </c>
      <c r="G34">
        <v>4</v>
      </c>
      <c r="H34">
        <v>3</v>
      </c>
      <c r="I34">
        <v>9</v>
      </c>
      <c r="J34">
        <v>8</v>
      </c>
      <c r="K34">
        <v>87.54</v>
      </c>
      <c r="L34">
        <v>81.84</v>
      </c>
    </row>
    <row r="35" spans="1:12" x14ac:dyDescent="0.2">
      <c r="A35" s="4">
        <v>34</v>
      </c>
      <c r="B35" t="s">
        <v>39</v>
      </c>
      <c r="C35">
        <v>84.12</v>
      </c>
      <c r="D35">
        <v>20</v>
      </c>
      <c r="E35">
        <v>14</v>
      </c>
      <c r="F35">
        <v>80.27</v>
      </c>
      <c r="G35">
        <v>5</v>
      </c>
      <c r="H35">
        <v>7</v>
      </c>
      <c r="I35">
        <v>8</v>
      </c>
      <c r="J35">
        <v>13</v>
      </c>
      <c r="K35">
        <v>86.03</v>
      </c>
      <c r="L35">
        <v>82.5</v>
      </c>
    </row>
    <row r="36" spans="1:12" x14ac:dyDescent="0.2">
      <c r="A36" s="4">
        <v>35</v>
      </c>
      <c r="B36" t="s">
        <v>273</v>
      </c>
      <c r="C36">
        <v>84.09</v>
      </c>
      <c r="D36">
        <v>27</v>
      </c>
      <c r="E36">
        <v>8</v>
      </c>
      <c r="F36">
        <v>74.290000000000006</v>
      </c>
      <c r="G36">
        <v>0</v>
      </c>
      <c r="H36">
        <v>2</v>
      </c>
      <c r="I36">
        <v>3</v>
      </c>
      <c r="J36">
        <v>4</v>
      </c>
      <c r="K36">
        <v>84.84</v>
      </c>
      <c r="L36">
        <v>83.23</v>
      </c>
    </row>
    <row r="37" spans="1:12" x14ac:dyDescent="0.2">
      <c r="A37" s="4">
        <v>36</v>
      </c>
      <c r="B37" t="s">
        <v>103</v>
      </c>
      <c r="C37">
        <v>83.88</v>
      </c>
      <c r="D37">
        <v>21</v>
      </c>
      <c r="E37">
        <v>11</v>
      </c>
      <c r="F37">
        <v>78.959999999999994</v>
      </c>
      <c r="G37">
        <v>2</v>
      </c>
      <c r="H37">
        <v>6</v>
      </c>
      <c r="I37">
        <v>6</v>
      </c>
      <c r="J37">
        <v>10</v>
      </c>
      <c r="K37">
        <v>85.51</v>
      </c>
      <c r="L37">
        <v>82.43</v>
      </c>
    </row>
    <row r="38" spans="1:12" x14ac:dyDescent="0.2">
      <c r="A38" s="4">
        <v>37</v>
      </c>
      <c r="B38" t="s">
        <v>113</v>
      </c>
      <c r="C38">
        <v>83.79</v>
      </c>
      <c r="D38">
        <v>24</v>
      </c>
      <c r="E38">
        <v>9</v>
      </c>
      <c r="F38">
        <v>77.459999999999994</v>
      </c>
      <c r="G38">
        <v>1</v>
      </c>
      <c r="H38">
        <v>1</v>
      </c>
      <c r="I38">
        <v>5</v>
      </c>
      <c r="J38">
        <v>6</v>
      </c>
      <c r="K38">
        <v>83.06</v>
      </c>
      <c r="L38">
        <v>84.36</v>
      </c>
    </row>
    <row r="39" spans="1:12" x14ac:dyDescent="0.2">
      <c r="A39" s="4">
        <v>38</v>
      </c>
      <c r="B39" t="s">
        <v>6</v>
      </c>
      <c r="C39">
        <v>83.75</v>
      </c>
      <c r="D39">
        <v>21</v>
      </c>
      <c r="E39">
        <v>14</v>
      </c>
      <c r="F39">
        <v>79.849999999999994</v>
      </c>
      <c r="G39">
        <v>4</v>
      </c>
      <c r="H39">
        <v>6</v>
      </c>
      <c r="I39">
        <v>7</v>
      </c>
      <c r="J39">
        <v>10</v>
      </c>
      <c r="K39">
        <v>84.07</v>
      </c>
      <c r="L39">
        <v>83.24</v>
      </c>
    </row>
    <row r="40" spans="1:12" x14ac:dyDescent="0.2">
      <c r="A40" s="4">
        <v>39</v>
      </c>
      <c r="B40" t="s">
        <v>54</v>
      </c>
      <c r="C40">
        <v>83.63</v>
      </c>
      <c r="D40">
        <v>21</v>
      </c>
      <c r="E40">
        <v>15</v>
      </c>
      <c r="F40">
        <v>78.95</v>
      </c>
      <c r="G40">
        <v>2</v>
      </c>
      <c r="H40">
        <v>1</v>
      </c>
      <c r="I40">
        <v>3</v>
      </c>
      <c r="J40">
        <v>13</v>
      </c>
      <c r="K40">
        <v>83.18</v>
      </c>
      <c r="L40">
        <v>83.87</v>
      </c>
    </row>
    <row r="41" spans="1:12" ht="12" customHeight="1" x14ac:dyDescent="0.2">
      <c r="A41" s="4">
        <v>40</v>
      </c>
      <c r="B41" t="s">
        <v>57</v>
      </c>
      <c r="C41">
        <v>83.62</v>
      </c>
      <c r="D41">
        <v>24</v>
      </c>
      <c r="E41">
        <v>10</v>
      </c>
      <c r="F41">
        <v>77.31</v>
      </c>
      <c r="G41">
        <v>3</v>
      </c>
      <c r="H41">
        <v>6</v>
      </c>
      <c r="I41">
        <v>7</v>
      </c>
      <c r="J41">
        <v>8</v>
      </c>
      <c r="K41">
        <v>85.67</v>
      </c>
      <c r="L41">
        <v>81.900000000000006</v>
      </c>
    </row>
    <row r="42" spans="1:12" x14ac:dyDescent="0.2">
      <c r="A42" s="4">
        <v>41</v>
      </c>
      <c r="B42" t="s">
        <v>872</v>
      </c>
      <c r="C42">
        <v>83.5</v>
      </c>
      <c r="D42">
        <v>18</v>
      </c>
      <c r="E42">
        <v>13</v>
      </c>
      <c r="F42">
        <v>78.709999999999994</v>
      </c>
      <c r="G42">
        <v>1</v>
      </c>
      <c r="H42">
        <v>5</v>
      </c>
      <c r="I42">
        <v>3</v>
      </c>
      <c r="J42">
        <v>9</v>
      </c>
      <c r="K42">
        <v>82.98</v>
      </c>
      <c r="L42">
        <v>83.81</v>
      </c>
    </row>
    <row r="43" spans="1:12" x14ac:dyDescent="0.2">
      <c r="A43" s="4">
        <v>42</v>
      </c>
      <c r="B43" t="s">
        <v>805</v>
      </c>
      <c r="C43">
        <v>83.42</v>
      </c>
      <c r="D43">
        <v>25</v>
      </c>
      <c r="E43">
        <v>10</v>
      </c>
      <c r="F43">
        <v>75.98</v>
      </c>
      <c r="G43">
        <v>0</v>
      </c>
      <c r="H43">
        <v>1</v>
      </c>
      <c r="I43">
        <v>4</v>
      </c>
      <c r="J43">
        <v>8</v>
      </c>
      <c r="K43">
        <v>82.65</v>
      </c>
      <c r="L43">
        <v>84.03</v>
      </c>
    </row>
    <row r="44" spans="1:12" x14ac:dyDescent="0.2">
      <c r="A44" s="4">
        <v>43</v>
      </c>
      <c r="B44" t="s">
        <v>106</v>
      </c>
      <c r="C44">
        <v>83.37</v>
      </c>
      <c r="D44">
        <v>25</v>
      </c>
      <c r="E44">
        <v>6</v>
      </c>
      <c r="F44">
        <v>74.489999999999995</v>
      </c>
      <c r="G44">
        <v>1</v>
      </c>
      <c r="H44">
        <v>0</v>
      </c>
      <c r="I44">
        <v>1</v>
      </c>
      <c r="J44">
        <v>2</v>
      </c>
      <c r="K44">
        <v>83.72</v>
      </c>
      <c r="L44">
        <v>82.84</v>
      </c>
    </row>
    <row r="45" spans="1:12" x14ac:dyDescent="0.2">
      <c r="A45" s="4">
        <v>44</v>
      </c>
      <c r="B45" t="s">
        <v>13</v>
      </c>
      <c r="C45">
        <v>83.27</v>
      </c>
      <c r="D45">
        <v>21</v>
      </c>
      <c r="E45">
        <v>13</v>
      </c>
      <c r="F45">
        <v>78.88</v>
      </c>
      <c r="G45">
        <v>1</v>
      </c>
      <c r="H45">
        <v>5</v>
      </c>
      <c r="I45">
        <v>4</v>
      </c>
      <c r="J45">
        <v>6</v>
      </c>
      <c r="K45">
        <v>81.88</v>
      </c>
      <c r="L45">
        <v>84.71</v>
      </c>
    </row>
    <row r="46" spans="1:12" x14ac:dyDescent="0.2">
      <c r="A46" s="4">
        <v>45</v>
      </c>
      <c r="B46" t="s">
        <v>147</v>
      </c>
      <c r="C46">
        <v>83.24</v>
      </c>
      <c r="D46">
        <v>16</v>
      </c>
      <c r="E46">
        <v>15</v>
      </c>
      <c r="F46">
        <v>80.400000000000006</v>
      </c>
      <c r="G46">
        <v>4</v>
      </c>
      <c r="H46">
        <v>7</v>
      </c>
      <c r="I46">
        <v>5</v>
      </c>
      <c r="J46">
        <v>10</v>
      </c>
      <c r="K46">
        <v>81.03</v>
      </c>
      <c r="L46">
        <v>86.09</v>
      </c>
    </row>
    <row r="47" spans="1:12" x14ac:dyDescent="0.2">
      <c r="A47" s="4">
        <v>46</v>
      </c>
      <c r="B47" t="s">
        <v>75</v>
      </c>
      <c r="C47">
        <v>82.97</v>
      </c>
      <c r="D47">
        <v>21</v>
      </c>
      <c r="E47">
        <v>14</v>
      </c>
      <c r="F47">
        <v>79.099999999999994</v>
      </c>
      <c r="G47">
        <v>3</v>
      </c>
      <c r="H47">
        <v>8</v>
      </c>
      <c r="I47">
        <v>6</v>
      </c>
      <c r="J47">
        <v>11</v>
      </c>
      <c r="K47">
        <v>83.86</v>
      </c>
      <c r="L47">
        <v>81.99</v>
      </c>
    </row>
    <row r="48" spans="1:12" x14ac:dyDescent="0.2">
      <c r="A48" s="4">
        <v>47</v>
      </c>
      <c r="B48" t="s">
        <v>875</v>
      </c>
      <c r="C48">
        <v>82.86</v>
      </c>
      <c r="D48">
        <v>26</v>
      </c>
      <c r="E48">
        <v>7</v>
      </c>
      <c r="F48">
        <v>73.959999999999994</v>
      </c>
      <c r="G48">
        <v>0</v>
      </c>
      <c r="H48">
        <v>3</v>
      </c>
      <c r="I48">
        <v>2</v>
      </c>
      <c r="J48">
        <v>4</v>
      </c>
      <c r="K48">
        <v>83.13</v>
      </c>
      <c r="L48">
        <v>82.39</v>
      </c>
    </row>
    <row r="49" spans="1:12" x14ac:dyDescent="0.2">
      <c r="A49" s="4">
        <v>48</v>
      </c>
      <c r="B49" t="s">
        <v>802</v>
      </c>
      <c r="C49">
        <v>82.69</v>
      </c>
      <c r="D49">
        <v>21</v>
      </c>
      <c r="E49">
        <v>12</v>
      </c>
      <c r="F49">
        <v>76.03</v>
      </c>
      <c r="G49">
        <v>2</v>
      </c>
      <c r="H49">
        <v>6</v>
      </c>
      <c r="I49">
        <v>3</v>
      </c>
      <c r="J49">
        <v>8</v>
      </c>
      <c r="K49">
        <v>81.88</v>
      </c>
      <c r="L49">
        <v>83.35</v>
      </c>
    </row>
    <row r="50" spans="1:12" x14ac:dyDescent="0.2">
      <c r="A50" s="4">
        <v>49</v>
      </c>
      <c r="B50" t="s">
        <v>60</v>
      </c>
      <c r="C50">
        <v>82.63</v>
      </c>
      <c r="D50">
        <v>25</v>
      </c>
      <c r="E50">
        <v>11</v>
      </c>
      <c r="F50">
        <v>74.27</v>
      </c>
      <c r="G50">
        <v>1</v>
      </c>
      <c r="H50">
        <v>1</v>
      </c>
      <c r="I50">
        <v>2</v>
      </c>
      <c r="J50">
        <v>6</v>
      </c>
      <c r="K50">
        <v>81.42</v>
      </c>
      <c r="L50">
        <v>83.78</v>
      </c>
    </row>
    <row r="51" spans="1:12" x14ac:dyDescent="0.2">
      <c r="A51" s="4">
        <v>50</v>
      </c>
      <c r="B51" t="s">
        <v>796</v>
      </c>
      <c r="C51">
        <v>82.48</v>
      </c>
      <c r="D51">
        <v>29</v>
      </c>
      <c r="E51">
        <v>5</v>
      </c>
      <c r="F51">
        <v>71.87</v>
      </c>
      <c r="G51">
        <v>0</v>
      </c>
      <c r="H51">
        <v>1</v>
      </c>
      <c r="I51">
        <v>1</v>
      </c>
      <c r="J51">
        <v>3</v>
      </c>
      <c r="K51">
        <v>82.49</v>
      </c>
      <c r="L51">
        <v>82.25</v>
      </c>
    </row>
    <row r="52" spans="1:12" x14ac:dyDescent="0.2">
      <c r="A52" s="4">
        <v>51</v>
      </c>
      <c r="B52" t="s">
        <v>15</v>
      </c>
      <c r="C52">
        <v>82.18</v>
      </c>
      <c r="D52">
        <v>22</v>
      </c>
      <c r="E52">
        <v>14</v>
      </c>
      <c r="F52">
        <v>75.89</v>
      </c>
      <c r="G52">
        <v>1</v>
      </c>
      <c r="H52">
        <v>2</v>
      </c>
      <c r="I52">
        <v>5</v>
      </c>
      <c r="J52">
        <v>7</v>
      </c>
      <c r="K52">
        <v>80.650000000000006</v>
      </c>
      <c r="L52">
        <v>83.79</v>
      </c>
    </row>
    <row r="53" spans="1:12" x14ac:dyDescent="0.2">
      <c r="A53" s="4">
        <v>52</v>
      </c>
      <c r="B53" t="s">
        <v>807</v>
      </c>
      <c r="C53">
        <v>82.05</v>
      </c>
      <c r="D53">
        <v>17</v>
      </c>
      <c r="E53">
        <v>16</v>
      </c>
      <c r="F53">
        <v>79.14</v>
      </c>
      <c r="G53">
        <v>3</v>
      </c>
      <c r="H53">
        <v>6</v>
      </c>
      <c r="I53">
        <v>4</v>
      </c>
      <c r="J53">
        <v>14</v>
      </c>
      <c r="K53">
        <v>80.77</v>
      </c>
      <c r="L53">
        <v>83.31</v>
      </c>
    </row>
    <row r="54" spans="1:12" x14ac:dyDescent="0.2">
      <c r="A54" s="4">
        <v>53</v>
      </c>
      <c r="B54" t="s">
        <v>196</v>
      </c>
      <c r="C54">
        <v>82.05</v>
      </c>
      <c r="D54">
        <v>27</v>
      </c>
      <c r="E54">
        <v>8</v>
      </c>
      <c r="F54">
        <v>74.040000000000006</v>
      </c>
      <c r="G54">
        <v>0</v>
      </c>
      <c r="H54">
        <v>4</v>
      </c>
      <c r="I54">
        <v>1</v>
      </c>
      <c r="J54">
        <v>5</v>
      </c>
      <c r="K54">
        <v>83.17</v>
      </c>
      <c r="L54">
        <v>80.89</v>
      </c>
    </row>
    <row r="55" spans="1:12" x14ac:dyDescent="0.2">
      <c r="A55" s="4">
        <v>54</v>
      </c>
      <c r="B55" t="s">
        <v>98</v>
      </c>
      <c r="C55">
        <v>81.94</v>
      </c>
      <c r="D55">
        <v>20</v>
      </c>
      <c r="E55">
        <v>14</v>
      </c>
      <c r="F55">
        <v>77.849999999999994</v>
      </c>
      <c r="G55">
        <v>1</v>
      </c>
      <c r="H55">
        <v>6</v>
      </c>
      <c r="I55">
        <v>4</v>
      </c>
      <c r="J55">
        <v>9</v>
      </c>
      <c r="K55">
        <v>80.95</v>
      </c>
      <c r="L55">
        <v>82.82</v>
      </c>
    </row>
    <row r="56" spans="1:12" x14ac:dyDescent="0.2">
      <c r="A56" s="4">
        <v>55</v>
      </c>
      <c r="B56" t="s">
        <v>112</v>
      </c>
      <c r="C56">
        <v>81.93</v>
      </c>
      <c r="D56">
        <v>22</v>
      </c>
      <c r="E56">
        <v>12</v>
      </c>
      <c r="F56">
        <v>77.180000000000007</v>
      </c>
      <c r="G56">
        <v>1</v>
      </c>
      <c r="H56">
        <v>5</v>
      </c>
      <c r="I56">
        <v>3</v>
      </c>
      <c r="J56">
        <v>5</v>
      </c>
      <c r="K56">
        <v>81.42</v>
      </c>
      <c r="L56">
        <v>82.24</v>
      </c>
    </row>
    <row r="57" spans="1:12" x14ac:dyDescent="0.2">
      <c r="A57" s="4">
        <v>56</v>
      </c>
      <c r="B57" t="s">
        <v>66</v>
      </c>
      <c r="C57">
        <v>81.81</v>
      </c>
      <c r="D57">
        <v>22</v>
      </c>
      <c r="E57">
        <v>12</v>
      </c>
      <c r="F57">
        <v>76.14</v>
      </c>
      <c r="G57">
        <v>0</v>
      </c>
      <c r="H57">
        <v>4</v>
      </c>
      <c r="I57">
        <v>1</v>
      </c>
      <c r="J57">
        <v>6</v>
      </c>
      <c r="K57">
        <v>80.83</v>
      </c>
      <c r="L57">
        <v>82.66</v>
      </c>
    </row>
    <row r="58" spans="1:12" x14ac:dyDescent="0.2">
      <c r="A58" s="4">
        <v>57</v>
      </c>
      <c r="B58" t="s">
        <v>62</v>
      </c>
      <c r="C58">
        <v>81.650000000000006</v>
      </c>
      <c r="D58">
        <v>27</v>
      </c>
      <c r="E58">
        <v>8</v>
      </c>
      <c r="F58">
        <v>74.05</v>
      </c>
      <c r="G58">
        <v>3</v>
      </c>
      <c r="H58">
        <v>2</v>
      </c>
      <c r="I58">
        <v>3</v>
      </c>
      <c r="J58">
        <v>2</v>
      </c>
      <c r="K58">
        <v>83.73</v>
      </c>
      <c r="L58">
        <v>79.849999999999994</v>
      </c>
    </row>
    <row r="59" spans="1:12" x14ac:dyDescent="0.2">
      <c r="A59" s="4">
        <v>58</v>
      </c>
      <c r="B59" t="s">
        <v>129</v>
      </c>
      <c r="C59">
        <v>81.459999999999994</v>
      </c>
      <c r="D59">
        <v>23</v>
      </c>
      <c r="E59">
        <v>11</v>
      </c>
      <c r="F59">
        <v>74.849999999999994</v>
      </c>
      <c r="G59">
        <v>0</v>
      </c>
      <c r="H59">
        <v>4</v>
      </c>
      <c r="I59">
        <v>1</v>
      </c>
      <c r="J59">
        <v>5</v>
      </c>
      <c r="K59">
        <v>81.96</v>
      </c>
      <c r="L59">
        <v>80.8</v>
      </c>
    </row>
    <row r="60" spans="1:12" x14ac:dyDescent="0.2">
      <c r="A60" s="4">
        <v>59</v>
      </c>
      <c r="B60" t="s">
        <v>79</v>
      </c>
      <c r="C60">
        <v>81.430000000000007</v>
      </c>
      <c r="D60">
        <v>17</v>
      </c>
      <c r="E60">
        <v>14</v>
      </c>
      <c r="F60">
        <v>78.59</v>
      </c>
      <c r="G60">
        <v>2</v>
      </c>
      <c r="H60">
        <v>3</v>
      </c>
      <c r="I60">
        <v>6</v>
      </c>
      <c r="J60">
        <v>11</v>
      </c>
      <c r="K60">
        <v>81.98</v>
      </c>
      <c r="L60">
        <v>80.72</v>
      </c>
    </row>
    <row r="61" spans="1:12" x14ac:dyDescent="0.2">
      <c r="A61" s="4">
        <v>60</v>
      </c>
      <c r="B61" t="s">
        <v>64</v>
      </c>
      <c r="C61">
        <v>81.39</v>
      </c>
      <c r="D61">
        <v>26</v>
      </c>
      <c r="E61">
        <v>8</v>
      </c>
      <c r="F61">
        <v>70.959999999999994</v>
      </c>
      <c r="G61">
        <v>1</v>
      </c>
      <c r="H61">
        <v>3</v>
      </c>
      <c r="I61">
        <v>1</v>
      </c>
      <c r="J61">
        <v>5</v>
      </c>
      <c r="K61">
        <v>81.53</v>
      </c>
      <c r="L61">
        <v>81.040000000000006</v>
      </c>
    </row>
    <row r="62" spans="1:12" x14ac:dyDescent="0.2">
      <c r="A62" s="4">
        <v>61</v>
      </c>
      <c r="B62" t="s">
        <v>122</v>
      </c>
      <c r="C62">
        <v>81.34</v>
      </c>
      <c r="D62">
        <v>22</v>
      </c>
      <c r="E62">
        <v>12</v>
      </c>
      <c r="F62">
        <v>77.12</v>
      </c>
      <c r="G62">
        <v>2</v>
      </c>
      <c r="H62">
        <v>5</v>
      </c>
      <c r="I62">
        <v>4</v>
      </c>
      <c r="J62">
        <v>8</v>
      </c>
      <c r="K62">
        <v>82.4</v>
      </c>
      <c r="L62">
        <v>80.22</v>
      </c>
    </row>
    <row r="63" spans="1:12" x14ac:dyDescent="0.2">
      <c r="A63" s="4">
        <v>62</v>
      </c>
      <c r="B63" t="s">
        <v>276</v>
      </c>
      <c r="C63">
        <v>81.12</v>
      </c>
      <c r="D63">
        <v>22</v>
      </c>
      <c r="E63">
        <v>12</v>
      </c>
      <c r="F63">
        <v>74.87</v>
      </c>
      <c r="G63">
        <v>0</v>
      </c>
      <c r="H63">
        <v>0</v>
      </c>
      <c r="I63">
        <v>3</v>
      </c>
      <c r="J63">
        <v>4</v>
      </c>
      <c r="K63">
        <v>79.27</v>
      </c>
      <c r="L63">
        <v>83.16</v>
      </c>
    </row>
    <row r="64" spans="1:12" x14ac:dyDescent="0.2">
      <c r="A64" s="4">
        <v>63</v>
      </c>
      <c r="B64" t="s">
        <v>149</v>
      </c>
      <c r="C64">
        <v>80.95</v>
      </c>
      <c r="D64">
        <v>24</v>
      </c>
      <c r="E64">
        <v>11</v>
      </c>
      <c r="F64">
        <v>75.489999999999995</v>
      </c>
      <c r="G64">
        <v>0</v>
      </c>
      <c r="H64">
        <v>6</v>
      </c>
      <c r="I64">
        <v>1</v>
      </c>
      <c r="J64">
        <v>7</v>
      </c>
      <c r="K64">
        <v>81.22</v>
      </c>
      <c r="L64">
        <v>80.48</v>
      </c>
    </row>
    <row r="65" spans="1:12" x14ac:dyDescent="0.2">
      <c r="A65" s="4">
        <v>64</v>
      </c>
      <c r="B65" t="s">
        <v>840</v>
      </c>
      <c r="C65">
        <v>80.86</v>
      </c>
      <c r="D65">
        <v>23</v>
      </c>
      <c r="E65">
        <v>11</v>
      </c>
      <c r="F65">
        <v>75.290000000000006</v>
      </c>
      <c r="G65">
        <v>2</v>
      </c>
      <c r="H65">
        <v>2</v>
      </c>
      <c r="I65">
        <v>3</v>
      </c>
      <c r="J65">
        <v>6</v>
      </c>
      <c r="K65">
        <v>80.77</v>
      </c>
      <c r="L65">
        <v>80.73</v>
      </c>
    </row>
    <row r="66" spans="1:12" x14ac:dyDescent="0.2">
      <c r="A66" s="4">
        <v>65</v>
      </c>
      <c r="B66" t="s">
        <v>33</v>
      </c>
      <c r="C66">
        <v>80.849999999999994</v>
      </c>
      <c r="D66">
        <v>23</v>
      </c>
      <c r="E66">
        <v>12</v>
      </c>
      <c r="F66">
        <v>74.53</v>
      </c>
      <c r="G66">
        <v>0</v>
      </c>
      <c r="H66">
        <v>1</v>
      </c>
      <c r="I66">
        <v>3</v>
      </c>
      <c r="J66">
        <v>5</v>
      </c>
      <c r="K66">
        <v>80.069999999999993</v>
      </c>
      <c r="L66">
        <v>81.45</v>
      </c>
    </row>
    <row r="67" spans="1:12" x14ac:dyDescent="0.2">
      <c r="A67" s="4">
        <v>66</v>
      </c>
      <c r="B67" t="s">
        <v>41</v>
      </c>
      <c r="C67">
        <v>80.48</v>
      </c>
      <c r="D67">
        <v>19</v>
      </c>
      <c r="E67">
        <v>15</v>
      </c>
      <c r="F67">
        <v>78.67</v>
      </c>
      <c r="G67">
        <v>2</v>
      </c>
      <c r="H67">
        <v>6</v>
      </c>
      <c r="I67">
        <v>4</v>
      </c>
      <c r="J67">
        <v>11</v>
      </c>
      <c r="K67">
        <v>81.09</v>
      </c>
      <c r="L67">
        <v>79.72</v>
      </c>
    </row>
    <row r="68" spans="1:12" x14ac:dyDescent="0.2">
      <c r="A68" s="4">
        <v>67</v>
      </c>
      <c r="B68" t="s">
        <v>120</v>
      </c>
      <c r="C68">
        <v>80.400000000000006</v>
      </c>
      <c r="D68">
        <v>18</v>
      </c>
      <c r="E68">
        <v>13</v>
      </c>
      <c r="F68">
        <v>76.66</v>
      </c>
      <c r="G68">
        <v>2</v>
      </c>
      <c r="H68">
        <v>6</v>
      </c>
      <c r="I68">
        <v>4</v>
      </c>
      <c r="J68">
        <v>9</v>
      </c>
      <c r="K68">
        <v>80.06</v>
      </c>
      <c r="L68">
        <v>80.52</v>
      </c>
    </row>
    <row r="69" spans="1:12" x14ac:dyDescent="0.2">
      <c r="A69" s="4">
        <v>68</v>
      </c>
      <c r="B69" t="s">
        <v>876</v>
      </c>
      <c r="C69">
        <v>80.36</v>
      </c>
      <c r="D69">
        <v>24</v>
      </c>
      <c r="E69">
        <v>10</v>
      </c>
      <c r="F69">
        <v>73.040000000000006</v>
      </c>
      <c r="G69">
        <v>0</v>
      </c>
      <c r="H69">
        <v>2</v>
      </c>
      <c r="I69">
        <v>0</v>
      </c>
      <c r="J69">
        <v>2</v>
      </c>
      <c r="K69">
        <v>79.12</v>
      </c>
      <c r="L69">
        <v>81.53</v>
      </c>
    </row>
    <row r="70" spans="1:12" x14ac:dyDescent="0.2">
      <c r="A70" s="4">
        <v>69</v>
      </c>
      <c r="B70" t="s">
        <v>52</v>
      </c>
      <c r="C70">
        <v>80.319999999999993</v>
      </c>
      <c r="D70">
        <v>27</v>
      </c>
      <c r="E70">
        <v>8</v>
      </c>
      <c r="F70">
        <v>72.59</v>
      </c>
      <c r="G70">
        <v>0</v>
      </c>
      <c r="H70">
        <v>0</v>
      </c>
      <c r="I70">
        <v>0</v>
      </c>
      <c r="J70">
        <v>0</v>
      </c>
      <c r="K70">
        <v>80.19</v>
      </c>
      <c r="L70">
        <v>80.23</v>
      </c>
    </row>
    <row r="71" spans="1:12" x14ac:dyDescent="0.2">
      <c r="A71" s="4">
        <v>70</v>
      </c>
      <c r="B71" t="s">
        <v>96</v>
      </c>
      <c r="C71">
        <v>80.25</v>
      </c>
      <c r="D71">
        <v>21</v>
      </c>
      <c r="E71">
        <v>10</v>
      </c>
      <c r="F71">
        <v>73.83</v>
      </c>
      <c r="G71">
        <v>0</v>
      </c>
      <c r="H71">
        <v>1</v>
      </c>
      <c r="I71">
        <v>2</v>
      </c>
      <c r="J71">
        <v>5</v>
      </c>
      <c r="K71">
        <v>79.7</v>
      </c>
      <c r="L71">
        <v>80.61</v>
      </c>
    </row>
    <row r="72" spans="1:12" x14ac:dyDescent="0.2">
      <c r="A72" s="4">
        <v>71</v>
      </c>
      <c r="B72" t="s">
        <v>99</v>
      </c>
      <c r="C72">
        <v>80.19</v>
      </c>
      <c r="D72">
        <v>18</v>
      </c>
      <c r="E72">
        <v>14</v>
      </c>
      <c r="F72">
        <v>77.45</v>
      </c>
      <c r="G72">
        <v>1</v>
      </c>
      <c r="H72">
        <v>8</v>
      </c>
      <c r="I72">
        <v>4</v>
      </c>
      <c r="J72">
        <v>9</v>
      </c>
      <c r="K72">
        <v>80.39</v>
      </c>
      <c r="L72">
        <v>79.78</v>
      </c>
    </row>
    <row r="73" spans="1:12" x14ac:dyDescent="0.2">
      <c r="A73" s="4">
        <v>72</v>
      </c>
      <c r="B73" t="s">
        <v>791</v>
      </c>
      <c r="C73">
        <v>80.16</v>
      </c>
      <c r="D73">
        <v>22</v>
      </c>
      <c r="E73">
        <v>13</v>
      </c>
      <c r="F73">
        <v>76</v>
      </c>
      <c r="G73">
        <v>0</v>
      </c>
      <c r="H73">
        <v>1</v>
      </c>
      <c r="I73">
        <v>3</v>
      </c>
      <c r="J73">
        <v>4</v>
      </c>
      <c r="K73">
        <v>79.72</v>
      </c>
      <c r="L73">
        <v>80.38</v>
      </c>
    </row>
    <row r="74" spans="1:12" x14ac:dyDescent="0.2">
      <c r="A74" s="4">
        <v>73</v>
      </c>
      <c r="B74" t="s">
        <v>115</v>
      </c>
      <c r="C74">
        <v>80.069999999999993</v>
      </c>
      <c r="D74">
        <v>21</v>
      </c>
      <c r="E74">
        <v>11</v>
      </c>
      <c r="F74">
        <v>75.3</v>
      </c>
      <c r="G74">
        <v>1</v>
      </c>
      <c r="H74">
        <v>0</v>
      </c>
      <c r="I74">
        <v>5</v>
      </c>
      <c r="J74">
        <v>5</v>
      </c>
      <c r="K74">
        <v>79.680000000000007</v>
      </c>
      <c r="L74">
        <v>80.239999999999995</v>
      </c>
    </row>
    <row r="75" spans="1:12" x14ac:dyDescent="0.2">
      <c r="A75" s="4">
        <v>74</v>
      </c>
      <c r="B75" t="s">
        <v>44</v>
      </c>
      <c r="C75">
        <v>79.84</v>
      </c>
      <c r="D75">
        <v>19</v>
      </c>
      <c r="E75">
        <v>14</v>
      </c>
      <c r="F75">
        <v>77.84</v>
      </c>
      <c r="G75">
        <v>2</v>
      </c>
      <c r="H75">
        <v>7</v>
      </c>
      <c r="I75">
        <v>2</v>
      </c>
      <c r="J75">
        <v>12</v>
      </c>
      <c r="K75">
        <v>80.62</v>
      </c>
      <c r="L75">
        <v>78.930000000000007</v>
      </c>
    </row>
    <row r="76" spans="1:12" x14ac:dyDescent="0.2">
      <c r="A76" s="4">
        <v>75</v>
      </c>
      <c r="B76" t="s">
        <v>818</v>
      </c>
      <c r="C76">
        <v>79.53</v>
      </c>
      <c r="D76">
        <v>24</v>
      </c>
      <c r="E76">
        <v>10</v>
      </c>
      <c r="F76">
        <v>72.849999999999994</v>
      </c>
      <c r="G76">
        <v>0</v>
      </c>
      <c r="H76">
        <v>0</v>
      </c>
      <c r="I76">
        <v>0</v>
      </c>
      <c r="J76">
        <v>1</v>
      </c>
      <c r="K76">
        <v>78.34</v>
      </c>
      <c r="L76">
        <v>80.61</v>
      </c>
    </row>
    <row r="77" spans="1:12" x14ac:dyDescent="0.2">
      <c r="A77" s="4">
        <v>76</v>
      </c>
      <c r="B77" t="s">
        <v>48</v>
      </c>
      <c r="C77">
        <v>79.430000000000007</v>
      </c>
      <c r="D77">
        <v>16</v>
      </c>
      <c r="E77">
        <v>15</v>
      </c>
      <c r="F77">
        <v>78.06</v>
      </c>
      <c r="G77">
        <v>0</v>
      </c>
      <c r="H77">
        <v>0</v>
      </c>
      <c r="I77">
        <v>2</v>
      </c>
      <c r="J77">
        <v>11</v>
      </c>
      <c r="K77">
        <v>79.19</v>
      </c>
      <c r="L77">
        <v>79.45</v>
      </c>
    </row>
    <row r="78" spans="1:12" x14ac:dyDescent="0.2">
      <c r="A78" s="4">
        <v>77</v>
      </c>
      <c r="B78" t="s">
        <v>870</v>
      </c>
      <c r="C78">
        <v>79.239999999999995</v>
      </c>
      <c r="D78">
        <v>16</v>
      </c>
      <c r="E78">
        <v>14</v>
      </c>
      <c r="F78">
        <v>76.2</v>
      </c>
      <c r="G78">
        <v>1</v>
      </c>
      <c r="H78">
        <v>6</v>
      </c>
      <c r="I78">
        <v>2</v>
      </c>
      <c r="J78">
        <v>11</v>
      </c>
      <c r="K78">
        <v>78.95</v>
      </c>
      <c r="L78">
        <v>79.319999999999993</v>
      </c>
    </row>
    <row r="79" spans="1:12" x14ac:dyDescent="0.2">
      <c r="A79" s="4">
        <v>78</v>
      </c>
      <c r="B79" t="s">
        <v>180</v>
      </c>
      <c r="C79">
        <v>79.14</v>
      </c>
      <c r="D79">
        <v>26</v>
      </c>
      <c r="E79">
        <v>9</v>
      </c>
      <c r="F79">
        <v>71.849999999999994</v>
      </c>
      <c r="G79">
        <v>0</v>
      </c>
      <c r="H79">
        <v>1</v>
      </c>
      <c r="I79">
        <v>0</v>
      </c>
      <c r="J79">
        <v>1</v>
      </c>
      <c r="K79">
        <v>78.64</v>
      </c>
      <c r="L79">
        <v>79.430000000000007</v>
      </c>
    </row>
    <row r="80" spans="1:12" x14ac:dyDescent="0.2">
      <c r="A80" s="4">
        <v>79</v>
      </c>
      <c r="B80" t="s">
        <v>163</v>
      </c>
      <c r="C80">
        <v>79.14</v>
      </c>
      <c r="D80">
        <v>23</v>
      </c>
      <c r="E80">
        <v>14</v>
      </c>
      <c r="F80">
        <v>75.05</v>
      </c>
      <c r="G80">
        <v>0</v>
      </c>
      <c r="H80">
        <v>3</v>
      </c>
      <c r="I80">
        <v>1</v>
      </c>
      <c r="J80">
        <v>3</v>
      </c>
      <c r="K80">
        <v>79.23</v>
      </c>
      <c r="L80">
        <v>78.83</v>
      </c>
    </row>
    <row r="81" spans="1:12" x14ac:dyDescent="0.2">
      <c r="A81" s="4">
        <v>80</v>
      </c>
      <c r="B81" t="s">
        <v>862</v>
      </c>
      <c r="C81">
        <v>79.12</v>
      </c>
      <c r="D81">
        <v>24</v>
      </c>
      <c r="E81">
        <v>7</v>
      </c>
      <c r="F81">
        <v>70.540000000000006</v>
      </c>
      <c r="G81">
        <v>0</v>
      </c>
      <c r="H81">
        <v>1</v>
      </c>
      <c r="I81">
        <v>0</v>
      </c>
      <c r="J81">
        <v>3</v>
      </c>
      <c r="K81">
        <v>77.69</v>
      </c>
      <c r="L81">
        <v>80.5</v>
      </c>
    </row>
    <row r="82" spans="1:12" x14ac:dyDescent="0.2">
      <c r="A82" s="4">
        <v>81</v>
      </c>
      <c r="B82" t="s">
        <v>32</v>
      </c>
      <c r="C82">
        <v>79.06</v>
      </c>
      <c r="D82">
        <v>15</v>
      </c>
      <c r="E82">
        <v>17</v>
      </c>
      <c r="F82">
        <v>78.33</v>
      </c>
      <c r="G82">
        <v>0</v>
      </c>
      <c r="H82">
        <v>6</v>
      </c>
      <c r="I82">
        <v>4</v>
      </c>
      <c r="J82">
        <v>13</v>
      </c>
      <c r="K82">
        <v>79.5</v>
      </c>
      <c r="L82">
        <v>78.430000000000007</v>
      </c>
    </row>
    <row r="83" spans="1:12" x14ac:dyDescent="0.2">
      <c r="A83" s="4">
        <v>82</v>
      </c>
      <c r="B83" t="s">
        <v>121</v>
      </c>
      <c r="C83">
        <v>79.02</v>
      </c>
      <c r="D83">
        <v>24</v>
      </c>
      <c r="E83">
        <v>9</v>
      </c>
      <c r="F83">
        <v>72.39</v>
      </c>
      <c r="G83">
        <v>2</v>
      </c>
      <c r="H83">
        <v>1</v>
      </c>
      <c r="I83">
        <v>2</v>
      </c>
      <c r="J83">
        <v>2</v>
      </c>
      <c r="K83">
        <v>80.3</v>
      </c>
      <c r="L83">
        <v>77.680000000000007</v>
      </c>
    </row>
    <row r="84" spans="1:12" x14ac:dyDescent="0.2">
      <c r="A84" s="4">
        <v>83</v>
      </c>
      <c r="B84" t="s">
        <v>4</v>
      </c>
      <c r="C84">
        <v>78.930000000000007</v>
      </c>
      <c r="D84">
        <v>21</v>
      </c>
      <c r="E84">
        <v>12</v>
      </c>
      <c r="F84">
        <v>73.459999999999994</v>
      </c>
      <c r="G84">
        <v>0</v>
      </c>
      <c r="H84">
        <v>3</v>
      </c>
      <c r="I84">
        <v>0</v>
      </c>
      <c r="J84">
        <v>4</v>
      </c>
      <c r="K84">
        <v>77.489999999999995</v>
      </c>
      <c r="L84">
        <v>80.31</v>
      </c>
    </row>
    <row r="85" spans="1:12" x14ac:dyDescent="0.2">
      <c r="A85" s="4">
        <v>84</v>
      </c>
      <c r="B85" t="s">
        <v>76</v>
      </c>
      <c r="C85">
        <v>78.89</v>
      </c>
      <c r="D85">
        <v>19</v>
      </c>
      <c r="E85">
        <v>12</v>
      </c>
      <c r="F85">
        <v>74.11</v>
      </c>
      <c r="G85">
        <v>0</v>
      </c>
      <c r="H85">
        <v>1</v>
      </c>
      <c r="I85">
        <v>1</v>
      </c>
      <c r="J85">
        <v>5</v>
      </c>
      <c r="K85">
        <v>78</v>
      </c>
      <c r="L85">
        <v>79.61</v>
      </c>
    </row>
    <row r="86" spans="1:12" x14ac:dyDescent="0.2">
      <c r="A86" s="4">
        <v>85</v>
      </c>
      <c r="B86" t="s">
        <v>102</v>
      </c>
      <c r="C86">
        <v>78.73</v>
      </c>
      <c r="D86">
        <v>23</v>
      </c>
      <c r="E86">
        <v>11</v>
      </c>
      <c r="F86">
        <v>74.02</v>
      </c>
      <c r="G86">
        <v>0</v>
      </c>
      <c r="H86">
        <v>2</v>
      </c>
      <c r="I86">
        <v>0</v>
      </c>
      <c r="J86">
        <v>2</v>
      </c>
      <c r="K86">
        <v>79.150000000000006</v>
      </c>
      <c r="L86">
        <v>78.13</v>
      </c>
    </row>
    <row r="87" spans="1:12" x14ac:dyDescent="0.2">
      <c r="A87" s="4">
        <v>86</v>
      </c>
      <c r="B87" t="s">
        <v>205</v>
      </c>
      <c r="C87">
        <v>78.430000000000007</v>
      </c>
      <c r="D87">
        <v>21</v>
      </c>
      <c r="E87">
        <v>13</v>
      </c>
      <c r="F87">
        <v>74.52</v>
      </c>
      <c r="G87">
        <v>1</v>
      </c>
      <c r="H87">
        <v>3</v>
      </c>
      <c r="I87">
        <v>1</v>
      </c>
      <c r="J87">
        <v>3</v>
      </c>
      <c r="K87">
        <v>78.739999999999995</v>
      </c>
      <c r="L87">
        <v>77.92</v>
      </c>
    </row>
    <row r="88" spans="1:12" x14ac:dyDescent="0.2">
      <c r="A88" s="4">
        <v>87</v>
      </c>
      <c r="B88" t="s">
        <v>259</v>
      </c>
      <c r="C88">
        <v>78.239999999999995</v>
      </c>
      <c r="D88">
        <v>22</v>
      </c>
      <c r="E88">
        <v>10</v>
      </c>
      <c r="F88">
        <v>72.62</v>
      </c>
      <c r="G88">
        <v>0</v>
      </c>
      <c r="H88">
        <v>0</v>
      </c>
      <c r="I88">
        <v>1</v>
      </c>
      <c r="J88">
        <v>3</v>
      </c>
      <c r="K88">
        <v>77.260000000000005</v>
      </c>
      <c r="L88">
        <v>79.040000000000006</v>
      </c>
    </row>
    <row r="89" spans="1:12" x14ac:dyDescent="0.2">
      <c r="A89" s="4">
        <v>88</v>
      </c>
      <c r="B89" t="s">
        <v>280</v>
      </c>
      <c r="C89">
        <v>78.12</v>
      </c>
      <c r="D89">
        <v>25</v>
      </c>
      <c r="E89">
        <v>10</v>
      </c>
      <c r="F89">
        <v>70.56</v>
      </c>
      <c r="G89">
        <v>0</v>
      </c>
      <c r="H89">
        <v>0</v>
      </c>
      <c r="I89">
        <v>0</v>
      </c>
      <c r="J89">
        <v>0</v>
      </c>
      <c r="K89">
        <v>78.77</v>
      </c>
      <c r="L89">
        <v>77.3</v>
      </c>
    </row>
    <row r="90" spans="1:12" x14ac:dyDescent="0.2">
      <c r="A90" s="4">
        <v>89</v>
      </c>
      <c r="B90" t="s">
        <v>118</v>
      </c>
      <c r="C90">
        <v>78.02</v>
      </c>
      <c r="D90">
        <v>22</v>
      </c>
      <c r="E90">
        <v>11</v>
      </c>
      <c r="F90">
        <v>72.78</v>
      </c>
      <c r="G90">
        <v>0</v>
      </c>
      <c r="H90">
        <v>0</v>
      </c>
      <c r="I90">
        <v>0</v>
      </c>
      <c r="J90">
        <v>1</v>
      </c>
      <c r="K90">
        <v>77.87</v>
      </c>
      <c r="L90">
        <v>77.959999999999994</v>
      </c>
    </row>
    <row r="91" spans="1:12" x14ac:dyDescent="0.2">
      <c r="A91" s="4">
        <v>90</v>
      </c>
      <c r="B91" t="s">
        <v>812</v>
      </c>
      <c r="C91">
        <v>77.98</v>
      </c>
      <c r="D91">
        <v>17</v>
      </c>
      <c r="E91">
        <v>18</v>
      </c>
      <c r="F91">
        <v>78.38</v>
      </c>
      <c r="G91">
        <v>0</v>
      </c>
      <c r="H91">
        <v>6</v>
      </c>
      <c r="I91">
        <v>3</v>
      </c>
      <c r="J91">
        <v>9</v>
      </c>
      <c r="K91">
        <v>79.5</v>
      </c>
      <c r="L91">
        <v>76.44</v>
      </c>
    </row>
    <row r="92" spans="1:12" x14ac:dyDescent="0.2">
      <c r="A92" s="4">
        <v>91</v>
      </c>
      <c r="B92" t="s">
        <v>89</v>
      </c>
      <c r="C92">
        <v>77.430000000000007</v>
      </c>
      <c r="D92">
        <v>24</v>
      </c>
      <c r="E92">
        <v>9</v>
      </c>
      <c r="F92">
        <v>69.03</v>
      </c>
      <c r="G92">
        <v>0</v>
      </c>
      <c r="H92">
        <v>1</v>
      </c>
      <c r="I92">
        <v>0</v>
      </c>
      <c r="J92">
        <v>2</v>
      </c>
      <c r="K92">
        <v>76.489999999999995</v>
      </c>
      <c r="L92">
        <v>78.19</v>
      </c>
    </row>
    <row r="93" spans="1:12" x14ac:dyDescent="0.2">
      <c r="A93" s="4">
        <v>92</v>
      </c>
      <c r="B93" t="s">
        <v>100</v>
      </c>
      <c r="C93">
        <v>77.290000000000006</v>
      </c>
      <c r="D93">
        <v>16</v>
      </c>
      <c r="E93">
        <v>15</v>
      </c>
      <c r="F93">
        <v>76.569999999999993</v>
      </c>
      <c r="G93">
        <v>0</v>
      </c>
      <c r="H93">
        <v>2</v>
      </c>
      <c r="I93">
        <v>1</v>
      </c>
      <c r="J93">
        <v>6</v>
      </c>
      <c r="K93">
        <v>76.83</v>
      </c>
      <c r="L93">
        <v>77.55</v>
      </c>
    </row>
    <row r="94" spans="1:12" x14ac:dyDescent="0.2">
      <c r="A94" s="4">
        <v>93</v>
      </c>
      <c r="B94" t="s">
        <v>31</v>
      </c>
      <c r="C94">
        <v>77.19</v>
      </c>
      <c r="D94">
        <v>13</v>
      </c>
      <c r="E94">
        <v>19</v>
      </c>
      <c r="F94">
        <v>79.63</v>
      </c>
      <c r="G94">
        <v>1</v>
      </c>
      <c r="H94">
        <v>9</v>
      </c>
      <c r="I94">
        <v>3</v>
      </c>
      <c r="J94">
        <v>13</v>
      </c>
      <c r="K94">
        <v>76.989999999999995</v>
      </c>
      <c r="L94">
        <v>77.17</v>
      </c>
    </row>
    <row r="95" spans="1:12" x14ac:dyDescent="0.2">
      <c r="A95" s="4">
        <v>94</v>
      </c>
      <c r="B95" t="s">
        <v>194</v>
      </c>
      <c r="C95">
        <v>76.87</v>
      </c>
      <c r="D95">
        <v>19</v>
      </c>
      <c r="E95">
        <v>13</v>
      </c>
      <c r="F95">
        <v>74.290000000000006</v>
      </c>
      <c r="G95">
        <v>0</v>
      </c>
      <c r="H95">
        <v>1</v>
      </c>
      <c r="I95">
        <v>0</v>
      </c>
      <c r="J95">
        <v>2</v>
      </c>
      <c r="K95">
        <v>77.290000000000006</v>
      </c>
      <c r="L95">
        <v>76.25</v>
      </c>
    </row>
    <row r="96" spans="1:12" x14ac:dyDescent="0.2">
      <c r="A96" s="4">
        <v>95</v>
      </c>
      <c r="B96" t="s">
        <v>42</v>
      </c>
      <c r="C96">
        <v>76.8</v>
      </c>
      <c r="D96">
        <v>16</v>
      </c>
      <c r="E96">
        <v>14</v>
      </c>
      <c r="F96">
        <v>74.989999999999995</v>
      </c>
      <c r="G96">
        <v>0</v>
      </c>
      <c r="H96">
        <v>1</v>
      </c>
      <c r="I96">
        <v>2</v>
      </c>
      <c r="J96">
        <v>5</v>
      </c>
      <c r="K96">
        <v>76.56</v>
      </c>
      <c r="L96">
        <v>76.819999999999993</v>
      </c>
    </row>
    <row r="97" spans="1:12" x14ac:dyDescent="0.2">
      <c r="A97" s="4">
        <v>96</v>
      </c>
      <c r="B97" t="s">
        <v>783</v>
      </c>
      <c r="C97">
        <v>76.66</v>
      </c>
      <c r="D97">
        <v>17</v>
      </c>
      <c r="E97">
        <v>15</v>
      </c>
      <c r="F97">
        <v>75.47</v>
      </c>
      <c r="G97">
        <v>0</v>
      </c>
      <c r="H97">
        <v>3</v>
      </c>
      <c r="I97">
        <v>0</v>
      </c>
      <c r="J97">
        <v>3</v>
      </c>
      <c r="K97" t="s">
        <v>565</v>
      </c>
      <c r="L97">
        <v>77.14</v>
      </c>
    </row>
    <row r="98" spans="1:12" x14ac:dyDescent="0.2">
      <c r="A98" s="4">
        <v>97</v>
      </c>
      <c r="B98" t="s">
        <v>814</v>
      </c>
      <c r="C98">
        <v>76.56</v>
      </c>
      <c r="D98">
        <v>20</v>
      </c>
      <c r="E98">
        <v>13</v>
      </c>
      <c r="F98">
        <v>73.34</v>
      </c>
      <c r="G98">
        <v>0</v>
      </c>
      <c r="H98">
        <v>1</v>
      </c>
      <c r="I98">
        <v>0</v>
      </c>
      <c r="J98">
        <v>4</v>
      </c>
      <c r="K98" t="s">
        <v>566</v>
      </c>
      <c r="L98">
        <v>76.98</v>
      </c>
    </row>
    <row r="99" spans="1:12" x14ac:dyDescent="0.2">
      <c r="A99" s="4">
        <v>98</v>
      </c>
      <c r="B99" t="s">
        <v>873</v>
      </c>
      <c r="C99">
        <v>76.540000000000006</v>
      </c>
      <c r="D99">
        <v>17</v>
      </c>
      <c r="E99">
        <v>13</v>
      </c>
      <c r="F99">
        <v>74.3</v>
      </c>
      <c r="G99">
        <v>0</v>
      </c>
      <c r="H99">
        <v>4</v>
      </c>
      <c r="I99">
        <v>0</v>
      </c>
      <c r="J99">
        <v>4</v>
      </c>
      <c r="K99" t="s">
        <v>567</v>
      </c>
      <c r="L99">
        <v>77.7</v>
      </c>
    </row>
    <row r="100" spans="1:12" x14ac:dyDescent="0.2">
      <c r="A100" s="4">
        <v>99</v>
      </c>
      <c r="B100" t="s">
        <v>70</v>
      </c>
      <c r="C100">
        <v>76.38</v>
      </c>
      <c r="D100">
        <v>10</v>
      </c>
      <c r="E100">
        <v>18</v>
      </c>
      <c r="F100">
        <v>79.72</v>
      </c>
      <c r="G100">
        <v>1</v>
      </c>
      <c r="H100">
        <v>7</v>
      </c>
      <c r="I100">
        <v>2</v>
      </c>
      <c r="J100">
        <v>12</v>
      </c>
      <c r="K100" t="s">
        <v>568</v>
      </c>
      <c r="L100">
        <v>76.7</v>
      </c>
    </row>
    <row r="101" spans="1:12" x14ac:dyDescent="0.2">
      <c r="A101" s="4">
        <v>100</v>
      </c>
      <c r="B101" t="s">
        <v>130</v>
      </c>
      <c r="C101">
        <v>76.38</v>
      </c>
      <c r="D101">
        <v>12</v>
      </c>
      <c r="E101">
        <v>19</v>
      </c>
      <c r="F101">
        <v>77.97</v>
      </c>
      <c r="G101">
        <v>2</v>
      </c>
      <c r="H101">
        <v>5</v>
      </c>
      <c r="I101">
        <v>3</v>
      </c>
      <c r="J101">
        <v>11</v>
      </c>
      <c r="K101" t="s">
        <v>569</v>
      </c>
      <c r="L101">
        <v>77.53</v>
      </c>
    </row>
    <row r="102" spans="1:12" x14ac:dyDescent="0.2">
      <c r="A102" s="4">
        <v>101</v>
      </c>
      <c r="B102" t="s">
        <v>139</v>
      </c>
      <c r="C102">
        <v>76.33</v>
      </c>
      <c r="D102">
        <v>20</v>
      </c>
      <c r="E102">
        <v>8</v>
      </c>
      <c r="F102">
        <v>70.67</v>
      </c>
      <c r="G102">
        <v>0</v>
      </c>
      <c r="H102">
        <v>1</v>
      </c>
      <c r="I102">
        <v>0</v>
      </c>
      <c r="J102">
        <v>2</v>
      </c>
      <c r="K102">
        <v>76.349999999999994</v>
      </c>
      <c r="L102">
        <v>76.099999999999994</v>
      </c>
    </row>
    <row r="103" spans="1:12" x14ac:dyDescent="0.2">
      <c r="A103" s="4">
        <v>102</v>
      </c>
      <c r="B103" t="s">
        <v>55</v>
      </c>
      <c r="C103">
        <v>76.040000000000006</v>
      </c>
      <c r="D103">
        <v>16</v>
      </c>
      <c r="E103">
        <v>18</v>
      </c>
      <c r="F103">
        <v>76.900000000000006</v>
      </c>
      <c r="G103">
        <v>0</v>
      </c>
      <c r="H103">
        <v>9</v>
      </c>
      <c r="I103">
        <v>3</v>
      </c>
      <c r="J103">
        <v>11</v>
      </c>
      <c r="K103">
        <v>76.5</v>
      </c>
      <c r="L103">
        <v>75.39</v>
      </c>
    </row>
    <row r="104" spans="1:12" x14ac:dyDescent="0.2">
      <c r="A104" s="4">
        <v>103</v>
      </c>
      <c r="B104" t="s">
        <v>119</v>
      </c>
      <c r="C104">
        <v>75.97</v>
      </c>
      <c r="D104">
        <v>20</v>
      </c>
      <c r="E104">
        <v>13</v>
      </c>
      <c r="F104">
        <v>73.45</v>
      </c>
      <c r="G104">
        <v>0</v>
      </c>
      <c r="H104">
        <v>1</v>
      </c>
      <c r="I104">
        <v>1</v>
      </c>
      <c r="J104">
        <v>4</v>
      </c>
      <c r="K104" t="s">
        <v>570</v>
      </c>
      <c r="L104">
        <v>76.27</v>
      </c>
    </row>
    <row r="105" spans="1:12" x14ac:dyDescent="0.2">
      <c r="A105" s="4">
        <v>104</v>
      </c>
      <c r="B105" t="s">
        <v>133</v>
      </c>
      <c r="C105">
        <v>75.959999999999994</v>
      </c>
      <c r="D105">
        <v>22</v>
      </c>
      <c r="E105">
        <v>13</v>
      </c>
      <c r="F105">
        <v>71.52</v>
      </c>
      <c r="G105">
        <v>0</v>
      </c>
      <c r="H105">
        <v>2</v>
      </c>
      <c r="I105">
        <v>0</v>
      </c>
      <c r="J105">
        <v>2</v>
      </c>
      <c r="K105" t="s">
        <v>343</v>
      </c>
      <c r="L105">
        <v>77.459999999999994</v>
      </c>
    </row>
    <row r="106" spans="1:12" x14ac:dyDescent="0.2">
      <c r="A106" s="4">
        <v>105</v>
      </c>
      <c r="B106" t="s">
        <v>178</v>
      </c>
      <c r="C106">
        <v>75.790000000000006</v>
      </c>
      <c r="D106">
        <v>18</v>
      </c>
      <c r="E106">
        <v>13</v>
      </c>
      <c r="F106">
        <v>73.42</v>
      </c>
      <c r="G106">
        <v>0</v>
      </c>
      <c r="H106">
        <v>3</v>
      </c>
      <c r="I106">
        <v>0</v>
      </c>
      <c r="J106">
        <v>4</v>
      </c>
      <c r="K106" t="s">
        <v>571</v>
      </c>
      <c r="L106">
        <v>75.52</v>
      </c>
    </row>
    <row r="107" spans="1:12" x14ac:dyDescent="0.2">
      <c r="A107" s="4">
        <v>106</v>
      </c>
      <c r="B107" t="s">
        <v>561</v>
      </c>
      <c r="C107">
        <v>75.739999999999995</v>
      </c>
      <c r="D107">
        <v>24</v>
      </c>
      <c r="E107">
        <v>8</v>
      </c>
      <c r="F107">
        <v>68.87</v>
      </c>
      <c r="G107">
        <v>0</v>
      </c>
      <c r="H107">
        <v>2</v>
      </c>
      <c r="I107">
        <v>0</v>
      </c>
      <c r="J107">
        <v>4</v>
      </c>
      <c r="K107">
        <v>76.75</v>
      </c>
      <c r="L107">
        <v>74.569999999999993</v>
      </c>
    </row>
    <row r="108" spans="1:12" x14ac:dyDescent="0.2">
      <c r="A108" s="4">
        <v>107</v>
      </c>
      <c r="B108" t="s">
        <v>825</v>
      </c>
      <c r="C108">
        <v>75.66</v>
      </c>
      <c r="D108">
        <v>22</v>
      </c>
      <c r="E108">
        <v>10</v>
      </c>
      <c r="F108">
        <v>70.930000000000007</v>
      </c>
      <c r="G108">
        <v>1</v>
      </c>
      <c r="H108">
        <v>2</v>
      </c>
      <c r="I108">
        <v>1</v>
      </c>
      <c r="J108">
        <v>3</v>
      </c>
      <c r="K108" t="s">
        <v>572</v>
      </c>
      <c r="L108">
        <v>75.5</v>
      </c>
    </row>
    <row r="109" spans="1:12" x14ac:dyDescent="0.2">
      <c r="A109" s="4">
        <v>108</v>
      </c>
      <c r="B109" t="s">
        <v>795</v>
      </c>
      <c r="C109">
        <v>75.569999999999993</v>
      </c>
      <c r="D109">
        <v>15</v>
      </c>
      <c r="E109">
        <v>17</v>
      </c>
      <c r="F109">
        <v>75.98</v>
      </c>
      <c r="G109">
        <v>0</v>
      </c>
      <c r="H109">
        <v>8</v>
      </c>
      <c r="I109">
        <v>1</v>
      </c>
      <c r="J109">
        <v>11</v>
      </c>
      <c r="K109" t="s">
        <v>573</v>
      </c>
      <c r="L109">
        <v>75.569999999999993</v>
      </c>
    </row>
    <row r="110" spans="1:12" x14ac:dyDescent="0.2">
      <c r="A110" s="4">
        <v>109</v>
      </c>
      <c r="B110" t="s">
        <v>878</v>
      </c>
      <c r="C110">
        <v>75.510000000000005</v>
      </c>
      <c r="D110">
        <v>22</v>
      </c>
      <c r="E110">
        <v>13</v>
      </c>
      <c r="F110">
        <v>72</v>
      </c>
      <c r="G110">
        <v>0</v>
      </c>
      <c r="H110">
        <v>2</v>
      </c>
      <c r="I110">
        <v>0</v>
      </c>
      <c r="J110">
        <v>4</v>
      </c>
      <c r="K110" t="s">
        <v>574</v>
      </c>
      <c r="L110">
        <v>76.17</v>
      </c>
    </row>
    <row r="111" spans="1:12" x14ac:dyDescent="0.2">
      <c r="A111" s="4">
        <v>110</v>
      </c>
      <c r="B111" t="s">
        <v>177</v>
      </c>
      <c r="C111">
        <v>75.47</v>
      </c>
      <c r="D111">
        <v>19</v>
      </c>
      <c r="E111">
        <v>13</v>
      </c>
      <c r="F111">
        <v>72.86</v>
      </c>
      <c r="G111">
        <v>1</v>
      </c>
      <c r="H111">
        <v>2</v>
      </c>
      <c r="I111">
        <v>2</v>
      </c>
      <c r="J111">
        <v>6</v>
      </c>
      <c r="K111" t="s">
        <v>575</v>
      </c>
      <c r="L111">
        <v>75.790000000000006</v>
      </c>
    </row>
    <row r="112" spans="1:12" x14ac:dyDescent="0.2">
      <c r="A112" s="4">
        <v>111</v>
      </c>
      <c r="B112" t="s">
        <v>816</v>
      </c>
      <c r="C112">
        <v>75.31</v>
      </c>
      <c r="D112">
        <v>20</v>
      </c>
      <c r="E112">
        <v>10</v>
      </c>
      <c r="F112">
        <v>71.34</v>
      </c>
      <c r="G112">
        <v>0</v>
      </c>
      <c r="H112">
        <v>0</v>
      </c>
      <c r="I112">
        <v>0</v>
      </c>
      <c r="J112">
        <v>5</v>
      </c>
      <c r="K112" t="s">
        <v>576</v>
      </c>
      <c r="L112">
        <v>74.760000000000005</v>
      </c>
    </row>
    <row r="113" spans="1:12" x14ac:dyDescent="0.2">
      <c r="A113" s="4">
        <v>112</v>
      </c>
      <c r="B113" t="s">
        <v>80</v>
      </c>
      <c r="C113">
        <v>75.27</v>
      </c>
      <c r="D113">
        <v>19</v>
      </c>
      <c r="E113">
        <v>16</v>
      </c>
      <c r="F113">
        <v>73.650000000000006</v>
      </c>
      <c r="G113">
        <v>1</v>
      </c>
      <c r="H113">
        <v>2</v>
      </c>
      <c r="I113">
        <v>1</v>
      </c>
      <c r="J113">
        <v>2</v>
      </c>
      <c r="K113" t="s">
        <v>577</v>
      </c>
      <c r="L113">
        <v>74.87</v>
      </c>
    </row>
    <row r="114" spans="1:12" x14ac:dyDescent="0.2">
      <c r="A114" s="4">
        <v>113</v>
      </c>
      <c r="B114" t="s">
        <v>114</v>
      </c>
      <c r="C114">
        <v>75.14</v>
      </c>
      <c r="D114">
        <v>21</v>
      </c>
      <c r="E114">
        <v>15</v>
      </c>
      <c r="F114">
        <v>73.400000000000006</v>
      </c>
      <c r="G114">
        <v>0</v>
      </c>
      <c r="H114">
        <v>1</v>
      </c>
      <c r="I114">
        <v>0</v>
      </c>
      <c r="J114">
        <v>3</v>
      </c>
      <c r="K114" t="s">
        <v>578</v>
      </c>
      <c r="L114">
        <v>74.41</v>
      </c>
    </row>
    <row r="115" spans="1:12" x14ac:dyDescent="0.2">
      <c r="A115" s="4">
        <v>114</v>
      </c>
      <c r="B115" t="s">
        <v>116</v>
      </c>
      <c r="C115">
        <v>74.989999999999995</v>
      </c>
      <c r="D115">
        <v>21</v>
      </c>
      <c r="E115">
        <v>12</v>
      </c>
      <c r="F115">
        <v>72.209999999999994</v>
      </c>
      <c r="G115">
        <v>0</v>
      </c>
      <c r="H115">
        <v>1</v>
      </c>
      <c r="I115">
        <v>0</v>
      </c>
      <c r="J115">
        <v>1</v>
      </c>
      <c r="K115" t="s">
        <v>345</v>
      </c>
      <c r="L115">
        <v>74.95</v>
      </c>
    </row>
    <row r="116" spans="1:12" x14ac:dyDescent="0.2">
      <c r="A116" s="4">
        <v>115</v>
      </c>
      <c r="B116" t="s">
        <v>218</v>
      </c>
      <c r="C116">
        <v>74.739999999999995</v>
      </c>
      <c r="D116">
        <v>20</v>
      </c>
      <c r="E116">
        <v>13</v>
      </c>
      <c r="F116">
        <v>71.349999999999994</v>
      </c>
      <c r="G116">
        <v>0</v>
      </c>
      <c r="H116">
        <v>1</v>
      </c>
      <c r="I116">
        <v>0</v>
      </c>
      <c r="J116">
        <v>3</v>
      </c>
      <c r="K116" t="s">
        <v>579</v>
      </c>
      <c r="L116">
        <v>75.489999999999995</v>
      </c>
    </row>
    <row r="117" spans="1:12" x14ac:dyDescent="0.2">
      <c r="A117" s="4">
        <v>116</v>
      </c>
      <c r="B117" t="s">
        <v>35</v>
      </c>
      <c r="C117">
        <v>74.739999999999995</v>
      </c>
      <c r="D117">
        <v>14</v>
      </c>
      <c r="E117">
        <v>16</v>
      </c>
      <c r="F117">
        <v>74.39</v>
      </c>
      <c r="G117">
        <v>2</v>
      </c>
      <c r="H117">
        <v>0</v>
      </c>
      <c r="I117">
        <v>2</v>
      </c>
      <c r="J117">
        <v>5</v>
      </c>
      <c r="K117" t="s">
        <v>580</v>
      </c>
      <c r="L117">
        <v>75.099999999999994</v>
      </c>
    </row>
    <row r="118" spans="1:12" x14ac:dyDescent="0.2">
      <c r="A118" s="4">
        <v>117</v>
      </c>
      <c r="B118" t="s">
        <v>295</v>
      </c>
      <c r="C118">
        <v>74.680000000000007</v>
      </c>
      <c r="D118">
        <v>20</v>
      </c>
      <c r="E118">
        <v>10</v>
      </c>
      <c r="F118">
        <v>69.099999999999994</v>
      </c>
      <c r="G118">
        <v>0</v>
      </c>
      <c r="H118">
        <v>2</v>
      </c>
      <c r="I118">
        <v>0</v>
      </c>
      <c r="J118">
        <v>3</v>
      </c>
      <c r="K118" t="s">
        <v>581</v>
      </c>
      <c r="L118">
        <v>76.02</v>
      </c>
    </row>
    <row r="119" spans="1:12" x14ac:dyDescent="0.2">
      <c r="A119" s="4">
        <v>118</v>
      </c>
      <c r="B119" t="s">
        <v>248</v>
      </c>
      <c r="C119">
        <v>74.59</v>
      </c>
      <c r="D119">
        <v>16</v>
      </c>
      <c r="E119">
        <v>14</v>
      </c>
      <c r="F119">
        <v>72.88</v>
      </c>
      <c r="G119">
        <v>0</v>
      </c>
      <c r="H119">
        <v>2</v>
      </c>
      <c r="I119">
        <v>0</v>
      </c>
      <c r="J119">
        <v>3</v>
      </c>
      <c r="K119" t="s">
        <v>582</v>
      </c>
      <c r="L119">
        <v>76.22</v>
      </c>
    </row>
    <row r="120" spans="1:12" x14ac:dyDescent="0.2">
      <c r="A120" s="4">
        <v>119</v>
      </c>
      <c r="B120" t="s">
        <v>160</v>
      </c>
      <c r="C120">
        <v>74.56</v>
      </c>
      <c r="D120">
        <v>15</v>
      </c>
      <c r="E120">
        <v>15</v>
      </c>
      <c r="F120">
        <v>73.459999999999994</v>
      </c>
      <c r="G120">
        <v>0</v>
      </c>
      <c r="H120">
        <v>2</v>
      </c>
      <c r="I120">
        <v>0</v>
      </c>
      <c r="J120">
        <v>3</v>
      </c>
      <c r="K120" t="s">
        <v>583</v>
      </c>
      <c r="L120">
        <v>78.010000000000005</v>
      </c>
    </row>
    <row r="121" spans="1:12" x14ac:dyDescent="0.2">
      <c r="A121" s="4">
        <v>120</v>
      </c>
      <c r="B121" t="s">
        <v>819</v>
      </c>
      <c r="C121">
        <v>74.459999999999994</v>
      </c>
      <c r="D121">
        <v>17</v>
      </c>
      <c r="E121">
        <v>15</v>
      </c>
      <c r="F121">
        <v>73.02</v>
      </c>
      <c r="G121">
        <v>0</v>
      </c>
      <c r="H121">
        <v>1</v>
      </c>
      <c r="I121">
        <v>0</v>
      </c>
      <c r="J121">
        <v>5</v>
      </c>
      <c r="K121" t="s">
        <v>584</v>
      </c>
      <c r="L121">
        <v>74.95</v>
      </c>
    </row>
    <row r="122" spans="1:12" x14ac:dyDescent="0.2">
      <c r="A122" s="4">
        <v>121</v>
      </c>
      <c r="B122" t="s">
        <v>552</v>
      </c>
      <c r="C122">
        <v>74.41</v>
      </c>
      <c r="D122">
        <v>23</v>
      </c>
      <c r="E122">
        <v>8</v>
      </c>
      <c r="F122">
        <v>69.650000000000006</v>
      </c>
      <c r="G122">
        <v>0</v>
      </c>
      <c r="H122">
        <v>1</v>
      </c>
      <c r="I122">
        <v>0</v>
      </c>
      <c r="J122">
        <v>1</v>
      </c>
      <c r="K122" t="s">
        <v>585</v>
      </c>
      <c r="L122">
        <v>72.489999999999995</v>
      </c>
    </row>
    <row r="123" spans="1:12" x14ac:dyDescent="0.2">
      <c r="A123" s="4">
        <v>122</v>
      </c>
      <c r="B123" t="s">
        <v>157</v>
      </c>
      <c r="C123">
        <v>74.400000000000006</v>
      </c>
      <c r="D123">
        <v>27</v>
      </c>
      <c r="E123">
        <v>9</v>
      </c>
      <c r="F123">
        <v>68.44</v>
      </c>
      <c r="G123">
        <v>0</v>
      </c>
      <c r="H123">
        <v>1</v>
      </c>
      <c r="I123">
        <v>0</v>
      </c>
      <c r="J123">
        <v>1</v>
      </c>
      <c r="K123">
        <v>76.63</v>
      </c>
      <c r="L123">
        <v>72.099999999999994</v>
      </c>
    </row>
    <row r="124" spans="1:12" x14ac:dyDescent="0.2">
      <c r="A124" s="4">
        <v>123</v>
      </c>
      <c r="B124" t="s">
        <v>553</v>
      </c>
      <c r="C124">
        <v>74.290000000000006</v>
      </c>
      <c r="D124">
        <v>22</v>
      </c>
      <c r="E124">
        <v>11</v>
      </c>
      <c r="F124">
        <v>68.64</v>
      </c>
      <c r="G124">
        <v>0</v>
      </c>
      <c r="H124">
        <v>1</v>
      </c>
      <c r="I124">
        <v>0</v>
      </c>
      <c r="J124">
        <v>1</v>
      </c>
      <c r="K124" t="s">
        <v>586</v>
      </c>
      <c r="L124">
        <v>75.599999999999994</v>
      </c>
    </row>
    <row r="125" spans="1:12" x14ac:dyDescent="0.2">
      <c r="A125" s="4">
        <v>124</v>
      </c>
      <c r="B125" t="s">
        <v>92</v>
      </c>
      <c r="C125">
        <v>74.23</v>
      </c>
      <c r="D125">
        <v>17</v>
      </c>
      <c r="E125">
        <v>14</v>
      </c>
      <c r="F125">
        <v>74.13</v>
      </c>
      <c r="G125">
        <v>0</v>
      </c>
      <c r="H125">
        <v>1</v>
      </c>
      <c r="I125">
        <v>1</v>
      </c>
      <c r="J125">
        <v>8</v>
      </c>
      <c r="K125" t="s">
        <v>587</v>
      </c>
      <c r="L125">
        <v>73.38</v>
      </c>
    </row>
    <row r="126" spans="1:12" x14ac:dyDescent="0.2">
      <c r="A126" s="4">
        <v>125</v>
      </c>
      <c r="B126" t="s">
        <v>74</v>
      </c>
      <c r="C126">
        <v>74.2</v>
      </c>
      <c r="D126">
        <v>17</v>
      </c>
      <c r="E126">
        <v>14</v>
      </c>
      <c r="F126">
        <v>73.3</v>
      </c>
      <c r="G126">
        <v>0</v>
      </c>
      <c r="H126">
        <v>2</v>
      </c>
      <c r="I126">
        <v>0</v>
      </c>
      <c r="J126">
        <v>2</v>
      </c>
      <c r="K126" t="s">
        <v>333</v>
      </c>
      <c r="L126">
        <v>73.41</v>
      </c>
    </row>
    <row r="127" spans="1:12" x14ac:dyDescent="0.2">
      <c r="A127" s="4">
        <v>126</v>
      </c>
      <c r="B127" t="s">
        <v>221</v>
      </c>
      <c r="C127">
        <v>73.88</v>
      </c>
      <c r="D127">
        <v>15</v>
      </c>
      <c r="E127">
        <v>15</v>
      </c>
      <c r="F127">
        <v>73.52</v>
      </c>
      <c r="G127">
        <v>0</v>
      </c>
      <c r="H127">
        <v>0</v>
      </c>
      <c r="I127">
        <v>0</v>
      </c>
      <c r="J127">
        <v>2</v>
      </c>
      <c r="K127" t="s">
        <v>588</v>
      </c>
      <c r="L127">
        <v>74.3</v>
      </c>
    </row>
    <row r="128" spans="1:12" x14ac:dyDescent="0.2">
      <c r="A128" s="4">
        <v>127</v>
      </c>
      <c r="B128" t="s">
        <v>87</v>
      </c>
      <c r="C128">
        <v>73.87</v>
      </c>
      <c r="D128">
        <v>20</v>
      </c>
      <c r="E128">
        <v>13</v>
      </c>
      <c r="F128">
        <v>69.36</v>
      </c>
      <c r="G128">
        <v>0</v>
      </c>
      <c r="H128">
        <v>1</v>
      </c>
      <c r="I128">
        <v>0</v>
      </c>
      <c r="J128">
        <v>2</v>
      </c>
      <c r="K128" t="s">
        <v>589</v>
      </c>
      <c r="L128">
        <v>75.44</v>
      </c>
    </row>
    <row r="129" spans="1:12" x14ac:dyDescent="0.2">
      <c r="A129" s="4">
        <v>128</v>
      </c>
      <c r="B129" t="s">
        <v>801</v>
      </c>
      <c r="C129">
        <v>73.849999999999994</v>
      </c>
      <c r="D129">
        <v>17</v>
      </c>
      <c r="E129">
        <v>17</v>
      </c>
      <c r="F129">
        <v>73.510000000000005</v>
      </c>
      <c r="G129">
        <v>0</v>
      </c>
      <c r="H129">
        <v>1</v>
      </c>
      <c r="I129">
        <v>0</v>
      </c>
      <c r="J129">
        <v>2</v>
      </c>
      <c r="K129" t="s">
        <v>590</v>
      </c>
      <c r="L129">
        <v>74.03</v>
      </c>
    </row>
    <row r="130" spans="1:12" x14ac:dyDescent="0.2">
      <c r="A130" s="4">
        <v>129</v>
      </c>
      <c r="B130" t="s">
        <v>49</v>
      </c>
      <c r="C130">
        <v>73.83</v>
      </c>
      <c r="D130">
        <v>13</v>
      </c>
      <c r="E130">
        <v>17</v>
      </c>
      <c r="F130">
        <v>75.489999999999995</v>
      </c>
      <c r="G130">
        <v>0</v>
      </c>
      <c r="H130">
        <v>1</v>
      </c>
      <c r="I130">
        <v>0</v>
      </c>
      <c r="J130">
        <v>8</v>
      </c>
      <c r="K130" t="s">
        <v>591</v>
      </c>
      <c r="L130">
        <v>74.540000000000006</v>
      </c>
    </row>
    <row r="131" spans="1:12" x14ac:dyDescent="0.2">
      <c r="A131" s="4">
        <v>130</v>
      </c>
      <c r="B131" t="s">
        <v>234</v>
      </c>
      <c r="C131">
        <v>73.81</v>
      </c>
      <c r="D131">
        <v>16</v>
      </c>
      <c r="E131">
        <v>14</v>
      </c>
      <c r="F131">
        <v>73.63</v>
      </c>
      <c r="G131">
        <v>0</v>
      </c>
      <c r="H131">
        <v>1</v>
      </c>
      <c r="I131">
        <v>0</v>
      </c>
      <c r="J131">
        <v>2</v>
      </c>
      <c r="K131" t="s">
        <v>592</v>
      </c>
      <c r="L131">
        <v>74.09</v>
      </c>
    </row>
    <row r="132" spans="1:12" x14ac:dyDescent="0.2">
      <c r="A132" s="4">
        <v>131</v>
      </c>
      <c r="B132" t="s">
        <v>174</v>
      </c>
      <c r="C132">
        <v>73.8</v>
      </c>
      <c r="D132">
        <v>21</v>
      </c>
      <c r="E132">
        <v>15</v>
      </c>
      <c r="F132">
        <v>71.33</v>
      </c>
      <c r="G132">
        <v>0</v>
      </c>
      <c r="H132">
        <v>0</v>
      </c>
      <c r="I132">
        <v>0</v>
      </c>
      <c r="J132">
        <v>0</v>
      </c>
      <c r="K132" t="s">
        <v>593</v>
      </c>
      <c r="L132">
        <v>72.84</v>
      </c>
    </row>
    <row r="133" spans="1:12" x14ac:dyDescent="0.2">
      <c r="A133" s="4">
        <v>132</v>
      </c>
      <c r="B133" t="s">
        <v>152</v>
      </c>
      <c r="C133">
        <v>73.77</v>
      </c>
      <c r="D133">
        <v>13</v>
      </c>
      <c r="E133">
        <v>8</v>
      </c>
      <c r="F133">
        <v>71.11</v>
      </c>
      <c r="G133">
        <v>0</v>
      </c>
      <c r="H133">
        <v>1</v>
      </c>
      <c r="I133">
        <v>0</v>
      </c>
      <c r="J133">
        <v>2</v>
      </c>
      <c r="K133" t="s">
        <v>594</v>
      </c>
      <c r="L133">
        <v>72.92</v>
      </c>
    </row>
    <row r="134" spans="1:12" x14ac:dyDescent="0.2">
      <c r="A134" s="4">
        <v>133</v>
      </c>
      <c r="B134" t="s">
        <v>874</v>
      </c>
      <c r="C134">
        <v>73.64</v>
      </c>
      <c r="D134">
        <v>16</v>
      </c>
      <c r="E134">
        <v>14</v>
      </c>
      <c r="F134">
        <v>72.98</v>
      </c>
      <c r="G134">
        <v>0</v>
      </c>
      <c r="H134">
        <v>1</v>
      </c>
      <c r="I134">
        <v>0</v>
      </c>
      <c r="J134">
        <v>2</v>
      </c>
      <c r="K134" t="s">
        <v>595</v>
      </c>
      <c r="L134">
        <v>73.98</v>
      </c>
    </row>
    <row r="135" spans="1:12" x14ac:dyDescent="0.2">
      <c r="A135" s="4">
        <v>134</v>
      </c>
      <c r="B135" t="s">
        <v>803</v>
      </c>
      <c r="C135">
        <v>73.62</v>
      </c>
      <c r="D135">
        <v>18</v>
      </c>
      <c r="E135">
        <v>15</v>
      </c>
      <c r="F135">
        <v>71.63</v>
      </c>
      <c r="G135">
        <v>0</v>
      </c>
      <c r="H135">
        <v>2</v>
      </c>
      <c r="I135">
        <v>0</v>
      </c>
      <c r="J135">
        <v>4</v>
      </c>
      <c r="K135" t="s">
        <v>596</v>
      </c>
      <c r="L135">
        <v>74.75</v>
      </c>
    </row>
    <row r="136" spans="1:12" x14ac:dyDescent="0.2">
      <c r="A136" s="4">
        <v>135</v>
      </c>
      <c r="B136" t="s">
        <v>183</v>
      </c>
      <c r="C136">
        <v>73.55</v>
      </c>
      <c r="D136">
        <v>9</v>
      </c>
      <c r="E136">
        <v>22</v>
      </c>
      <c r="F136">
        <v>79.73</v>
      </c>
      <c r="G136">
        <v>1</v>
      </c>
      <c r="H136">
        <v>8</v>
      </c>
      <c r="I136">
        <v>1</v>
      </c>
      <c r="J136">
        <v>10</v>
      </c>
      <c r="K136" t="s">
        <v>597</v>
      </c>
      <c r="L136">
        <v>74.489999999999995</v>
      </c>
    </row>
    <row r="137" spans="1:12" x14ac:dyDescent="0.2">
      <c r="A137" s="4">
        <v>136</v>
      </c>
      <c r="B137" t="s">
        <v>891</v>
      </c>
      <c r="C137">
        <v>73.540000000000006</v>
      </c>
      <c r="D137">
        <v>20</v>
      </c>
      <c r="E137">
        <v>10</v>
      </c>
      <c r="F137">
        <v>68.83</v>
      </c>
      <c r="G137">
        <v>0</v>
      </c>
      <c r="H137">
        <v>0</v>
      </c>
      <c r="I137">
        <v>0</v>
      </c>
      <c r="J137">
        <v>2</v>
      </c>
      <c r="K137" t="s">
        <v>597</v>
      </c>
      <c r="L137">
        <v>74.47</v>
      </c>
    </row>
    <row r="138" spans="1:12" x14ac:dyDescent="0.2">
      <c r="A138" s="4">
        <v>137</v>
      </c>
      <c r="B138" t="s">
        <v>59</v>
      </c>
      <c r="C138">
        <v>73.53</v>
      </c>
      <c r="D138">
        <v>8</v>
      </c>
      <c r="E138">
        <v>23</v>
      </c>
      <c r="F138">
        <v>81.37</v>
      </c>
      <c r="G138">
        <v>0</v>
      </c>
      <c r="H138">
        <v>8</v>
      </c>
      <c r="I138">
        <v>1</v>
      </c>
      <c r="J138">
        <v>16</v>
      </c>
      <c r="K138" t="s">
        <v>598</v>
      </c>
      <c r="L138">
        <v>73.12</v>
      </c>
    </row>
    <row r="139" spans="1:12" x14ac:dyDescent="0.2">
      <c r="A139" s="4">
        <v>138</v>
      </c>
      <c r="B139" t="s">
        <v>142</v>
      </c>
      <c r="C139">
        <v>73.459999999999994</v>
      </c>
      <c r="D139">
        <v>20</v>
      </c>
      <c r="E139">
        <v>11</v>
      </c>
      <c r="F139">
        <v>71.569999999999993</v>
      </c>
      <c r="G139">
        <v>0</v>
      </c>
      <c r="H139">
        <v>1</v>
      </c>
      <c r="I139">
        <v>0</v>
      </c>
      <c r="J139">
        <v>1</v>
      </c>
      <c r="K139" t="s">
        <v>599</v>
      </c>
      <c r="L139">
        <v>70.930000000000007</v>
      </c>
    </row>
    <row r="140" spans="1:12" x14ac:dyDescent="0.2">
      <c r="A140" s="4">
        <v>139</v>
      </c>
      <c r="B140" t="s">
        <v>249</v>
      </c>
      <c r="C140">
        <v>73.39</v>
      </c>
      <c r="D140">
        <v>16</v>
      </c>
      <c r="E140">
        <v>14</v>
      </c>
      <c r="F140">
        <v>73.47</v>
      </c>
      <c r="G140">
        <v>0</v>
      </c>
      <c r="H140">
        <v>1</v>
      </c>
      <c r="I140">
        <v>1</v>
      </c>
      <c r="J140">
        <v>3</v>
      </c>
      <c r="K140" t="s">
        <v>600</v>
      </c>
      <c r="L140">
        <v>72.56</v>
      </c>
    </row>
    <row r="141" spans="1:12" x14ac:dyDescent="0.2">
      <c r="A141" s="4">
        <v>140</v>
      </c>
      <c r="B141" t="s">
        <v>251</v>
      </c>
      <c r="C141">
        <v>73.31</v>
      </c>
      <c r="D141">
        <v>24</v>
      </c>
      <c r="E141">
        <v>11</v>
      </c>
      <c r="F141">
        <v>68.400000000000006</v>
      </c>
      <c r="G141">
        <v>0</v>
      </c>
      <c r="H141">
        <v>3</v>
      </c>
      <c r="I141">
        <v>0</v>
      </c>
      <c r="J141">
        <v>4</v>
      </c>
      <c r="K141" t="s">
        <v>601</v>
      </c>
      <c r="L141">
        <v>73.5</v>
      </c>
    </row>
    <row r="142" spans="1:12" x14ac:dyDescent="0.2">
      <c r="A142" s="4">
        <v>141</v>
      </c>
      <c r="B142" t="s">
        <v>162</v>
      </c>
      <c r="C142">
        <v>73.290000000000006</v>
      </c>
      <c r="D142">
        <v>15</v>
      </c>
      <c r="E142">
        <v>14</v>
      </c>
      <c r="F142">
        <v>72.84</v>
      </c>
      <c r="G142">
        <v>0</v>
      </c>
      <c r="H142">
        <v>1</v>
      </c>
      <c r="I142">
        <v>0</v>
      </c>
      <c r="J142">
        <v>2</v>
      </c>
      <c r="K142" t="s">
        <v>602</v>
      </c>
      <c r="L142">
        <v>73.17</v>
      </c>
    </row>
    <row r="143" spans="1:12" x14ac:dyDescent="0.2">
      <c r="A143" s="4">
        <v>142</v>
      </c>
      <c r="B143" t="s">
        <v>797</v>
      </c>
      <c r="C143">
        <v>73.19</v>
      </c>
      <c r="D143">
        <v>18</v>
      </c>
      <c r="E143">
        <v>13</v>
      </c>
      <c r="F143">
        <v>72.56</v>
      </c>
      <c r="G143">
        <v>0</v>
      </c>
      <c r="H143">
        <v>0</v>
      </c>
      <c r="I143">
        <v>1</v>
      </c>
      <c r="J143">
        <v>2</v>
      </c>
      <c r="K143" t="s">
        <v>603</v>
      </c>
      <c r="L143">
        <v>72.260000000000005</v>
      </c>
    </row>
    <row r="144" spans="1:12" x14ac:dyDescent="0.2">
      <c r="A144" s="4">
        <v>143</v>
      </c>
      <c r="B144" t="s">
        <v>91</v>
      </c>
      <c r="C144">
        <v>73.17</v>
      </c>
      <c r="D144">
        <v>16</v>
      </c>
      <c r="E144">
        <v>16</v>
      </c>
      <c r="F144">
        <v>72.38</v>
      </c>
      <c r="G144">
        <v>0</v>
      </c>
      <c r="H144">
        <v>0</v>
      </c>
      <c r="I144">
        <v>0</v>
      </c>
      <c r="J144">
        <v>1</v>
      </c>
      <c r="K144" t="s">
        <v>604</v>
      </c>
      <c r="L144">
        <v>73.739999999999995</v>
      </c>
    </row>
    <row r="145" spans="1:12" x14ac:dyDescent="0.2">
      <c r="A145" s="4">
        <v>144</v>
      </c>
      <c r="B145" t="s">
        <v>255</v>
      </c>
      <c r="C145">
        <v>73.08</v>
      </c>
      <c r="D145">
        <v>12</v>
      </c>
      <c r="E145">
        <v>17</v>
      </c>
      <c r="F145">
        <v>75.48</v>
      </c>
      <c r="G145">
        <v>0</v>
      </c>
      <c r="H145">
        <v>2</v>
      </c>
      <c r="I145">
        <v>0</v>
      </c>
      <c r="J145">
        <v>4</v>
      </c>
      <c r="K145" t="s">
        <v>596</v>
      </c>
      <c r="L145">
        <v>73.64</v>
      </c>
    </row>
    <row r="146" spans="1:12" x14ac:dyDescent="0.2">
      <c r="A146" s="4">
        <v>145</v>
      </c>
      <c r="B146" t="s">
        <v>837</v>
      </c>
      <c r="C146">
        <v>73.010000000000005</v>
      </c>
      <c r="D146">
        <v>14</v>
      </c>
      <c r="E146">
        <v>12</v>
      </c>
      <c r="F146">
        <v>71.23</v>
      </c>
      <c r="G146">
        <v>0</v>
      </c>
      <c r="H146">
        <v>0</v>
      </c>
      <c r="I146">
        <v>0</v>
      </c>
      <c r="J146">
        <v>1</v>
      </c>
      <c r="K146" t="s">
        <v>605</v>
      </c>
      <c r="L146">
        <v>74.2</v>
      </c>
    </row>
    <row r="147" spans="1:12" x14ac:dyDescent="0.2">
      <c r="A147" s="4">
        <v>146</v>
      </c>
      <c r="B147" t="s">
        <v>165</v>
      </c>
      <c r="C147">
        <v>72.92</v>
      </c>
      <c r="D147">
        <v>11</v>
      </c>
      <c r="E147">
        <v>18</v>
      </c>
      <c r="F147">
        <v>76.17</v>
      </c>
      <c r="G147">
        <v>1</v>
      </c>
      <c r="H147">
        <v>2</v>
      </c>
      <c r="I147">
        <v>1</v>
      </c>
      <c r="J147">
        <v>2</v>
      </c>
      <c r="K147" t="s">
        <v>606</v>
      </c>
      <c r="L147">
        <v>73.290000000000006</v>
      </c>
    </row>
    <row r="148" spans="1:12" x14ac:dyDescent="0.2">
      <c r="A148" s="4">
        <v>147</v>
      </c>
      <c r="B148" t="s">
        <v>798</v>
      </c>
      <c r="C148">
        <v>72.849999999999994</v>
      </c>
      <c r="D148">
        <v>17</v>
      </c>
      <c r="E148">
        <v>12</v>
      </c>
      <c r="F148">
        <v>69.930000000000007</v>
      </c>
      <c r="G148">
        <v>0</v>
      </c>
      <c r="H148">
        <v>1</v>
      </c>
      <c r="I148">
        <v>0</v>
      </c>
      <c r="J148">
        <v>1</v>
      </c>
      <c r="K148" t="s">
        <v>607</v>
      </c>
      <c r="L148">
        <v>74.23</v>
      </c>
    </row>
    <row r="149" spans="1:12" x14ac:dyDescent="0.2">
      <c r="A149" s="4">
        <v>148</v>
      </c>
      <c r="B149" t="s">
        <v>207</v>
      </c>
      <c r="C149">
        <v>72.81</v>
      </c>
      <c r="D149">
        <v>17</v>
      </c>
      <c r="E149">
        <v>14</v>
      </c>
      <c r="F149">
        <v>71.31</v>
      </c>
      <c r="G149">
        <v>0</v>
      </c>
      <c r="H149">
        <v>0</v>
      </c>
      <c r="I149">
        <v>0</v>
      </c>
      <c r="J149">
        <v>2</v>
      </c>
      <c r="K149" t="s">
        <v>383</v>
      </c>
      <c r="L149">
        <v>73.67</v>
      </c>
    </row>
    <row r="150" spans="1:12" x14ac:dyDescent="0.2">
      <c r="A150" s="4">
        <v>149</v>
      </c>
      <c r="B150" t="s">
        <v>296</v>
      </c>
      <c r="C150">
        <v>72.73</v>
      </c>
      <c r="D150">
        <v>18</v>
      </c>
      <c r="E150">
        <v>14</v>
      </c>
      <c r="F150">
        <v>69.86</v>
      </c>
      <c r="G150">
        <v>0</v>
      </c>
      <c r="H150">
        <v>0</v>
      </c>
      <c r="I150">
        <v>0</v>
      </c>
      <c r="J150">
        <v>5</v>
      </c>
      <c r="K150" t="s">
        <v>608</v>
      </c>
      <c r="L150">
        <v>74.37</v>
      </c>
    </row>
    <row r="151" spans="1:12" x14ac:dyDescent="0.2">
      <c r="A151" s="4">
        <v>150</v>
      </c>
      <c r="B151" t="s">
        <v>188</v>
      </c>
      <c r="C151">
        <v>72.72</v>
      </c>
      <c r="D151">
        <v>17</v>
      </c>
      <c r="E151">
        <v>15</v>
      </c>
      <c r="F151">
        <v>73.569999999999993</v>
      </c>
      <c r="G151">
        <v>0</v>
      </c>
      <c r="H151">
        <v>3</v>
      </c>
      <c r="I151">
        <v>0</v>
      </c>
      <c r="J151">
        <v>3</v>
      </c>
      <c r="K151" t="s">
        <v>579</v>
      </c>
      <c r="L151">
        <v>71.44</v>
      </c>
    </row>
    <row r="152" spans="1:12" x14ac:dyDescent="0.2">
      <c r="A152" s="4">
        <v>151</v>
      </c>
      <c r="B152" t="s">
        <v>901</v>
      </c>
      <c r="C152">
        <v>72.72</v>
      </c>
      <c r="D152">
        <v>22</v>
      </c>
      <c r="E152">
        <v>9</v>
      </c>
      <c r="F152">
        <v>68.959999999999994</v>
      </c>
      <c r="G152">
        <v>0</v>
      </c>
      <c r="H152">
        <v>1</v>
      </c>
      <c r="I152">
        <v>0</v>
      </c>
      <c r="J152">
        <v>1</v>
      </c>
      <c r="K152" t="s">
        <v>609</v>
      </c>
      <c r="L152">
        <v>70.97</v>
      </c>
    </row>
    <row r="153" spans="1:12" x14ac:dyDescent="0.2">
      <c r="A153" s="4">
        <v>152</v>
      </c>
      <c r="B153" t="s">
        <v>83</v>
      </c>
      <c r="C153">
        <v>72.64</v>
      </c>
      <c r="D153">
        <v>19</v>
      </c>
      <c r="E153">
        <v>12</v>
      </c>
      <c r="F153">
        <v>70.16</v>
      </c>
      <c r="G153">
        <v>0</v>
      </c>
      <c r="H153">
        <v>1</v>
      </c>
      <c r="I153">
        <v>0</v>
      </c>
      <c r="J153">
        <v>1</v>
      </c>
      <c r="K153" t="s">
        <v>363</v>
      </c>
      <c r="L153">
        <v>71.98</v>
      </c>
    </row>
    <row r="154" spans="1:12" x14ac:dyDescent="0.2">
      <c r="A154" s="4">
        <v>153</v>
      </c>
      <c r="B154" t="s">
        <v>88</v>
      </c>
      <c r="C154">
        <v>72.62</v>
      </c>
      <c r="D154">
        <v>14</v>
      </c>
      <c r="E154">
        <v>17</v>
      </c>
      <c r="F154">
        <v>73.25</v>
      </c>
      <c r="G154">
        <v>0</v>
      </c>
      <c r="H154">
        <v>3</v>
      </c>
      <c r="I154">
        <v>1</v>
      </c>
      <c r="J154">
        <v>5</v>
      </c>
      <c r="K154" t="s">
        <v>380</v>
      </c>
      <c r="L154">
        <v>73.38</v>
      </c>
    </row>
    <row r="155" spans="1:12" x14ac:dyDescent="0.2">
      <c r="A155" s="4">
        <v>154</v>
      </c>
      <c r="B155" t="s">
        <v>841</v>
      </c>
      <c r="C155">
        <v>72.59</v>
      </c>
      <c r="D155">
        <v>22</v>
      </c>
      <c r="E155">
        <v>12</v>
      </c>
      <c r="F155">
        <v>68.59</v>
      </c>
      <c r="G155">
        <v>0</v>
      </c>
      <c r="H155">
        <v>2</v>
      </c>
      <c r="I155">
        <v>1</v>
      </c>
      <c r="J155">
        <v>4</v>
      </c>
      <c r="K155" t="s">
        <v>610</v>
      </c>
      <c r="L155">
        <v>71.86</v>
      </c>
    </row>
    <row r="156" spans="1:12" x14ac:dyDescent="0.2">
      <c r="A156" s="4">
        <v>155</v>
      </c>
      <c r="B156" t="s">
        <v>279</v>
      </c>
      <c r="C156">
        <v>72.56</v>
      </c>
      <c r="D156">
        <v>20</v>
      </c>
      <c r="E156">
        <v>8</v>
      </c>
      <c r="F156">
        <v>67.75</v>
      </c>
      <c r="G156">
        <v>0</v>
      </c>
      <c r="H156">
        <v>0</v>
      </c>
      <c r="I156">
        <v>0</v>
      </c>
      <c r="J156">
        <v>0</v>
      </c>
      <c r="K156" t="s">
        <v>611</v>
      </c>
      <c r="L156">
        <v>70.8</v>
      </c>
    </row>
    <row r="157" spans="1:12" x14ac:dyDescent="0.2">
      <c r="A157" s="4">
        <v>156</v>
      </c>
      <c r="B157" t="s">
        <v>136</v>
      </c>
      <c r="C157">
        <v>72.510000000000005</v>
      </c>
      <c r="D157">
        <v>12</v>
      </c>
      <c r="E157">
        <v>18</v>
      </c>
      <c r="F157">
        <v>75.33</v>
      </c>
      <c r="G157">
        <v>0</v>
      </c>
      <c r="H157">
        <v>2</v>
      </c>
      <c r="I157">
        <v>0</v>
      </c>
      <c r="J157">
        <v>3</v>
      </c>
      <c r="K157" t="s">
        <v>612</v>
      </c>
      <c r="L157">
        <v>72.739999999999995</v>
      </c>
    </row>
    <row r="158" spans="1:12" x14ac:dyDescent="0.2">
      <c r="A158" s="4">
        <v>157</v>
      </c>
      <c r="B158" t="s">
        <v>257</v>
      </c>
      <c r="C158">
        <v>72.47</v>
      </c>
      <c r="D158">
        <v>16</v>
      </c>
      <c r="E158">
        <v>16</v>
      </c>
      <c r="F158">
        <v>72.92</v>
      </c>
      <c r="G158">
        <v>0</v>
      </c>
      <c r="H158">
        <v>2</v>
      </c>
      <c r="I158">
        <v>0</v>
      </c>
      <c r="J158">
        <v>4</v>
      </c>
      <c r="K158" t="s">
        <v>613</v>
      </c>
      <c r="L158">
        <v>72.61</v>
      </c>
    </row>
    <row r="159" spans="1:12" x14ac:dyDescent="0.2">
      <c r="A159" s="4">
        <v>158</v>
      </c>
      <c r="B159" t="s">
        <v>181</v>
      </c>
      <c r="C159">
        <v>72.34</v>
      </c>
      <c r="D159">
        <v>12</v>
      </c>
      <c r="E159">
        <v>17</v>
      </c>
      <c r="F159">
        <v>75.06</v>
      </c>
      <c r="G159">
        <v>0</v>
      </c>
      <c r="H159">
        <v>2</v>
      </c>
      <c r="I159">
        <v>0</v>
      </c>
      <c r="J159">
        <v>2</v>
      </c>
      <c r="K159" t="s">
        <v>614</v>
      </c>
      <c r="L159">
        <v>72.709999999999994</v>
      </c>
    </row>
    <row r="160" spans="1:12" x14ac:dyDescent="0.2">
      <c r="A160" s="4">
        <v>159</v>
      </c>
      <c r="B160" t="s">
        <v>302</v>
      </c>
      <c r="C160">
        <v>72.33</v>
      </c>
      <c r="D160">
        <v>14</v>
      </c>
      <c r="E160">
        <v>16</v>
      </c>
      <c r="F160">
        <v>73.849999999999994</v>
      </c>
      <c r="G160">
        <v>0</v>
      </c>
      <c r="H160">
        <v>2</v>
      </c>
      <c r="I160">
        <v>0</v>
      </c>
      <c r="J160">
        <v>7</v>
      </c>
      <c r="K160" t="s">
        <v>615</v>
      </c>
      <c r="L160">
        <v>72.22</v>
      </c>
    </row>
    <row r="161" spans="1:12" x14ac:dyDescent="0.2">
      <c r="A161" s="4">
        <v>160</v>
      </c>
      <c r="B161" t="s">
        <v>285</v>
      </c>
      <c r="C161">
        <v>72.209999999999994</v>
      </c>
      <c r="D161">
        <v>11</v>
      </c>
      <c r="E161">
        <v>20</v>
      </c>
      <c r="F161">
        <v>75.13</v>
      </c>
      <c r="G161">
        <v>1</v>
      </c>
      <c r="H161">
        <v>3</v>
      </c>
      <c r="I161">
        <v>1</v>
      </c>
      <c r="J161">
        <v>4</v>
      </c>
      <c r="K161" t="s">
        <v>616</v>
      </c>
      <c r="L161">
        <v>73.209999999999994</v>
      </c>
    </row>
    <row r="162" spans="1:12" x14ac:dyDescent="0.2">
      <c r="A162" s="4">
        <v>161</v>
      </c>
      <c r="B162" t="s">
        <v>71</v>
      </c>
      <c r="C162">
        <v>72.2</v>
      </c>
      <c r="D162">
        <v>11</v>
      </c>
      <c r="E162">
        <v>21</v>
      </c>
      <c r="F162">
        <v>76.709999999999994</v>
      </c>
      <c r="G162">
        <v>0</v>
      </c>
      <c r="H162">
        <v>9</v>
      </c>
      <c r="I162">
        <v>0</v>
      </c>
      <c r="J162">
        <v>12</v>
      </c>
      <c r="K162" t="s">
        <v>617</v>
      </c>
      <c r="L162">
        <v>73.36</v>
      </c>
    </row>
    <row r="163" spans="1:12" x14ac:dyDescent="0.2">
      <c r="A163" s="4">
        <v>162</v>
      </c>
      <c r="B163" t="s">
        <v>195</v>
      </c>
      <c r="C163">
        <v>72.03</v>
      </c>
      <c r="D163">
        <v>19</v>
      </c>
      <c r="E163">
        <v>13</v>
      </c>
      <c r="F163">
        <v>70.3</v>
      </c>
      <c r="G163">
        <v>0</v>
      </c>
      <c r="H163">
        <v>0</v>
      </c>
      <c r="I163">
        <v>0</v>
      </c>
      <c r="J163">
        <v>0</v>
      </c>
      <c r="K163" t="s">
        <v>610</v>
      </c>
      <c r="L163">
        <v>70.739999999999995</v>
      </c>
    </row>
    <row r="164" spans="1:12" x14ac:dyDescent="0.2">
      <c r="A164" s="4">
        <v>163</v>
      </c>
      <c r="B164" t="s">
        <v>839</v>
      </c>
      <c r="C164">
        <v>72.010000000000005</v>
      </c>
      <c r="D164">
        <v>15</v>
      </c>
      <c r="E164">
        <v>15</v>
      </c>
      <c r="F164">
        <v>72.87</v>
      </c>
      <c r="G164">
        <v>0</v>
      </c>
      <c r="H164">
        <v>1</v>
      </c>
      <c r="I164">
        <v>0</v>
      </c>
      <c r="J164">
        <v>3</v>
      </c>
      <c r="K164" t="s">
        <v>385</v>
      </c>
      <c r="L164">
        <v>71.87</v>
      </c>
    </row>
    <row r="165" spans="1:12" x14ac:dyDescent="0.2">
      <c r="A165" s="4">
        <v>164</v>
      </c>
      <c r="B165" t="s">
        <v>213</v>
      </c>
      <c r="C165">
        <v>71.88</v>
      </c>
      <c r="D165">
        <v>19</v>
      </c>
      <c r="E165">
        <v>14</v>
      </c>
      <c r="F165">
        <v>68.760000000000005</v>
      </c>
      <c r="G165">
        <v>0</v>
      </c>
      <c r="H165">
        <v>0</v>
      </c>
      <c r="I165">
        <v>0</v>
      </c>
      <c r="J165">
        <v>2</v>
      </c>
      <c r="K165" t="s">
        <v>618</v>
      </c>
      <c r="L165">
        <v>73.08</v>
      </c>
    </row>
    <row r="166" spans="1:12" x14ac:dyDescent="0.2">
      <c r="A166" s="4">
        <v>165</v>
      </c>
      <c r="B166" t="s">
        <v>158</v>
      </c>
      <c r="C166">
        <v>71.88</v>
      </c>
      <c r="D166">
        <v>19</v>
      </c>
      <c r="E166">
        <v>13</v>
      </c>
      <c r="F166">
        <v>69.489999999999995</v>
      </c>
      <c r="G166">
        <v>0</v>
      </c>
      <c r="H166">
        <v>1</v>
      </c>
      <c r="I166">
        <v>0</v>
      </c>
      <c r="J166">
        <v>1</v>
      </c>
      <c r="K166" t="s">
        <v>619</v>
      </c>
      <c r="L166">
        <v>71.069999999999993</v>
      </c>
    </row>
    <row r="167" spans="1:12" x14ac:dyDescent="0.2">
      <c r="A167" s="4">
        <v>166</v>
      </c>
      <c r="B167" t="s">
        <v>128</v>
      </c>
      <c r="C167">
        <v>71.75</v>
      </c>
      <c r="D167">
        <v>17</v>
      </c>
      <c r="E167">
        <v>14</v>
      </c>
      <c r="F167">
        <v>69.489999999999995</v>
      </c>
      <c r="G167">
        <v>0</v>
      </c>
      <c r="H167">
        <v>0</v>
      </c>
      <c r="I167">
        <v>0</v>
      </c>
      <c r="J167">
        <v>1</v>
      </c>
      <c r="K167" t="s">
        <v>617</v>
      </c>
      <c r="L167">
        <v>72.459999999999994</v>
      </c>
    </row>
    <row r="168" spans="1:12" x14ac:dyDescent="0.2">
      <c r="A168" s="4">
        <v>167</v>
      </c>
      <c r="B168" t="s">
        <v>191</v>
      </c>
      <c r="C168">
        <v>71.66</v>
      </c>
      <c r="D168">
        <v>13</v>
      </c>
      <c r="E168">
        <v>14</v>
      </c>
      <c r="F168">
        <v>71.010000000000005</v>
      </c>
      <c r="G168">
        <v>0</v>
      </c>
      <c r="H168">
        <v>0</v>
      </c>
      <c r="I168">
        <v>0</v>
      </c>
      <c r="J168">
        <v>1</v>
      </c>
      <c r="K168" t="s">
        <v>620</v>
      </c>
      <c r="L168">
        <v>73.319999999999993</v>
      </c>
    </row>
    <row r="169" spans="1:12" x14ac:dyDescent="0.2">
      <c r="A169" s="4">
        <v>168</v>
      </c>
      <c r="B169" t="s">
        <v>887</v>
      </c>
      <c r="C169">
        <v>71.63</v>
      </c>
      <c r="D169">
        <v>15</v>
      </c>
      <c r="E169">
        <v>15</v>
      </c>
      <c r="F169">
        <v>72.67</v>
      </c>
      <c r="G169">
        <v>0</v>
      </c>
      <c r="H169">
        <v>2</v>
      </c>
      <c r="I169">
        <v>0</v>
      </c>
      <c r="J169">
        <v>3</v>
      </c>
      <c r="K169" t="s">
        <v>621</v>
      </c>
      <c r="L169">
        <v>71.22</v>
      </c>
    </row>
    <row r="170" spans="1:12" x14ac:dyDescent="0.2">
      <c r="A170" s="4">
        <v>169</v>
      </c>
      <c r="B170" t="s">
        <v>223</v>
      </c>
      <c r="C170">
        <v>71.540000000000006</v>
      </c>
      <c r="D170">
        <v>18</v>
      </c>
      <c r="E170">
        <v>12</v>
      </c>
      <c r="F170">
        <v>70.209999999999994</v>
      </c>
      <c r="G170">
        <v>0</v>
      </c>
      <c r="H170">
        <v>3</v>
      </c>
      <c r="I170">
        <v>0</v>
      </c>
      <c r="J170">
        <v>3</v>
      </c>
      <c r="K170" t="s">
        <v>622</v>
      </c>
      <c r="L170">
        <v>69.86</v>
      </c>
    </row>
    <row r="171" spans="1:12" x14ac:dyDescent="0.2">
      <c r="A171" s="4">
        <v>170</v>
      </c>
      <c r="B171" t="s">
        <v>143</v>
      </c>
      <c r="C171">
        <v>71.47</v>
      </c>
      <c r="D171">
        <v>15</v>
      </c>
      <c r="E171">
        <v>15</v>
      </c>
      <c r="F171">
        <v>71.59</v>
      </c>
      <c r="G171">
        <v>0</v>
      </c>
      <c r="H171">
        <v>1</v>
      </c>
      <c r="I171">
        <v>0</v>
      </c>
      <c r="J171">
        <v>3</v>
      </c>
      <c r="K171" t="s">
        <v>623</v>
      </c>
      <c r="L171">
        <v>71.94</v>
      </c>
    </row>
    <row r="172" spans="1:12" x14ac:dyDescent="0.2">
      <c r="A172" s="4">
        <v>171</v>
      </c>
      <c r="B172" t="s">
        <v>199</v>
      </c>
      <c r="C172">
        <v>71.459999999999994</v>
      </c>
      <c r="D172">
        <v>16</v>
      </c>
      <c r="E172">
        <v>12</v>
      </c>
      <c r="F172">
        <v>68.72</v>
      </c>
      <c r="G172">
        <v>0</v>
      </c>
      <c r="H172">
        <v>0</v>
      </c>
      <c r="I172">
        <v>0</v>
      </c>
      <c r="J172">
        <v>0</v>
      </c>
      <c r="K172" t="s">
        <v>624</v>
      </c>
      <c r="L172">
        <v>72.64</v>
      </c>
    </row>
    <row r="173" spans="1:12" x14ac:dyDescent="0.2">
      <c r="A173" s="4">
        <v>172</v>
      </c>
      <c r="B173" t="s">
        <v>820</v>
      </c>
      <c r="C173">
        <v>71.37</v>
      </c>
      <c r="D173">
        <v>18</v>
      </c>
      <c r="E173">
        <v>16</v>
      </c>
      <c r="F173">
        <v>70.650000000000006</v>
      </c>
      <c r="G173">
        <v>0</v>
      </c>
      <c r="H173">
        <v>2</v>
      </c>
      <c r="I173">
        <v>0</v>
      </c>
      <c r="J173">
        <v>2</v>
      </c>
      <c r="K173" t="s">
        <v>625</v>
      </c>
      <c r="L173">
        <v>71.86</v>
      </c>
    </row>
    <row r="174" spans="1:12" x14ac:dyDescent="0.2">
      <c r="A174" s="4">
        <v>173</v>
      </c>
      <c r="B174" t="s">
        <v>192</v>
      </c>
      <c r="C174">
        <v>71.290000000000006</v>
      </c>
      <c r="D174">
        <v>16</v>
      </c>
      <c r="E174">
        <v>12</v>
      </c>
      <c r="F174">
        <v>70.010000000000005</v>
      </c>
      <c r="G174">
        <v>0</v>
      </c>
      <c r="H174">
        <v>2</v>
      </c>
      <c r="I174">
        <v>0</v>
      </c>
      <c r="J174">
        <v>2</v>
      </c>
      <c r="K174" t="s">
        <v>626</v>
      </c>
      <c r="L174">
        <v>71.19</v>
      </c>
    </row>
    <row r="175" spans="1:12" x14ac:dyDescent="0.2">
      <c r="A175" s="4">
        <v>174</v>
      </c>
      <c r="B175" t="s">
        <v>845</v>
      </c>
      <c r="C175">
        <v>71.25</v>
      </c>
      <c r="D175">
        <v>17</v>
      </c>
      <c r="E175">
        <v>11</v>
      </c>
      <c r="F175">
        <v>68.87</v>
      </c>
      <c r="G175">
        <v>0</v>
      </c>
      <c r="H175">
        <v>0</v>
      </c>
      <c r="I175">
        <v>0</v>
      </c>
      <c r="J175">
        <v>1</v>
      </c>
      <c r="K175" t="s">
        <v>627</v>
      </c>
      <c r="L175">
        <v>70.849999999999994</v>
      </c>
    </row>
    <row r="176" spans="1:12" x14ac:dyDescent="0.2">
      <c r="A176" s="4">
        <v>175</v>
      </c>
      <c r="B176" t="s">
        <v>68</v>
      </c>
      <c r="C176">
        <v>71.239999999999995</v>
      </c>
      <c r="D176">
        <v>15</v>
      </c>
      <c r="E176">
        <v>15</v>
      </c>
      <c r="F176">
        <v>71.66</v>
      </c>
      <c r="G176">
        <v>0</v>
      </c>
      <c r="H176">
        <v>1</v>
      </c>
      <c r="I176">
        <v>0</v>
      </c>
      <c r="J176">
        <v>1</v>
      </c>
      <c r="K176" t="s">
        <v>628</v>
      </c>
      <c r="L176">
        <v>70.56</v>
      </c>
    </row>
    <row r="177" spans="1:12" x14ac:dyDescent="0.2">
      <c r="A177" s="4">
        <v>176</v>
      </c>
      <c r="B177" t="s">
        <v>110</v>
      </c>
      <c r="C177">
        <v>71.14</v>
      </c>
      <c r="D177">
        <v>13</v>
      </c>
      <c r="E177">
        <v>17</v>
      </c>
      <c r="F177">
        <v>73.42</v>
      </c>
      <c r="G177">
        <v>0</v>
      </c>
      <c r="H177">
        <v>3</v>
      </c>
      <c r="I177">
        <v>0</v>
      </c>
      <c r="J177">
        <v>3</v>
      </c>
      <c r="K177" t="s">
        <v>629</v>
      </c>
      <c r="L177">
        <v>71.37</v>
      </c>
    </row>
    <row r="178" spans="1:12" x14ac:dyDescent="0.2">
      <c r="A178" s="4">
        <v>177</v>
      </c>
      <c r="B178" t="s">
        <v>294</v>
      </c>
      <c r="C178">
        <v>71.11</v>
      </c>
      <c r="D178">
        <v>18</v>
      </c>
      <c r="E178">
        <v>13</v>
      </c>
      <c r="F178">
        <v>70.03</v>
      </c>
      <c r="G178">
        <v>0</v>
      </c>
      <c r="H178">
        <v>0</v>
      </c>
      <c r="I178">
        <v>0</v>
      </c>
      <c r="J178">
        <v>1</v>
      </c>
      <c r="K178" t="s">
        <v>630</v>
      </c>
      <c r="L178">
        <v>70.06</v>
      </c>
    </row>
    <row r="179" spans="1:12" x14ac:dyDescent="0.2">
      <c r="A179" s="4">
        <v>178</v>
      </c>
      <c r="B179" t="s">
        <v>560</v>
      </c>
      <c r="C179">
        <v>71.09</v>
      </c>
      <c r="D179">
        <v>15</v>
      </c>
      <c r="E179">
        <v>17</v>
      </c>
      <c r="F179">
        <v>71.89</v>
      </c>
      <c r="G179">
        <v>0</v>
      </c>
      <c r="H179">
        <v>2</v>
      </c>
      <c r="I179">
        <v>0</v>
      </c>
      <c r="J179">
        <v>2</v>
      </c>
      <c r="K179" t="s">
        <v>631</v>
      </c>
      <c r="L179">
        <v>72.12</v>
      </c>
    </row>
    <row r="180" spans="1:12" x14ac:dyDescent="0.2">
      <c r="A180" s="4">
        <v>179</v>
      </c>
      <c r="B180" t="s">
        <v>562</v>
      </c>
      <c r="C180">
        <v>71</v>
      </c>
      <c r="D180">
        <v>17</v>
      </c>
      <c r="E180">
        <v>13</v>
      </c>
      <c r="F180">
        <v>69.03</v>
      </c>
      <c r="G180">
        <v>0</v>
      </c>
      <c r="H180">
        <v>0</v>
      </c>
      <c r="I180">
        <v>0</v>
      </c>
      <c r="J180">
        <v>1</v>
      </c>
      <c r="K180" t="s">
        <v>632</v>
      </c>
      <c r="L180">
        <v>71.27</v>
      </c>
    </row>
    <row r="181" spans="1:12" x14ac:dyDescent="0.2">
      <c r="A181" s="4">
        <v>180</v>
      </c>
      <c r="B181" t="s">
        <v>286</v>
      </c>
      <c r="C181">
        <v>70.97</v>
      </c>
      <c r="D181">
        <v>12</v>
      </c>
      <c r="E181">
        <v>20</v>
      </c>
      <c r="F181">
        <v>75.08</v>
      </c>
      <c r="G181">
        <v>0</v>
      </c>
      <c r="H181">
        <v>2</v>
      </c>
      <c r="I181">
        <v>1</v>
      </c>
      <c r="J181">
        <v>6</v>
      </c>
      <c r="K181" t="s">
        <v>386</v>
      </c>
      <c r="L181">
        <v>70.040000000000006</v>
      </c>
    </row>
    <row r="182" spans="1:12" x14ac:dyDescent="0.2">
      <c r="A182" s="4">
        <v>181</v>
      </c>
      <c r="B182" t="s">
        <v>101</v>
      </c>
      <c r="C182">
        <v>70.900000000000006</v>
      </c>
      <c r="D182">
        <v>15</v>
      </c>
      <c r="E182">
        <v>17</v>
      </c>
      <c r="F182">
        <v>71.22</v>
      </c>
      <c r="G182">
        <v>0</v>
      </c>
      <c r="H182">
        <v>1</v>
      </c>
      <c r="I182">
        <v>0</v>
      </c>
      <c r="J182">
        <v>3</v>
      </c>
      <c r="K182" t="s">
        <v>633</v>
      </c>
      <c r="L182">
        <v>71.42</v>
      </c>
    </row>
    <row r="183" spans="1:12" x14ac:dyDescent="0.2">
      <c r="A183" s="4">
        <v>182</v>
      </c>
      <c r="B183" t="s">
        <v>97</v>
      </c>
      <c r="C183">
        <v>70.849999999999994</v>
      </c>
      <c r="D183">
        <v>9</v>
      </c>
      <c r="E183">
        <v>24</v>
      </c>
      <c r="F183">
        <v>78.66</v>
      </c>
      <c r="G183">
        <v>0</v>
      </c>
      <c r="H183">
        <v>0</v>
      </c>
      <c r="I183">
        <v>0</v>
      </c>
      <c r="J183">
        <v>13</v>
      </c>
      <c r="K183" t="s">
        <v>634</v>
      </c>
      <c r="L183">
        <v>70.73</v>
      </c>
    </row>
    <row r="184" spans="1:12" x14ac:dyDescent="0.2">
      <c r="A184" s="4">
        <v>183</v>
      </c>
      <c r="B184" t="s">
        <v>137</v>
      </c>
      <c r="C184">
        <v>70.819999999999993</v>
      </c>
      <c r="D184">
        <v>19</v>
      </c>
      <c r="E184">
        <v>12</v>
      </c>
      <c r="F184">
        <v>68.900000000000006</v>
      </c>
      <c r="G184">
        <v>0</v>
      </c>
      <c r="H184">
        <v>1</v>
      </c>
      <c r="I184">
        <v>0</v>
      </c>
      <c r="J184">
        <v>1</v>
      </c>
      <c r="K184" t="s">
        <v>635</v>
      </c>
      <c r="L184">
        <v>69.180000000000007</v>
      </c>
    </row>
    <row r="185" spans="1:12" x14ac:dyDescent="0.2">
      <c r="A185" s="4">
        <v>184</v>
      </c>
      <c r="B185" t="s">
        <v>214</v>
      </c>
      <c r="C185">
        <v>70.760000000000005</v>
      </c>
      <c r="D185">
        <v>16</v>
      </c>
      <c r="E185">
        <v>14</v>
      </c>
      <c r="F185">
        <v>70.02</v>
      </c>
      <c r="G185">
        <v>0</v>
      </c>
      <c r="H185">
        <v>0</v>
      </c>
      <c r="I185">
        <v>0</v>
      </c>
      <c r="J185">
        <v>0</v>
      </c>
      <c r="K185" t="s">
        <v>607</v>
      </c>
      <c r="L185">
        <v>70.03</v>
      </c>
    </row>
    <row r="186" spans="1:12" x14ac:dyDescent="0.2">
      <c r="A186" s="4">
        <v>185</v>
      </c>
      <c r="B186" t="s">
        <v>228</v>
      </c>
      <c r="C186">
        <v>70.7</v>
      </c>
      <c r="D186">
        <v>17</v>
      </c>
      <c r="E186">
        <v>14</v>
      </c>
      <c r="F186">
        <v>70.48</v>
      </c>
      <c r="G186">
        <v>0</v>
      </c>
      <c r="H186">
        <v>1</v>
      </c>
      <c r="I186">
        <v>0</v>
      </c>
      <c r="J186">
        <v>1</v>
      </c>
      <c r="K186" t="s">
        <v>636</v>
      </c>
      <c r="L186">
        <v>70.7</v>
      </c>
    </row>
    <row r="187" spans="1:12" x14ac:dyDescent="0.2">
      <c r="A187" s="4">
        <v>186</v>
      </c>
      <c r="B187" t="s">
        <v>263</v>
      </c>
      <c r="C187">
        <v>70.41</v>
      </c>
      <c r="D187">
        <v>18</v>
      </c>
      <c r="E187">
        <v>14</v>
      </c>
      <c r="F187">
        <v>68.239999999999995</v>
      </c>
      <c r="G187">
        <v>0</v>
      </c>
      <c r="H187">
        <v>0</v>
      </c>
      <c r="I187">
        <v>0</v>
      </c>
      <c r="J187">
        <v>0</v>
      </c>
      <c r="K187" t="s">
        <v>637</v>
      </c>
      <c r="L187">
        <v>70.510000000000005</v>
      </c>
    </row>
    <row r="188" spans="1:12" x14ac:dyDescent="0.2">
      <c r="A188" s="4">
        <v>187</v>
      </c>
      <c r="B188" t="s">
        <v>187</v>
      </c>
      <c r="C188">
        <v>70.38</v>
      </c>
      <c r="D188">
        <v>10</v>
      </c>
      <c r="E188">
        <v>18</v>
      </c>
      <c r="F188">
        <v>73.73</v>
      </c>
      <c r="G188">
        <v>0</v>
      </c>
      <c r="H188">
        <v>1</v>
      </c>
      <c r="I188">
        <v>0</v>
      </c>
      <c r="J188">
        <v>2</v>
      </c>
      <c r="K188" t="s">
        <v>638</v>
      </c>
      <c r="L188">
        <v>70.87</v>
      </c>
    </row>
    <row r="189" spans="1:12" x14ac:dyDescent="0.2">
      <c r="A189" s="4">
        <v>188</v>
      </c>
      <c r="B189" t="s">
        <v>564</v>
      </c>
      <c r="C189">
        <v>70.33</v>
      </c>
      <c r="D189">
        <v>16</v>
      </c>
      <c r="E189">
        <v>13</v>
      </c>
      <c r="F189">
        <v>69.81</v>
      </c>
      <c r="G189">
        <v>0</v>
      </c>
      <c r="H189">
        <v>1</v>
      </c>
      <c r="I189">
        <v>0</v>
      </c>
      <c r="J189">
        <v>1</v>
      </c>
      <c r="K189" t="s">
        <v>639</v>
      </c>
      <c r="L189">
        <v>69.91</v>
      </c>
    </row>
    <row r="190" spans="1:12" x14ac:dyDescent="0.2">
      <c r="A190" s="4">
        <v>189</v>
      </c>
      <c r="B190" t="s">
        <v>830</v>
      </c>
      <c r="C190">
        <v>70.290000000000006</v>
      </c>
      <c r="D190">
        <v>12</v>
      </c>
      <c r="E190">
        <v>19</v>
      </c>
      <c r="F190">
        <v>73.599999999999994</v>
      </c>
      <c r="G190">
        <v>0</v>
      </c>
      <c r="H190">
        <v>1</v>
      </c>
      <c r="I190">
        <v>1</v>
      </c>
      <c r="J190">
        <v>5</v>
      </c>
      <c r="K190" t="s">
        <v>638</v>
      </c>
      <c r="L190">
        <v>70.680000000000007</v>
      </c>
    </row>
    <row r="191" spans="1:12" x14ac:dyDescent="0.2">
      <c r="A191" s="4">
        <v>190</v>
      </c>
      <c r="B191" t="s">
        <v>810</v>
      </c>
      <c r="C191">
        <v>70.260000000000005</v>
      </c>
      <c r="D191">
        <v>9</v>
      </c>
      <c r="E191">
        <v>21</v>
      </c>
      <c r="F191">
        <v>75.55</v>
      </c>
      <c r="G191">
        <v>0</v>
      </c>
      <c r="H191">
        <v>0</v>
      </c>
      <c r="I191">
        <v>0</v>
      </c>
      <c r="J191">
        <v>7</v>
      </c>
      <c r="K191" t="s">
        <v>640</v>
      </c>
      <c r="L191">
        <v>71.3</v>
      </c>
    </row>
    <row r="192" spans="1:12" x14ac:dyDescent="0.2">
      <c r="A192" s="4">
        <v>191</v>
      </c>
      <c r="B192" t="s">
        <v>198</v>
      </c>
      <c r="C192">
        <v>70.180000000000007</v>
      </c>
      <c r="D192">
        <v>18</v>
      </c>
      <c r="E192">
        <v>13</v>
      </c>
      <c r="F192">
        <v>68.48</v>
      </c>
      <c r="G192">
        <v>0</v>
      </c>
      <c r="H192">
        <v>1</v>
      </c>
      <c r="I192">
        <v>0</v>
      </c>
      <c r="J192">
        <v>1</v>
      </c>
      <c r="K192" t="s">
        <v>641</v>
      </c>
      <c r="L192">
        <v>69.27</v>
      </c>
    </row>
    <row r="193" spans="1:12" x14ac:dyDescent="0.2">
      <c r="A193" s="4">
        <v>192</v>
      </c>
      <c r="B193" t="s">
        <v>46</v>
      </c>
      <c r="C193">
        <v>70.010000000000005</v>
      </c>
      <c r="D193">
        <v>5</v>
      </c>
      <c r="E193">
        <v>25</v>
      </c>
      <c r="F193">
        <v>81.16</v>
      </c>
      <c r="G193">
        <v>0</v>
      </c>
      <c r="H193">
        <v>7</v>
      </c>
      <c r="I193">
        <v>0</v>
      </c>
      <c r="J193">
        <v>18</v>
      </c>
      <c r="K193" t="s">
        <v>642</v>
      </c>
      <c r="L193">
        <v>69.67</v>
      </c>
    </row>
    <row r="194" spans="1:12" x14ac:dyDescent="0.2">
      <c r="A194" s="4">
        <v>193</v>
      </c>
      <c r="B194" t="s">
        <v>69</v>
      </c>
      <c r="C194">
        <v>69.95</v>
      </c>
      <c r="D194">
        <v>8</v>
      </c>
      <c r="E194">
        <v>22</v>
      </c>
      <c r="F194">
        <v>76.84</v>
      </c>
      <c r="G194">
        <v>0</v>
      </c>
      <c r="H194">
        <v>8</v>
      </c>
      <c r="I194">
        <v>0</v>
      </c>
      <c r="J194">
        <v>12</v>
      </c>
      <c r="K194" t="s">
        <v>643</v>
      </c>
      <c r="L194">
        <v>71.900000000000006</v>
      </c>
    </row>
    <row r="195" spans="1:12" x14ac:dyDescent="0.2">
      <c r="A195" s="4">
        <v>194</v>
      </c>
      <c r="B195" t="s">
        <v>828</v>
      </c>
      <c r="C195">
        <v>69.95</v>
      </c>
      <c r="D195">
        <v>11</v>
      </c>
      <c r="E195">
        <v>17</v>
      </c>
      <c r="F195">
        <v>72.930000000000007</v>
      </c>
      <c r="G195">
        <v>0</v>
      </c>
      <c r="H195">
        <v>0</v>
      </c>
      <c r="I195">
        <v>0</v>
      </c>
      <c r="J195">
        <v>3</v>
      </c>
      <c r="K195" t="s">
        <v>644</v>
      </c>
      <c r="L195">
        <v>70.430000000000007</v>
      </c>
    </row>
    <row r="196" spans="1:12" x14ac:dyDescent="0.2">
      <c r="A196" s="4">
        <v>195</v>
      </c>
      <c r="B196" t="s">
        <v>860</v>
      </c>
      <c r="C196">
        <v>69.91</v>
      </c>
      <c r="D196">
        <v>11</v>
      </c>
      <c r="E196">
        <v>20</v>
      </c>
      <c r="F196">
        <v>73.39</v>
      </c>
      <c r="G196">
        <v>0</v>
      </c>
      <c r="H196">
        <v>0</v>
      </c>
      <c r="I196">
        <v>0</v>
      </c>
      <c r="J196">
        <v>1</v>
      </c>
      <c r="K196" t="s">
        <v>645</v>
      </c>
      <c r="L196">
        <v>70.52</v>
      </c>
    </row>
    <row r="197" spans="1:12" x14ac:dyDescent="0.2">
      <c r="A197" s="4">
        <v>196</v>
      </c>
      <c r="B197" t="s">
        <v>272</v>
      </c>
      <c r="C197">
        <v>69.84</v>
      </c>
      <c r="D197">
        <v>13</v>
      </c>
      <c r="E197">
        <v>14</v>
      </c>
      <c r="F197">
        <v>70.510000000000005</v>
      </c>
      <c r="G197">
        <v>0</v>
      </c>
      <c r="H197">
        <v>1</v>
      </c>
      <c r="I197">
        <v>0</v>
      </c>
      <c r="J197">
        <v>1</v>
      </c>
      <c r="K197" t="s">
        <v>646</v>
      </c>
      <c r="L197">
        <v>71.19</v>
      </c>
    </row>
    <row r="198" spans="1:12" x14ac:dyDescent="0.2">
      <c r="A198" s="4">
        <v>197</v>
      </c>
      <c r="B198" t="s">
        <v>869</v>
      </c>
      <c r="C198">
        <v>69.83</v>
      </c>
      <c r="D198">
        <v>15</v>
      </c>
      <c r="E198">
        <v>11</v>
      </c>
      <c r="F198">
        <v>65.59</v>
      </c>
      <c r="G198">
        <v>0</v>
      </c>
      <c r="H198">
        <v>0</v>
      </c>
      <c r="I198">
        <v>0</v>
      </c>
      <c r="J198">
        <v>1</v>
      </c>
      <c r="K198" t="s">
        <v>647</v>
      </c>
      <c r="L198">
        <v>71.680000000000007</v>
      </c>
    </row>
    <row r="199" spans="1:12" x14ac:dyDescent="0.2">
      <c r="A199" s="4">
        <v>198</v>
      </c>
      <c r="B199" t="s">
        <v>275</v>
      </c>
      <c r="C199">
        <v>69.75</v>
      </c>
      <c r="D199">
        <v>10</v>
      </c>
      <c r="E199">
        <v>17</v>
      </c>
      <c r="F199">
        <v>73.81</v>
      </c>
      <c r="G199">
        <v>0</v>
      </c>
      <c r="H199">
        <v>3</v>
      </c>
      <c r="I199">
        <v>0</v>
      </c>
      <c r="J199">
        <v>3</v>
      </c>
      <c r="K199" t="s">
        <v>648</v>
      </c>
      <c r="L199">
        <v>69.680000000000007</v>
      </c>
    </row>
    <row r="200" spans="1:12" x14ac:dyDescent="0.2">
      <c r="A200" s="4">
        <v>199</v>
      </c>
      <c r="B200" t="s">
        <v>169</v>
      </c>
      <c r="C200">
        <v>69.739999999999995</v>
      </c>
      <c r="D200">
        <v>14</v>
      </c>
      <c r="E200">
        <v>17</v>
      </c>
      <c r="F200">
        <v>71.5</v>
      </c>
      <c r="G200">
        <v>0</v>
      </c>
      <c r="H200">
        <v>1</v>
      </c>
      <c r="I200">
        <v>0</v>
      </c>
      <c r="J200">
        <v>3</v>
      </c>
      <c r="K200" t="s">
        <v>649</v>
      </c>
      <c r="L200">
        <v>69.87</v>
      </c>
    </row>
    <row r="201" spans="1:12" x14ac:dyDescent="0.2">
      <c r="A201" s="4">
        <v>200</v>
      </c>
      <c r="B201" t="s">
        <v>283</v>
      </c>
      <c r="C201">
        <v>69.64</v>
      </c>
      <c r="D201">
        <v>19</v>
      </c>
      <c r="E201">
        <v>11</v>
      </c>
      <c r="F201">
        <v>66.78</v>
      </c>
      <c r="G201">
        <v>0</v>
      </c>
      <c r="H201">
        <v>1</v>
      </c>
      <c r="I201">
        <v>0</v>
      </c>
      <c r="J201">
        <v>1</v>
      </c>
      <c r="K201" t="s">
        <v>384</v>
      </c>
      <c r="L201">
        <v>68.48</v>
      </c>
    </row>
    <row r="202" spans="1:12" x14ac:dyDescent="0.2">
      <c r="A202" s="4">
        <v>201</v>
      </c>
      <c r="B202" t="s">
        <v>548</v>
      </c>
      <c r="C202">
        <v>69.62</v>
      </c>
      <c r="D202">
        <v>12</v>
      </c>
      <c r="E202">
        <v>19</v>
      </c>
      <c r="F202">
        <v>71.930000000000007</v>
      </c>
      <c r="G202">
        <v>0</v>
      </c>
      <c r="H202">
        <v>0</v>
      </c>
      <c r="I202">
        <v>0</v>
      </c>
      <c r="J202">
        <v>2</v>
      </c>
      <c r="K202" t="s">
        <v>650</v>
      </c>
      <c r="L202">
        <v>70.400000000000006</v>
      </c>
    </row>
    <row r="203" spans="1:12" x14ac:dyDescent="0.2">
      <c r="A203" s="4">
        <v>202</v>
      </c>
      <c r="B203" t="s">
        <v>168</v>
      </c>
      <c r="C203">
        <v>69.61</v>
      </c>
      <c r="D203">
        <v>16</v>
      </c>
      <c r="E203">
        <v>13</v>
      </c>
      <c r="F203">
        <v>69.78</v>
      </c>
      <c r="G203">
        <v>0</v>
      </c>
      <c r="H203">
        <v>0</v>
      </c>
      <c r="I203">
        <v>0</v>
      </c>
      <c r="J203">
        <v>0</v>
      </c>
      <c r="K203" t="s">
        <v>651</v>
      </c>
      <c r="L203">
        <v>68.62</v>
      </c>
    </row>
    <row r="204" spans="1:12" x14ac:dyDescent="0.2">
      <c r="A204" s="4">
        <v>203</v>
      </c>
      <c r="B204" t="s">
        <v>209</v>
      </c>
      <c r="C204">
        <v>69.53</v>
      </c>
      <c r="D204">
        <v>16</v>
      </c>
      <c r="E204">
        <v>14</v>
      </c>
      <c r="F204">
        <v>66.790000000000006</v>
      </c>
      <c r="G204">
        <v>0</v>
      </c>
      <c r="H204">
        <v>0</v>
      </c>
      <c r="I204">
        <v>0</v>
      </c>
      <c r="J204">
        <v>0</v>
      </c>
      <c r="K204" t="s">
        <v>652</v>
      </c>
      <c r="L204">
        <v>71.55</v>
      </c>
    </row>
    <row r="205" spans="1:12" x14ac:dyDescent="0.2">
      <c r="A205" s="4">
        <v>204</v>
      </c>
      <c r="B205" t="s">
        <v>804</v>
      </c>
      <c r="C205">
        <v>69.52</v>
      </c>
      <c r="D205">
        <v>13</v>
      </c>
      <c r="E205">
        <v>21</v>
      </c>
      <c r="F205">
        <v>72.22</v>
      </c>
      <c r="G205">
        <v>0</v>
      </c>
      <c r="H205">
        <v>0</v>
      </c>
      <c r="I205">
        <v>0</v>
      </c>
      <c r="J205">
        <v>5</v>
      </c>
      <c r="K205" t="s">
        <v>653</v>
      </c>
      <c r="L205">
        <v>70.31</v>
      </c>
    </row>
    <row r="206" spans="1:12" x14ac:dyDescent="0.2">
      <c r="A206" s="4">
        <v>205</v>
      </c>
      <c r="B206" t="s">
        <v>303</v>
      </c>
      <c r="C206">
        <v>69.39</v>
      </c>
      <c r="D206">
        <v>5</v>
      </c>
      <c r="E206">
        <v>7</v>
      </c>
      <c r="F206">
        <v>70.75</v>
      </c>
      <c r="G206">
        <v>0</v>
      </c>
      <c r="H206">
        <v>0</v>
      </c>
      <c r="I206">
        <v>0</v>
      </c>
      <c r="J206">
        <v>1</v>
      </c>
      <c r="K206" t="s">
        <v>654</v>
      </c>
      <c r="L206">
        <v>69.819999999999993</v>
      </c>
    </row>
    <row r="207" spans="1:12" x14ac:dyDescent="0.2">
      <c r="A207" s="4">
        <v>206</v>
      </c>
      <c r="B207" t="s">
        <v>50</v>
      </c>
      <c r="C207">
        <v>69.31</v>
      </c>
      <c r="D207">
        <v>14</v>
      </c>
      <c r="E207">
        <v>17</v>
      </c>
      <c r="F207">
        <v>71.989999999999995</v>
      </c>
      <c r="G207">
        <v>0</v>
      </c>
      <c r="H207">
        <v>1</v>
      </c>
      <c r="I207">
        <v>1</v>
      </c>
      <c r="J207">
        <v>2</v>
      </c>
      <c r="K207" t="s">
        <v>397</v>
      </c>
      <c r="L207">
        <v>68.13</v>
      </c>
    </row>
    <row r="208" spans="1:12" x14ac:dyDescent="0.2">
      <c r="A208" s="4">
        <v>207</v>
      </c>
      <c r="B208" t="s">
        <v>907</v>
      </c>
      <c r="C208">
        <v>69.209999999999994</v>
      </c>
      <c r="D208">
        <v>15</v>
      </c>
      <c r="E208">
        <v>14</v>
      </c>
      <c r="F208">
        <v>67.73</v>
      </c>
      <c r="G208">
        <v>0</v>
      </c>
      <c r="H208">
        <v>1</v>
      </c>
      <c r="I208">
        <v>0</v>
      </c>
      <c r="J208">
        <v>1</v>
      </c>
      <c r="K208" t="s">
        <v>655</v>
      </c>
      <c r="L208">
        <v>70.03</v>
      </c>
    </row>
    <row r="209" spans="1:12" x14ac:dyDescent="0.2">
      <c r="A209" s="4">
        <v>208</v>
      </c>
      <c r="B209" t="s">
        <v>246</v>
      </c>
      <c r="C209">
        <v>69.19</v>
      </c>
      <c r="D209">
        <v>17</v>
      </c>
      <c r="E209">
        <v>14</v>
      </c>
      <c r="F209">
        <v>67.19</v>
      </c>
      <c r="G209">
        <v>0</v>
      </c>
      <c r="H209">
        <v>0</v>
      </c>
      <c r="I209">
        <v>0</v>
      </c>
      <c r="J209">
        <v>1</v>
      </c>
      <c r="K209" t="s">
        <v>656</v>
      </c>
      <c r="L209">
        <v>70.16</v>
      </c>
    </row>
    <row r="210" spans="1:12" x14ac:dyDescent="0.2">
      <c r="A210" s="4">
        <v>209</v>
      </c>
      <c r="B210" t="s">
        <v>823</v>
      </c>
      <c r="C210">
        <v>69.069999999999993</v>
      </c>
      <c r="D210">
        <v>13</v>
      </c>
      <c r="E210">
        <v>17</v>
      </c>
      <c r="F210">
        <v>71.8</v>
      </c>
      <c r="G210">
        <v>0</v>
      </c>
      <c r="H210">
        <v>0</v>
      </c>
      <c r="I210">
        <v>0</v>
      </c>
      <c r="J210">
        <v>0</v>
      </c>
      <c r="K210" t="s">
        <v>657</v>
      </c>
      <c r="L210">
        <v>68.22</v>
      </c>
    </row>
    <row r="211" spans="1:12" x14ac:dyDescent="0.2">
      <c r="A211" s="4">
        <v>210</v>
      </c>
      <c r="B211" t="s">
        <v>282</v>
      </c>
      <c r="C211">
        <v>69.02</v>
      </c>
      <c r="D211">
        <v>16</v>
      </c>
      <c r="E211">
        <v>15</v>
      </c>
      <c r="F211">
        <v>70.150000000000006</v>
      </c>
      <c r="G211">
        <v>0</v>
      </c>
      <c r="H211">
        <v>2</v>
      </c>
      <c r="I211">
        <v>0</v>
      </c>
      <c r="J211">
        <v>2</v>
      </c>
      <c r="K211" t="s">
        <v>658</v>
      </c>
      <c r="L211">
        <v>68.45</v>
      </c>
    </row>
    <row r="212" spans="1:12" x14ac:dyDescent="0.2">
      <c r="A212" s="4">
        <v>211</v>
      </c>
      <c r="B212" t="s">
        <v>821</v>
      </c>
      <c r="C212">
        <v>68.92</v>
      </c>
      <c r="D212">
        <v>10</v>
      </c>
      <c r="E212">
        <v>21</v>
      </c>
      <c r="F212">
        <v>74.5</v>
      </c>
      <c r="G212">
        <v>0</v>
      </c>
      <c r="H212">
        <v>2</v>
      </c>
      <c r="I212">
        <v>0</v>
      </c>
      <c r="J212">
        <v>2</v>
      </c>
      <c r="K212" t="s">
        <v>659</v>
      </c>
      <c r="L212">
        <v>69.069999999999993</v>
      </c>
    </row>
    <row r="213" spans="1:12" x14ac:dyDescent="0.2">
      <c r="A213" s="4">
        <v>212</v>
      </c>
      <c r="B213" t="s">
        <v>150</v>
      </c>
      <c r="C213">
        <v>68.92</v>
      </c>
      <c r="D213">
        <v>13</v>
      </c>
      <c r="E213">
        <v>19</v>
      </c>
      <c r="F213">
        <v>71.41</v>
      </c>
      <c r="G213">
        <v>0</v>
      </c>
      <c r="H213">
        <v>0</v>
      </c>
      <c r="I213">
        <v>0</v>
      </c>
      <c r="J213">
        <v>0</v>
      </c>
      <c r="K213" t="s">
        <v>660</v>
      </c>
      <c r="L213">
        <v>68.819999999999993</v>
      </c>
    </row>
    <row r="214" spans="1:12" x14ac:dyDescent="0.2">
      <c r="A214" s="4">
        <v>213</v>
      </c>
      <c r="B214" t="s">
        <v>556</v>
      </c>
      <c r="C214">
        <v>68.88</v>
      </c>
      <c r="D214">
        <v>13</v>
      </c>
      <c r="E214">
        <v>17</v>
      </c>
      <c r="F214">
        <v>70.45</v>
      </c>
      <c r="G214">
        <v>0</v>
      </c>
      <c r="H214">
        <v>1</v>
      </c>
      <c r="I214">
        <v>0</v>
      </c>
      <c r="J214">
        <v>3</v>
      </c>
      <c r="K214" t="s">
        <v>661</v>
      </c>
      <c r="L214">
        <v>69.64</v>
      </c>
    </row>
    <row r="215" spans="1:12" x14ac:dyDescent="0.2">
      <c r="A215" s="4">
        <v>214</v>
      </c>
      <c r="B215" t="s">
        <v>241</v>
      </c>
      <c r="C215">
        <v>68.84</v>
      </c>
      <c r="D215">
        <v>15</v>
      </c>
      <c r="E215">
        <v>16</v>
      </c>
      <c r="F215">
        <v>68.739999999999995</v>
      </c>
      <c r="G215">
        <v>0</v>
      </c>
      <c r="H215">
        <v>0</v>
      </c>
      <c r="I215">
        <v>0</v>
      </c>
      <c r="J215">
        <v>0</v>
      </c>
      <c r="K215" t="s">
        <v>662</v>
      </c>
      <c r="L215">
        <v>69.11</v>
      </c>
    </row>
    <row r="216" spans="1:12" x14ac:dyDescent="0.2">
      <c r="A216" s="4">
        <v>215</v>
      </c>
      <c r="B216" t="s">
        <v>262</v>
      </c>
      <c r="C216">
        <v>68.83</v>
      </c>
      <c r="D216">
        <v>11</v>
      </c>
      <c r="E216">
        <v>15</v>
      </c>
      <c r="F216">
        <v>72.349999999999994</v>
      </c>
      <c r="G216">
        <v>0</v>
      </c>
      <c r="H216">
        <v>2</v>
      </c>
      <c r="I216">
        <v>0</v>
      </c>
      <c r="J216">
        <v>2</v>
      </c>
      <c r="K216" t="s">
        <v>663</v>
      </c>
      <c r="L216">
        <v>68.91</v>
      </c>
    </row>
    <row r="217" spans="1:12" x14ac:dyDescent="0.2">
      <c r="A217" s="4">
        <v>216</v>
      </c>
      <c r="B217" t="s">
        <v>123</v>
      </c>
      <c r="C217">
        <v>68.819999999999993</v>
      </c>
      <c r="D217">
        <v>15</v>
      </c>
      <c r="E217">
        <v>14</v>
      </c>
      <c r="F217">
        <v>69.650000000000006</v>
      </c>
      <c r="G217">
        <v>0</v>
      </c>
      <c r="H217">
        <v>1</v>
      </c>
      <c r="I217">
        <v>0</v>
      </c>
      <c r="J217">
        <v>1</v>
      </c>
      <c r="K217" t="s">
        <v>664</v>
      </c>
      <c r="L217">
        <v>67.13</v>
      </c>
    </row>
    <row r="218" spans="1:12" x14ac:dyDescent="0.2">
      <c r="A218" s="4">
        <v>217</v>
      </c>
      <c r="B218" t="s">
        <v>293</v>
      </c>
      <c r="C218">
        <v>68.64</v>
      </c>
      <c r="D218">
        <v>13</v>
      </c>
      <c r="E218">
        <v>18</v>
      </c>
      <c r="F218">
        <v>70.069999999999993</v>
      </c>
      <c r="G218">
        <v>0</v>
      </c>
      <c r="H218">
        <v>0</v>
      </c>
      <c r="I218">
        <v>0</v>
      </c>
      <c r="J218">
        <v>1</v>
      </c>
      <c r="K218" t="s">
        <v>665</v>
      </c>
      <c r="L218">
        <v>69.459999999999994</v>
      </c>
    </row>
    <row r="219" spans="1:12" x14ac:dyDescent="0.2">
      <c r="A219" s="4">
        <v>218</v>
      </c>
      <c r="B219" t="s">
        <v>85</v>
      </c>
      <c r="C219">
        <v>68.62</v>
      </c>
      <c r="D219">
        <v>16</v>
      </c>
      <c r="E219">
        <v>17</v>
      </c>
      <c r="F219">
        <v>71.010000000000005</v>
      </c>
      <c r="G219">
        <v>0</v>
      </c>
      <c r="H219">
        <v>3</v>
      </c>
      <c r="I219">
        <v>0</v>
      </c>
      <c r="J219">
        <v>5</v>
      </c>
      <c r="K219" t="s">
        <v>666</v>
      </c>
      <c r="L219">
        <v>66.83</v>
      </c>
    </row>
    <row r="220" spans="1:12" x14ac:dyDescent="0.2">
      <c r="A220" s="4">
        <v>219</v>
      </c>
      <c r="B220" t="s">
        <v>217</v>
      </c>
      <c r="C220">
        <v>68.37</v>
      </c>
      <c r="D220">
        <v>12</v>
      </c>
      <c r="E220">
        <v>20</v>
      </c>
      <c r="F220">
        <v>72.56</v>
      </c>
      <c r="G220">
        <v>0</v>
      </c>
      <c r="H220">
        <v>1</v>
      </c>
      <c r="I220">
        <v>0</v>
      </c>
      <c r="J220">
        <v>1</v>
      </c>
      <c r="K220" t="s">
        <v>667</v>
      </c>
      <c r="L220">
        <v>67.760000000000005</v>
      </c>
    </row>
    <row r="221" spans="1:12" x14ac:dyDescent="0.2">
      <c r="A221" s="4">
        <v>220</v>
      </c>
      <c r="B221" t="s">
        <v>301</v>
      </c>
      <c r="C221">
        <v>68.27</v>
      </c>
      <c r="D221">
        <v>13</v>
      </c>
      <c r="E221">
        <v>19</v>
      </c>
      <c r="F221">
        <v>69.89</v>
      </c>
      <c r="G221">
        <v>0</v>
      </c>
      <c r="H221">
        <v>0</v>
      </c>
      <c r="I221">
        <v>0</v>
      </c>
      <c r="J221">
        <v>0</v>
      </c>
      <c r="K221" t="s">
        <v>668</v>
      </c>
      <c r="L221">
        <v>69.13</v>
      </c>
    </row>
    <row r="222" spans="1:12" x14ac:dyDescent="0.2">
      <c r="A222" s="4">
        <v>221</v>
      </c>
      <c r="B222" t="s">
        <v>903</v>
      </c>
      <c r="C222">
        <v>68.25</v>
      </c>
      <c r="D222">
        <v>15</v>
      </c>
      <c r="E222">
        <v>16</v>
      </c>
      <c r="F222">
        <v>69.8</v>
      </c>
      <c r="G222">
        <v>0</v>
      </c>
      <c r="H222">
        <v>2</v>
      </c>
      <c r="I222">
        <v>0</v>
      </c>
      <c r="J222">
        <v>2</v>
      </c>
      <c r="K222" t="s">
        <v>669</v>
      </c>
      <c r="L222">
        <v>67.66</v>
      </c>
    </row>
    <row r="223" spans="1:12" x14ac:dyDescent="0.2">
      <c r="A223" s="4">
        <v>222</v>
      </c>
      <c r="B223" t="s">
        <v>226</v>
      </c>
      <c r="C223">
        <v>68.12</v>
      </c>
      <c r="D223">
        <v>14</v>
      </c>
      <c r="E223">
        <v>15</v>
      </c>
      <c r="F223">
        <v>69.83</v>
      </c>
      <c r="G223">
        <v>0</v>
      </c>
      <c r="H223">
        <v>2</v>
      </c>
      <c r="I223">
        <v>0</v>
      </c>
      <c r="J223">
        <v>3</v>
      </c>
      <c r="K223" t="s">
        <v>670</v>
      </c>
      <c r="L223">
        <v>66.930000000000007</v>
      </c>
    </row>
    <row r="224" spans="1:12" x14ac:dyDescent="0.2">
      <c r="A224" s="4">
        <v>223</v>
      </c>
      <c r="B224" t="s">
        <v>831</v>
      </c>
      <c r="C224">
        <v>68.05</v>
      </c>
      <c r="D224">
        <v>9</v>
      </c>
      <c r="E224">
        <v>19</v>
      </c>
      <c r="F224">
        <v>73.22</v>
      </c>
      <c r="G224">
        <v>0</v>
      </c>
      <c r="H224">
        <v>0</v>
      </c>
      <c r="I224">
        <v>0</v>
      </c>
      <c r="J224">
        <v>3</v>
      </c>
      <c r="K224" t="s">
        <v>671</v>
      </c>
      <c r="L224">
        <v>68.19</v>
      </c>
    </row>
    <row r="225" spans="1:12" x14ac:dyDescent="0.2">
      <c r="A225" s="4">
        <v>224</v>
      </c>
      <c r="B225" t="s">
        <v>284</v>
      </c>
      <c r="C225">
        <v>67.98</v>
      </c>
      <c r="D225">
        <v>7</v>
      </c>
      <c r="E225">
        <v>22</v>
      </c>
      <c r="F225">
        <v>75.41</v>
      </c>
      <c r="G225">
        <v>0</v>
      </c>
      <c r="H225">
        <v>2</v>
      </c>
      <c r="I225">
        <v>0</v>
      </c>
      <c r="J225">
        <v>4</v>
      </c>
      <c r="K225" t="s">
        <v>672</v>
      </c>
      <c r="L225">
        <v>68.77</v>
      </c>
    </row>
    <row r="226" spans="1:12" x14ac:dyDescent="0.2">
      <c r="A226" s="4">
        <v>225</v>
      </c>
      <c r="B226" t="s">
        <v>815</v>
      </c>
      <c r="C226">
        <v>67.95</v>
      </c>
      <c r="D226">
        <v>11</v>
      </c>
      <c r="E226">
        <v>17</v>
      </c>
      <c r="F226">
        <v>69.95</v>
      </c>
      <c r="G226">
        <v>0</v>
      </c>
      <c r="H226">
        <v>1</v>
      </c>
      <c r="I226">
        <v>0</v>
      </c>
      <c r="J226">
        <v>1</v>
      </c>
      <c r="K226" t="s">
        <v>673</v>
      </c>
      <c r="L226">
        <v>68.64</v>
      </c>
    </row>
    <row r="227" spans="1:12" x14ac:dyDescent="0.2">
      <c r="A227" s="4">
        <v>226</v>
      </c>
      <c r="B227" t="s">
        <v>134</v>
      </c>
      <c r="C227">
        <v>67.95</v>
      </c>
      <c r="D227">
        <v>12</v>
      </c>
      <c r="E227">
        <v>19</v>
      </c>
      <c r="F227">
        <v>71.33</v>
      </c>
      <c r="G227">
        <v>0</v>
      </c>
      <c r="H227">
        <v>0</v>
      </c>
      <c r="I227">
        <v>0</v>
      </c>
      <c r="J227">
        <v>3</v>
      </c>
      <c r="K227" t="s">
        <v>674</v>
      </c>
      <c r="L227">
        <v>68.12</v>
      </c>
    </row>
    <row r="228" spans="1:12" x14ac:dyDescent="0.2">
      <c r="A228" s="4">
        <v>227</v>
      </c>
      <c r="B228" t="s">
        <v>808</v>
      </c>
      <c r="C228">
        <v>67.94</v>
      </c>
      <c r="D228">
        <v>10</v>
      </c>
      <c r="E228">
        <v>20</v>
      </c>
      <c r="F228">
        <v>72.67</v>
      </c>
      <c r="G228">
        <v>0</v>
      </c>
      <c r="H228">
        <v>0</v>
      </c>
      <c r="I228">
        <v>0</v>
      </c>
      <c r="J228">
        <v>2</v>
      </c>
      <c r="K228" t="s">
        <v>675</v>
      </c>
      <c r="L228">
        <v>67.81</v>
      </c>
    </row>
    <row r="229" spans="1:12" x14ac:dyDescent="0.2">
      <c r="A229" s="4">
        <v>228</v>
      </c>
      <c r="B229" t="s">
        <v>61</v>
      </c>
      <c r="C229">
        <v>67.930000000000007</v>
      </c>
      <c r="D229">
        <v>8</v>
      </c>
      <c r="E229">
        <v>21</v>
      </c>
      <c r="F229">
        <v>74.319999999999993</v>
      </c>
      <c r="G229">
        <v>0</v>
      </c>
      <c r="H229">
        <v>2</v>
      </c>
      <c r="I229">
        <v>0</v>
      </c>
      <c r="J229">
        <v>3</v>
      </c>
      <c r="K229" t="s">
        <v>676</v>
      </c>
      <c r="L229">
        <v>69.37</v>
      </c>
    </row>
    <row r="230" spans="1:12" x14ac:dyDescent="0.2">
      <c r="A230" s="4">
        <v>229</v>
      </c>
      <c r="B230" t="s">
        <v>834</v>
      </c>
      <c r="C230">
        <v>67.900000000000006</v>
      </c>
      <c r="D230">
        <v>20</v>
      </c>
      <c r="E230">
        <v>10</v>
      </c>
      <c r="F230">
        <v>63.33</v>
      </c>
      <c r="G230">
        <v>0</v>
      </c>
      <c r="H230">
        <v>0</v>
      </c>
      <c r="I230">
        <v>0</v>
      </c>
      <c r="J230">
        <v>0</v>
      </c>
      <c r="K230" t="s">
        <v>677</v>
      </c>
      <c r="L230">
        <v>68.760000000000005</v>
      </c>
    </row>
    <row r="231" spans="1:12" x14ac:dyDescent="0.2">
      <c r="A231" s="4">
        <v>230</v>
      </c>
      <c r="B231" t="s">
        <v>227</v>
      </c>
      <c r="C231">
        <v>67.89</v>
      </c>
      <c r="D231">
        <v>9</v>
      </c>
      <c r="E231">
        <v>17</v>
      </c>
      <c r="F231">
        <v>71.22</v>
      </c>
      <c r="G231">
        <v>0</v>
      </c>
      <c r="H231">
        <v>0</v>
      </c>
      <c r="I231">
        <v>0</v>
      </c>
      <c r="J231">
        <v>2</v>
      </c>
      <c r="K231" t="s">
        <v>678</v>
      </c>
      <c r="L231">
        <v>69.77</v>
      </c>
    </row>
    <row r="232" spans="1:12" x14ac:dyDescent="0.2">
      <c r="A232" s="4">
        <v>231</v>
      </c>
      <c r="B232" t="s">
        <v>300</v>
      </c>
      <c r="C232">
        <v>67.87</v>
      </c>
      <c r="D232">
        <v>10</v>
      </c>
      <c r="E232">
        <v>22</v>
      </c>
      <c r="F232">
        <v>74.760000000000005</v>
      </c>
      <c r="G232">
        <v>0</v>
      </c>
      <c r="H232">
        <v>3</v>
      </c>
      <c r="I232">
        <v>0</v>
      </c>
      <c r="J232">
        <v>5</v>
      </c>
      <c r="K232" t="s">
        <v>679</v>
      </c>
      <c r="L232">
        <v>67.41</v>
      </c>
    </row>
    <row r="233" spans="1:12" x14ac:dyDescent="0.2">
      <c r="A233" s="4">
        <v>232</v>
      </c>
      <c r="B233" t="s">
        <v>861</v>
      </c>
      <c r="C233">
        <v>67.83</v>
      </c>
      <c r="D233">
        <v>10</v>
      </c>
      <c r="E233">
        <v>16</v>
      </c>
      <c r="F233">
        <v>69.95</v>
      </c>
      <c r="G233">
        <v>0</v>
      </c>
      <c r="H233">
        <v>1</v>
      </c>
      <c r="I233">
        <v>0</v>
      </c>
      <c r="J233">
        <v>1</v>
      </c>
      <c r="K233" t="s">
        <v>680</v>
      </c>
      <c r="L233">
        <v>69.209999999999994</v>
      </c>
    </row>
    <row r="234" spans="1:12" x14ac:dyDescent="0.2">
      <c r="A234" s="4">
        <v>233</v>
      </c>
      <c r="B234" t="s">
        <v>47</v>
      </c>
      <c r="C234">
        <v>67.81</v>
      </c>
      <c r="D234">
        <v>9</v>
      </c>
      <c r="E234">
        <v>19</v>
      </c>
      <c r="F234">
        <v>74.05</v>
      </c>
      <c r="G234">
        <v>0</v>
      </c>
      <c r="H234">
        <v>2</v>
      </c>
      <c r="I234">
        <v>0</v>
      </c>
      <c r="J234">
        <v>6</v>
      </c>
      <c r="K234" t="s">
        <v>681</v>
      </c>
      <c r="L234">
        <v>67.790000000000006</v>
      </c>
    </row>
    <row r="235" spans="1:12" x14ac:dyDescent="0.2">
      <c r="A235" s="4">
        <v>234</v>
      </c>
      <c r="B235" t="s">
        <v>557</v>
      </c>
      <c r="C235">
        <v>67.77</v>
      </c>
      <c r="D235">
        <v>12</v>
      </c>
      <c r="E235">
        <v>17</v>
      </c>
      <c r="F235">
        <v>72.2</v>
      </c>
      <c r="G235">
        <v>0</v>
      </c>
      <c r="H235">
        <v>4</v>
      </c>
      <c r="I235">
        <v>0</v>
      </c>
      <c r="J235">
        <v>4</v>
      </c>
      <c r="K235" t="s">
        <v>682</v>
      </c>
      <c r="L235">
        <v>68.27</v>
      </c>
    </row>
    <row r="236" spans="1:12" x14ac:dyDescent="0.2">
      <c r="A236" s="4">
        <v>235</v>
      </c>
      <c r="B236" t="s">
        <v>212</v>
      </c>
      <c r="C236">
        <v>67.77</v>
      </c>
      <c r="D236">
        <v>11</v>
      </c>
      <c r="E236">
        <v>20</v>
      </c>
      <c r="F236">
        <v>72.62</v>
      </c>
      <c r="G236">
        <v>0</v>
      </c>
      <c r="H236">
        <v>1</v>
      </c>
      <c r="I236">
        <v>0</v>
      </c>
      <c r="J236">
        <v>1</v>
      </c>
      <c r="K236" t="s">
        <v>683</v>
      </c>
      <c r="L236">
        <v>67.3</v>
      </c>
    </row>
    <row r="237" spans="1:12" x14ac:dyDescent="0.2">
      <c r="A237" s="4">
        <v>236</v>
      </c>
      <c r="B237" t="s">
        <v>108</v>
      </c>
      <c r="C237">
        <v>67.709999999999994</v>
      </c>
      <c r="D237">
        <v>12</v>
      </c>
      <c r="E237">
        <v>22</v>
      </c>
      <c r="F237">
        <v>72.58</v>
      </c>
      <c r="G237">
        <v>0</v>
      </c>
      <c r="H237">
        <v>1</v>
      </c>
      <c r="I237">
        <v>0</v>
      </c>
      <c r="J237">
        <v>2</v>
      </c>
      <c r="K237" t="s">
        <v>669</v>
      </c>
      <c r="L237">
        <v>66.540000000000006</v>
      </c>
    </row>
    <row r="238" spans="1:12" x14ac:dyDescent="0.2">
      <c r="A238" s="4">
        <v>237</v>
      </c>
      <c r="B238" t="s">
        <v>193</v>
      </c>
      <c r="C238">
        <v>67.64</v>
      </c>
      <c r="D238">
        <v>14</v>
      </c>
      <c r="E238">
        <v>17</v>
      </c>
      <c r="F238">
        <v>70.78</v>
      </c>
      <c r="G238">
        <v>0</v>
      </c>
      <c r="H238">
        <v>1</v>
      </c>
      <c r="I238">
        <v>0</v>
      </c>
      <c r="J238">
        <v>1</v>
      </c>
      <c r="K238" t="s">
        <v>684</v>
      </c>
      <c r="L238">
        <v>65.73</v>
      </c>
    </row>
    <row r="239" spans="1:12" x14ac:dyDescent="0.2">
      <c r="A239" s="4">
        <v>238</v>
      </c>
      <c r="B239" t="s">
        <v>258</v>
      </c>
      <c r="C239">
        <v>67.430000000000007</v>
      </c>
      <c r="D239">
        <v>9</v>
      </c>
      <c r="E239">
        <v>20</v>
      </c>
      <c r="F239">
        <v>71.930000000000007</v>
      </c>
      <c r="G239">
        <v>0</v>
      </c>
      <c r="H239">
        <v>0</v>
      </c>
      <c r="I239">
        <v>0</v>
      </c>
      <c r="J239">
        <v>1</v>
      </c>
      <c r="K239" t="s">
        <v>421</v>
      </c>
      <c r="L239">
        <v>67.69</v>
      </c>
    </row>
    <row r="240" spans="1:12" x14ac:dyDescent="0.2">
      <c r="A240" s="4">
        <v>239</v>
      </c>
      <c r="B240" t="s">
        <v>184</v>
      </c>
      <c r="C240">
        <v>67.38</v>
      </c>
      <c r="D240">
        <v>11</v>
      </c>
      <c r="E240">
        <v>18</v>
      </c>
      <c r="F240">
        <v>72.19</v>
      </c>
      <c r="G240">
        <v>0</v>
      </c>
      <c r="H240">
        <v>2</v>
      </c>
      <c r="I240">
        <v>0</v>
      </c>
      <c r="J240">
        <v>4</v>
      </c>
      <c r="K240" t="s">
        <v>685</v>
      </c>
      <c r="L240">
        <v>66.95</v>
      </c>
    </row>
    <row r="241" spans="1:12" x14ac:dyDescent="0.2">
      <c r="A241" s="4">
        <v>240</v>
      </c>
      <c r="B241" t="s">
        <v>824</v>
      </c>
      <c r="C241">
        <v>67.27</v>
      </c>
      <c r="D241">
        <v>17</v>
      </c>
      <c r="E241">
        <v>13</v>
      </c>
      <c r="F241">
        <v>65.89</v>
      </c>
      <c r="G241">
        <v>0</v>
      </c>
      <c r="H241">
        <v>2</v>
      </c>
      <c r="I241">
        <v>0</v>
      </c>
      <c r="J241">
        <v>3</v>
      </c>
      <c r="K241" t="s">
        <v>686</v>
      </c>
      <c r="L241">
        <v>67.78</v>
      </c>
    </row>
    <row r="242" spans="1:12" x14ac:dyDescent="0.2">
      <c r="A242" s="4">
        <v>241</v>
      </c>
      <c r="B242" t="s">
        <v>859</v>
      </c>
      <c r="C242">
        <v>67.22</v>
      </c>
      <c r="D242">
        <v>11</v>
      </c>
      <c r="E242">
        <v>20</v>
      </c>
      <c r="F242">
        <v>71.03</v>
      </c>
      <c r="G242">
        <v>0</v>
      </c>
      <c r="H242">
        <v>0</v>
      </c>
      <c r="I242">
        <v>0</v>
      </c>
      <c r="J242">
        <v>1</v>
      </c>
      <c r="K242" t="s">
        <v>482</v>
      </c>
      <c r="L242">
        <v>68.84</v>
      </c>
    </row>
    <row r="243" spans="1:12" x14ac:dyDescent="0.2">
      <c r="A243" s="4">
        <v>242</v>
      </c>
      <c r="B243" t="s">
        <v>813</v>
      </c>
      <c r="C243">
        <v>67.209999999999994</v>
      </c>
      <c r="D243">
        <v>14</v>
      </c>
      <c r="E243">
        <v>17</v>
      </c>
      <c r="F243">
        <v>69.150000000000006</v>
      </c>
      <c r="G243">
        <v>0</v>
      </c>
      <c r="H243">
        <v>1</v>
      </c>
      <c r="I243">
        <v>0</v>
      </c>
      <c r="J243">
        <v>2</v>
      </c>
      <c r="K243" t="s">
        <v>686</v>
      </c>
      <c r="L243">
        <v>67.67</v>
      </c>
    </row>
    <row r="244" spans="1:12" x14ac:dyDescent="0.2">
      <c r="A244" s="4">
        <v>243</v>
      </c>
      <c r="B244" t="s">
        <v>164</v>
      </c>
      <c r="C244">
        <v>67.040000000000006</v>
      </c>
      <c r="D244">
        <v>10</v>
      </c>
      <c r="E244">
        <v>19</v>
      </c>
      <c r="F244">
        <v>71.150000000000006</v>
      </c>
      <c r="G244">
        <v>0</v>
      </c>
      <c r="H244">
        <v>0</v>
      </c>
      <c r="I244">
        <v>0</v>
      </c>
      <c r="J244">
        <v>2</v>
      </c>
      <c r="K244" t="s">
        <v>687</v>
      </c>
      <c r="L244">
        <v>68.540000000000006</v>
      </c>
    </row>
    <row r="245" spans="1:12" x14ac:dyDescent="0.2">
      <c r="A245" s="4">
        <v>244</v>
      </c>
      <c r="B245" t="s">
        <v>216</v>
      </c>
      <c r="C245">
        <v>67.010000000000005</v>
      </c>
      <c r="D245">
        <v>8</v>
      </c>
      <c r="E245">
        <v>21</v>
      </c>
      <c r="F245">
        <v>73.36</v>
      </c>
      <c r="G245">
        <v>0</v>
      </c>
      <c r="H245">
        <v>0</v>
      </c>
      <c r="I245">
        <v>0</v>
      </c>
      <c r="J245">
        <v>7</v>
      </c>
      <c r="K245" t="s">
        <v>688</v>
      </c>
      <c r="L245">
        <v>68.78</v>
      </c>
    </row>
    <row r="246" spans="1:12" x14ac:dyDescent="0.2">
      <c r="A246" s="4">
        <v>245</v>
      </c>
      <c r="B246" t="s">
        <v>291</v>
      </c>
      <c r="C246">
        <v>67</v>
      </c>
      <c r="D246">
        <v>10</v>
      </c>
      <c r="E246">
        <v>17</v>
      </c>
      <c r="F246">
        <v>70.86</v>
      </c>
      <c r="G246">
        <v>0</v>
      </c>
      <c r="H246">
        <v>1</v>
      </c>
      <c r="I246">
        <v>0</v>
      </c>
      <c r="J246">
        <v>2</v>
      </c>
      <c r="K246" t="s">
        <v>441</v>
      </c>
      <c r="L246">
        <v>66.72</v>
      </c>
    </row>
    <row r="247" spans="1:12" x14ac:dyDescent="0.2">
      <c r="A247" s="4">
        <v>246</v>
      </c>
      <c r="B247" t="s">
        <v>883</v>
      </c>
      <c r="C247">
        <v>66.87</v>
      </c>
      <c r="D247">
        <v>12</v>
      </c>
      <c r="E247">
        <v>17</v>
      </c>
      <c r="F247">
        <v>71.11</v>
      </c>
      <c r="G247">
        <v>0</v>
      </c>
      <c r="H247">
        <v>3</v>
      </c>
      <c r="I247">
        <v>0</v>
      </c>
      <c r="J247">
        <v>3</v>
      </c>
      <c r="K247" t="s">
        <v>689</v>
      </c>
      <c r="L247">
        <v>65.61</v>
      </c>
    </row>
    <row r="248" spans="1:12" x14ac:dyDescent="0.2">
      <c r="A248" s="4">
        <v>247</v>
      </c>
      <c r="B248" t="s">
        <v>881</v>
      </c>
      <c r="C248">
        <v>66.81</v>
      </c>
      <c r="D248">
        <v>12</v>
      </c>
      <c r="E248">
        <v>19</v>
      </c>
      <c r="F248">
        <v>71.91</v>
      </c>
      <c r="G248">
        <v>0</v>
      </c>
      <c r="H248">
        <v>2</v>
      </c>
      <c r="I248">
        <v>0</v>
      </c>
      <c r="J248">
        <v>4</v>
      </c>
      <c r="K248" t="s">
        <v>690</v>
      </c>
      <c r="L248">
        <v>65.63</v>
      </c>
    </row>
    <row r="249" spans="1:12" x14ac:dyDescent="0.2">
      <c r="A249" s="4">
        <v>248</v>
      </c>
      <c r="B249" t="s">
        <v>559</v>
      </c>
      <c r="C249">
        <v>66.69</v>
      </c>
      <c r="D249">
        <v>16</v>
      </c>
      <c r="E249">
        <v>14</v>
      </c>
      <c r="F249">
        <v>65.25</v>
      </c>
      <c r="G249">
        <v>0</v>
      </c>
      <c r="H249">
        <v>0</v>
      </c>
      <c r="I249">
        <v>0</v>
      </c>
      <c r="J249">
        <v>0</v>
      </c>
      <c r="K249" t="s">
        <v>691</v>
      </c>
      <c r="L249">
        <v>67.17</v>
      </c>
    </row>
    <row r="250" spans="1:12" x14ac:dyDescent="0.2">
      <c r="A250" s="4">
        <v>249</v>
      </c>
      <c r="B250" t="s">
        <v>297</v>
      </c>
      <c r="C250">
        <v>66.650000000000006</v>
      </c>
      <c r="D250">
        <v>13</v>
      </c>
      <c r="E250">
        <v>14</v>
      </c>
      <c r="F250">
        <v>67.739999999999995</v>
      </c>
      <c r="G250">
        <v>0</v>
      </c>
      <c r="H250">
        <v>0</v>
      </c>
      <c r="I250">
        <v>0</v>
      </c>
      <c r="J250">
        <v>0</v>
      </c>
      <c r="K250" t="s">
        <v>692</v>
      </c>
      <c r="L250">
        <v>66.45</v>
      </c>
    </row>
    <row r="251" spans="1:12" x14ac:dyDescent="0.2">
      <c r="A251" s="4">
        <v>250</v>
      </c>
      <c r="B251" t="s">
        <v>289</v>
      </c>
      <c r="C251">
        <v>66.64</v>
      </c>
      <c r="D251">
        <v>14</v>
      </c>
      <c r="E251">
        <v>16</v>
      </c>
      <c r="F251">
        <v>68.5</v>
      </c>
      <c r="G251">
        <v>0</v>
      </c>
      <c r="H251">
        <v>0</v>
      </c>
      <c r="I251">
        <v>0</v>
      </c>
      <c r="J251">
        <v>1</v>
      </c>
      <c r="K251" t="s">
        <v>693</v>
      </c>
      <c r="L251">
        <v>65.510000000000005</v>
      </c>
    </row>
    <row r="252" spans="1:12" x14ac:dyDescent="0.2">
      <c r="A252" s="4">
        <v>251</v>
      </c>
      <c r="B252" t="s">
        <v>254</v>
      </c>
      <c r="C252">
        <v>66.489999999999995</v>
      </c>
      <c r="D252">
        <v>6</v>
      </c>
      <c r="E252">
        <v>19</v>
      </c>
      <c r="F252">
        <v>72.61</v>
      </c>
      <c r="G252">
        <v>0</v>
      </c>
      <c r="H252">
        <v>0</v>
      </c>
      <c r="I252">
        <v>0</v>
      </c>
      <c r="J252">
        <v>1</v>
      </c>
      <c r="K252" t="s">
        <v>694</v>
      </c>
      <c r="L252">
        <v>68.319999999999993</v>
      </c>
    </row>
    <row r="253" spans="1:12" x14ac:dyDescent="0.2">
      <c r="A253" s="4">
        <v>252</v>
      </c>
      <c r="B253" t="s">
        <v>197</v>
      </c>
      <c r="C253">
        <v>66.430000000000007</v>
      </c>
      <c r="D253">
        <v>13</v>
      </c>
      <c r="E253">
        <v>16</v>
      </c>
      <c r="F253">
        <v>69.290000000000006</v>
      </c>
      <c r="G253">
        <v>0</v>
      </c>
      <c r="H253">
        <v>0</v>
      </c>
      <c r="I253">
        <v>0</v>
      </c>
      <c r="J253">
        <v>1</v>
      </c>
      <c r="K253" t="s">
        <v>695</v>
      </c>
      <c r="L253">
        <v>64.900000000000006</v>
      </c>
    </row>
    <row r="254" spans="1:12" x14ac:dyDescent="0.2">
      <c r="A254" s="4">
        <v>253</v>
      </c>
      <c r="B254" t="s">
        <v>144</v>
      </c>
      <c r="C254">
        <v>66.430000000000007</v>
      </c>
      <c r="D254">
        <v>12</v>
      </c>
      <c r="E254">
        <v>15</v>
      </c>
      <c r="F254">
        <v>68.2</v>
      </c>
      <c r="G254">
        <v>0</v>
      </c>
      <c r="H254">
        <v>0</v>
      </c>
      <c r="I254">
        <v>0</v>
      </c>
      <c r="J254">
        <v>0</v>
      </c>
      <c r="K254" t="s">
        <v>696</v>
      </c>
      <c r="L254">
        <v>66.67</v>
      </c>
    </row>
    <row r="255" spans="1:12" x14ac:dyDescent="0.2">
      <c r="A255" s="4">
        <v>254</v>
      </c>
      <c r="B255" t="s">
        <v>182</v>
      </c>
      <c r="C255">
        <v>66.260000000000005</v>
      </c>
      <c r="D255">
        <v>12</v>
      </c>
      <c r="E255">
        <v>16</v>
      </c>
      <c r="F255">
        <v>71.08</v>
      </c>
      <c r="G255">
        <v>0</v>
      </c>
      <c r="H255">
        <v>2</v>
      </c>
      <c r="I255">
        <v>0</v>
      </c>
      <c r="J255">
        <v>4</v>
      </c>
      <c r="K255" t="s">
        <v>679</v>
      </c>
      <c r="L255">
        <v>63.82</v>
      </c>
    </row>
    <row r="256" spans="1:12" x14ac:dyDescent="0.2">
      <c r="A256" s="4">
        <v>255</v>
      </c>
      <c r="B256" t="s">
        <v>190</v>
      </c>
      <c r="C256">
        <v>66.239999999999995</v>
      </c>
      <c r="D256">
        <v>10</v>
      </c>
      <c r="E256">
        <v>23</v>
      </c>
      <c r="F256">
        <v>71.87</v>
      </c>
      <c r="G256">
        <v>0</v>
      </c>
      <c r="H256">
        <v>1</v>
      </c>
      <c r="I256">
        <v>0</v>
      </c>
      <c r="J256">
        <v>1</v>
      </c>
      <c r="K256" t="s">
        <v>697</v>
      </c>
      <c r="L256">
        <v>66.23</v>
      </c>
    </row>
    <row r="257" spans="1:12" x14ac:dyDescent="0.2">
      <c r="A257" s="4">
        <v>256</v>
      </c>
      <c r="B257" t="s">
        <v>220</v>
      </c>
      <c r="C257">
        <v>66.23</v>
      </c>
      <c r="D257">
        <v>10</v>
      </c>
      <c r="E257">
        <v>18</v>
      </c>
      <c r="F257">
        <v>69.41</v>
      </c>
      <c r="G257">
        <v>0</v>
      </c>
      <c r="H257">
        <v>0</v>
      </c>
      <c r="I257">
        <v>0</v>
      </c>
      <c r="J257">
        <v>1</v>
      </c>
      <c r="K257" t="s">
        <v>698</v>
      </c>
      <c r="L257">
        <v>67.81</v>
      </c>
    </row>
    <row r="258" spans="1:12" x14ac:dyDescent="0.2">
      <c r="A258" s="4">
        <v>257</v>
      </c>
      <c r="B258" t="s">
        <v>833</v>
      </c>
      <c r="C258">
        <v>66.2</v>
      </c>
      <c r="D258">
        <v>9</v>
      </c>
      <c r="E258">
        <v>18</v>
      </c>
      <c r="F258">
        <v>69.92</v>
      </c>
      <c r="G258">
        <v>0</v>
      </c>
      <c r="H258">
        <v>0</v>
      </c>
      <c r="I258">
        <v>0</v>
      </c>
      <c r="J258">
        <v>2</v>
      </c>
      <c r="K258" t="s">
        <v>699</v>
      </c>
      <c r="L258">
        <v>67.63</v>
      </c>
    </row>
    <row r="259" spans="1:12" x14ac:dyDescent="0.2">
      <c r="A259" s="4">
        <v>258</v>
      </c>
      <c r="B259" t="s">
        <v>829</v>
      </c>
      <c r="C259">
        <v>66.16</v>
      </c>
      <c r="D259">
        <v>9</v>
      </c>
      <c r="E259">
        <v>17</v>
      </c>
      <c r="F259">
        <v>70.09</v>
      </c>
      <c r="G259">
        <v>0</v>
      </c>
      <c r="H259">
        <v>0</v>
      </c>
      <c r="I259">
        <v>0</v>
      </c>
      <c r="J259">
        <v>0</v>
      </c>
      <c r="K259" t="s">
        <v>700</v>
      </c>
      <c r="L259">
        <v>67.17</v>
      </c>
    </row>
    <row r="260" spans="1:12" x14ac:dyDescent="0.2">
      <c r="A260" s="4">
        <v>259</v>
      </c>
      <c r="B260" t="s">
        <v>237</v>
      </c>
      <c r="C260">
        <v>66.099999999999994</v>
      </c>
      <c r="D260">
        <v>15</v>
      </c>
      <c r="E260">
        <v>14</v>
      </c>
      <c r="F260">
        <v>65.430000000000007</v>
      </c>
      <c r="G260">
        <v>0</v>
      </c>
      <c r="H260">
        <v>0</v>
      </c>
      <c r="I260">
        <v>0</v>
      </c>
      <c r="J260">
        <v>0</v>
      </c>
      <c r="K260" t="s">
        <v>701</v>
      </c>
      <c r="L260">
        <v>66</v>
      </c>
    </row>
    <row r="261" spans="1:12" x14ac:dyDescent="0.2">
      <c r="A261" s="4">
        <v>260</v>
      </c>
      <c r="B261" t="s">
        <v>826</v>
      </c>
      <c r="C261">
        <v>66.069999999999993</v>
      </c>
      <c r="D261">
        <v>12</v>
      </c>
      <c r="E261">
        <v>18</v>
      </c>
      <c r="F261">
        <v>69.25</v>
      </c>
      <c r="G261">
        <v>0</v>
      </c>
      <c r="H261">
        <v>1</v>
      </c>
      <c r="I261">
        <v>0</v>
      </c>
      <c r="J261">
        <v>1</v>
      </c>
      <c r="K261" t="s">
        <v>702</v>
      </c>
      <c r="L261">
        <v>65.510000000000005</v>
      </c>
    </row>
    <row r="262" spans="1:12" x14ac:dyDescent="0.2">
      <c r="A262" s="4">
        <v>261</v>
      </c>
      <c r="B262" t="s">
        <v>189</v>
      </c>
      <c r="C262">
        <v>65.989999999999995</v>
      </c>
      <c r="D262">
        <v>12</v>
      </c>
      <c r="E262">
        <v>16</v>
      </c>
      <c r="F262">
        <v>67.41</v>
      </c>
      <c r="G262">
        <v>0</v>
      </c>
      <c r="H262">
        <v>0</v>
      </c>
      <c r="I262">
        <v>0</v>
      </c>
      <c r="J262">
        <v>0</v>
      </c>
      <c r="K262" t="s">
        <v>703</v>
      </c>
      <c r="L262">
        <v>66.48</v>
      </c>
    </row>
    <row r="263" spans="1:12" x14ac:dyDescent="0.2">
      <c r="A263" s="4">
        <v>262</v>
      </c>
      <c r="B263" t="s">
        <v>838</v>
      </c>
      <c r="C263">
        <v>65.86</v>
      </c>
      <c r="D263">
        <v>18</v>
      </c>
      <c r="E263">
        <v>15</v>
      </c>
      <c r="F263">
        <v>66.540000000000006</v>
      </c>
      <c r="G263">
        <v>0</v>
      </c>
      <c r="H263">
        <v>3</v>
      </c>
      <c r="I263">
        <v>0</v>
      </c>
      <c r="J263">
        <v>6</v>
      </c>
      <c r="K263" t="s">
        <v>704</v>
      </c>
      <c r="L263">
        <v>66.56</v>
      </c>
    </row>
    <row r="264" spans="1:12" x14ac:dyDescent="0.2">
      <c r="A264" s="4">
        <v>263</v>
      </c>
      <c r="B264" t="s">
        <v>127</v>
      </c>
      <c r="C264">
        <v>65.75</v>
      </c>
      <c r="D264">
        <v>11</v>
      </c>
      <c r="E264">
        <v>19</v>
      </c>
      <c r="F264">
        <v>69.88</v>
      </c>
      <c r="G264">
        <v>0</v>
      </c>
      <c r="H264">
        <v>0</v>
      </c>
      <c r="I264">
        <v>0</v>
      </c>
      <c r="J264">
        <v>0</v>
      </c>
      <c r="K264" t="s">
        <v>705</v>
      </c>
      <c r="L264">
        <v>65.010000000000005</v>
      </c>
    </row>
    <row r="265" spans="1:12" x14ac:dyDescent="0.2">
      <c r="A265" s="4">
        <v>264</v>
      </c>
      <c r="B265" t="s">
        <v>233</v>
      </c>
      <c r="C265">
        <v>65.66</v>
      </c>
      <c r="D265">
        <v>11</v>
      </c>
      <c r="E265">
        <v>17</v>
      </c>
      <c r="F265">
        <v>70.44</v>
      </c>
      <c r="G265">
        <v>0</v>
      </c>
      <c r="H265">
        <v>2</v>
      </c>
      <c r="I265">
        <v>0</v>
      </c>
      <c r="J265">
        <v>5</v>
      </c>
      <c r="K265" t="s">
        <v>706</v>
      </c>
      <c r="L265">
        <v>65.72</v>
      </c>
    </row>
    <row r="266" spans="1:12" x14ac:dyDescent="0.2">
      <c r="A266" s="4">
        <v>265</v>
      </c>
      <c r="B266" t="s">
        <v>551</v>
      </c>
      <c r="C266">
        <v>65.599999999999994</v>
      </c>
      <c r="D266">
        <v>9</v>
      </c>
      <c r="E266">
        <v>20</v>
      </c>
      <c r="F266">
        <v>71.14</v>
      </c>
      <c r="G266">
        <v>0</v>
      </c>
      <c r="H266">
        <v>0</v>
      </c>
      <c r="I266">
        <v>0</v>
      </c>
      <c r="J266">
        <v>2</v>
      </c>
      <c r="K266" t="s">
        <v>707</v>
      </c>
      <c r="L266">
        <v>66.05</v>
      </c>
    </row>
    <row r="267" spans="1:12" x14ac:dyDescent="0.2">
      <c r="A267" s="4">
        <v>266</v>
      </c>
      <c r="B267" t="s">
        <v>243</v>
      </c>
      <c r="C267">
        <v>65.56</v>
      </c>
      <c r="D267">
        <v>12</v>
      </c>
      <c r="E267">
        <v>19</v>
      </c>
      <c r="F267">
        <v>68.69</v>
      </c>
      <c r="G267">
        <v>0</v>
      </c>
      <c r="H267">
        <v>1</v>
      </c>
      <c r="I267">
        <v>0</v>
      </c>
      <c r="J267">
        <v>1</v>
      </c>
      <c r="K267" t="s">
        <v>474</v>
      </c>
      <c r="L267">
        <v>66.52</v>
      </c>
    </row>
    <row r="268" spans="1:12" x14ac:dyDescent="0.2">
      <c r="A268" s="4">
        <v>267</v>
      </c>
      <c r="B268" t="s">
        <v>253</v>
      </c>
      <c r="C268">
        <v>65.540000000000006</v>
      </c>
      <c r="D268">
        <v>15</v>
      </c>
      <c r="E268">
        <v>16</v>
      </c>
      <c r="F268">
        <v>66.81</v>
      </c>
      <c r="G268">
        <v>0</v>
      </c>
      <c r="H268">
        <v>0</v>
      </c>
      <c r="I268">
        <v>0</v>
      </c>
      <c r="J268">
        <v>1</v>
      </c>
      <c r="K268" t="s">
        <v>708</v>
      </c>
      <c r="L268">
        <v>64.52</v>
      </c>
    </row>
    <row r="269" spans="1:12" x14ac:dyDescent="0.2">
      <c r="A269" s="4">
        <v>268</v>
      </c>
      <c r="B269" t="s">
        <v>245</v>
      </c>
      <c r="C269">
        <v>65.52</v>
      </c>
      <c r="D269">
        <v>10</v>
      </c>
      <c r="E269">
        <v>21</v>
      </c>
      <c r="F269">
        <v>69.47</v>
      </c>
      <c r="G269">
        <v>0</v>
      </c>
      <c r="H269">
        <v>0</v>
      </c>
      <c r="I269">
        <v>0</v>
      </c>
      <c r="J269">
        <v>0</v>
      </c>
      <c r="K269" t="s">
        <v>709</v>
      </c>
      <c r="L269">
        <v>67.12</v>
      </c>
    </row>
    <row r="270" spans="1:12" x14ac:dyDescent="0.2">
      <c r="A270" s="4">
        <v>269</v>
      </c>
      <c r="B270" t="s">
        <v>832</v>
      </c>
      <c r="C270">
        <v>65.5</v>
      </c>
      <c r="D270">
        <v>12</v>
      </c>
      <c r="E270">
        <v>19</v>
      </c>
      <c r="F270">
        <v>70.83</v>
      </c>
      <c r="G270">
        <v>0</v>
      </c>
      <c r="H270">
        <v>5</v>
      </c>
      <c r="I270">
        <v>0</v>
      </c>
      <c r="J270">
        <v>6</v>
      </c>
      <c r="K270" t="s">
        <v>710</v>
      </c>
      <c r="L270">
        <v>65.489999999999995</v>
      </c>
    </row>
    <row r="271" spans="1:12" x14ac:dyDescent="0.2">
      <c r="A271" s="4">
        <v>270</v>
      </c>
      <c r="B271" t="s">
        <v>550</v>
      </c>
      <c r="C271">
        <v>65.36</v>
      </c>
      <c r="D271">
        <v>6</v>
      </c>
      <c r="E271">
        <v>23</v>
      </c>
      <c r="F271">
        <v>74.77</v>
      </c>
      <c r="G271">
        <v>0</v>
      </c>
      <c r="H271">
        <v>2</v>
      </c>
      <c r="I271">
        <v>0</v>
      </c>
      <c r="J271">
        <v>4</v>
      </c>
      <c r="K271" t="s">
        <v>471</v>
      </c>
      <c r="L271">
        <v>65.53</v>
      </c>
    </row>
    <row r="272" spans="1:12" x14ac:dyDescent="0.2">
      <c r="A272" s="4">
        <v>271</v>
      </c>
      <c r="B272" t="s">
        <v>124</v>
      </c>
      <c r="C272">
        <v>65.349999999999994</v>
      </c>
      <c r="D272">
        <v>12</v>
      </c>
      <c r="E272">
        <v>14</v>
      </c>
      <c r="F272">
        <v>65.95</v>
      </c>
      <c r="G272">
        <v>0</v>
      </c>
      <c r="H272">
        <v>0</v>
      </c>
      <c r="I272">
        <v>0</v>
      </c>
      <c r="J272">
        <v>0</v>
      </c>
      <c r="K272" t="s">
        <v>711</v>
      </c>
      <c r="L272">
        <v>65.989999999999995</v>
      </c>
    </row>
    <row r="273" spans="1:12" x14ac:dyDescent="0.2">
      <c r="A273" s="4">
        <v>272</v>
      </c>
      <c r="B273" t="s">
        <v>265</v>
      </c>
      <c r="C273">
        <v>65.17</v>
      </c>
      <c r="D273">
        <v>5</v>
      </c>
      <c r="E273">
        <v>10</v>
      </c>
      <c r="F273">
        <v>72.56</v>
      </c>
      <c r="G273">
        <v>0</v>
      </c>
      <c r="H273">
        <v>0</v>
      </c>
      <c r="I273">
        <v>0</v>
      </c>
      <c r="J273">
        <v>1</v>
      </c>
      <c r="K273" t="s">
        <v>712</v>
      </c>
      <c r="L273">
        <v>62.04</v>
      </c>
    </row>
    <row r="274" spans="1:12" x14ac:dyDescent="0.2">
      <c r="A274" s="4">
        <v>273</v>
      </c>
      <c r="B274" t="s">
        <v>287</v>
      </c>
      <c r="C274">
        <v>65.03</v>
      </c>
      <c r="D274">
        <v>10</v>
      </c>
      <c r="E274">
        <v>18</v>
      </c>
      <c r="F274">
        <v>69.47</v>
      </c>
      <c r="G274">
        <v>0</v>
      </c>
      <c r="H274">
        <v>2</v>
      </c>
      <c r="I274">
        <v>0</v>
      </c>
      <c r="J274">
        <v>3</v>
      </c>
      <c r="K274" t="s">
        <v>713</v>
      </c>
      <c r="L274">
        <v>66.040000000000006</v>
      </c>
    </row>
    <row r="275" spans="1:12" x14ac:dyDescent="0.2">
      <c r="A275" s="4">
        <v>274</v>
      </c>
      <c r="B275" t="s">
        <v>836</v>
      </c>
      <c r="C275">
        <v>65</v>
      </c>
      <c r="D275">
        <v>11</v>
      </c>
      <c r="E275">
        <v>17</v>
      </c>
      <c r="F275">
        <v>69.55</v>
      </c>
      <c r="G275">
        <v>0</v>
      </c>
      <c r="H275">
        <v>0</v>
      </c>
      <c r="I275">
        <v>0</v>
      </c>
      <c r="J275">
        <v>0</v>
      </c>
      <c r="K275" t="s">
        <v>714</v>
      </c>
      <c r="L275">
        <v>64.53</v>
      </c>
    </row>
    <row r="276" spans="1:12" x14ac:dyDescent="0.2">
      <c r="A276" s="4">
        <v>275</v>
      </c>
      <c r="B276" t="s">
        <v>271</v>
      </c>
      <c r="C276">
        <v>64.97</v>
      </c>
      <c r="D276">
        <v>10</v>
      </c>
      <c r="E276">
        <v>18</v>
      </c>
      <c r="F276">
        <v>68.790000000000006</v>
      </c>
      <c r="G276">
        <v>0</v>
      </c>
      <c r="H276">
        <v>0</v>
      </c>
      <c r="I276">
        <v>0</v>
      </c>
      <c r="J276">
        <v>0</v>
      </c>
      <c r="K276" t="s">
        <v>715</v>
      </c>
      <c r="L276">
        <v>65.7</v>
      </c>
    </row>
    <row r="277" spans="1:12" x14ac:dyDescent="0.2">
      <c r="A277" s="4">
        <v>276</v>
      </c>
      <c r="B277" t="s">
        <v>203</v>
      </c>
      <c r="C277">
        <v>64.95</v>
      </c>
      <c r="D277">
        <v>15</v>
      </c>
      <c r="E277">
        <v>16</v>
      </c>
      <c r="F277">
        <v>65.709999999999994</v>
      </c>
      <c r="G277">
        <v>0</v>
      </c>
      <c r="H277">
        <v>0</v>
      </c>
      <c r="I277">
        <v>0</v>
      </c>
      <c r="J277">
        <v>0</v>
      </c>
      <c r="K277" t="s">
        <v>716</v>
      </c>
      <c r="L277">
        <v>64.5</v>
      </c>
    </row>
    <row r="278" spans="1:12" x14ac:dyDescent="0.2">
      <c r="A278" s="4">
        <v>277</v>
      </c>
      <c r="B278" t="s">
        <v>155</v>
      </c>
      <c r="C278">
        <v>64.930000000000007</v>
      </c>
      <c r="D278">
        <v>10</v>
      </c>
      <c r="E278">
        <v>19</v>
      </c>
      <c r="F278">
        <v>70.459999999999994</v>
      </c>
      <c r="G278">
        <v>0</v>
      </c>
      <c r="H278">
        <v>0</v>
      </c>
      <c r="I278">
        <v>0</v>
      </c>
      <c r="J278">
        <v>1</v>
      </c>
      <c r="K278" t="s">
        <v>717</v>
      </c>
      <c r="L278">
        <v>63.4</v>
      </c>
    </row>
    <row r="279" spans="1:12" x14ac:dyDescent="0.2">
      <c r="A279" s="4">
        <v>278</v>
      </c>
      <c r="B279" t="s">
        <v>166</v>
      </c>
      <c r="C279">
        <v>64.88</v>
      </c>
      <c r="D279">
        <v>16</v>
      </c>
      <c r="E279">
        <v>14</v>
      </c>
      <c r="F279">
        <v>65.06</v>
      </c>
      <c r="G279">
        <v>0</v>
      </c>
      <c r="H279">
        <v>0</v>
      </c>
      <c r="I279">
        <v>0</v>
      </c>
      <c r="J279">
        <v>1</v>
      </c>
      <c r="K279" t="s">
        <v>718</v>
      </c>
      <c r="L279">
        <v>64.069999999999993</v>
      </c>
    </row>
    <row r="280" spans="1:12" x14ac:dyDescent="0.2">
      <c r="A280" s="4">
        <v>279</v>
      </c>
      <c r="B280" t="s">
        <v>563</v>
      </c>
      <c r="C280">
        <v>64.72</v>
      </c>
      <c r="D280">
        <v>8</v>
      </c>
      <c r="E280">
        <v>23</v>
      </c>
      <c r="F280">
        <v>72.489999999999995</v>
      </c>
      <c r="G280">
        <v>0</v>
      </c>
      <c r="H280">
        <v>1</v>
      </c>
      <c r="I280">
        <v>0</v>
      </c>
      <c r="J280">
        <v>4</v>
      </c>
      <c r="K280" t="s">
        <v>719</v>
      </c>
      <c r="L280">
        <v>66.27</v>
      </c>
    </row>
    <row r="281" spans="1:12" x14ac:dyDescent="0.2">
      <c r="A281" s="4">
        <v>280</v>
      </c>
      <c r="B281" t="s">
        <v>900</v>
      </c>
      <c r="C281">
        <v>64.67</v>
      </c>
      <c r="D281">
        <v>13</v>
      </c>
      <c r="E281">
        <v>14</v>
      </c>
      <c r="F281">
        <v>65.400000000000006</v>
      </c>
      <c r="G281">
        <v>0</v>
      </c>
      <c r="H281">
        <v>1</v>
      </c>
      <c r="I281">
        <v>0</v>
      </c>
      <c r="J281">
        <v>1</v>
      </c>
      <c r="K281" t="s">
        <v>720</v>
      </c>
      <c r="L281">
        <v>64.16</v>
      </c>
    </row>
    <row r="282" spans="1:12" x14ac:dyDescent="0.2">
      <c r="A282" s="4">
        <v>281</v>
      </c>
      <c r="B282" t="s">
        <v>884</v>
      </c>
      <c r="C282">
        <v>64.650000000000006</v>
      </c>
      <c r="D282">
        <v>13</v>
      </c>
      <c r="E282">
        <v>17</v>
      </c>
      <c r="F282">
        <v>67.7</v>
      </c>
      <c r="G282">
        <v>0</v>
      </c>
      <c r="H282">
        <v>1</v>
      </c>
      <c r="I282">
        <v>0</v>
      </c>
      <c r="J282">
        <v>1</v>
      </c>
      <c r="K282" t="s">
        <v>721</v>
      </c>
      <c r="L282">
        <v>64.03</v>
      </c>
    </row>
    <row r="283" spans="1:12" x14ac:dyDescent="0.2">
      <c r="A283" s="4">
        <v>282</v>
      </c>
      <c r="B283" t="s">
        <v>210</v>
      </c>
      <c r="C283">
        <v>64.52</v>
      </c>
      <c r="D283">
        <v>8</v>
      </c>
      <c r="E283">
        <v>21</v>
      </c>
      <c r="F283">
        <v>71.510000000000005</v>
      </c>
      <c r="G283">
        <v>0</v>
      </c>
      <c r="H283">
        <v>0</v>
      </c>
      <c r="I283">
        <v>0</v>
      </c>
      <c r="J283">
        <v>2</v>
      </c>
      <c r="K283" t="s">
        <v>722</v>
      </c>
      <c r="L283">
        <v>64.5</v>
      </c>
    </row>
    <row r="284" spans="1:12" x14ac:dyDescent="0.2">
      <c r="A284" s="4">
        <v>283</v>
      </c>
      <c r="B284" t="s">
        <v>850</v>
      </c>
      <c r="C284">
        <v>64.52</v>
      </c>
      <c r="D284">
        <v>7</v>
      </c>
      <c r="E284">
        <v>21</v>
      </c>
      <c r="F284">
        <v>70.44</v>
      </c>
      <c r="G284">
        <v>0</v>
      </c>
      <c r="H284">
        <v>0</v>
      </c>
      <c r="I284">
        <v>0</v>
      </c>
      <c r="J284">
        <v>2</v>
      </c>
      <c r="K284" t="s">
        <v>723</v>
      </c>
      <c r="L284">
        <v>65.790000000000006</v>
      </c>
    </row>
    <row r="285" spans="1:12" x14ac:dyDescent="0.2">
      <c r="A285" s="4">
        <v>284</v>
      </c>
      <c r="B285" t="s">
        <v>219</v>
      </c>
      <c r="C285">
        <v>64.400000000000006</v>
      </c>
      <c r="D285">
        <v>10</v>
      </c>
      <c r="E285">
        <v>19</v>
      </c>
      <c r="F285">
        <v>69.290000000000006</v>
      </c>
      <c r="G285">
        <v>0</v>
      </c>
      <c r="H285">
        <v>0</v>
      </c>
      <c r="I285">
        <v>0</v>
      </c>
      <c r="J285">
        <v>0</v>
      </c>
      <c r="K285" t="s">
        <v>724</v>
      </c>
      <c r="L285">
        <v>63.56</v>
      </c>
    </row>
    <row r="286" spans="1:12" x14ac:dyDescent="0.2">
      <c r="A286" s="4">
        <v>285</v>
      </c>
      <c r="B286" t="s">
        <v>264</v>
      </c>
      <c r="C286">
        <v>63.95</v>
      </c>
      <c r="D286">
        <v>12</v>
      </c>
      <c r="E286">
        <v>16</v>
      </c>
      <c r="F286">
        <v>66.010000000000005</v>
      </c>
      <c r="G286">
        <v>0</v>
      </c>
      <c r="H286">
        <v>0</v>
      </c>
      <c r="I286">
        <v>0</v>
      </c>
      <c r="J286">
        <v>0</v>
      </c>
      <c r="K286" t="s">
        <v>725</v>
      </c>
      <c r="L286">
        <v>64.03</v>
      </c>
    </row>
    <row r="287" spans="1:12" x14ac:dyDescent="0.2">
      <c r="A287" s="4">
        <v>286</v>
      </c>
      <c r="B287" t="s">
        <v>201</v>
      </c>
      <c r="C287">
        <v>63.87</v>
      </c>
      <c r="D287">
        <v>7</v>
      </c>
      <c r="E287">
        <v>23</v>
      </c>
      <c r="F287">
        <v>74.3</v>
      </c>
      <c r="G287">
        <v>0</v>
      </c>
      <c r="H287">
        <v>3</v>
      </c>
      <c r="I287">
        <v>0</v>
      </c>
      <c r="J287">
        <v>7</v>
      </c>
      <c r="K287" t="s">
        <v>447</v>
      </c>
      <c r="L287">
        <v>62.22</v>
      </c>
    </row>
    <row r="288" spans="1:12" x14ac:dyDescent="0.2">
      <c r="A288" s="4">
        <v>287</v>
      </c>
      <c r="B288" t="s">
        <v>895</v>
      </c>
      <c r="C288">
        <v>63.79</v>
      </c>
      <c r="D288">
        <v>14</v>
      </c>
      <c r="E288">
        <v>16</v>
      </c>
      <c r="F288">
        <v>65.650000000000006</v>
      </c>
      <c r="G288">
        <v>0</v>
      </c>
      <c r="H288">
        <v>0</v>
      </c>
      <c r="I288">
        <v>0</v>
      </c>
      <c r="J288">
        <v>0</v>
      </c>
      <c r="K288" t="s">
        <v>726</v>
      </c>
      <c r="L288">
        <v>62.84</v>
      </c>
    </row>
    <row r="289" spans="1:12" x14ac:dyDescent="0.2">
      <c r="A289" s="4">
        <v>288</v>
      </c>
      <c r="B289" t="s">
        <v>890</v>
      </c>
      <c r="C289">
        <v>63.72</v>
      </c>
      <c r="D289">
        <v>9</v>
      </c>
      <c r="E289">
        <v>20</v>
      </c>
      <c r="F289">
        <v>70.53</v>
      </c>
      <c r="G289">
        <v>0</v>
      </c>
      <c r="H289">
        <v>0</v>
      </c>
      <c r="I289">
        <v>0</v>
      </c>
      <c r="J289">
        <v>0</v>
      </c>
      <c r="K289" t="s">
        <v>727</v>
      </c>
      <c r="L289">
        <v>62.32</v>
      </c>
    </row>
    <row r="290" spans="1:12" x14ac:dyDescent="0.2">
      <c r="A290" s="4">
        <v>289</v>
      </c>
      <c r="B290" t="s">
        <v>202</v>
      </c>
      <c r="C290">
        <v>63.63</v>
      </c>
      <c r="D290">
        <v>9</v>
      </c>
      <c r="E290">
        <v>20</v>
      </c>
      <c r="F290">
        <v>70.290000000000006</v>
      </c>
      <c r="G290">
        <v>0</v>
      </c>
      <c r="H290">
        <v>1</v>
      </c>
      <c r="I290">
        <v>0</v>
      </c>
      <c r="J290">
        <v>2</v>
      </c>
      <c r="K290" t="s">
        <v>728</v>
      </c>
      <c r="L290">
        <v>62.23</v>
      </c>
    </row>
    <row r="291" spans="1:12" x14ac:dyDescent="0.2">
      <c r="A291" s="4">
        <v>290</v>
      </c>
      <c r="B291" t="s">
        <v>229</v>
      </c>
      <c r="C291">
        <v>63.48</v>
      </c>
      <c r="D291">
        <v>13</v>
      </c>
      <c r="E291">
        <v>16</v>
      </c>
      <c r="F291">
        <v>66.540000000000006</v>
      </c>
      <c r="G291">
        <v>0</v>
      </c>
      <c r="H291">
        <v>0</v>
      </c>
      <c r="I291">
        <v>0</v>
      </c>
      <c r="J291">
        <v>1</v>
      </c>
      <c r="K291" t="s">
        <v>729</v>
      </c>
      <c r="L291">
        <v>62.13</v>
      </c>
    </row>
    <row r="292" spans="1:12" x14ac:dyDescent="0.2">
      <c r="A292" s="4">
        <v>291</v>
      </c>
      <c r="B292" t="s">
        <v>159</v>
      </c>
      <c r="C292">
        <v>63.33</v>
      </c>
      <c r="D292">
        <v>8</v>
      </c>
      <c r="E292">
        <v>19</v>
      </c>
      <c r="F292">
        <v>68.89</v>
      </c>
      <c r="G292">
        <v>0</v>
      </c>
      <c r="H292">
        <v>0</v>
      </c>
      <c r="I292">
        <v>0</v>
      </c>
      <c r="J292">
        <v>1</v>
      </c>
      <c r="K292" t="s">
        <v>730</v>
      </c>
      <c r="L292">
        <v>63.08</v>
      </c>
    </row>
    <row r="293" spans="1:12" x14ac:dyDescent="0.2">
      <c r="A293" s="4">
        <v>292</v>
      </c>
      <c r="B293" t="s">
        <v>148</v>
      </c>
      <c r="C293">
        <v>63.16</v>
      </c>
      <c r="D293">
        <v>6</v>
      </c>
      <c r="E293">
        <v>26</v>
      </c>
      <c r="F293">
        <v>71.989999999999995</v>
      </c>
      <c r="G293">
        <v>0</v>
      </c>
      <c r="H293">
        <v>0</v>
      </c>
      <c r="I293">
        <v>0</v>
      </c>
      <c r="J293">
        <v>2</v>
      </c>
      <c r="K293" t="s">
        <v>731</v>
      </c>
      <c r="L293">
        <v>64.430000000000007</v>
      </c>
    </row>
    <row r="294" spans="1:12" x14ac:dyDescent="0.2">
      <c r="A294" s="4">
        <v>293</v>
      </c>
      <c r="B294" t="s">
        <v>154</v>
      </c>
      <c r="C294">
        <v>63.14</v>
      </c>
      <c r="D294">
        <v>7</v>
      </c>
      <c r="E294">
        <v>25</v>
      </c>
      <c r="F294">
        <v>73.09</v>
      </c>
      <c r="G294">
        <v>0</v>
      </c>
      <c r="H294">
        <v>1</v>
      </c>
      <c r="I294">
        <v>0</v>
      </c>
      <c r="J294">
        <v>2</v>
      </c>
      <c r="K294" t="s">
        <v>732</v>
      </c>
      <c r="L294">
        <v>61.02</v>
      </c>
    </row>
    <row r="295" spans="1:12" x14ac:dyDescent="0.2">
      <c r="A295" s="4">
        <v>294</v>
      </c>
      <c r="B295" t="s">
        <v>549</v>
      </c>
      <c r="C295">
        <v>63.06</v>
      </c>
      <c r="D295">
        <v>11</v>
      </c>
      <c r="E295">
        <v>19</v>
      </c>
      <c r="F295">
        <v>66.88</v>
      </c>
      <c r="G295">
        <v>0</v>
      </c>
      <c r="H295">
        <v>0</v>
      </c>
      <c r="I295">
        <v>0</v>
      </c>
      <c r="J295">
        <v>1</v>
      </c>
      <c r="K295" t="s">
        <v>733</v>
      </c>
      <c r="L295">
        <v>62.84</v>
      </c>
    </row>
    <row r="296" spans="1:12" x14ac:dyDescent="0.2">
      <c r="A296" s="4">
        <v>295</v>
      </c>
      <c r="B296" t="s">
        <v>844</v>
      </c>
      <c r="C296">
        <v>63.06</v>
      </c>
      <c r="D296">
        <v>11</v>
      </c>
      <c r="E296">
        <v>14</v>
      </c>
      <c r="F296">
        <v>69.08</v>
      </c>
      <c r="G296">
        <v>0</v>
      </c>
      <c r="H296">
        <v>2</v>
      </c>
      <c r="I296">
        <v>0</v>
      </c>
      <c r="J296">
        <v>5</v>
      </c>
      <c r="K296" t="s">
        <v>734</v>
      </c>
      <c r="L296">
        <v>60.17</v>
      </c>
    </row>
    <row r="297" spans="1:12" x14ac:dyDescent="0.2">
      <c r="A297" s="4">
        <v>296</v>
      </c>
      <c r="B297" t="s">
        <v>231</v>
      </c>
      <c r="C297">
        <v>62.88</v>
      </c>
      <c r="D297">
        <v>9</v>
      </c>
      <c r="E297">
        <v>21</v>
      </c>
      <c r="F297">
        <v>70.459999999999994</v>
      </c>
      <c r="G297">
        <v>0</v>
      </c>
      <c r="H297">
        <v>1</v>
      </c>
      <c r="I297">
        <v>0</v>
      </c>
      <c r="J297">
        <v>2</v>
      </c>
      <c r="K297" t="s">
        <v>735</v>
      </c>
      <c r="L297">
        <v>62.3</v>
      </c>
    </row>
    <row r="298" spans="1:12" x14ac:dyDescent="0.2">
      <c r="A298" s="4">
        <v>297</v>
      </c>
      <c r="B298" t="s">
        <v>558</v>
      </c>
      <c r="C298">
        <v>62.85</v>
      </c>
      <c r="D298">
        <v>7</v>
      </c>
      <c r="E298">
        <v>24</v>
      </c>
      <c r="F298">
        <v>71.260000000000005</v>
      </c>
      <c r="G298">
        <v>0</v>
      </c>
      <c r="H298">
        <v>1</v>
      </c>
      <c r="I298">
        <v>0</v>
      </c>
      <c r="J298">
        <v>2</v>
      </c>
      <c r="K298" t="s">
        <v>736</v>
      </c>
      <c r="L298">
        <v>63.91</v>
      </c>
    </row>
    <row r="299" spans="1:12" x14ac:dyDescent="0.2">
      <c r="A299" s="4">
        <v>298</v>
      </c>
      <c r="B299" t="s">
        <v>236</v>
      </c>
      <c r="C299">
        <v>62.81</v>
      </c>
      <c r="D299">
        <v>9</v>
      </c>
      <c r="E299">
        <v>20</v>
      </c>
      <c r="F299">
        <v>68.05</v>
      </c>
      <c r="G299">
        <v>0</v>
      </c>
      <c r="H299">
        <v>0</v>
      </c>
      <c r="I299">
        <v>0</v>
      </c>
      <c r="J299">
        <v>0</v>
      </c>
      <c r="K299" t="s">
        <v>737</v>
      </c>
      <c r="L299">
        <v>63.44</v>
      </c>
    </row>
    <row r="300" spans="1:12" x14ac:dyDescent="0.2">
      <c r="A300" s="4">
        <v>299</v>
      </c>
      <c r="B300" t="s">
        <v>267</v>
      </c>
      <c r="C300">
        <v>62.8</v>
      </c>
      <c r="D300">
        <v>8</v>
      </c>
      <c r="E300">
        <v>21</v>
      </c>
      <c r="F300">
        <v>69.58</v>
      </c>
      <c r="G300">
        <v>0</v>
      </c>
      <c r="H300">
        <v>1</v>
      </c>
      <c r="I300">
        <v>0</v>
      </c>
      <c r="J300">
        <v>1</v>
      </c>
      <c r="K300" t="s">
        <v>738</v>
      </c>
      <c r="L300">
        <v>63.05</v>
      </c>
    </row>
    <row r="301" spans="1:12" x14ac:dyDescent="0.2">
      <c r="A301" s="4">
        <v>300</v>
      </c>
      <c r="B301" t="s">
        <v>892</v>
      </c>
      <c r="C301">
        <v>62.65</v>
      </c>
      <c r="D301">
        <v>10</v>
      </c>
      <c r="E301">
        <v>20</v>
      </c>
      <c r="F301">
        <v>68</v>
      </c>
      <c r="G301">
        <v>0</v>
      </c>
      <c r="H301">
        <v>0</v>
      </c>
      <c r="I301">
        <v>0</v>
      </c>
      <c r="J301">
        <v>0</v>
      </c>
      <c r="K301" t="s">
        <v>739</v>
      </c>
      <c r="L301">
        <v>62.32</v>
      </c>
    </row>
    <row r="302" spans="1:12" x14ac:dyDescent="0.2">
      <c r="A302" s="4">
        <v>301</v>
      </c>
      <c r="B302" t="s">
        <v>93</v>
      </c>
      <c r="C302">
        <v>62.57</v>
      </c>
      <c r="D302">
        <v>6</v>
      </c>
      <c r="E302">
        <v>25</v>
      </c>
      <c r="F302">
        <v>72.34</v>
      </c>
      <c r="G302">
        <v>0</v>
      </c>
      <c r="H302">
        <v>1</v>
      </c>
      <c r="I302">
        <v>0</v>
      </c>
      <c r="J302">
        <v>2</v>
      </c>
      <c r="K302" t="s">
        <v>740</v>
      </c>
      <c r="L302">
        <v>63</v>
      </c>
    </row>
    <row r="303" spans="1:12" x14ac:dyDescent="0.2">
      <c r="A303" s="4">
        <v>302</v>
      </c>
      <c r="B303" t="s">
        <v>843</v>
      </c>
      <c r="C303">
        <v>62.48</v>
      </c>
      <c r="D303">
        <v>13</v>
      </c>
      <c r="E303">
        <v>18</v>
      </c>
      <c r="F303">
        <v>65.58</v>
      </c>
      <c r="G303">
        <v>0</v>
      </c>
      <c r="H303">
        <v>0</v>
      </c>
      <c r="I303">
        <v>0</v>
      </c>
      <c r="J303">
        <v>1</v>
      </c>
      <c r="K303" t="s">
        <v>741</v>
      </c>
      <c r="L303">
        <v>61.49</v>
      </c>
    </row>
    <row r="304" spans="1:12" x14ac:dyDescent="0.2">
      <c r="A304" s="4">
        <v>303</v>
      </c>
      <c r="B304" t="s">
        <v>252</v>
      </c>
      <c r="C304">
        <v>62.3</v>
      </c>
      <c r="D304">
        <v>7</v>
      </c>
      <c r="E304">
        <v>23</v>
      </c>
      <c r="F304">
        <v>70.2</v>
      </c>
      <c r="G304">
        <v>0</v>
      </c>
      <c r="H304">
        <v>1</v>
      </c>
      <c r="I304">
        <v>0</v>
      </c>
      <c r="J304">
        <v>2</v>
      </c>
      <c r="K304" t="s">
        <v>742</v>
      </c>
      <c r="L304">
        <v>62.44</v>
      </c>
    </row>
    <row r="305" spans="1:12" x14ac:dyDescent="0.2">
      <c r="A305" s="4">
        <v>304</v>
      </c>
      <c r="B305" t="s">
        <v>170</v>
      </c>
      <c r="C305">
        <v>62.2</v>
      </c>
      <c r="D305">
        <v>13</v>
      </c>
      <c r="E305">
        <v>14</v>
      </c>
      <c r="F305">
        <v>65.05</v>
      </c>
      <c r="G305">
        <v>0</v>
      </c>
      <c r="H305">
        <v>1</v>
      </c>
      <c r="I305">
        <v>0</v>
      </c>
      <c r="J305">
        <v>2</v>
      </c>
      <c r="K305" t="s">
        <v>743</v>
      </c>
      <c r="L305">
        <v>60.74</v>
      </c>
    </row>
    <row r="306" spans="1:12" x14ac:dyDescent="0.2">
      <c r="A306" s="4">
        <v>305</v>
      </c>
      <c r="B306" t="s">
        <v>176</v>
      </c>
      <c r="C306">
        <v>62.18</v>
      </c>
      <c r="D306">
        <v>10</v>
      </c>
      <c r="E306">
        <v>20</v>
      </c>
      <c r="F306">
        <v>68.739999999999995</v>
      </c>
      <c r="G306">
        <v>0</v>
      </c>
      <c r="H306">
        <v>1</v>
      </c>
      <c r="I306">
        <v>0</v>
      </c>
      <c r="J306">
        <v>4</v>
      </c>
      <c r="K306" t="s">
        <v>744</v>
      </c>
      <c r="L306">
        <v>62.01</v>
      </c>
    </row>
    <row r="307" spans="1:12" x14ac:dyDescent="0.2">
      <c r="A307" s="4">
        <v>306</v>
      </c>
      <c r="B307" t="s">
        <v>140</v>
      </c>
      <c r="C307">
        <v>62.03</v>
      </c>
      <c r="D307">
        <v>10</v>
      </c>
      <c r="E307">
        <v>20</v>
      </c>
      <c r="F307">
        <v>68.19</v>
      </c>
      <c r="G307">
        <v>0</v>
      </c>
      <c r="H307">
        <v>1</v>
      </c>
      <c r="I307">
        <v>0</v>
      </c>
      <c r="J307">
        <v>2</v>
      </c>
      <c r="K307" t="s">
        <v>723</v>
      </c>
      <c r="L307">
        <v>60.86</v>
      </c>
    </row>
    <row r="308" spans="1:12" x14ac:dyDescent="0.2">
      <c r="A308" s="4">
        <v>307</v>
      </c>
      <c r="B308" t="s">
        <v>298</v>
      </c>
      <c r="C308">
        <v>62.02</v>
      </c>
      <c r="D308">
        <v>9</v>
      </c>
      <c r="E308">
        <v>19</v>
      </c>
      <c r="F308">
        <v>68.45</v>
      </c>
      <c r="G308">
        <v>0</v>
      </c>
      <c r="H308">
        <v>0</v>
      </c>
      <c r="I308">
        <v>0</v>
      </c>
      <c r="J308">
        <v>0</v>
      </c>
      <c r="K308" t="s">
        <v>494</v>
      </c>
      <c r="L308">
        <v>61.8</v>
      </c>
    </row>
    <row r="309" spans="1:12" x14ac:dyDescent="0.2">
      <c r="A309" s="4">
        <v>308</v>
      </c>
      <c r="B309" t="s">
        <v>206</v>
      </c>
      <c r="C309">
        <v>61.82</v>
      </c>
      <c r="D309">
        <v>8</v>
      </c>
      <c r="E309">
        <v>20</v>
      </c>
      <c r="F309">
        <v>69.23</v>
      </c>
      <c r="G309">
        <v>0</v>
      </c>
      <c r="H309">
        <v>0</v>
      </c>
      <c r="I309">
        <v>0</v>
      </c>
      <c r="J309">
        <v>1</v>
      </c>
      <c r="K309" t="s">
        <v>745</v>
      </c>
      <c r="L309">
        <v>62.68</v>
      </c>
    </row>
    <row r="310" spans="1:12" x14ac:dyDescent="0.2">
      <c r="A310" s="4">
        <v>309</v>
      </c>
      <c r="B310" t="s">
        <v>200</v>
      </c>
      <c r="C310">
        <v>61.81</v>
      </c>
      <c r="D310">
        <v>7</v>
      </c>
      <c r="E310">
        <v>22</v>
      </c>
      <c r="F310">
        <v>70.69</v>
      </c>
      <c r="G310">
        <v>0</v>
      </c>
      <c r="H310">
        <v>1</v>
      </c>
      <c r="I310">
        <v>0</v>
      </c>
      <c r="J310">
        <v>2</v>
      </c>
      <c r="K310" t="s">
        <v>746</v>
      </c>
      <c r="L310">
        <v>61.15</v>
      </c>
    </row>
    <row r="311" spans="1:12" x14ac:dyDescent="0.2">
      <c r="A311" s="4">
        <v>310</v>
      </c>
      <c r="B311" t="s">
        <v>235</v>
      </c>
      <c r="C311">
        <v>61.76</v>
      </c>
      <c r="D311">
        <v>13</v>
      </c>
      <c r="E311">
        <v>16</v>
      </c>
      <c r="F311">
        <v>65.03</v>
      </c>
      <c r="G311">
        <v>0</v>
      </c>
      <c r="H311">
        <v>2</v>
      </c>
      <c r="I311">
        <v>0</v>
      </c>
      <c r="J311">
        <v>3</v>
      </c>
      <c r="K311" t="s">
        <v>747</v>
      </c>
      <c r="L311">
        <v>62.95</v>
      </c>
    </row>
    <row r="312" spans="1:12" x14ac:dyDescent="0.2">
      <c r="A312" s="4">
        <v>311</v>
      </c>
      <c r="B312" t="s">
        <v>902</v>
      </c>
      <c r="C312">
        <v>61.32</v>
      </c>
      <c r="D312">
        <v>4</v>
      </c>
      <c r="E312">
        <v>19</v>
      </c>
      <c r="F312">
        <v>73.63</v>
      </c>
      <c r="G312">
        <v>0</v>
      </c>
      <c r="H312">
        <v>1</v>
      </c>
      <c r="I312">
        <v>0</v>
      </c>
      <c r="J312">
        <v>2</v>
      </c>
      <c r="K312" t="s">
        <v>748</v>
      </c>
      <c r="L312">
        <v>58.89</v>
      </c>
    </row>
    <row r="313" spans="1:12" x14ac:dyDescent="0.2">
      <c r="A313" s="4">
        <v>312</v>
      </c>
      <c r="B313" t="s">
        <v>238</v>
      </c>
      <c r="C313">
        <v>61.26</v>
      </c>
      <c r="D313">
        <v>6</v>
      </c>
      <c r="E313">
        <v>24</v>
      </c>
      <c r="F313">
        <v>71.38</v>
      </c>
      <c r="G313">
        <v>0</v>
      </c>
      <c r="H313">
        <v>2</v>
      </c>
      <c r="I313">
        <v>0</v>
      </c>
      <c r="J313">
        <v>3</v>
      </c>
      <c r="K313" t="s">
        <v>749</v>
      </c>
      <c r="L313">
        <v>61.51</v>
      </c>
    </row>
    <row r="314" spans="1:12" x14ac:dyDescent="0.2">
      <c r="A314" s="4">
        <v>313</v>
      </c>
      <c r="B314" t="s">
        <v>222</v>
      </c>
      <c r="C314">
        <v>61.11</v>
      </c>
      <c r="D314">
        <v>7</v>
      </c>
      <c r="E314">
        <v>26</v>
      </c>
      <c r="F314">
        <v>71.03</v>
      </c>
      <c r="G314">
        <v>0</v>
      </c>
      <c r="H314">
        <v>1</v>
      </c>
      <c r="I314">
        <v>0</v>
      </c>
      <c r="J314">
        <v>3</v>
      </c>
      <c r="K314" t="s">
        <v>750</v>
      </c>
      <c r="L314">
        <v>61.05</v>
      </c>
    </row>
    <row r="315" spans="1:12" x14ac:dyDescent="0.2">
      <c r="A315" s="4">
        <v>314</v>
      </c>
      <c r="B315" t="s">
        <v>244</v>
      </c>
      <c r="C315">
        <v>61.07</v>
      </c>
      <c r="D315">
        <v>8</v>
      </c>
      <c r="E315">
        <v>22</v>
      </c>
      <c r="F315">
        <v>68.39</v>
      </c>
      <c r="G315">
        <v>0</v>
      </c>
      <c r="H315">
        <v>0</v>
      </c>
      <c r="I315">
        <v>0</v>
      </c>
      <c r="J315">
        <v>1</v>
      </c>
      <c r="K315" t="s">
        <v>751</v>
      </c>
      <c r="L315">
        <v>60.31</v>
      </c>
    </row>
    <row r="316" spans="1:12" x14ac:dyDescent="0.2">
      <c r="A316" s="4">
        <v>315</v>
      </c>
      <c r="B316" t="s">
        <v>268</v>
      </c>
      <c r="C316">
        <v>60.9</v>
      </c>
      <c r="D316">
        <v>6</v>
      </c>
      <c r="E316">
        <v>20</v>
      </c>
      <c r="F316">
        <v>68.98</v>
      </c>
      <c r="G316">
        <v>0</v>
      </c>
      <c r="H316">
        <v>0</v>
      </c>
      <c r="I316">
        <v>0</v>
      </c>
      <c r="J316">
        <v>1</v>
      </c>
      <c r="K316" t="s">
        <v>752</v>
      </c>
      <c r="L316">
        <v>60.55</v>
      </c>
    </row>
    <row r="317" spans="1:12" x14ac:dyDescent="0.2">
      <c r="A317" s="4">
        <v>316</v>
      </c>
      <c r="B317" t="s">
        <v>211</v>
      </c>
      <c r="C317">
        <v>60.74</v>
      </c>
      <c r="D317">
        <v>6</v>
      </c>
      <c r="E317">
        <v>21</v>
      </c>
      <c r="F317">
        <v>68.77</v>
      </c>
      <c r="G317">
        <v>0</v>
      </c>
      <c r="H317">
        <v>0</v>
      </c>
      <c r="I317">
        <v>0</v>
      </c>
      <c r="J317">
        <v>1</v>
      </c>
      <c r="K317" t="s">
        <v>753</v>
      </c>
      <c r="L317">
        <v>60.71</v>
      </c>
    </row>
    <row r="318" spans="1:12" x14ac:dyDescent="0.2">
      <c r="A318" s="4">
        <v>317</v>
      </c>
      <c r="B318" t="s">
        <v>868</v>
      </c>
      <c r="C318">
        <v>60.68</v>
      </c>
      <c r="D318">
        <v>8</v>
      </c>
      <c r="E318">
        <v>20</v>
      </c>
      <c r="F318">
        <v>69.87</v>
      </c>
      <c r="G318">
        <v>0</v>
      </c>
      <c r="H318">
        <v>1</v>
      </c>
      <c r="I318">
        <v>0</v>
      </c>
      <c r="J318">
        <v>2</v>
      </c>
      <c r="K318" t="s">
        <v>754</v>
      </c>
      <c r="L318">
        <v>58.6</v>
      </c>
    </row>
    <row r="319" spans="1:12" x14ac:dyDescent="0.2">
      <c r="A319" s="4">
        <v>318</v>
      </c>
      <c r="B319" t="s">
        <v>256</v>
      </c>
      <c r="C319">
        <v>60.67</v>
      </c>
      <c r="D319">
        <v>6</v>
      </c>
      <c r="E319">
        <v>19</v>
      </c>
      <c r="F319">
        <v>69.930000000000007</v>
      </c>
      <c r="G319">
        <v>0</v>
      </c>
      <c r="H319">
        <v>0</v>
      </c>
      <c r="I319">
        <v>0</v>
      </c>
      <c r="J319">
        <v>0</v>
      </c>
      <c r="K319" t="s">
        <v>755</v>
      </c>
      <c r="L319">
        <v>59.23</v>
      </c>
    </row>
    <row r="320" spans="1:12" x14ac:dyDescent="0.2">
      <c r="A320" s="4">
        <v>319</v>
      </c>
      <c r="B320" t="s">
        <v>270</v>
      </c>
      <c r="C320">
        <v>60.27</v>
      </c>
      <c r="D320">
        <v>13</v>
      </c>
      <c r="E320">
        <v>18</v>
      </c>
      <c r="F320">
        <v>67.28</v>
      </c>
      <c r="G320">
        <v>0</v>
      </c>
      <c r="H320">
        <v>2</v>
      </c>
      <c r="I320">
        <v>0</v>
      </c>
      <c r="J320">
        <v>4</v>
      </c>
      <c r="K320" t="s">
        <v>756</v>
      </c>
      <c r="L320">
        <v>59.89</v>
      </c>
    </row>
    <row r="321" spans="1:12" x14ac:dyDescent="0.2">
      <c r="A321" s="4">
        <v>320</v>
      </c>
      <c r="B321" t="s">
        <v>835</v>
      </c>
      <c r="C321">
        <v>60.22</v>
      </c>
      <c r="D321">
        <v>7</v>
      </c>
      <c r="E321">
        <v>23</v>
      </c>
      <c r="F321">
        <v>70.39</v>
      </c>
      <c r="G321">
        <v>0</v>
      </c>
      <c r="H321">
        <v>2</v>
      </c>
      <c r="I321">
        <v>0</v>
      </c>
      <c r="J321">
        <v>5</v>
      </c>
      <c r="K321" t="s">
        <v>757</v>
      </c>
      <c r="L321">
        <v>60.37</v>
      </c>
    </row>
    <row r="322" spans="1:12" x14ac:dyDescent="0.2">
      <c r="A322" s="4">
        <v>321</v>
      </c>
      <c r="B322" t="s">
        <v>173</v>
      </c>
      <c r="C322">
        <v>60.2</v>
      </c>
      <c r="D322">
        <v>8</v>
      </c>
      <c r="E322">
        <v>19</v>
      </c>
      <c r="F322">
        <v>67.06</v>
      </c>
      <c r="G322">
        <v>0</v>
      </c>
      <c r="H322">
        <v>0</v>
      </c>
      <c r="I322">
        <v>0</v>
      </c>
      <c r="J322">
        <v>1</v>
      </c>
      <c r="K322" t="s">
        <v>758</v>
      </c>
      <c r="L322">
        <v>60.03</v>
      </c>
    </row>
    <row r="323" spans="1:12" x14ac:dyDescent="0.2">
      <c r="A323" s="4">
        <v>322</v>
      </c>
      <c r="B323" t="s">
        <v>288</v>
      </c>
      <c r="C323">
        <v>60.17</v>
      </c>
      <c r="D323">
        <v>3</v>
      </c>
      <c r="E323">
        <v>25</v>
      </c>
      <c r="F323">
        <v>74.23</v>
      </c>
      <c r="G323">
        <v>0</v>
      </c>
      <c r="H323">
        <v>3</v>
      </c>
      <c r="I323">
        <v>0</v>
      </c>
      <c r="J323">
        <v>3</v>
      </c>
      <c r="K323" t="s">
        <v>759</v>
      </c>
      <c r="L323">
        <v>59.81</v>
      </c>
    </row>
    <row r="324" spans="1:12" x14ac:dyDescent="0.2">
      <c r="A324" s="4">
        <v>323</v>
      </c>
      <c r="B324" t="s">
        <v>172</v>
      </c>
      <c r="C324">
        <v>60.11</v>
      </c>
      <c r="D324">
        <v>3</v>
      </c>
      <c r="E324">
        <v>28</v>
      </c>
      <c r="F324">
        <v>74.760000000000005</v>
      </c>
      <c r="G324">
        <v>0</v>
      </c>
      <c r="H324">
        <v>3</v>
      </c>
      <c r="I324">
        <v>0</v>
      </c>
      <c r="J324">
        <v>7</v>
      </c>
      <c r="K324" t="s">
        <v>760</v>
      </c>
      <c r="L324">
        <v>59.41</v>
      </c>
    </row>
    <row r="325" spans="1:12" x14ac:dyDescent="0.2">
      <c r="A325" s="4">
        <v>324</v>
      </c>
      <c r="B325" t="s">
        <v>247</v>
      </c>
      <c r="C325">
        <v>60.06</v>
      </c>
      <c r="D325">
        <v>10</v>
      </c>
      <c r="E325">
        <v>21</v>
      </c>
      <c r="F325">
        <v>68.28</v>
      </c>
      <c r="G325">
        <v>0</v>
      </c>
      <c r="H325">
        <v>0</v>
      </c>
      <c r="I325">
        <v>0</v>
      </c>
      <c r="J325">
        <v>3</v>
      </c>
      <c r="K325" t="s">
        <v>761</v>
      </c>
      <c r="L325">
        <v>57.25</v>
      </c>
    </row>
    <row r="326" spans="1:12" x14ac:dyDescent="0.2">
      <c r="A326" s="4">
        <v>325</v>
      </c>
      <c r="B326" t="s">
        <v>161</v>
      </c>
      <c r="C326">
        <v>59.3</v>
      </c>
      <c r="D326">
        <v>8</v>
      </c>
      <c r="E326">
        <v>23</v>
      </c>
      <c r="F326">
        <v>67.41</v>
      </c>
      <c r="G326">
        <v>0</v>
      </c>
      <c r="H326">
        <v>1</v>
      </c>
      <c r="I326">
        <v>0</v>
      </c>
      <c r="J326">
        <v>1</v>
      </c>
      <c r="K326" t="s">
        <v>762</v>
      </c>
      <c r="L326">
        <v>59.05</v>
      </c>
    </row>
    <row r="327" spans="1:12" x14ac:dyDescent="0.2">
      <c r="A327" s="4">
        <v>326</v>
      </c>
      <c r="B327" t="s">
        <v>175</v>
      </c>
      <c r="C327">
        <v>59.29</v>
      </c>
      <c r="D327">
        <v>8</v>
      </c>
      <c r="E327">
        <v>21</v>
      </c>
      <c r="F327">
        <v>68.650000000000006</v>
      </c>
      <c r="G327">
        <v>0</v>
      </c>
      <c r="H327">
        <v>1</v>
      </c>
      <c r="I327">
        <v>0</v>
      </c>
      <c r="J327">
        <v>2</v>
      </c>
      <c r="K327" t="s">
        <v>763</v>
      </c>
      <c r="L327">
        <v>58.08</v>
      </c>
    </row>
    <row r="328" spans="1:12" x14ac:dyDescent="0.2">
      <c r="A328" s="4">
        <v>327</v>
      </c>
      <c r="B328" t="s">
        <v>893</v>
      </c>
      <c r="C328">
        <v>58.95</v>
      </c>
      <c r="D328">
        <v>6</v>
      </c>
      <c r="E328">
        <v>23</v>
      </c>
      <c r="F328">
        <v>68.25</v>
      </c>
      <c r="G328">
        <v>0</v>
      </c>
      <c r="H328">
        <v>0</v>
      </c>
      <c r="I328">
        <v>0</v>
      </c>
      <c r="J328">
        <v>0</v>
      </c>
      <c r="K328" t="s">
        <v>764</v>
      </c>
      <c r="L328">
        <v>58.85</v>
      </c>
    </row>
    <row r="329" spans="1:12" x14ac:dyDescent="0.2">
      <c r="A329" s="4">
        <v>328</v>
      </c>
      <c r="B329" t="s">
        <v>224</v>
      </c>
      <c r="C329">
        <v>58.92</v>
      </c>
      <c r="D329">
        <v>8</v>
      </c>
      <c r="E329">
        <v>23</v>
      </c>
      <c r="F329">
        <v>67.39</v>
      </c>
      <c r="G329">
        <v>0</v>
      </c>
      <c r="H329">
        <v>0</v>
      </c>
      <c r="I329">
        <v>0</v>
      </c>
      <c r="J329">
        <v>1</v>
      </c>
      <c r="K329" t="s">
        <v>765</v>
      </c>
      <c r="L329">
        <v>57.4</v>
      </c>
    </row>
    <row r="330" spans="1:12" x14ac:dyDescent="0.2">
      <c r="A330" s="4">
        <v>329</v>
      </c>
      <c r="B330" t="s">
        <v>278</v>
      </c>
      <c r="C330">
        <v>58.89</v>
      </c>
      <c r="D330">
        <v>4</v>
      </c>
      <c r="E330">
        <v>25</v>
      </c>
      <c r="F330">
        <v>70.5</v>
      </c>
      <c r="G330">
        <v>0</v>
      </c>
      <c r="H330">
        <v>0</v>
      </c>
      <c r="I330">
        <v>0</v>
      </c>
      <c r="J330">
        <v>0</v>
      </c>
      <c r="K330" t="s">
        <v>766</v>
      </c>
      <c r="L330">
        <v>58.01</v>
      </c>
    </row>
    <row r="331" spans="1:12" x14ac:dyDescent="0.2">
      <c r="A331" s="4">
        <v>330</v>
      </c>
      <c r="B331" t="s">
        <v>261</v>
      </c>
      <c r="C331">
        <v>58.49</v>
      </c>
      <c r="D331">
        <v>4</v>
      </c>
      <c r="E331">
        <v>25</v>
      </c>
      <c r="F331">
        <v>72.17</v>
      </c>
      <c r="G331">
        <v>0</v>
      </c>
      <c r="H331">
        <v>2</v>
      </c>
      <c r="I331">
        <v>0</v>
      </c>
      <c r="J331">
        <v>4</v>
      </c>
      <c r="K331" t="s">
        <v>767</v>
      </c>
      <c r="L331">
        <v>59.06</v>
      </c>
    </row>
    <row r="332" spans="1:12" x14ac:dyDescent="0.2">
      <c r="A332" s="4">
        <v>331</v>
      </c>
      <c r="B332" t="s">
        <v>266</v>
      </c>
      <c r="C332">
        <v>58.43</v>
      </c>
      <c r="D332">
        <v>7</v>
      </c>
      <c r="E332">
        <v>23</v>
      </c>
      <c r="F332">
        <v>68.78</v>
      </c>
      <c r="G332">
        <v>0</v>
      </c>
      <c r="H332">
        <v>1</v>
      </c>
      <c r="I332">
        <v>0</v>
      </c>
      <c r="J332">
        <v>1</v>
      </c>
      <c r="K332" t="s">
        <v>768</v>
      </c>
      <c r="L332">
        <v>56.72</v>
      </c>
    </row>
    <row r="333" spans="1:12" x14ac:dyDescent="0.2">
      <c r="A333" s="4">
        <v>332</v>
      </c>
      <c r="B333" t="s">
        <v>880</v>
      </c>
      <c r="C333">
        <v>58.37</v>
      </c>
      <c r="D333">
        <v>7</v>
      </c>
      <c r="E333">
        <v>22</v>
      </c>
      <c r="F333">
        <v>69.02</v>
      </c>
      <c r="G333">
        <v>0</v>
      </c>
      <c r="H333">
        <v>1</v>
      </c>
      <c r="I333">
        <v>0</v>
      </c>
      <c r="J333">
        <v>3</v>
      </c>
      <c r="K333" t="s">
        <v>769</v>
      </c>
      <c r="L333">
        <v>55.48</v>
      </c>
    </row>
    <row r="334" spans="1:12" x14ac:dyDescent="0.2">
      <c r="A334" s="4">
        <v>333</v>
      </c>
      <c r="B334" t="s">
        <v>897</v>
      </c>
      <c r="C334">
        <v>58.31</v>
      </c>
      <c r="D334">
        <v>6</v>
      </c>
      <c r="E334">
        <v>17</v>
      </c>
      <c r="F334">
        <v>66.63</v>
      </c>
      <c r="G334">
        <v>0</v>
      </c>
      <c r="H334">
        <v>0</v>
      </c>
      <c r="I334">
        <v>0</v>
      </c>
      <c r="J334">
        <v>1</v>
      </c>
      <c r="K334" t="s">
        <v>532</v>
      </c>
      <c r="L334">
        <v>58.98</v>
      </c>
    </row>
    <row r="335" spans="1:12" x14ac:dyDescent="0.2">
      <c r="A335" s="4">
        <v>334</v>
      </c>
      <c r="B335" t="s">
        <v>95</v>
      </c>
      <c r="C335">
        <v>58.21</v>
      </c>
      <c r="D335">
        <v>4</v>
      </c>
      <c r="E335">
        <v>24</v>
      </c>
      <c r="F335">
        <v>70.03</v>
      </c>
      <c r="G335">
        <v>0</v>
      </c>
      <c r="H335">
        <v>0</v>
      </c>
      <c r="I335">
        <v>0</v>
      </c>
      <c r="J335">
        <v>1</v>
      </c>
      <c r="K335" t="s">
        <v>770</v>
      </c>
      <c r="L335">
        <v>57.77</v>
      </c>
    </row>
    <row r="336" spans="1:12" x14ac:dyDescent="0.2">
      <c r="A336" s="4">
        <v>335</v>
      </c>
      <c r="B336" t="s">
        <v>865</v>
      </c>
      <c r="C336">
        <v>56.94</v>
      </c>
      <c r="D336">
        <v>6</v>
      </c>
      <c r="E336">
        <v>22</v>
      </c>
      <c r="F336">
        <v>66.650000000000006</v>
      </c>
      <c r="G336">
        <v>0</v>
      </c>
      <c r="H336">
        <v>0</v>
      </c>
      <c r="I336">
        <v>0</v>
      </c>
      <c r="J336">
        <v>0</v>
      </c>
      <c r="K336" t="s">
        <v>771</v>
      </c>
      <c r="L336">
        <v>55.32</v>
      </c>
    </row>
    <row r="337" spans="1:12" x14ac:dyDescent="0.2">
      <c r="A337" s="4">
        <v>336</v>
      </c>
      <c r="B337" t="s">
        <v>299</v>
      </c>
      <c r="C337">
        <v>56.86</v>
      </c>
      <c r="D337">
        <v>7</v>
      </c>
      <c r="E337">
        <v>25</v>
      </c>
      <c r="F337">
        <v>67.5</v>
      </c>
      <c r="G337">
        <v>0</v>
      </c>
      <c r="H337">
        <v>4</v>
      </c>
      <c r="I337">
        <v>0</v>
      </c>
      <c r="J337">
        <v>4</v>
      </c>
      <c r="K337" t="s">
        <v>772</v>
      </c>
      <c r="L337">
        <v>58.73</v>
      </c>
    </row>
    <row r="338" spans="1:12" x14ac:dyDescent="0.2">
      <c r="A338" s="4">
        <v>337</v>
      </c>
      <c r="B338" t="s">
        <v>822</v>
      </c>
      <c r="C338">
        <v>56.86</v>
      </c>
      <c r="D338">
        <v>2</v>
      </c>
      <c r="E338">
        <v>27</v>
      </c>
      <c r="F338">
        <v>71.36</v>
      </c>
      <c r="G338">
        <v>0</v>
      </c>
      <c r="H338">
        <v>0</v>
      </c>
      <c r="I338">
        <v>0</v>
      </c>
      <c r="J338">
        <v>0</v>
      </c>
      <c r="K338" t="s">
        <v>773</v>
      </c>
      <c r="L338">
        <v>56.48</v>
      </c>
    </row>
    <row r="339" spans="1:12" x14ac:dyDescent="0.2">
      <c r="A339" s="4">
        <v>338</v>
      </c>
      <c r="B339" t="s">
        <v>899</v>
      </c>
      <c r="C339">
        <v>56.13</v>
      </c>
      <c r="D339">
        <v>6</v>
      </c>
      <c r="E339">
        <v>22</v>
      </c>
      <c r="F339">
        <v>66.81</v>
      </c>
      <c r="G339">
        <v>0</v>
      </c>
      <c r="H339">
        <v>1</v>
      </c>
      <c r="I339">
        <v>0</v>
      </c>
      <c r="J339">
        <v>1</v>
      </c>
      <c r="K339" t="s">
        <v>532</v>
      </c>
      <c r="L339">
        <v>54.2</v>
      </c>
    </row>
    <row r="340" spans="1:12" x14ac:dyDescent="0.2">
      <c r="A340" s="4">
        <v>339</v>
      </c>
      <c r="B340" t="s">
        <v>889</v>
      </c>
      <c r="C340">
        <v>55.9</v>
      </c>
      <c r="D340">
        <v>2</v>
      </c>
      <c r="E340">
        <v>27</v>
      </c>
      <c r="F340">
        <v>69.91</v>
      </c>
      <c r="G340">
        <v>0</v>
      </c>
      <c r="H340">
        <v>0</v>
      </c>
      <c r="I340">
        <v>0</v>
      </c>
      <c r="J340">
        <v>1</v>
      </c>
      <c r="K340" t="s">
        <v>774</v>
      </c>
      <c r="L340">
        <v>57.18</v>
      </c>
    </row>
    <row r="341" spans="1:12" x14ac:dyDescent="0.2">
      <c r="A341" s="4">
        <v>340</v>
      </c>
      <c r="B341" t="s">
        <v>898</v>
      </c>
      <c r="C341">
        <v>55.79</v>
      </c>
      <c r="D341">
        <v>8</v>
      </c>
      <c r="E341">
        <v>21</v>
      </c>
      <c r="F341">
        <v>63.33</v>
      </c>
      <c r="G341">
        <v>0</v>
      </c>
      <c r="H341">
        <v>0</v>
      </c>
      <c r="I341">
        <v>0</v>
      </c>
      <c r="J341">
        <v>1</v>
      </c>
      <c r="K341" t="s">
        <v>775</v>
      </c>
      <c r="L341">
        <v>56.86</v>
      </c>
    </row>
    <row r="342" spans="1:12" x14ac:dyDescent="0.2">
      <c r="A342" s="4">
        <v>341</v>
      </c>
      <c r="B342" t="s">
        <v>885</v>
      </c>
      <c r="C342">
        <v>55.78</v>
      </c>
      <c r="D342">
        <v>7</v>
      </c>
      <c r="E342">
        <v>25</v>
      </c>
      <c r="F342">
        <v>67.53</v>
      </c>
      <c r="G342">
        <v>0</v>
      </c>
      <c r="H342">
        <v>2</v>
      </c>
      <c r="I342">
        <v>0</v>
      </c>
      <c r="J342">
        <v>3</v>
      </c>
      <c r="K342" t="s">
        <v>776</v>
      </c>
      <c r="L342">
        <v>57.15</v>
      </c>
    </row>
    <row r="343" spans="1:12" x14ac:dyDescent="0.2">
      <c r="A343" s="4">
        <v>342</v>
      </c>
      <c r="B343" t="s">
        <v>886</v>
      </c>
      <c r="C343">
        <v>54.99</v>
      </c>
      <c r="D343">
        <v>7</v>
      </c>
      <c r="E343">
        <v>23</v>
      </c>
      <c r="F343">
        <v>64.94</v>
      </c>
      <c r="G343">
        <v>0</v>
      </c>
      <c r="H343">
        <v>1</v>
      </c>
      <c r="I343">
        <v>0</v>
      </c>
      <c r="J343">
        <v>1</v>
      </c>
      <c r="K343" t="s">
        <v>777</v>
      </c>
      <c r="L343">
        <v>53.02</v>
      </c>
    </row>
    <row r="344" spans="1:12" x14ac:dyDescent="0.2">
      <c r="A344" s="4">
        <v>343</v>
      </c>
      <c r="B344" t="s">
        <v>260</v>
      </c>
      <c r="C344">
        <v>54.82</v>
      </c>
      <c r="D344">
        <v>7</v>
      </c>
      <c r="E344">
        <v>17</v>
      </c>
      <c r="F344">
        <v>63.05</v>
      </c>
      <c r="G344">
        <v>0</v>
      </c>
      <c r="H344">
        <v>0</v>
      </c>
      <c r="I344">
        <v>0</v>
      </c>
      <c r="J344">
        <v>0</v>
      </c>
      <c r="K344" t="s">
        <v>778</v>
      </c>
      <c r="L344">
        <v>55.66</v>
      </c>
    </row>
    <row r="345" spans="1:12" x14ac:dyDescent="0.2">
      <c r="A345" s="4">
        <v>344</v>
      </c>
      <c r="B345" t="s">
        <v>240</v>
      </c>
      <c r="C345">
        <v>52.23</v>
      </c>
      <c r="D345">
        <v>3</v>
      </c>
      <c r="E345">
        <v>26</v>
      </c>
      <c r="F345">
        <v>70.23</v>
      </c>
      <c r="G345">
        <v>0</v>
      </c>
      <c r="H345">
        <v>1</v>
      </c>
      <c r="I345">
        <v>0</v>
      </c>
      <c r="J345">
        <v>4</v>
      </c>
      <c r="K345" t="s">
        <v>779</v>
      </c>
      <c r="L345">
        <v>51.22</v>
      </c>
    </row>
    <row r="346" spans="1:12" x14ac:dyDescent="0.2">
      <c r="A346" s="4">
        <v>345</v>
      </c>
      <c r="B346" t="s">
        <v>867</v>
      </c>
      <c r="C346">
        <v>51.69</v>
      </c>
      <c r="D346">
        <v>5</v>
      </c>
      <c r="E346">
        <v>23</v>
      </c>
      <c r="F346">
        <v>64.64</v>
      </c>
      <c r="G346">
        <v>0</v>
      </c>
      <c r="H346">
        <v>1</v>
      </c>
      <c r="I346">
        <v>0</v>
      </c>
      <c r="J346">
        <v>2</v>
      </c>
      <c r="K346" t="s">
        <v>780</v>
      </c>
      <c r="L346">
        <v>52.22</v>
      </c>
    </row>
    <row r="347" spans="1:12" x14ac:dyDescent="0.2">
      <c r="A347" s="4">
        <v>346</v>
      </c>
      <c r="B347" t="s">
        <v>842</v>
      </c>
      <c r="C347">
        <v>50.73</v>
      </c>
      <c r="D347">
        <v>4</v>
      </c>
      <c r="E347">
        <v>24</v>
      </c>
      <c r="F347">
        <v>64.88</v>
      </c>
      <c r="G347">
        <v>0</v>
      </c>
      <c r="H347">
        <v>1</v>
      </c>
      <c r="I347">
        <v>0</v>
      </c>
      <c r="J347">
        <v>2</v>
      </c>
      <c r="K347" t="s">
        <v>781</v>
      </c>
      <c r="L347">
        <v>51.49</v>
      </c>
    </row>
    <row r="348" spans="1:12" x14ac:dyDescent="0.2">
      <c r="A348" s="4">
        <v>347</v>
      </c>
      <c r="B348" t="s">
        <v>882</v>
      </c>
      <c r="C348">
        <v>47.92</v>
      </c>
      <c r="D348">
        <v>1</v>
      </c>
      <c r="E348">
        <v>30</v>
      </c>
      <c r="F348">
        <v>65.64</v>
      </c>
      <c r="G348">
        <v>0</v>
      </c>
      <c r="H348">
        <v>0</v>
      </c>
      <c r="I348">
        <v>0</v>
      </c>
      <c r="J348">
        <v>1</v>
      </c>
      <c r="K348" t="s">
        <v>782</v>
      </c>
      <c r="L348">
        <v>48.01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C9D3-DCA3-463F-9351-B5C4D830A731}">
  <dimension ref="A1:L342"/>
  <sheetViews>
    <sheetView topLeftCell="A91" workbookViewId="0">
      <selection activeCell="B111" sqref="B111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854</v>
      </c>
      <c r="L1" t="s">
        <v>28</v>
      </c>
    </row>
    <row r="2" spans="1:12" x14ac:dyDescent="0.2">
      <c r="A2" s="3">
        <v>1</v>
      </c>
      <c r="B2" t="s">
        <v>2</v>
      </c>
      <c r="C2">
        <v>98.67</v>
      </c>
      <c r="D2">
        <v>36</v>
      </c>
      <c r="E2">
        <v>3</v>
      </c>
      <c r="F2">
        <v>79.13</v>
      </c>
      <c r="G2">
        <v>6</v>
      </c>
      <c r="H2">
        <v>1</v>
      </c>
      <c r="I2">
        <v>16</v>
      </c>
      <c r="J2">
        <v>2</v>
      </c>
      <c r="K2">
        <v>101.55</v>
      </c>
      <c r="L2">
        <v>96.95</v>
      </c>
    </row>
    <row r="3" spans="1:12" x14ac:dyDescent="0.2">
      <c r="A3" s="3">
        <v>2</v>
      </c>
      <c r="B3" t="s">
        <v>40</v>
      </c>
      <c r="C3">
        <v>96.1</v>
      </c>
      <c r="D3">
        <v>38</v>
      </c>
      <c r="E3">
        <v>2</v>
      </c>
      <c r="F3">
        <v>77.13</v>
      </c>
      <c r="G3">
        <v>4</v>
      </c>
      <c r="H3">
        <v>2</v>
      </c>
      <c r="I3">
        <v>10</v>
      </c>
      <c r="J3">
        <v>2</v>
      </c>
      <c r="K3">
        <v>100.38</v>
      </c>
      <c r="L3">
        <v>94.02</v>
      </c>
    </row>
    <row r="4" spans="1:12" x14ac:dyDescent="0.2">
      <c r="A4" s="3">
        <v>3</v>
      </c>
      <c r="B4" t="s">
        <v>36</v>
      </c>
      <c r="C4">
        <v>95.89</v>
      </c>
      <c r="D4">
        <v>36</v>
      </c>
      <c r="E4">
        <v>3</v>
      </c>
      <c r="F4">
        <v>79.290000000000006</v>
      </c>
      <c r="G4">
        <v>8</v>
      </c>
      <c r="H4">
        <v>2</v>
      </c>
      <c r="I4">
        <v>13</v>
      </c>
      <c r="J4">
        <v>2</v>
      </c>
      <c r="K4">
        <v>96.85</v>
      </c>
      <c r="L4">
        <v>94.87</v>
      </c>
    </row>
    <row r="5" spans="1:12" x14ac:dyDescent="0.2">
      <c r="A5" s="3">
        <v>4</v>
      </c>
      <c r="B5" t="s">
        <v>30</v>
      </c>
      <c r="C5">
        <v>94.55</v>
      </c>
      <c r="D5">
        <v>34</v>
      </c>
      <c r="E5">
        <v>4</v>
      </c>
      <c r="F5">
        <v>79.14</v>
      </c>
      <c r="G5">
        <v>9</v>
      </c>
      <c r="H5">
        <v>2</v>
      </c>
      <c r="I5">
        <v>16</v>
      </c>
      <c r="J5">
        <v>3</v>
      </c>
      <c r="K5">
        <v>96.22</v>
      </c>
      <c r="L5">
        <v>93.13</v>
      </c>
    </row>
    <row r="6" spans="1:12" x14ac:dyDescent="0.2">
      <c r="A6" s="3">
        <v>5</v>
      </c>
      <c r="B6" t="s">
        <v>43</v>
      </c>
      <c r="C6">
        <v>91.88</v>
      </c>
      <c r="D6">
        <v>31</v>
      </c>
      <c r="E6">
        <v>5</v>
      </c>
      <c r="F6">
        <v>77.95</v>
      </c>
      <c r="G6">
        <v>6</v>
      </c>
      <c r="H6">
        <v>3</v>
      </c>
      <c r="I6">
        <v>7</v>
      </c>
      <c r="J6">
        <v>5</v>
      </c>
      <c r="K6">
        <v>91.27</v>
      </c>
      <c r="L6">
        <v>92.3</v>
      </c>
    </row>
    <row r="7" spans="1:12" x14ac:dyDescent="0.2">
      <c r="A7" s="3">
        <v>6</v>
      </c>
      <c r="B7" t="s">
        <v>38</v>
      </c>
      <c r="C7">
        <v>90.68</v>
      </c>
      <c r="D7">
        <v>30</v>
      </c>
      <c r="E7">
        <v>7</v>
      </c>
      <c r="F7">
        <v>79.87</v>
      </c>
      <c r="G7">
        <v>5</v>
      </c>
      <c r="H7">
        <v>5</v>
      </c>
      <c r="I7">
        <v>14</v>
      </c>
      <c r="J7">
        <v>5</v>
      </c>
      <c r="K7">
        <v>93.39</v>
      </c>
      <c r="L7">
        <v>88.75</v>
      </c>
    </row>
    <row r="8" spans="1:12" x14ac:dyDescent="0.2">
      <c r="A8" s="3">
        <v>7</v>
      </c>
      <c r="B8" t="s">
        <v>9</v>
      </c>
      <c r="C8">
        <v>90.49</v>
      </c>
      <c r="D8">
        <v>28</v>
      </c>
      <c r="E8">
        <v>6</v>
      </c>
      <c r="F8">
        <v>78.98</v>
      </c>
      <c r="G8">
        <v>5</v>
      </c>
      <c r="H8">
        <v>4</v>
      </c>
      <c r="I8">
        <v>7</v>
      </c>
      <c r="J8">
        <v>5</v>
      </c>
      <c r="K8">
        <v>89.62</v>
      </c>
      <c r="L8">
        <v>91.29</v>
      </c>
    </row>
    <row r="9" spans="1:12" x14ac:dyDescent="0.2">
      <c r="A9" s="3">
        <v>8</v>
      </c>
      <c r="B9" t="s">
        <v>104</v>
      </c>
      <c r="C9">
        <v>90.44</v>
      </c>
      <c r="D9">
        <v>27</v>
      </c>
      <c r="E9">
        <v>9</v>
      </c>
      <c r="F9">
        <v>79.36</v>
      </c>
      <c r="G9">
        <v>7</v>
      </c>
      <c r="H9">
        <v>3</v>
      </c>
      <c r="I9">
        <v>10</v>
      </c>
      <c r="J9">
        <v>7</v>
      </c>
      <c r="K9">
        <v>89.98</v>
      </c>
      <c r="L9">
        <v>90.67</v>
      </c>
    </row>
    <row r="10" spans="1:12" x14ac:dyDescent="0.2">
      <c r="A10" s="3">
        <v>9</v>
      </c>
      <c r="B10" t="s">
        <v>13</v>
      </c>
      <c r="C10">
        <v>90.18</v>
      </c>
      <c r="D10">
        <v>30</v>
      </c>
      <c r="E10">
        <v>5</v>
      </c>
      <c r="F10">
        <v>79.739999999999995</v>
      </c>
      <c r="G10">
        <v>5</v>
      </c>
      <c r="H10">
        <v>2</v>
      </c>
      <c r="I10">
        <v>13</v>
      </c>
      <c r="J10">
        <v>4</v>
      </c>
      <c r="K10">
        <v>92.86</v>
      </c>
      <c r="L10">
        <v>88.25</v>
      </c>
    </row>
    <row r="11" spans="1:12" x14ac:dyDescent="0.2">
      <c r="A11" s="3">
        <v>10</v>
      </c>
      <c r="B11" t="s">
        <v>147</v>
      </c>
      <c r="C11">
        <v>90.13</v>
      </c>
      <c r="D11">
        <v>28</v>
      </c>
      <c r="E11">
        <v>6</v>
      </c>
      <c r="F11">
        <v>78.89</v>
      </c>
      <c r="G11">
        <v>5</v>
      </c>
      <c r="H11">
        <v>5</v>
      </c>
      <c r="I11">
        <v>8</v>
      </c>
      <c r="J11">
        <v>5</v>
      </c>
      <c r="K11">
        <v>90.39</v>
      </c>
      <c r="L11">
        <v>89.6</v>
      </c>
    </row>
    <row r="12" spans="1:12" x14ac:dyDescent="0.2">
      <c r="A12" s="4">
        <v>11</v>
      </c>
      <c r="B12" t="s">
        <v>51</v>
      </c>
      <c r="C12">
        <v>89.64</v>
      </c>
      <c r="D12">
        <v>30</v>
      </c>
      <c r="E12">
        <v>7</v>
      </c>
      <c r="F12">
        <v>77.430000000000007</v>
      </c>
      <c r="G12">
        <v>2</v>
      </c>
      <c r="H12">
        <v>2</v>
      </c>
      <c r="I12">
        <v>8</v>
      </c>
      <c r="J12">
        <v>2</v>
      </c>
      <c r="K12">
        <v>89.81</v>
      </c>
      <c r="L12">
        <v>89.19</v>
      </c>
    </row>
    <row r="13" spans="1:12" x14ac:dyDescent="0.2">
      <c r="A13" s="4">
        <v>12</v>
      </c>
      <c r="B13" t="s">
        <v>64</v>
      </c>
      <c r="C13">
        <v>89.6</v>
      </c>
      <c r="D13">
        <v>28</v>
      </c>
      <c r="E13">
        <v>7</v>
      </c>
      <c r="F13">
        <v>75.5</v>
      </c>
      <c r="G13">
        <v>2</v>
      </c>
      <c r="H13">
        <v>4</v>
      </c>
      <c r="I13">
        <v>3</v>
      </c>
      <c r="J13">
        <v>4</v>
      </c>
      <c r="K13">
        <v>90.36</v>
      </c>
      <c r="L13">
        <v>88.67</v>
      </c>
    </row>
    <row r="14" spans="1:12" x14ac:dyDescent="0.2">
      <c r="A14" s="4">
        <v>13</v>
      </c>
      <c r="B14" t="s">
        <v>98</v>
      </c>
      <c r="C14">
        <v>89.41</v>
      </c>
      <c r="D14">
        <v>28</v>
      </c>
      <c r="E14">
        <v>8</v>
      </c>
      <c r="F14">
        <v>78.650000000000006</v>
      </c>
      <c r="G14">
        <v>4</v>
      </c>
      <c r="H14">
        <v>4</v>
      </c>
      <c r="I14">
        <v>9</v>
      </c>
      <c r="J14">
        <v>6</v>
      </c>
      <c r="K14">
        <v>90.07</v>
      </c>
      <c r="L14">
        <v>88.55</v>
      </c>
    </row>
    <row r="15" spans="1:12" x14ac:dyDescent="0.2">
      <c r="A15" s="4">
        <v>14</v>
      </c>
      <c r="B15" t="s">
        <v>807</v>
      </c>
      <c r="C15">
        <v>89.16</v>
      </c>
      <c r="D15">
        <v>26</v>
      </c>
      <c r="E15">
        <v>9</v>
      </c>
      <c r="F15">
        <v>78.45</v>
      </c>
      <c r="G15">
        <v>1</v>
      </c>
      <c r="H15">
        <v>6</v>
      </c>
      <c r="I15">
        <v>8</v>
      </c>
      <c r="J15">
        <v>8</v>
      </c>
      <c r="K15">
        <v>88.83</v>
      </c>
      <c r="L15">
        <v>89.22</v>
      </c>
    </row>
    <row r="16" spans="1:12" x14ac:dyDescent="0.2">
      <c r="A16" s="4">
        <v>15</v>
      </c>
      <c r="B16" t="s">
        <v>794</v>
      </c>
      <c r="C16">
        <v>88.58</v>
      </c>
      <c r="D16">
        <v>27</v>
      </c>
      <c r="E16">
        <v>9</v>
      </c>
      <c r="F16">
        <v>78.94</v>
      </c>
      <c r="G16">
        <v>5</v>
      </c>
      <c r="H16">
        <v>6</v>
      </c>
      <c r="I16">
        <v>7</v>
      </c>
      <c r="J16">
        <v>7</v>
      </c>
      <c r="K16">
        <v>89.16</v>
      </c>
      <c r="L16">
        <v>87.79</v>
      </c>
    </row>
    <row r="17" spans="1:12" x14ac:dyDescent="0.2">
      <c r="A17" s="4">
        <v>16</v>
      </c>
      <c r="B17" t="s">
        <v>72</v>
      </c>
      <c r="C17">
        <v>88.05</v>
      </c>
      <c r="D17">
        <v>25</v>
      </c>
      <c r="E17">
        <v>11</v>
      </c>
      <c r="F17">
        <v>78.489999999999995</v>
      </c>
      <c r="G17">
        <v>3</v>
      </c>
      <c r="H17">
        <v>7</v>
      </c>
      <c r="I17">
        <v>5</v>
      </c>
      <c r="J17">
        <v>10</v>
      </c>
      <c r="K17">
        <v>86.64</v>
      </c>
      <c r="L17">
        <v>89.7</v>
      </c>
    </row>
    <row r="18" spans="1:12" x14ac:dyDescent="0.2">
      <c r="A18" s="4">
        <v>17</v>
      </c>
      <c r="B18" t="s">
        <v>65</v>
      </c>
      <c r="C18">
        <v>87.69</v>
      </c>
      <c r="D18">
        <v>24</v>
      </c>
      <c r="E18">
        <v>10</v>
      </c>
      <c r="F18">
        <v>78.3</v>
      </c>
      <c r="G18">
        <v>4</v>
      </c>
      <c r="H18">
        <v>8</v>
      </c>
      <c r="I18">
        <v>5</v>
      </c>
      <c r="J18">
        <v>9</v>
      </c>
      <c r="K18">
        <v>86.55</v>
      </c>
      <c r="L18">
        <v>88.84</v>
      </c>
    </row>
    <row r="19" spans="1:12" x14ac:dyDescent="0.2">
      <c r="A19" s="4">
        <v>18</v>
      </c>
      <c r="B19" t="s">
        <v>57</v>
      </c>
      <c r="C19">
        <v>87.1</v>
      </c>
      <c r="D19">
        <v>24</v>
      </c>
      <c r="E19">
        <v>11</v>
      </c>
      <c r="F19">
        <v>78.3</v>
      </c>
      <c r="G19">
        <v>2</v>
      </c>
      <c r="H19">
        <v>4</v>
      </c>
      <c r="I19">
        <v>6</v>
      </c>
      <c r="J19">
        <v>9</v>
      </c>
      <c r="K19">
        <v>86.16</v>
      </c>
      <c r="L19">
        <v>87.95</v>
      </c>
    </row>
    <row r="20" spans="1:12" x14ac:dyDescent="0.2">
      <c r="A20" s="4">
        <v>19</v>
      </c>
      <c r="B20" t="s">
        <v>153</v>
      </c>
      <c r="C20">
        <v>86.95</v>
      </c>
      <c r="D20">
        <v>26</v>
      </c>
      <c r="E20">
        <v>10</v>
      </c>
      <c r="F20">
        <v>79.069999999999993</v>
      </c>
      <c r="G20">
        <v>6</v>
      </c>
      <c r="H20">
        <v>5</v>
      </c>
      <c r="I20">
        <v>7</v>
      </c>
      <c r="J20">
        <v>8</v>
      </c>
      <c r="K20">
        <v>86.9</v>
      </c>
      <c r="L20">
        <v>86.72</v>
      </c>
    </row>
    <row r="21" spans="1:12" x14ac:dyDescent="0.2">
      <c r="A21" s="4">
        <v>20</v>
      </c>
      <c r="B21" t="s">
        <v>106</v>
      </c>
      <c r="C21">
        <v>86.56</v>
      </c>
      <c r="D21">
        <v>30</v>
      </c>
      <c r="E21">
        <v>4</v>
      </c>
      <c r="F21">
        <v>75.42</v>
      </c>
      <c r="G21">
        <v>1</v>
      </c>
      <c r="H21">
        <v>2</v>
      </c>
      <c r="I21">
        <v>2</v>
      </c>
      <c r="J21">
        <v>2</v>
      </c>
      <c r="K21">
        <v>88.91</v>
      </c>
      <c r="L21">
        <v>84.64</v>
      </c>
    </row>
    <row r="22" spans="1:12" x14ac:dyDescent="0.2">
      <c r="A22" s="4">
        <v>21</v>
      </c>
      <c r="B22" t="s">
        <v>809</v>
      </c>
      <c r="C22">
        <v>86.25</v>
      </c>
      <c r="D22">
        <v>24</v>
      </c>
      <c r="E22">
        <v>13</v>
      </c>
      <c r="F22">
        <v>78.599999999999994</v>
      </c>
      <c r="G22">
        <v>1</v>
      </c>
      <c r="H22">
        <v>9</v>
      </c>
      <c r="I22">
        <v>6</v>
      </c>
      <c r="J22">
        <v>10</v>
      </c>
      <c r="K22">
        <v>85.82</v>
      </c>
      <c r="L22">
        <v>86.42</v>
      </c>
    </row>
    <row r="23" spans="1:12" x14ac:dyDescent="0.2">
      <c r="A23" s="4">
        <v>22</v>
      </c>
      <c r="B23" t="s">
        <v>54</v>
      </c>
      <c r="C23">
        <v>86.18</v>
      </c>
      <c r="D23">
        <v>25</v>
      </c>
      <c r="E23">
        <v>8</v>
      </c>
      <c r="F23">
        <v>76.87</v>
      </c>
      <c r="G23">
        <v>3</v>
      </c>
      <c r="H23">
        <v>5</v>
      </c>
      <c r="I23">
        <v>6</v>
      </c>
      <c r="J23">
        <v>7</v>
      </c>
      <c r="K23">
        <v>86.22</v>
      </c>
      <c r="L23">
        <v>85.86</v>
      </c>
    </row>
    <row r="24" spans="1:12" x14ac:dyDescent="0.2">
      <c r="A24" s="4">
        <v>23</v>
      </c>
      <c r="B24" t="s">
        <v>78</v>
      </c>
      <c r="C24">
        <v>86.18</v>
      </c>
      <c r="D24">
        <v>23</v>
      </c>
      <c r="E24">
        <v>10</v>
      </c>
      <c r="F24">
        <v>79.11</v>
      </c>
      <c r="G24">
        <v>1</v>
      </c>
      <c r="H24">
        <v>4</v>
      </c>
      <c r="I24">
        <v>5</v>
      </c>
      <c r="J24">
        <v>7</v>
      </c>
      <c r="K24">
        <v>84.86</v>
      </c>
      <c r="L24">
        <v>87.6</v>
      </c>
    </row>
    <row r="25" spans="1:12" x14ac:dyDescent="0.2">
      <c r="A25" s="4">
        <v>24</v>
      </c>
      <c r="B25" t="s">
        <v>91</v>
      </c>
      <c r="C25">
        <v>85.93</v>
      </c>
      <c r="D25">
        <v>26</v>
      </c>
      <c r="E25">
        <v>5</v>
      </c>
      <c r="F25">
        <v>75.97</v>
      </c>
      <c r="G25">
        <v>1</v>
      </c>
      <c r="H25">
        <v>0</v>
      </c>
      <c r="I25">
        <v>1</v>
      </c>
      <c r="J25">
        <v>2</v>
      </c>
      <c r="K25">
        <v>86.88</v>
      </c>
      <c r="L25">
        <v>84.83</v>
      </c>
    </row>
    <row r="26" spans="1:12" x14ac:dyDescent="0.2">
      <c r="A26" s="4">
        <v>25</v>
      </c>
      <c r="B26" t="s">
        <v>46</v>
      </c>
      <c r="C26">
        <v>85.78</v>
      </c>
      <c r="D26">
        <v>25</v>
      </c>
      <c r="E26">
        <v>8</v>
      </c>
      <c r="F26">
        <v>77.02</v>
      </c>
      <c r="G26">
        <v>3</v>
      </c>
      <c r="H26">
        <v>4</v>
      </c>
      <c r="I26">
        <v>4</v>
      </c>
      <c r="J26">
        <v>6</v>
      </c>
      <c r="K26">
        <v>85.12</v>
      </c>
      <c r="L26">
        <v>86.22</v>
      </c>
    </row>
    <row r="27" spans="1:12" x14ac:dyDescent="0.2">
      <c r="A27" s="4">
        <v>26</v>
      </c>
      <c r="B27" t="s">
        <v>877</v>
      </c>
      <c r="C27">
        <v>85.44</v>
      </c>
      <c r="D27">
        <v>21</v>
      </c>
      <c r="E27">
        <v>12</v>
      </c>
      <c r="F27">
        <v>80.02</v>
      </c>
      <c r="G27">
        <v>2</v>
      </c>
      <c r="H27">
        <v>7</v>
      </c>
      <c r="I27">
        <v>6</v>
      </c>
      <c r="J27">
        <v>9</v>
      </c>
      <c r="K27">
        <v>84.75</v>
      </c>
      <c r="L27">
        <v>85.92</v>
      </c>
    </row>
    <row r="28" spans="1:12" x14ac:dyDescent="0.2">
      <c r="A28" s="4">
        <v>27</v>
      </c>
      <c r="B28" t="s">
        <v>16</v>
      </c>
      <c r="C28">
        <v>85.43</v>
      </c>
      <c r="D28">
        <v>25</v>
      </c>
      <c r="E28">
        <v>9</v>
      </c>
      <c r="F28">
        <v>76.81</v>
      </c>
      <c r="G28">
        <v>5</v>
      </c>
      <c r="H28">
        <v>5</v>
      </c>
      <c r="I28">
        <v>6</v>
      </c>
      <c r="J28">
        <v>5</v>
      </c>
      <c r="K28">
        <v>85.62</v>
      </c>
      <c r="L28">
        <v>84.97</v>
      </c>
    </row>
    <row r="29" spans="1:12" x14ac:dyDescent="0.2">
      <c r="A29" s="4">
        <v>28</v>
      </c>
      <c r="B29" t="s">
        <v>37</v>
      </c>
      <c r="C29">
        <v>85.32</v>
      </c>
      <c r="D29">
        <v>24</v>
      </c>
      <c r="E29">
        <v>9</v>
      </c>
      <c r="F29">
        <v>77.739999999999995</v>
      </c>
      <c r="G29">
        <v>6</v>
      </c>
      <c r="H29">
        <v>4</v>
      </c>
      <c r="I29">
        <v>6</v>
      </c>
      <c r="J29">
        <v>6</v>
      </c>
      <c r="K29">
        <v>84.67</v>
      </c>
      <c r="L29">
        <v>85.76</v>
      </c>
    </row>
    <row r="30" spans="1:12" x14ac:dyDescent="0.2">
      <c r="A30" s="4">
        <v>29</v>
      </c>
      <c r="B30" t="s">
        <v>0</v>
      </c>
      <c r="C30">
        <v>85.23</v>
      </c>
      <c r="D30">
        <v>25</v>
      </c>
      <c r="E30">
        <v>8</v>
      </c>
      <c r="F30">
        <v>74.45</v>
      </c>
      <c r="G30">
        <v>0</v>
      </c>
      <c r="H30">
        <v>4</v>
      </c>
      <c r="I30">
        <v>4</v>
      </c>
      <c r="J30">
        <v>6</v>
      </c>
      <c r="K30">
        <v>84.3</v>
      </c>
      <c r="L30">
        <v>86.04</v>
      </c>
    </row>
    <row r="31" spans="1:12" x14ac:dyDescent="0.2">
      <c r="A31" s="4">
        <v>30</v>
      </c>
      <c r="B31" t="s">
        <v>802</v>
      </c>
      <c r="C31">
        <v>84.91</v>
      </c>
      <c r="D31">
        <v>20</v>
      </c>
      <c r="E31">
        <v>12</v>
      </c>
      <c r="F31">
        <v>78.45</v>
      </c>
      <c r="G31">
        <v>2</v>
      </c>
      <c r="H31">
        <v>6</v>
      </c>
      <c r="I31">
        <v>5</v>
      </c>
      <c r="J31">
        <v>9</v>
      </c>
      <c r="K31">
        <v>83.65</v>
      </c>
      <c r="L31">
        <v>86.2</v>
      </c>
    </row>
    <row r="32" spans="1:12" x14ac:dyDescent="0.2">
      <c r="A32" s="4">
        <v>31</v>
      </c>
      <c r="B32" t="s">
        <v>791</v>
      </c>
      <c r="C32">
        <v>84.35</v>
      </c>
      <c r="D32">
        <v>23</v>
      </c>
      <c r="E32">
        <v>11</v>
      </c>
      <c r="F32">
        <v>77.040000000000006</v>
      </c>
      <c r="G32">
        <v>0</v>
      </c>
      <c r="H32">
        <v>3</v>
      </c>
      <c r="I32">
        <v>4</v>
      </c>
      <c r="J32">
        <v>7</v>
      </c>
      <c r="K32">
        <v>83.35</v>
      </c>
      <c r="L32">
        <v>85.24</v>
      </c>
    </row>
    <row r="33" spans="1:12" x14ac:dyDescent="0.2">
      <c r="A33" s="4">
        <v>32</v>
      </c>
      <c r="B33" t="s">
        <v>45</v>
      </c>
      <c r="C33">
        <v>84.22</v>
      </c>
      <c r="D33">
        <v>23</v>
      </c>
      <c r="E33">
        <v>12</v>
      </c>
      <c r="F33">
        <v>79.02</v>
      </c>
      <c r="G33">
        <v>2</v>
      </c>
      <c r="H33">
        <v>7</v>
      </c>
      <c r="I33">
        <v>6</v>
      </c>
      <c r="J33">
        <v>10</v>
      </c>
      <c r="K33">
        <v>85.25</v>
      </c>
      <c r="L33">
        <v>83.04</v>
      </c>
    </row>
    <row r="34" spans="1:12" x14ac:dyDescent="0.2">
      <c r="A34" s="4">
        <v>33</v>
      </c>
      <c r="B34" t="s">
        <v>35</v>
      </c>
      <c r="C34">
        <v>84.04</v>
      </c>
      <c r="D34">
        <v>23</v>
      </c>
      <c r="E34">
        <v>12</v>
      </c>
      <c r="F34">
        <v>78.03</v>
      </c>
      <c r="G34">
        <v>2</v>
      </c>
      <c r="H34">
        <v>2</v>
      </c>
      <c r="I34">
        <v>8</v>
      </c>
      <c r="J34">
        <v>5</v>
      </c>
      <c r="K34">
        <v>83.88</v>
      </c>
      <c r="L34">
        <v>83.92</v>
      </c>
    </row>
    <row r="35" spans="1:12" x14ac:dyDescent="0.2">
      <c r="A35" s="4">
        <v>34</v>
      </c>
      <c r="B35" t="s">
        <v>121</v>
      </c>
      <c r="C35">
        <v>84.03</v>
      </c>
      <c r="D35">
        <v>27</v>
      </c>
      <c r="E35">
        <v>7</v>
      </c>
      <c r="F35">
        <v>72.650000000000006</v>
      </c>
      <c r="G35">
        <v>1</v>
      </c>
      <c r="H35">
        <v>2</v>
      </c>
      <c r="I35">
        <v>2</v>
      </c>
      <c r="J35">
        <v>3</v>
      </c>
      <c r="K35">
        <v>84.95</v>
      </c>
      <c r="L35">
        <v>82.94</v>
      </c>
    </row>
    <row r="36" spans="1:12" x14ac:dyDescent="0.2">
      <c r="A36" s="4">
        <v>35</v>
      </c>
      <c r="B36" t="s">
        <v>872</v>
      </c>
      <c r="C36">
        <v>83.99</v>
      </c>
      <c r="D36">
        <v>22</v>
      </c>
      <c r="E36">
        <v>11</v>
      </c>
      <c r="F36">
        <v>77.319999999999993</v>
      </c>
      <c r="G36">
        <v>2</v>
      </c>
      <c r="H36">
        <v>4</v>
      </c>
      <c r="I36">
        <v>5</v>
      </c>
      <c r="J36">
        <v>5</v>
      </c>
      <c r="K36">
        <v>83.65</v>
      </c>
      <c r="L36">
        <v>84.07</v>
      </c>
    </row>
    <row r="37" spans="1:12" x14ac:dyDescent="0.2">
      <c r="A37" s="4">
        <v>36</v>
      </c>
      <c r="B37" t="s">
        <v>6</v>
      </c>
      <c r="C37">
        <v>83.92</v>
      </c>
      <c r="D37">
        <v>18</v>
      </c>
      <c r="E37">
        <v>15</v>
      </c>
      <c r="F37">
        <v>81.67</v>
      </c>
      <c r="G37">
        <v>3</v>
      </c>
      <c r="H37">
        <v>8</v>
      </c>
      <c r="I37">
        <v>5</v>
      </c>
      <c r="J37">
        <v>11</v>
      </c>
      <c r="K37">
        <v>82.52</v>
      </c>
      <c r="L37">
        <v>85.41</v>
      </c>
    </row>
    <row r="38" spans="1:12" x14ac:dyDescent="0.2">
      <c r="A38" s="4">
        <v>37</v>
      </c>
      <c r="B38" t="s">
        <v>60</v>
      </c>
      <c r="C38">
        <v>83.63</v>
      </c>
      <c r="D38">
        <v>24</v>
      </c>
      <c r="E38">
        <v>12</v>
      </c>
      <c r="F38">
        <v>74.599999999999994</v>
      </c>
      <c r="G38">
        <v>0</v>
      </c>
      <c r="H38">
        <v>3</v>
      </c>
      <c r="I38">
        <v>1</v>
      </c>
      <c r="J38">
        <v>8</v>
      </c>
      <c r="K38">
        <v>82.32</v>
      </c>
      <c r="L38">
        <v>84.95</v>
      </c>
    </row>
    <row r="39" spans="1:12" x14ac:dyDescent="0.2">
      <c r="A39" s="4">
        <v>38</v>
      </c>
      <c r="B39" t="s">
        <v>58</v>
      </c>
      <c r="C39">
        <v>83.58</v>
      </c>
      <c r="D39">
        <v>27</v>
      </c>
      <c r="E39">
        <v>8</v>
      </c>
      <c r="F39">
        <v>73.89</v>
      </c>
      <c r="G39">
        <v>1</v>
      </c>
      <c r="H39">
        <v>3</v>
      </c>
      <c r="I39">
        <v>4</v>
      </c>
      <c r="J39">
        <v>5</v>
      </c>
      <c r="K39">
        <v>83.12</v>
      </c>
      <c r="L39">
        <v>83.79</v>
      </c>
    </row>
    <row r="40" spans="1:12" x14ac:dyDescent="0.2">
      <c r="A40" s="4">
        <v>39</v>
      </c>
      <c r="B40" t="s">
        <v>100</v>
      </c>
      <c r="C40">
        <v>83.34</v>
      </c>
      <c r="D40">
        <v>24</v>
      </c>
      <c r="E40">
        <v>11</v>
      </c>
      <c r="F40">
        <v>76.260000000000005</v>
      </c>
      <c r="G40">
        <v>1</v>
      </c>
      <c r="H40">
        <v>2</v>
      </c>
      <c r="I40">
        <v>8</v>
      </c>
      <c r="J40">
        <v>4</v>
      </c>
      <c r="K40">
        <v>83.06</v>
      </c>
      <c r="L40">
        <v>83.35</v>
      </c>
    </row>
    <row r="41" spans="1:12" x14ac:dyDescent="0.2">
      <c r="A41" s="4">
        <v>40</v>
      </c>
      <c r="B41" t="s">
        <v>11</v>
      </c>
      <c r="C41">
        <v>83.25</v>
      </c>
      <c r="D41">
        <v>22</v>
      </c>
      <c r="E41">
        <v>13</v>
      </c>
      <c r="F41">
        <v>78.680000000000007</v>
      </c>
      <c r="G41">
        <v>3</v>
      </c>
      <c r="H41">
        <v>7</v>
      </c>
      <c r="I41">
        <v>4</v>
      </c>
      <c r="J41">
        <v>7</v>
      </c>
      <c r="K41">
        <v>84.15</v>
      </c>
      <c r="L41">
        <v>82.16</v>
      </c>
    </row>
    <row r="42" spans="1:12" x14ac:dyDescent="0.2">
      <c r="A42" s="4">
        <v>41</v>
      </c>
      <c r="B42" t="s">
        <v>165</v>
      </c>
      <c r="C42">
        <v>83.05</v>
      </c>
      <c r="D42">
        <v>25</v>
      </c>
      <c r="E42">
        <v>11</v>
      </c>
      <c r="F42">
        <v>76.510000000000005</v>
      </c>
      <c r="G42">
        <v>0</v>
      </c>
      <c r="H42">
        <v>2</v>
      </c>
      <c r="I42">
        <v>2</v>
      </c>
      <c r="J42">
        <v>3</v>
      </c>
      <c r="K42">
        <v>84.19</v>
      </c>
      <c r="L42">
        <v>81.78</v>
      </c>
    </row>
    <row r="43" spans="1:12" x14ac:dyDescent="0.2">
      <c r="A43" s="4">
        <v>42</v>
      </c>
      <c r="B43" t="s">
        <v>115</v>
      </c>
      <c r="C43">
        <v>83.05</v>
      </c>
      <c r="D43">
        <v>26</v>
      </c>
      <c r="E43">
        <v>8</v>
      </c>
      <c r="F43">
        <v>74.81</v>
      </c>
      <c r="G43">
        <v>0</v>
      </c>
      <c r="H43">
        <v>2</v>
      </c>
      <c r="I43">
        <v>3</v>
      </c>
      <c r="J43">
        <v>5</v>
      </c>
      <c r="K43">
        <v>83.96</v>
      </c>
      <c r="L43">
        <v>81.96</v>
      </c>
    </row>
    <row r="44" spans="1:12" x14ac:dyDescent="0.2">
      <c r="A44" s="4">
        <v>43</v>
      </c>
      <c r="B44" t="s">
        <v>8</v>
      </c>
      <c r="C44">
        <v>82.76</v>
      </c>
      <c r="D44">
        <v>20</v>
      </c>
      <c r="E44">
        <v>11</v>
      </c>
      <c r="F44">
        <v>77.56</v>
      </c>
      <c r="G44">
        <v>2</v>
      </c>
      <c r="H44">
        <v>5</v>
      </c>
      <c r="I44">
        <v>4</v>
      </c>
      <c r="J44">
        <v>9</v>
      </c>
      <c r="K44">
        <v>82.78</v>
      </c>
      <c r="L44">
        <v>82.45</v>
      </c>
    </row>
    <row r="45" spans="1:12" x14ac:dyDescent="0.2">
      <c r="A45" s="4">
        <v>44</v>
      </c>
      <c r="B45" t="s">
        <v>76</v>
      </c>
      <c r="C45">
        <v>82.63</v>
      </c>
      <c r="D45">
        <v>26</v>
      </c>
      <c r="E45">
        <v>8</v>
      </c>
      <c r="F45">
        <v>76.61</v>
      </c>
      <c r="G45">
        <v>1</v>
      </c>
      <c r="H45">
        <v>1</v>
      </c>
      <c r="I45">
        <v>4</v>
      </c>
      <c r="J45">
        <v>5</v>
      </c>
      <c r="K45">
        <v>84.26</v>
      </c>
      <c r="L45">
        <v>81.010000000000005</v>
      </c>
    </row>
    <row r="46" spans="1:12" x14ac:dyDescent="0.2">
      <c r="A46" s="4">
        <v>45</v>
      </c>
      <c r="B46" t="s">
        <v>875</v>
      </c>
      <c r="C46">
        <v>82.44</v>
      </c>
      <c r="D46">
        <v>24</v>
      </c>
      <c r="E46">
        <v>7</v>
      </c>
      <c r="F46">
        <v>72.5</v>
      </c>
      <c r="G46">
        <v>1</v>
      </c>
      <c r="H46">
        <v>1</v>
      </c>
      <c r="I46">
        <v>3</v>
      </c>
      <c r="J46">
        <v>3</v>
      </c>
      <c r="K46">
        <v>81.849999999999994</v>
      </c>
      <c r="L46">
        <v>82.79</v>
      </c>
    </row>
    <row r="47" spans="1:12" x14ac:dyDescent="0.2">
      <c r="A47" s="4">
        <v>46</v>
      </c>
      <c r="B47" t="s">
        <v>59</v>
      </c>
      <c r="C47">
        <v>82.2</v>
      </c>
      <c r="D47">
        <v>18</v>
      </c>
      <c r="E47">
        <v>14</v>
      </c>
      <c r="F47">
        <v>79.5</v>
      </c>
      <c r="G47">
        <v>1</v>
      </c>
      <c r="H47">
        <v>6</v>
      </c>
      <c r="I47">
        <v>4</v>
      </c>
      <c r="J47">
        <v>11</v>
      </c>
      <c r="K47">
        <v>81.23</v>
      </c>
      <c r="L47">
        <v>83.01</v>
      </c>
    </row>
    <row r="48" spans="1:12" x14ac:dyDescent="0.2">
      <c r="A48" s="4">
        <v>47</v>
      </c>
      <c r="B48" t="s">
        <v>41</v>
      </c>
      <c r="C48">
        <v>82.11</v>
      </c>
      <c r="D48">
        <v>21</v>
      </c>
      <c r="E48">
        <v>14</v>
      </c>
      <c r="F48">
        <v>77.849999999999994</v>
      </c>
      <c r="G48">
        <v>0</v>
      </c>
      <c r="H48">
        <v>5</v>
      </c>
      <c r="I48">
        <v>1</v>
      </c>
      <c r="J48">
        <v>8</v>
      </c>
      <c r="K48">
        <v>80.540000000000006</v>
      </c>
      <c r="L48">
        <v>83.78</v>
      </c>
    </row>
    <row r="49" spans="1:12" x14ac:dyDescent="0.2">
      <c r="A49" s="4">
        <v>48</v>
      </c>
      <c r="B49" t="s">
        <v>62</v>
      </c>
      <c r="C49">
        <v>81.91</v>
      </c>
      <c r="D49">
        <v>23</v>
      </c>
      <c r="E49">
        <v>11</v>
      </c>
      <c r="F49">
        <v>76.959999999999994</v>
      </c>
      <c r="G49">
        <v>2</v>
      </c>
      <c r="H49">
        <v>4</v>
      </c>
      <c r="I49">
        <v>2</v>
      </c>
      <c r="J49">
        <v>5</v>
      </c>
      <c r="K49">
        <v>83.49</v>
      </c>
      <c r="L49">
        <v>80.31</v>
      </c>
    </row>
    <row r="50" spans="1:12" x14ac:dyDescent="0.2">
      <c r="A50" s="4">
        <v>49</v>
      </c>
      <c r="B50" t="s">
        <v>120</v>
      </c>
      <c r="C50">
        <v>81.900000000000006</v>
      </c>
      <c r="D50">
        <v>20</v>
      </c>
      <c r="E50">
        <v>13</v>
      </c>
      <c r="F50">
        <v>76.36</v>
      </c>
      <c r="G50">
        <v>1</v>
      </c>
      <c r="H50">
        <v>4</v>
      </c>
      <c r="I50">
        <v>4</v>
      </c>
      <c r="J50">
        <v>8</v>
      </c>
      <c r="K50">
        <v>81.290000000000006</v>
      </c>
      <c r="L50">
        <v>82.27</v>
      </c>
    </row>
    <row r="51" spans="1:12" x14ac:dyDescent="0.2">
      <c r="A51" s="4">
        <v>50</v>
      </c>
      <c r="B51" t="s">
        <v>276</v>
      </c>
      <c r="C51">
        <v>81.88</v>
      </c>
      <c r="D51">
        <v>24</v>
      </c>
      <c r="E51">
        <v>9</v>
      </c>
      <c r="F51">
        <v>73.150000000000006</v>
      </c>
      <c r="G51">
        <v>0</v>
      </c>
      <c r="H51">
        <v>0</v>
      </c>
      <c r="I51">
        <v>1</v>
      </c>
      <c r="J51">
        <v>4</v>
      </c>
      <c r="K51">
        <v>79.64</v>
      </c>
      <c r="L51">
        <v>84.67</v>
      </c>
    </row>
    <row r="52" spans="1:12" x14ac:dyDescent="0.2">
      <c r="A52" s="4">
        <v>51</v>
      </c>
      <c r="B52" t="s">
        <v>803</v>
      </c>
      <c r="C52">
        <v>81.75</v>
      </c>
      <c r="D52">
        <v>28</v>
      </c>
      <c r="E52">
        <v>7</v>
      </c>
      <c r="F52">
        <v>74.010000000000005</v>
      </c>
      <c r="G52">
        <v>0</v>
      </c>
      <c r="H52">
        <v>2</v>
      </c>
      <c r="I52">
        <v>1</v>
      </c>
      <c r="J52">
        <v>3</v>
      </c>
      <c r="K52">
        <v>83.84</v>
      </c>
      <c r="L52">
        <v>79.8</v>
      </c>
    </row>
    <row r="53" spans="1:12" x14ac:dyDescent="0.2">
      <c r="A53" s="4">
        <v>52</v>
      </c>
      <c r="B53" t="s">
        <v>73</v>
      </c>
      <c r="C53">
        <v>81.739999999999995</v>
      </c>
      <c r="D53">
        <v>21</v>
      </c>
      <c r="E53">
        <v>14</v>
      </c>
      <c r="F53">
        <v>78.489999999999995</v>
      </c>
      <c r="G53">
        <v>2</v>
      </c>
      <c r="H53">
        <v>6</v>
      </c>
      <c r="I53">
        <v>3</v>
      </c>
      <c r="J53">
        <v>11</v>
      </c>
      <c r="K53">
        <v>81.28</v>
      </c>
      <c r="L53">
        <v>81.93</v>
      </c>
    </row>
    <row r="54" spans="1:12" x14ac:dyDescent="0.2">
      <c r="A54" s="4">
        <v>53</v>
      </c>
      <c r="B54" t="s">
        <v>811</v>
      </c>
      <c r="C54">
        <v>81.48</v>
      </c>
      <c r="D54">
        <v>21</v>
      </c>
      <c r="E54">
        <v>13</v>
      </c>
      <c r="F54">
        <v>76.91</v>
      </c>
      <c r="G54">
        <v>2</v>
      </c>
      <c r="H54">
        <v>5</v>
      </c>
      <c r="I54">
        <v>6</v>
      </c>
      <c r="J54">
        <v>10</v>
      </c>
      <c r="K54">
        <v>81.260000000000005</v>
      </c>
      <c r="L54">
        <v>81.42</v>
      </c>
    </row>
    <row r="55" spans="1:12" x14ac:dyDescent="0.2">
      <c r="A55" s="4">
        <v>54</v>
      </c>
      <c r="B55" t="s">
        <v>783</v>
      </c>
      <c r="C55">
        <v>81.33</v>
      </c>
      <c r="D55">
        <v>21</v>
      </c>
      <c r="E55">
        <v>13</v>
      </c>
      <c r="F55">
        <v>76.92</v>
      </c>
      <c r="G55">
        <v>2</v>
      </c>
      <c r="H55">
        <v>1</v>
      </c>
      <c r="I55">
        <v>5</v>
      </c>
      <c r="J55">
        <v>4</v>
      </c>
      <c r="K55">
        <v>80.73</v>
      </c>
      <c r="L55">
        <v>81.680000000000007</v>
      </c>
    </row>
    <row r="56" spans="1:12" x14ac:dyDescent="0.2">
      <c r="A56" s="4">
        <v>55</v>
      </c>
      <c r="B56" t="s">
        <v>15</v>
      </c>
      <c r="C56">
        <v>81.209999999999994</v>
      </c>
      <c r="D56">
        <v>18</v>
      </c>
      <c r="E56">
        <v>13</v>
      </c>
      <c r="F56">
        <v>77.2</v>
      </c>
      <c r="G56">
        <v>1</v>
      </c>
      <c r="H56">
        <v>5</v>
      </c>
      <c r="I56">
        <v>5</v>
      </c>
      <c r="J56">
        <v>8</v>
      </c>
      <c r="K56">
        <v>80.47</v>
      </c>
      <c r="L56">
        <v>81.73</v>
      </c>
    </row>
    <row r="57" spans="1:12" x14ac:dyDescent="0.2">
      <c r="A57" s="4">
        <v>56</v>
      </c>
      <c r="B57" t="s">
        <v>66</v>
      </c>
      <c r="C57">
        <v>80.97</v>
      </c>
      <c r="D57">
        <v>23</v>
      </c>
      <c r="E57">
        <v>11</v>
      </c>
      <c r="F57">
        <v>74.790000000000006</v>
      </c>
      <c r="G57">
        <v>0</v>
      </c>
      <c r="H57">
        <v>2</v>
      </c>
      <c r="I57">
        <v>0</v>
      </c>
      <c r="J57">
        <v>3</v>
      </c>
      <c r="K57">
        <v>80.34</v>
      </c>
      <c r="L57">
        <v>81.36</v>
      </c>
    </row>
    <row r="58" spans="1:12" x14ac:dyDescent="0.2">
      <c r="A58" s="4">
        <v>57</v>
      </c>
      <c r="B58" t="s">
        <v>158</v>
      </c>
      <c r="C58">
        <v>80.89</v>
      </c>
      <c r="D58">
        <v>24</v>
      </c>
      <c r="E58">
        <v>7</v>
      </c>
      <c r="F58">
        <v>71.95</v>
      </c>
      <c r="G58">
        <v>0</v>
      </c>
      <c r="H58">
        <v>1</v>
      </c>
      <c r="I58">
        <v>3</v>
      </c>
      <c r="J58">
        <v>3</v>
      </c>
      <c r="K58">
        <v>81.38</v>
      </c>
      <c r="L58">
        <v>80.14</v>
      </c>
    </row>
    <row r="59" spans="1:12" x14ac:dyDescent="0.2">
      <c r="A59" s="4">
        <v>58</v>
      </c>
      <c r="B59" t="s">
        <v>818</v>
      </c>
      <c r="C59">
        <v>80.89</v>
      </c>
      <c r="D59">
        <v>24</v>
      </c>
      <c r="E59">
        <v>10</v>
      </c>
      <c r="F59">
        <v>75.64</v>
      </c>
      <c r="G59">
        <v>0</v>
      </c>
      <c r="H59">
        <v>4</v>
      </c>
      <c r="I59">
        <v>0</v>
      </c>
      <c r="J59">
        <v>5</v>
      </c>
      <c r="K59">
        <v>81.72</v>
      </c>
      <c r="L59">
        <v>79.84</v>
      </c>
    </row>
    <row r="60" spans="1:12" x14ac:dyDescent="0.2">
      <c r="A60" s="4">
        <v>59</v>
      </c>
      <c r="B60" t="s">
        <v>52</v>
      </c>
      <c r="C60">
        <v>80.709999999999994</v>
      </c>
      <c r="D60">
        <v>21</v>
      </c>
      <c r="E60">
        <v>11</v>
      </c>
      <c r="F60">
        <v>75.989999999999995</v>
      </c>
      <c r="G60">
        <v>0</v>
      </c>
      <c r="H60">
        <v>4</v>
      </c>
      <c r="I60">
        <v>1</v>
      </c>
      <c r="J60">
        <v>5</v>
      </c>
      <c r="K60">
        <v>81.510000000000005</v>
      </c>
      <c r="L60">
        <v>79.7</v>
      </c>
    </row>
    <row r="61" spans="1:12" x14ac:dyDescent="0.2">
      <c r="A61" s="4">
        <v>60</v>
      </c>
      <c r="B61" t="s">
        <v>131</v>
      </c>
      <c r="C61">
        <v>80.64</v>
      </c>
      <c r="D61">
        <v>17</v>
      </c>
      <c r="E61">
        <v>16</v>
      </c>
      <c r="F61">
        <v>79.34</v>
      </c>
      <c r="G61">
        <v>1</v>
      </c>
      <c r="H61">
        <v>7</v>
      </c>
      <c r="I61">
        <v>3</v>
      </c>
      <c r="J61">
        <v>13</v>
      </c>
      <c r="K61">
        <v>79.92</v>
      </c>
      <c r="L61">
        <v>81.13</v>
      </c>
    </row>
    <row r="62" spans="1:12" x14ac:dyDescent="0.2">
      <c r="A62" s="4">
        <v>61</v>
      </c>
      <c r="B62" t="s">
        <v>4</v>
      </c>
      <c r="C62">
        <v>80.599999999999994</v>
      </c>
      <c r="D62">
        <v>24</v>
      </c>
      <c r="E62">
        <v>10</v>
      </c>
      <c r="F62">
        <v>72.13</v>
      </c>
      <c r="G62">
        <v>0</v>
      </c>
      <c r="H62">
        <v>2</v>
      </c>
      <c r="I62">
        <v>0</v>
      </c>
      <c r="J62">
        <v>4</v>
      </c>
      <c r="K62">
        <v>80.2</v>
      </c>
      <c r="L62">
        <v>80.739999999999995</v>
      </c>
    </row>
    <row r="63" spans="1:12" x14ac:dyDescent="0.2">
      <c r="A63" s="4">
        <v>62</v>
      </c>
      <c r="B63" t="s">
        <v>117</v>
      </c>
      <c r="C63">
        <v>80.52</v>
      </c>
      <c r="D63">
        <v>16</v>
      </c>
      <c r="E63">
        <v>16</v>
      </c>
      <c r="F63">
        <v>78.239999999999995</v>
      </c>
      <c r="G63">
        <v>1</v>
      </c>
      <c r="H63">
        <v>4</v>
      </c>
      <c r="I63">
        <v>4</v>
      </c>
      <c r="J63">
        <v>11</v>
      </c>
      <c r="K63">
        <v>78.66</v>
      </c>
      <c r="L63">
        <v>82.54</v>
      </c>
    </row>
    <row r="64" spans="1:12" x14ac:dyDescent="0.2">
      <c r="A64" s="4">
        <v>63</v>
      </c>
      <c r="B64" t="s">
        <v>130</v>
      </c>
      <c r="C64">
        <v>80.48</v>
      </c>
      <c r="D64">
        <v>15</v>
      </c>
      <c r="E64">
        <v>17</v>
      </c>
      <c r="F64">
        <v>80.13</v>
      </c>
      <c r="G64">
        <v>2</v>
      </c>
      <c r="H64">
        <v>6</v>
      </c>
      <c r="I64">
        <v>3</v>
      </c>
      <c r="J64">
        <v>11</v>
      </c>
      <c r="K64">
        <v>79.209999999999994</v>
      </c>
      <c r="L64">
        <v>81.64</v>
      </c>
    </row>
    <row r="65" spans="1:12" x14ac:dyDescent="0.2">
      <c r="A65" s="4">
        <v>64</v>
      </c>
      <c r="B65" t="s">
        <v>129</v>
      </c>
      <c r="C65">
        <v>80.41</v>
      </c>
      <c r="D65">
        <v>21</v>
      </c>
      <c r="E65">
        <v>12</v>
      </c>
      <c r="F65">
        <v>75.099999999999994</v>
      </c>
      <c r="G65">
        <v>0</v>
      </c>
      <c r="H65">
        <v>1</v>
      </c>
      <c r="I65">
        <v>1</v>
      </c>
      <c r="J65">
        <v>4</v>
      </c>
      <c r="K65">
        <v>79.349999999999994</v>
      </c>
      <c r="L65">
        <v>81.33</v>
      </c>
    </row>
    <row r="66" spans="1:12" x14ac:dyDescent="0.2">
      <c r="A66" s="4">
        <v>65</v>
      </c>
      <c r="B66" t="s">
        <v>133</v>
      </c>
      <c r="C66">
        <v>80.400000000000006</v>
      </c>
      <c r="D66">
        <v>24</v>
      </c>
      <c r="E66">
        <v>11</v>
      </c>
      <c r="F66">
        <v>73.06</v>
      </c>
      <c r="G66">
        <v>0</v>
      </c>
      <c r="H66">
        <v>0</v>
      </c>
      <c r="I66">
        <v>0</v>
      </c>
      <c r="J66">
        <v>2</v>
      </c>
      <c r="K66">
        <v>80.3</v>
      </c>
      <c r="L66">
        <v>80.23</v>
      </c>
    </row>
    <row r="67" spans="1:12" x14ac:dyDescent="0.2">
      <c r="A67" s="4">
        <v>66</v>
      </c>
      <c r="B67" t="s">
        <v>75</v>
      </c>
      <c r="C67">
        <v>80.290000000000006</v>
      </c>
      <c r="D67">
        <v>19</v>
      </c>
      <c r="E67">
        <v>15</v>
      </c>
      <c r="F67">
        <v>77.13</v>
      </c>
      <c r="G67">
        <v>1</v>
      </c>
      <c r="H67">
        <v>4</v>
      </c>
      <c r="I67">
        <v>1</v>
      </c>
      <c r="J67">
        <v>7</v>
      </c>
      <c r="K67">
        <v>79.39</v>
      </c>
      <c r="L67">
        <v>80.98</v>
      </c>
    </row>
    <row r="68" spans="1:12" x14ac:dyDescent="0.2">
      <c r="A68" s="4">
        <v>67</v>
      </c>
      <c r="B68" t="s">
        <v>793</v>
      </c>
      <c r="C68">
        <v>80.180000000000007</v>
      </c>
      <c r="D68">
        <v>19</v>
      </c>
      <c r="E68">
        <v>15</v>
      </c>
      <c r="F68">
        <v>78.209999999999994</v>
      </c>
      <c r="G68">
        <v>1</v>
      </c>
      <c r="H68">
        <v>6</v>
      </c>
      <c r="I68">
        <v>4</v>
      </c>
      <c r="J68">
        <v>7</v>
      </c>
      <c r="K68">
        <v>79.39</v>
      </c>
      <c r="L68">
        <v>80.760000000000005</v>
      </c>
    </row>
    <row r="69" spans="1:12" x14ac:dyDescent="0.2">
      <c r="A69" s="4">
        <v>68</v>
      </c>
      <c r="B69" t="s">
        <v>112</v>
      </c>
      <c r="C69">
        <v>80.150000000000006</v>
      </c>
      <c r="D69">
        <v>21</v>
      </c>
      <c r="E69">
        <v>13</v>
      </c>
      <c r="F69">
        <v>77.180000000000007</v>
      </c>
      <c r="G69">
        <v>1</v>
      </c>
      <c r="H69">
        <v>3</v>
      </c>
      <c r="I69">
        <v>2</v>
      </c>
      <c r="J69">
        <v>6</v>
      </c>
      <c r="K69">
        <v>80.64</v>
      </c>
      <c r="L69">
        <v>79.400000000000006</v>
      </c>
    </row>
    <row r="70" spans="1:12" x14ac:dyDescent="0.2">
      <c r="A70" s="4">
        <v>69</v>
      </c>
      <c r="B70" t="s">
        <v>136</v>
      </c>
      <c r="C70">
        <v>80.05</v>
      </c>
      <c r="D70">
        <v>18</v>
      </c>
      <c r="E70">
        <v>15</v>
      </c>
      <c r="F70">
        <v>77.94</v>
      </c>
      <c r="G70">
        <v>1</v>
      </c>
      <c r="H70">
        <v>3</v>
      </c>
      <c r="I70">
        <v>4</v>
      </c>
      <c r="J70">
        <v>4</v>
      </c>
      <c r="K70">
        <v>79.86</v>
      </c>
      <c r="L70">
        <v>79.95</v>
      </c>
    </row>
    <row r="71" spans="1:12" x14ac:dyDescent="0.2">
      <c r="A71" s="4">
        <v>70</v>
      </c>
      <c r="B71" t="s">
        <v>272</v>
      </c>
      <c r="C71">
        <v>80.040000000000006</v>
      </c>
      <c r="D71">
        <v>23</v>
      </c>
      <c r="E71">
        <v>7</v>
      </c>
      <c r="F71">
        <v>70.78</v>
      </c>
      <c r="G71">
        <v>0</v>
      </c>
      <c r="H71">
        <v>1</v>
      </c>
      <c r="I71">
        <v>1</v>
      </c>
      <c r="J71">
        <v>1</v>
      </c>
      <c r="K71">
        <v>78.819999999999993</v>
      </c>
      <c r="L71">
        <v>81.14</v>
      </c>
    </row>
    <row r="72" spans="1:12" x14ac:dyDescent="0.2">
      <c r="A72" s="4">
        <v>71</v>
      </c>
      <c r="B72" t="s">
        <v>149</v>
      </c>
      <c r="C72">
        <v>79.88</v>
      </c>
      <c r="D72">
        <v>25</v>
      </c>
      <c r="E72">
        <v>14</v>
      </c>
      <c r="F72">
        <v>73.8</v>
      </c>
      <c r="G72">
        <v>0</v>
      </c>
      <c r="H72">
        <v>3</v>
      </c>
      <c r="I72">
        <v>0</v>
      </c>
      <c r="J72">
        <v>4</v>
      </c>
      <c r="K72">
        <v>80</v>
      </c>
      <c r="L72">
        <v>79.48</v>
      </c>
    </row>
    <row r="73" spans="1:12" x14ac:dyDescent="0.2">
      <c r="A73" s="4">
        <v>72</v>
      </c>
      <c r="B73" t="s">
        <v>790</v>
      </c>
      <c r="C73">
        <v>79.8</v>
      </c>
      <c r="D73">
        <v>16</v>
      </c>
      <c r="E73">
        <v>16</v>
      </c>
      <c r="F73">
        <v>79.38</v>
      </c>
      <c r="G73">
        <v>2</v>
      </c>
      <c r="H73">
        <v>6</v>
      </c>
      <c r="I73">
        <v>4</v>
      </c>
      <c r="J73">
        <v>10</v>
      </c>
      <c r="K73">
        <v>79.53</v>
      </c>
      <c r="L73">
        <v>79.790000000000006</v>
      </c>
    </row>
    <row r="74" spans="1:12" x14ac:dyDescent="0.2">
      <c r="A74" s="4">
        <v>73</v>
      </c>
      <c r="B74" t="s">
        <v>34</v>
      </c>
      <c r="C74">
        <v>79.77</v>
      </c>
      <c r="D74">
        <v>16</v>
      </c>
      <c r="E74">
        <v>19</v>
      </c>
      <c r="F74">
        <v>79.58</v>
      </c>
      <c r="G74">
        <v>0</v>
      </c>
      <c r="H74">
        <v>0</v>
      </c>
      <c r="I74">
        <v>1</v>
      </c>
      <c r="J74">
        <v>13</v>
      </c>
      <c r="K74">
        <v>77.87</v>
      </c>
      <c r="L74">
        <v>81.790000000000006</v>
      </c>
    </row>
    <row r="75" spans="1:12" x14ac:dyDescent="0.2">
      <c r="A75" s="4">
        <v>74</v>
      </c>
      <c r="B75" t="s">
        <v>53</v>
      </c>
      <c r="C75">
        <v>79.73</v>
      </c>
      <c r="D75">
        <v>17</v>
      </c>
      <c r="E75">
        <v>13</v>
      </c>
      <c r="F75">
        <v>76.45</v>
      </c>
      <c r="G75">
        <v>1</v>
      </c>
      <c r="H75">
        <v>2</v>
      </c>
      <c r="I75">
        <v>4</v>
      </c>
      <c r="J75">
        <v>4</v>
      </c>
      <c r="K75">
        <v>79.02</v>
      </c>
      <c r="L75">
        <v>80.209999999999994</v>
      </c>
    </row>
    <row r="76" spans="1:12" x14ac:dyDescent="0.2">
      <c r="A76" s="4">
        <v>75</v>
      </c>
      <c r="B76" t="s">
        <v>784</v>
      </c>
      <c r="C76">
        <v>79.72</v>
      </c>
      <c r="D76">
        <v>24</v>
      </c>
      <c r="E76">
        <v>8</v>
      </c>
      <c r="F76">
        <v>71.66</v>
      </c>
      <c r="G76">
        <v>0</v>
      </c>
      <c r="H76">
        <v>0</v>
      </c>
      <c r="I76">
        <v>0</v>
      </c>
      <c r="J76">
        <v>2</v>
      </c>
      <c r="K76">
        <v>79.37</v>
      </c>
      <c r="L76">
        <v>79.790000000000006</v>
      </c>
    </row>
    <row r="77" spans="1:12" x14ac:dyDescent="0.2">
      <c r="A77" s="4">
        <v>76</v>
      </c>
      <c r="B77" t="s">
        <v>31</v>
      </c>
      <c r="C77">
        <v>79.59</v>
      </c>
      <c r="D77">
        <v>15</v>
      </c>
      <c r="E77">
        <v>15</v>
      </c>
      <c r="F77">
        <v>79.260000000000005</v>
      </c>
      <c r="G77">
        <v>2</v>
      </c>
      <c r="H77">
        <v>5</v>
      </c>
      <c r="I77">
        <v>4</v>
      </c>
      <c r="J77">
        <v>11</v>
      </c>
      <c r="K77">
        <v>79.64</v>
      </c>
      <c r="L77">
        <v>79.260000000000005</v>
      </c>
    </row>
    <row r="78" spans="1:12" x14ac:dyDescent="0.2">
      <c r="A78" s="4">
        <v>77</v>
      </c>
      <c r="B78" t="s">
        <v>160</v>
      </c>
      <c r="C78">
        <v>79.569999999999993</v>
      </c>
      <c r="D78">
        <v>23</v>
      </c>
      <c r="E78">
        <v>9</v>
      </c>
      <c r="F78">
        <v>73.08</v>
      </c>
      <c r="G78">
        <v>0</v>
      </c>
      <c r="H78">
        <v>3</v>
      </c>
      <c r="I78">
        <v>0</v>
      </c>
      <c r="J78">
        <v>4</v>
      </c>
      <c r="K78">
        <v>79.069999999999993</v>
      </c>
      <c r="L78">
        <v>79.8</v>
      </c>
    </row>
    <row r="79" spans="1:12" x14ac:dyDescent="0.2">
      <c r="A79" s="4">
        <v>78</v>
      </c>
      <c r="B79" t="s">
        <v>103</v>
      </c>
      <c r="C79">
        <v>79.56</v>
      </c>
      <c r="D79">
        <v>20</v>
      </c>
      <c r="E79">
        <v>14</v>
      </c>
      <c r="F79">
        <v>76.47</v>
      </c>
      <c r="G79">
        <v>2</v>
      </c>
      <c r="H79">
        <v>7</v>
      </c>
      <c r="I79">
        <v>2</v>
      </c>
      <c r="J79">
        <v>9</v>
      </c>
      <c r="K79">
        <v>78.069999999999993</v>
      </c>
      <c r="L79">
        <v>81.010000000000005</v>
      </c>
    </row>
    <row r="80" spans="1:12" x14ac:dyDescent="0.2">
      <c r="A80" s="4">
        <v>79</v>
      </c>
      <c r="B80" t="s">
        <v>44</v>
      </c>
      <c r="C80">
        <v>79.03</v>
      </c>
      <c r="D80">
        <v>15</v>
      </c>
      <c r="E80">
        <v>16</v>
      </c>
      <c r="F80">
        <v>78.569999999999993</v>
      </c>
      <c r="G80">
        <v>0</v>
      </c>
      <c r="H80">
        <v>8</v>
      </c>
      <c r="I80">
        <v>3</v>
      </c>
      <c r="J80">
        <v>10</v>
      </c>
      <c r="K80">
        <v>78.63</v>
      </c>
      <c r="L80">
        <v>79.16</v>
      </c>
    </row>
    <row r="81" spans="1:12" x14ac:dyDescent="0.2">
      <c r="A81" s="4">
        <v>80</v>
      </c>
      <c r="B81" t="s">
        <v>114</v>
      </c>
      <c r="C81">
        <v>78.930000000000007</v>
      </c>
      <c r="D81">
        <v>21</v>
      </c>
      <c r="E81">
        <v>17</v>
      </c>
      <c r="F81">
        <v>76.150000000000006</v>
      </c>
      <c r="G81">
        <v>1</v>
      </c>
      <c r="H81">
        <v>3</v>
      </c>
      <c r="I81">
        <v>1</v>
      </c>
      <c r="J81">
        <v>4</v>
      </c>
      <c r="K81">
        <v>79.64</v>
      </c>
      <c r="L81">
        <v>77.97</v>
      </c>
    </row>
    <row r="82" spans="1:12" x14ac:dyDescent="0.2">
      <c r="A82" s="4">
        <v>81</v>
      </c>
      <c r="B82" t="s">
        <v>113</v>
      </c>
      <c r="C82">
        <v>78.81</v>
      </c>
      <c r="D82">
        <v>17</v>
      </c>
      <c r="E82">
        <v>15</v>
      </c>
      <c r="F82">
        <v>75.77</v>
      </c>
      <c r="G82">
        <v>0</v>
      </c>
      <c r="H82">
        <v>0</v>
      </c>
      <c r="I82">
        <v>2</v>
      </c>
      <c r="J82">
        <v>8</v>
      </c>
      <c r="K82">
        <v>76.77</v>
      </c>
      <c r="L82">
        <v>80.97</v>
      </c>
    </row>
    <row r="83" spans="1:12" x14ac:dyDescent="0.2">
      <c r="A83" s="4">
        <v>82</v>
      </c>
      <c r="B83" t="s">
        <v>285</v>
      </c>
      <c r="C83">
        <v>78.760000000000005</v>
      </c>
      <c r="D83">
        <v>20</v>
      </c>
      <c r="E83">
        <v>14</v>
      </c>
      <c r="F83">
        <v>76.569999999999993</v>
      </c>
      <c r="G83">
        <v>2</v>
      </c>
      <c r="H83">
        <v>1</v>
      </c>
      <c r="I83">
        <v>3</v>
      </c>
      <c r="J83">
        <v>4</v>
      </c>
      <c r="K83">
        <v>79.150000000000006</v>
      </c>
      <c r="L83">
        <v>78.099999999999994</v>
      </c>
    </row>
    <row r="84" spans="1:12" x14ac:dyDescent="0.2">
      <c r="A84" s="4">
        <v>83</v>
      </c>
      <c r="B84" t="s">
        <v>111</v>
      </c>
      <c r="C84">
        <v>78.66</v>
      </c>
      <c r="D84">
        <v>16</v>
      </c>
      <c r="E84">
        <v>17</v>
      </c>
      <c r="F84">
        <v>77.989999999999995</v>
      </c>
      <c r="G84">
        <v>1</v>
      </c>
      <c r="H84">
        <v>7</v>
      </c>
      <c r="I84">
        <v>3</v>
      </c>
      <c r="J84">
        <v>11</v>
      </c>
      <c r="K84">
        <v>77.34</v>
      </c>
      <c r="L84">
        <v>79.84</v>
      </c>
    </row>
    <row r="85" spans="1:12" x14ac:dyDescent="0.2">
      <c r="A85" s="4">
        <v>84</v>
      </c>
      <c r="B85" t="s">
        <v>205</v>
      </c>
      <c r="C85">
        <v>78.53</v>
      </c>
      <c r="D85">
        <v>17</v>
      </c>
      <c r="E85">
        <v>13</v>
      </c>
      <c r="F85">
        <v>73.88</v>
      </c>
      <c r="G85">
        <v>0</v>
      </c>
      <c r="H85">
        <v>4</v>
      </c>
      <c r="I85">
        <v>1</v>
      </c>
      <c r="J85">
        <v>5</v>
      </c>
      <c r="K85">
        <v>76.569999999999993</v>
      </c>
      <c r="L85">
        <v>80.56</v>
      </c>
    </row>
    <row r="86" spans="1:12" x14ac:dyDescent="0.2">
      <c r="A86" s="4">
        <v>85</v>
      </c>
      <c r="B86" t="s">
        <v>873</v>
      </c>
      <c r="C86">
        <v>78.430000000000007</v>
      </c>
      <c r="D86">
        <v>17</v>
      </c>
      <c r="E86">
        <v>16</v>
      </c>
      <c r="F86">
        <v>77.819999999999993</v>
      </c>
      <c r="G86">
        <v>1</v>
      </c>
      <c r="H86">
        <v>2</v>
      </c>
      <c r="I86">
        <v>2</v>
      </c>
      <c r="J86">
        <v>4</v>
      </c>
      <c r="K86">
        <v>78.150000000000006</v>
      </c>
      <c r="L86">
        <v>78.44</v>
      </c>
    </row>
    <row r="87" spans="1:12" x14ac:dyDescent="0.2">
      <c r="A87" s="4">
        <v>86</v>
      </c>
      <c r="B87" t="s">
        <v>286</v>
      </c>
      <c r="C87">
        <v>78.28</v>
      </c>
      <c r="D87">
        <v>16</v>
      </c>
      <c r="E87">
        <v>17</v>
      </c>
      <c r="F87">
        <v>78.010000000000005</v>
      </c>
      <c r="G87">
        <v>0</v>
      </c>
      <c r="H87">
        <v>4</v>
      </c>
      <c r="I87">
        <v>4</v>
      </c>
      <c r="J87">
        <v>11</v>
      </c>
      <c r="K87">
        <v>78.040000000000006</v>
      </c>
      <c r="L87">
        <v>78.239999999999995</v>
      </c>
    </row>
    <row r="88" spans="1:12" x14ac:dyDescent="0.2">
      <c r="A88" s="4">
        <v>87</v>
      </c>
      <c r="B88" t="s">
        <v>196</v>
      </c>
      <c r="C88">
        <v>78.16</v>
      </c>
      <c r="D88">
        <v>23</v>
      </c>
      <c r="E88">
        <v>11</v>
      </c>
      <c r="F88">
        <v>72.2</v>
      </c>
      <c r="G88">
        <v>1</v>
      </c>
      <c r="H88">
        <v>1</v>
      </c>
      <c r="I88">
        <v>2</v>
      </c>
      <c r="J88">
        <v>2</v>
      </c>
      <c r="K88">
        <v>78.849999999999994</v>
      </c>
      <c r="L88">
        <v>77.22</v>
      </c>
    </row>
    <row r="89" spans="1:12" x14ac:dyDescent="0.2">
      <c r="A89" s="4">
        <v>88</v>
      </c>
      <c r="B89" t="s">
        <v>840</v>
      </c>
      <c r="C89">
        <v>78.11</v>
      </c>
      <c r="D89">
        <v>19</v>
      </c>
      <c r="E89">
        <v>13</v>
      </c>
      <c r="F89">
        <v>76.209999999999994</v>
      </c>
      <c r="G89">
        <v>1</v>
      </c>
      <c r="H89">
        <v>3</v>
      </c>
      <c r="I89">
        <v>1</v>
      </c>
      <c r="J89">
        <v>4</v>
      </c>
      <c r="K89">
        <v>79.34</v>
      </c>
      <c r="L89">
        <v>76.7</v>
      </c>
    </row>
    <row r="90" spans="1:12" x14ac:dyDescent="0.2">
      <c r="A90" s="4">
        <v>89</v>
      </c>
      <c r="B90" t="s">
        <v>42</v>
      </c>
      <c r="C90">
        <v>78.099999999999994</v>
      </c>
      <c r="D90">
        <v>17</v>
      </c>
      <c r="E90">
        <v>16</v>
      </c>
      <c r="F90">
        <v>76.849999999999994</v>
      </c>
      <c r="G90">
        <v>0</v>
      </c>
      <c r="H90">
        <v>4</v>
      </c>
      <c r="I90">
        <v>4</v>
      </c>
      <c r="J90">
        <v>10</v>
      </c>
      <c r="K90">
        <v>77.400000000000006</v>
      </c>
      <c r="L90">
        <v>78.55</v>
      </c>
    </row>
    <row r="91" spans="1:12" x14ac:dyDescent="0.2">
      <c r="A91" s="4">
        <v>90</v>
      </c>
      <c r="B91" t="s">
        <v>169</v>
      </c>
      <c r="C91">
        <v>77.81</v>
      </c>
      <c r="D91">
        <v>23</v>
      </c>
      <c r="E91">
        <v>9</v>
      </c>
      <c r="F91">
        <v>70.44</v>
      </c>
      <c r="G91">
        <v>0</v>
      </c>
      <c r="H91">
        <v>1</v>
      </c>
      <c r="I91">
        <v>0</v>
      </c>
      <c r="J91">
        <v>3</v>
      </c>
      <c r="K91">
        <v>77.510000000000005</v>
      </c>
      <c r="L91">
        <v>77.84</v>
      </c>
    </row>
    <row r="92" spans="1:12" x14ac:dyDescent="0.2">
      <c r="A92" s="4">
        <v>91</v>
      </c>
      <c r="B92" t="s">
        <v>814</v>
      </c>
      <c r="C92">
        <v>77.78</v>
      </c>
      <c r="D92">
        <v>21</v>
      </c>
      <c r="E92">
        <v>10</v>
      </c>
      <c r="F92">
        <v>73.709999999999994</v>
      </c>
      <c r="G92">
        <v>1</v>
      </c>
      <c r="H92">
        <v>1</v>
      </c>
      <c r="I92">
        <v>1</v>
      </c>
      <c r="J92">
        <v>1</v>
      </c>
      <c r="K92">
        <v>80.03</v>
      </c>
      <c r="L92">
        <v>75.55</v>
      </c>
    </row>
    <row r="93" spans="1:12" x14ac:dyDescent="0.2">
      <c r="A93" s="4">
        <v>92</v>
      </c>
      <c r="B93" t="s">
        <v>118</v>
      </c>
      <c r="C93">
        <v>77.73</v>
      </c>
      <c r="D93">
        <v>23</v>
      </c>
      <c r="E93">
        <v>11</v>
      </c>
      <c r="F93">
        <v>72.66</v>
      </c>
      <c r="G93">
        <v>0</v>
      </c>
      <c r="H93">
        <v>1</v>
      </c>
      <c r="I93">
        <v>2</v>
      </c>
      <c r="J93">
        <v>2</v>
      </c>
      <c r="K93">
        <v>77.73</v>
      </c>
      <c r="L93">
        <v>77.44</v>
      </c>
    </row>
    <row r="94" spans="1:12" x14ac:dyDescent="0.2">
      <c r="A94" s="4">
        <v>93</v>
      </c>
      <c r="B94" t="s">
        <v>139</v>
      </c>
      <c r="C94">
        <v>77.7</v>
      </c>
      <c r="D94">
        <v>22</v>
      </c>
      <c r="E94">
        <v>6</v>
      </c>
      <c r="F94">
        <v>69.569999999999993</v>
      </c>
      <c r="G94">
        <v>0</v>
      </c>
      <c r="H94">
        <v>0</v>
      </c>
      <c r="I94">
        <v>1</v>
      </c>
      <c r="J94">
        <v>1</v>
      </c>
      <c r="K94">
        <v>79.260000000000005</v>
      </c>
      <c r="L94">
        <v>76</v>
      </c>
    </row>
    <row r="95" spans="1:12" x14ac:dyDescent="0.2">
      <c r="A95" s="4">
        <v>94</v>
      </c>
      <c r="B95" t="s">
        <v>284</v>
      </c>
      <c r="C95">
        <v>77.680000000000007</v>
      </c>
      <c r="D95">
        <v>20</v>
      </c>
      <c r="E95">
        <v>14</v>
      </c>
      <c r="F95">
        <v>75.260000000000005</v>
      </c>
      <c r="G95">
        <v>0</v>
      </c>
      <c r="H95">
        <v>4</v>
      </c>
      <c r="I95">
        <v>0</v>
      </c>
      <c r="J95">
        <v>5</v>
      </c>
      <c r="K95">
        <v>79.010000000000005</v>
      </c>
      <c r="L95">
        <v>76.17</v>
      </c>
    </row>
    <row r="96" spans="1:12" x14ac:dyDescent="0.2">
      <c r="A96" s="4">
        <v>95</v>
      </c>
      <c r="B96" t="s">
        <v>870</v>
      </c>
      <c r="C96">
        <v>77.66</v>
      </c>
      <c r="D96">
        <v>15</v>
      </c>
      <c r="E96">
        <v>16</v>
      </c>
      <c r="F96">
        <v>78.510000000000005</v>
      </c>
      <c r="G96">
        <v>1</v>
      </c>
      <c r="H96">
        <v>7</v>
      </c>
      <c r="I96">
        <v>4</v>
      </c>
      <c r="J96">
        <v>8</v>
      </c>
      <c r="K96">
        <v>78.34</v>
      </c>
      <c r="L96">
        <v>76.73</v>
      </c>
    </row>
    <row r="97" spans="1:12" x14ac:dyDescent="0.2">
      <c r="A97" s="4">
        <v>96</v>
      </c>
      <c r="B97" t="s">
        <v>245</v>
      </c>
      <c r="C97">
        <v>77.569999999999993</v>
      </c>
      <c r="D97">
        <v>20</v>
      </c>
      <c r="E97">
        <v>12</v>
      </c>
      <c r="F97">
        <v>73.55</v>
      </c>
      <c r="G97">
        <v>1</v>
      </c>
      <c r="H97">
        <v>0</v>
      </c>
      <c r="I97">
        <v>1</v>
      </c>
      <c r="J97">
        <v>1</v>
      </c>
      <c r="K97">
        <v>77.56</v>
      </c>
      <c r="L97">
        <v>77.31</v>
      </c>
    </row>
    <row r="98" spans="1:12" x14ac:dyDescent="0.2">
      <c r="A98" s="4">
        <v>97</v>
      </c>
      <c r="B98" t="s">
        <v>805</v>
      </c>
      <c r="C98">
        <v>77.540000000000006</v>
      </c>
      <c r="D98">
        <v>19</v>
      </c>
      <c r="E98">
        <v>13</v>
      </c>
      <c r="F98">
        <v>74.75</v>
      </c>
      <c r="G98">
        <v>0</v>
      </c>
      <c r="H98">
        <v>0</v>
      </c>
      <c r="I98">
        <v>2</v>
      </c>
      <c r="J98">
        <v>8</v>
      </c>
      <c r="K98">
        <v>76.89</v>
      </c>
      <c r="L98">
        <v>77.930000000000007</v>
      </c>
    </row>
    <row r="99" spans="1:12" x14ac:dyDescent="0.2">
      <c r="A99" s="4">
        <v>98</v>
      </c>
      <c r="B99" t="s">
        <v>560</v>
      </c>
      <c r="C99">
        <v>77.5</v>
      </c>
      <c r="D99">
        <v>20</v>
      </c>
      <c r="E99">
        <v>13</v>
      </c>
      <c r="F99">
        <v>74.849999999999994</v>
      </c>
      <c r="G99">
        <v>0</v>
      </c>
      <c r="H99">
        <v>1</v>
      </c>
      <c r="I99">
        <v>0</v>
      </c>
      <c r="J99">
        <v>2</v>
      </c>
      <c r="K99">
        <v>77.760000000000005</v>
      </c>
      <c r="L99">
        <v>76.959999999999994</v>
      </c>
    </row>
    <row r="100" spans="1:12" x14ac:dyDescent="0.2">
      <c r="A100" s="4">
        <v>99</v>
      </c>
      <c r="B100" t="s">
        <v>70</v>
      </c>
      <c r="C100">
        <v>77.150000000000006</v>
      </c>
      <c r="D100">
        <v>17</v>
      </c>
      <c r="E100">
        <v>16</v>
      </c>
      <c r="F100">
        <v>76.41</v>
      </c>
      <c r="G100">
        <v>0</v>
      </c>
      <c r="H100">
        <v>5</v>
      </c>
      <c r="I100">
        <v>1</v>
      </c>
      <c r="J100">
        <v>8</v>
      </c>
      <c r="K100">
        <v>76.97</v>
      </c>
      <c r="L100">
        <v>77.040000000000006</v>
      </c>
    </row>
    <row r="101" spans="1:12" x14ac:dyDescent="0.2">
      <c r="A101" s="4">
        <v>100</v>
      </c>
      <c r="B101" t="s">
        <v>278</v>
      </c>
      <c r="C101">
        <v>77</v>
      </c>
      <c r="D101">
        <v>19</v>
      </c>
      <c r="E101">
        <v>12</v>
      </c>
      <c r="F101">
        <v>72.8</v>
      </c>
      <c r="G101">
        <v>0</v>
      </c>
      <c r="H101">
        <v>3</v>
      </c>
      <c r="I101">
        <v>0</v>
      </c>
      <c r="J101">
        <v>4</v>
      </c>
      <c r="K101">
        <v>76.8</v>
      </c>
      <c r="L101">
        <v>76.92</v>
      </c>
    </row>
    <row r="102" spans="1:12" x14ac:dyDescent="0.2">
      <c r="A102" s="4">
        <v>101</v>
      </c>
      <c r="B102" t="s">
        <v>860</v>
      </c>
      <c r="C102">
        <v>76.97</v>
      </c>
      <c r="D102">
        <v>16</v>
      </c>
      <c r="E102">
        <v>16</v>
      </c>
      <c r="F102">
        <v>76.08</v>
      </c>
      <c r="G102">
        <v>1</v>
      </c>
      <c r="H102">
        <v>1</v>
      </c>
      <c r="I102">
        <v>1</v>
      </c>
      <c r="J102">
        <v>3</v>
      </c>
      <c r="K102">
        <v>76.67</v>
      </c>
      <c r="L102">
        <v>76.989999999999995</v>
      </c>
    </row>
    <row r="103" spans="1:12" x14ac:dyDescent="0.2">
      <c r="A103" s="4">
        <v>102</v>
      </c>
      <c r="B103" t="s">
        <v>96</v>
      </c>
      <c r="C103">
        <v>76.83</v>
      </c>
      <c r="D103">
        <v>14</v>
      </c>
      <c r="E103">
        <v>18</v>
      </c>
      <c r="F103">
        <v>77.17</v>
      </c>
      <c r="G103">
        <v>0</v>
      </c>
      <c r="H103">
        <v>4</v>
      </c>
      <c r="I103">
        <v>2</v>
      </c>
      <c r="J103">
        <v>11</v>
      </c>
      <c r="K103">
        <v>75.78</v>
      </c>
      <c r="L103">
        <v>77.67</v>
      </c>
    </row>
    <row r="104" spans="1:12" x14ac:dyDescent="0.2">
      <c r="A104" s="4">
        <v>103</v>
      </c>
      <c r="B104" t="s">
        <v>48</v>
      </c>
      <c r="C104">
        <v>76.819999999999993</v>
      </c>
      <c r="D104">
        <v>17</v>
      </c>
      <c r="E104">
        <v>15</v>
      </c>
      <c r="F104">
        <v>76.62</v>
      </c>
      <c r="G104">
        <v>1</v>
      </c>
      <c r="H104">
        <v>7</v>
      </c>
      <c r="I104">
        <v>1</v>
      </c>
      <c r="J104">
        <v>10</v>
      </c>
      <c r="K104">
        <v>77.59</v>
      </c>
      <c r="L104">
        <v>75.790000000000006</v>
      </c>
    </row>
    <row r="105" spans="1:12" x14ac:dyDescent="0.2">
      <c r="A105" s="4">
        <v>104</v>
      </c>
      <c r="B105" t="s">
        <v>302</v>
      </c>
      <c r="C105">
        <v>76.790000000000006</v>
      </c>
      <c r="D105">
        <v>21</v>
      </c>
      <c r="E105">
        <v>14</v>
      </c>
      <c r="F105">
        <v>73.52</v>
      </c>
      <c r="G105">
        <v>0</v>
      </c>
      <c r="H105">
        <v>0</v>
      </c>
      <c r="I105">
        <v>4</v>
      </c>
      <c r="J105">
        <v>7</v>
      </c>
      <c r="K105">
        <v>77.88</v>
      </c>
      <c r="L105">
        <v>75.47</v>
      </c>
    </row>
    <row r="106" spans="1:12" x14ac:dyDescent="0.2">
      <c r="A106" s="4">
        <v>105</v>
      </c>
      <c r="B106" t="s">
        <v>221</v>
      </c>
      <c r="C106">
        <v>76.709999999999994</v>
      </c>
      <c r="D106">
        <v>17</v>
      </c>
      <c r="E106">
        <v>15</v>
      </c>
      <c r="F106">
        <v>74.989999999999995</v>
      </c>
      <c r="G106">
        <v>0</v>
      </c>
      <c r="H106">
        <v>3</v>
      </c>
      <c r="I106">
        <v>0</v>
      </c>
      <c r="J106">
        <v>3</v>
      </c>
      <c r="K106">
        <v>76.89</v>
      </c>
      <c r="L106">
        <v>76.25</v>
      </c>
    </row>
    <row r="107" spans="1:12" x14ac:dyDescent="0.2">
      <c r="A107" s="4">
        <v>106</v>
      </c>
      <c r="B107" t="s">
        <v>155</v>
      </c>
      <c r="C107">
        <v>76.400000000000006</v>
      </c>
      <c r="D107">
        <v>20</v>
      </c>
      <c r="E107">
        <v>12</v>
      </c>
      <c r="F107">
        <v>72.2</v>
      </c>
      <c r="G107">
        <v>0</v>
      </c>
      <c r="H107">
        <v>3</v>
      </c>
      <c r="I107">
        <v>1</v>
      </c>
      <c r="J107">
        <v>5</v>
      </c>
      <c r="K107">
        <v>75.78</v>
      </c>
      <c r="L107">
        <v>76.760000000000005</v>
      </c>
    </row>
    <row r="108" spans="1:12" x14ac:dyDescent="0.2">
      <c r="A108" s="4">
        <v>107</v>
      </c>
      <c r="B108" t="s">
        <v>99</v>
      </c>
      <c r="C108">
        <v>76.400000000000006</v>
      </c>
      <c r="D108">
        <v>13</v>
      </c>
      <c r="E108">
        <v>19</v>
      </c>
      <c r="F108">
        <v>79.489999999999995</v>
      </c>
      <c r="G108">
        <v>3</v>
      </c>
      <c r="H108">
        <v>7</v>
      </c>
      <c r="I108">
        <v>4</v>
      </c>
      <c r="J108">
        <v>9</v>
      </c>
      <c r="K108">
        <v>76.19</v>
      </c>
      <c r="L108">
        <v>76.33</v>
      </c>
    </row>
    <row r="109" spans="1:12" x14ac:dyDescent="0.2">
      <c r="A109" s="4">
        <v>108</v>
      </c>
      <c r="B109" t="s">
        <v>102</v>
      </c>
      <c r="C109">
        <v>76.28</v>
      </c>
      <c r="D109">
        <v>17</v>
      </c>
      <c r="E109">
        <v>14</v>
      </c>
      <c r="F109">
        <v>75.37</v>
      </c>
      <c r="G109">
        <v>0</v>
      </c>
      <c r="H109">
        <v>2</v>
      </c>
      <c r="I109">
        <v>1</v>
      </c>
      <c r="J109">
        <v>2</v>
      </c>
      <c r="K109">
        <v>77.099999999999994</v>
      </c>
      <c r="L109">
        <v>75.2</v>
      </c>
    </row>
    <row r="110" spans="1:12" x14ac:dyDescent="0.2">
      <c r="A110" s="4">
        <v>109</v>
      </c>
      <c r="B110" t="s">
        <v>255</v>
      </c>
      <c r="C110">
        <v>76.28</v>
      </c>
      <c r="D110">
        <v>15</v>
      </c>
      <c r="E110">
        <v>14</v>
      </c>
      <c r="F110">
        <v>74.849999999999994</v>
      </c>
      <c r="G110">
        <v>0</v>
      </c>
      <c r="H110">
        <v>3</v>
      </c>
      <c r="I110">
        <v>0</v>
      </c>
      <c r="J110">
        <v>4</v>
      </c>
      <c r="K110">
        <v>75.010000000000005</v>
      </c>
      <c r="L110">
        <v>77.34</v>
      </c>
    </row>
    <row r="111" spans="1:12" x14ac:dyDescent="0.2">
      <c r="A111" s="4">
        <v>110</v>
      </c>
      <c r="B111" t="s">
        <v>163</v>
      </c>
      <c r="C111">
        <v>76.22</v>
      </c>
      <c r="D111">
        <v>19</v>
      </c>
      <c r="E111">
        <v>14</v>
      </c>
      <c r="F111">
        <v>73.5</v>
      </c>
      <c r="G111">
        <v>0</v>
      </c>
      <c r="H111">
        <v>2</v>
      </c>
      <c r="I111">
        <v>0</v>
      </c>
      <c r="J111">
        <v>4</v>
      </c>
      <c r="K111">
        <v>74.819999999999993</v>
      </c>
      <c r="L111">
        <v>77.430000000000007</v>
      </c>
    </row>
    <row r="112" spans="1:12" x14ac:dyDescent="0.2">
      <c r="A112" s="4">
        <v>111</v>
      </c>
      <c r="B112" t="s">
        <v>797</v>
      </c>
      <c r="C112">
        <v>76.209999999999994</v>
      </c>
      <c r="D112">
        <v>24</v>
      </c>
      <c r="E112">
        <v>9</v>
      </c>
      <c r="F112">
        <v>70.489999999999995</v>
      </c>
      <c r="G112">
        <v>0</v>
      </c>
      <c r="H112">
        <v>2</v>
      </c>
      <c r="I112">
        <v>1</v>
      </c>
      <c r="J112">
        <v>2</v>
      </c>
      <c r="K112">
        <v>77.040000000000006</v>
      </c>
      <c r="L112">
        <v>75.13</v>
      </c>
    </row>
    <row r="113" spans="1:12" x14ac:dyDescent="0.2">
      <c r="A113" s="4">
        <v>112</v>
      </c>
      <c r="B113" t="s">
        <v>122</v>
      </c>
      <c r="C113">
        <v>76.2</v>
      </c>
      <c r="D113">
        <v>14</v>
      </c>
      <c r="E113">
        <v>17</v>
      </c>
      <c r="F113">
        <v>77.95</v>
      </c>
      <c r="G113">
        <v>0</v>
      </c>
      <c r="H113">
        <v>6</v>
      </c>
      <c r="I113">
        <v>1</v>
      </c>
      <c r="J113">
        <v>10</v>
      </c>
      <c r="K113">
        <v>76.12</v>
      </c>
      <c r="L113">
        <v>75.989999999999995</v>
      </c>
    </row>
    <row r="114" spans="1:12" x14ac:dyDescent="0.2">
      <c r="A114" s="4">
        <v>113</v>
      </c>
      <c r="B114" t="s">
        <v>295</v>
      </c>
      <c r="C114">
        <v>76.09</v>
      </c>
      <c r="D114">
        <v>21</v>
      </c>
      <c r="E114">
        <v>6</v>
      </c>
      <c r="F114">
        <v>68.86</v>
      </c>
      <c r="G114">
        <v>0</v>
      </c>
      <c r="H114">
        <v>2</v>
      </c>
      <c r="I114">
        <v>0</v>
      </c>
      <c r="J114">
        <v>2</v>
      </c>
      <c r="K114">
        <v>78.400000000000006</v>
      </c>
      <c r="L114">
        <v>73.73</v>
      </c>
    </row>
    <row r="115" spans="1:12" x14ac:dyDescent="0.2">
      <c r="A115" s="4">
        <v>114</v>
      </c>
      <c r="B115" t="s">
        <v>143</v>
      </c>
      <c r="C115">
        <v>75.97</v>
      </c>
      <c r="D115">
        <v>22</v>
      </c>
      <c r="E115">
        <v>9</v>
      </c>
      <c r="F115">
        <v>70.94</v>
      </c>
      <c r="G115">
        <v>0</v>
      </c>
      <c r="H115">
        <v>2</v>
      </c>
      <c r="I115">
        <v>1</v>
      </c>
      <c r="J115">
        <v>3</v>
      </c>
      <c r="K115">
        <v>77.17</v>
      </c>
      <c r="L115">
        <v>74.540000000000006</v>
      </c>
    </row>
    <row r="116" spans="1:12" x14ac:dyDescent="0.2">
      <c r="A116" s="4">
        <v>115</v>
      </c>
      <c r="B116" t="s">
        <v>817</v>
      </c>
      <c r="C116">
        <v>75.87</v>
      </c>
      <c r="D116">
        <v>15</v>
      </c>
      <c r="E116">
        <v>16</v>
      </c>
      <c r="F116">
        <v>76.73</v>
      </c>
      <c r="G116">
        <v>2</v>
      </c>
      <c r="H116">
        <v>5</v>
      </c>
      <c r="I116">
        <v>3</v>
      </c>
      <c r="J116">
        <v>7</v>
      </c>
      <c r="K116">
        <v>76.010000000000005</v>
      </c>
      <c r="L116">
        <v>75.45</v>
      </c>
    </row>
    <row r="117" spans="1:12" x14ac:dyDescent="0.2">
      <c r="A117" s="4">
        <v>116</v>
      </c>
      <c r="B117" t="s">
        <v>119</v>
      </c>
      <c r="C117">
        <v>75.84</v>
      </c>
      <c r="D117">
        <v>20</v>
      </c>
      <c r="E117">
        <v>12</v>
      </c>
      <c r="F117">
        <v>72.489999999999995</v>
      </c>
      <c r="G117">
        <v>0</v>
      </c>
      <c r="H117">
        <v>1</v>
      </c>
      <c r="I117">
        <v>0</v>
      </c>
      <c r="J117">
        <v>2</v>
      </c>
      <c r="K117">
        <v>74.91</v>
      </c>
      <c r="L117">
        <v>76.52</v>
      </c>
    </row>
    <row r="118" spans="1:12" x14ac:dyDescent="0.2">
      <c r="A118" s="4">
        <v>117</v>
      </c>
      <c r="B118" t="s">
        <v>97</v>
      </c>
      <c r="C118">
        <v>75.84</v>
      </c>
      <c r="D118">
        <v>11</v>
      </c>
      <c r="E118">
        <v>19</v>
      </c>
      <c r="F118">
        <v>79.27</v>
      </c>
      <c r="G118">
        <v>0</v>
      </c>
      <c r="H118">
        <v>9</v>
      </c>
      <c r="I118">
        <v>1</v>
      </c>
      <c r="J118">
        <v>13</v>
      </c>
      <c r="K118">
        <v>75.03</v>
      </c>
      <c r="L118">
        <v>76.39</v>
      </c>
    </row>
    <row r="119" spans="1:12" x14ac:dyDescent="0.2">
      <c r="A119" s="4">
        <v>118</v>
      </c>
      <c r="B119" t="s">
        <v>796</v>
      </c>
      <c r="C119">
        <v>75.8</v>
      </c>
      <c r="D119">
        <v>23</v>
      </c>
      <c r="E119">
        <v>11</v>
      </c>
      <c r="F119">
        <v>70.12</v>
      </c>
      <c r="G119">
        <v>0</v>
      </c>
      <c r="H119">
        <v>0</v>
      </c>
      <c r="I119">
        <v>0</v>
      </c>
      <c r="J119">
        <v>1</v>
      </c>
      <c r="K119">
        <v>75.22</v>
      </c>
      <c r="L119">
        <v>76.099999999999994</v>
      </c>
    </row>
    <row r="120" spans="1:12" x14ac:dyDescent="0.2">
      <c r="A120" s="4">
        <v>119</v>
      </c>
      <c r="B120" t="s">
        <v>200</v>
      </c>
      <c r="C120">
        <v>75.709999999999994</v>
      </c>
      <c r="D120">
        <v>18</v>
      </c>
      <c r="E120">
        <v>12</v>
      </c>
      <c r="F120">
        <v>72.8</v>
      </c>
      <c r="G120">
        <v>0</v>
      </c>
      <c r="H120">
        <v>2</v>
      </c>
      <c r="I120">
        <v>0</v>
      </c>
      <c r="J120">
        <v>3</v>
      </c>
      <c r="K120">
        <v>76.16</v>
      </c>
      <c r="L120">
        <v>74.98</v>
      </c>
    </row>
    <row r="121" spans="1:12" x14ac:dyDescent="0.2">
      <c r="A121" s="4">
        <v>120</v>
      </c>
      <c r="B121" t="s">
        <v>819</v>
      </c>
      <c r="C121">
        <v>75.7</v>
      </c>
      <c r="D121">
        <v>20</v>
      </c>
      <c r="E121">
        <v>14</v>
      </c>
      <c r="F121">
        <v>71.150000000000006</v>
      </c>
      <c r="G121">
        <v>0</v>
      </c>
      <c r="H121">
        <v>4</v>
      </c>
      <c r="I121">
        <v>1</v>
      </c>
      <c r="J121">
        <v>5</v>
      </c>
      <c r="K121">
        <v>73.63</v>
      </c>
      <c r="L121">
        <v>77.680000000000007</v>
      </c>
    </row>
    <row r="122" spans="1:12" x14ac:dyDescent="0.2">
      <c r="A122" s="4">
        <v>121</v>
      </c>
      <c r="B122" t="s">
        <v>795</v>
      </c>
      <c r="C122">
        <v>75.66</v>
      </c>
      <c r="D122">
        <v>13</v>
      </c>
      <c r="E122">
        <v>18</v>
      </c>
      <c r="F122">
        <v>77.599999999999994</v>
      </c>
      <c r="G122">
        <v>0</v>
      </c>
      <c r="H122">
        <v>6</v>
      </c>
      <c r="I122">
        <v>2</v>
      </c>
      <c r="J122">
        <v>11</v>
      </c>
      <c r="K122">
        <v>74.94</v>
      </c>
      <c r="L122">
        <v>76.11</v>
      </c>
    </row>
    <row r="123" spans="1:12" x14ac:dyDescent="0.2">
      <c r="A123" s="4">
        <v>122</v>
      </c>
      <c r="B123" t="s">
        <v>825</v>
      </c>
      <c r="C123">
        <v>75.64</v>
      </c>
      <c r="D123">
        <v>21</v>
      </c>
      <c r="E123">
        <v>10</v>
      </c>
      <c r="F123">
        <v>71.39</v>
      </c>
      <c r="G123">
        <v>0</v>
      </c>
      <c r="H123">
        <v>3</v>
      </c>
      <c r="I123">
        <v>0</v>
      </c>
      <c r="J123">
        <v>3</v>
      </c>
      <c r="K123">
        <v>75.81</v>
      </c>
      <c r="L123">
        <v>75.17</v>
      </c>
    </row>
    <row r="124" spans="1:12" x14ac:dyDescent="0.2">
      <c r="A124" s="4">
        <v>123</v>
      </c>
      <c r="B124" t="s">
        <v>837</v>
      </c>
      <c r="C124">
        <v>75.599999999999994</v>
      </c>
      <c r="D124">
        <v>19</v>
      </c>
      <c r="E124">
        <v>8</v>
      </c>
      <c r="F124">
        <v>69.64</v>
      </c>
      <c r="G124">
        <v>0</v>
      </c>
      <c r="H124">
        <v>0</v>
      </c>
      <c r="I124">
        <v>0</v>
      </c>
      <c r="J124">
        <v>0</v>
      </c>
      <c r="K124">
        <v>76.09</v>
      </c>
      <c r="L124">
        <v>74.83</v>
      </c>
    </row>
    <row r="125" spans="1:12" x14ac:dyDescent="0.2">
      <c r="A125" s="4">
        <v>124</v>
      </c>
      <c r="B125" t="s">
        <v>251</v>
      </c>
      <c r="C125">
        <v>75.53</v>
      </c>
      <c r="D125">
        <v>26</v>
      </c>
      <c r="E125">
        <v>8</v>
      </c>
      <c r="F125">
        <v>67.84</v>
      </c>
      <c r="G125">
        <v>0</v>
      </c>
      <c r="H125">
        <v>0</v>
      </c>
      <c r="I125">
        <v>0</v>
      </c>
      <c r="J125">
        <v>0</v>
      </c>
      <c r="K125">
        <v>76.3</v>
      </c>
      <c r="L125">
        <v>74.489999999999995</v>
      </c>
    </row>
    <row r="126" spans="1:12" x14ac:dyDescent="0.2">
      <c r="A126" s="4">
        <v>125</v>
      </c>
      <c r="B126" t="s">
        <v>874</v>
      </c>
      <c r="C126">
        <v>75.41</v>
      </c>
      <c r="D126">
        <v>16</v>
      </c>
      <c r="E126">
        <v>15</v>
      </c>
      <c r="F126">
        <v>73.290000000000006</v>
      </c>
      <c r="G126">
        <v>0</v>
      </c>
      <c r="H126">
        <v>1</v>
      </c>
      <c r="I126">
        <v>0</v>
      </c>
      <c r="J126">
        <v>5</v>
      </c>
      <c r="K126">
        <v>73.959999999999994</v>
      </c>
      <c r="L126">
        <v>76.650000000000006</v>
      </c>
    </row>
    <row r="127" spans="1:12" x14ac:dyDescent="0.2">
      <c r="A127" s="4">
        <v>126</v>
      </c>
      <c r="B127" t="s">
        <v>273</v>
      </c>
      <c r="C127">
        <v>75.37</v>
      </c>
      <c r="D127">
        <v>12</v>
      </c>
      <c r="E127">
        <v>18</v>
      </c>
      <c r="F127">
        <v>77.23</v>
      </c>
      <c r="G127">
        <v>0</v>
      </c>
      <c r="H127">
        <v>2</v>
      </c>
      <c r="I127">
        <v>2</v>
      </c>
      <c r="J127">
        <v>9</v>
      </c>
      <c r="K127">
        <v>74.34</v>
      </c>
      <c r="L127">
        <v>76.150000000000006</v>
      </c>
    </row>
    <row r="128" spans="1:12" x14ac:dyDescent="0.2">
      <c r="A128" s="4">
        <v>127</v>
      </c>
      <c r="B128" t="s">
        <v>195</v>
      </c>
      <c r="C128">
        <v>75.290000000000006</v>
      </c>
      <c r="D128">
        <v>23</v>
      </c>
      <c r="E128">
        <v>11</v>
      </c>
      <c r="F128">
        <v>70.03</v>
      </c>
      <c r="G128">
        <v>0</v>
      </c>
      <c r="H128">
        <v>0</v>
      </c>
      <c r="I128">
        <v>0</v>
      </c>
      <c r="J128">
        <v>1</v>
      </c>
      <c r="K128">
        <v>75.75</v>
      </c>
      <c r="L128">
        <v>74.56</v>
      </c>
    </row>
    <row r="129" spans="1:12" x14ac:dyDescent="0.2">
      <c r="A129" s="4">
        <v>128</v>
      </c>
      <c r="B129" t="s">
        <v>87</v>
      </c>
      <c r="C129">
        <v>75.28</v>
      </c>
      <c r="D129">
        <v>24</v>
      </c>
      <c r="E129">
        <v>9</v>
      </c>
      <c r="F129">
        <v>69.319999999999993</v>
      </c>
      <c r="G129">
        <v>0</v>
      </c>
      <c r="H129">
        <v>2</v>
      </c>
      <c r="I129">
        <v>0</v>
      </c>
      <c r="J129">
        <v>2</v>
      </c>
      <c r="K129">
        <v>76.33</v>
      </c>
      <c r="L129">
        <v>73.98</v>
      </c>
    </row>
    <row r="130" spans="1:12" x14ac:dyDescent="0.2">
      <c r="A130" s="4">
        <v>129</v>
      </c>
      <c r="B130" t="s">
        <v>74</v>
      </c>
      <c r="C130">
        <v>75.25</v>
      </c>
      <c r="D130">
        <v>15</v>
      </c>
      <c r="E130">
        <v>15</v>
      </c>
      <c r="F130">
        <v>75.73</v>
      </c>
      <c r="G130">
        <v>0</v>
      </c>
      <c r="H130">
        <v>2</v>
      </c>
      <c r="I130">
        <v>1</v>
      </c>
      <c r="J130">
        <v>6</v>
      </c>
      <c r="K130">
        <v>76.48</v>
      </c>
      <c r="L130">
        <v>73.8</v>
      </c>
    </row>
    <row r="131" spans="1:12" x14ac:dyDescent="0.2">
      <c r="A131" s="4">
        <v>130</v>
      </c>
      <c r="B131" t="s">
        <v>280</v>
      </c>
      <c r="C131">
        <v>75.180000000000007</v>
      </c>
      <c r="D131">
        <v>18</v>
      </c>
      <c r="E131">
        <v>16</v>
      </c>
      <c r="F131">
        <v>73.48</v>
      </c>
      <c r="G131">
        <v>0</v>
      </c>
      <c r="H131">
        <v>4</v>
      </c>
      <c r="I131">
        <v>1</v>
      </c>
      <c r="J131">
        <v>4</v>
      </c>
      <c r="K131">
        <v>74.72</v>
      </c>
      <c r="L131">
        <v>75.349999999999994</v>
      </c>
    </row>
    <row r="132" spans="1:12" x14ac:dyDescent="0.2">
      <c r="A132" s="4">
        <v>131</v>
      </c>
      <c r="B132" t="s">
        <v>248</v>
      </c>
      <c r="C132">
        <v>75.13</v>
      </c>
      <c r="D132">
        <v>19</v>
      </c>
      <c r="E132">
        <v>10</v>
      </c>
      <c r="F132">
        <v>70.319999999999993</v>
      </c>
      <c r="G132">
        <v>0</v>
      </c>
      <c r="H132">
        <v>0</v>
      </c>
      <c r="I132">
        <v>0</v>
      </c>
      <c r="J132">
        <v>1</v>
      </c>
      <c r="K132">
        <v>75.56</v>
      </c>
      <c r="L132">
        <v>74.42</v>
      </c>
    </row>
    <row r="133" spans="1:12" x14ac:dyDescent="0.2">
      <c r="A133" s="4">
        <v>132</v>
      </c>
      <c r="B133" t="s">
        <v>183</v>
      </c>
      <c r="C133">
        <v>75.12</v>
      </c>
      <c r="D133">
        <v>12</v>
      </c>
      <c r="E133">
        <v>19</v>
      </c>
      <c r="F133">
        <v>77.069999999999993</v>
      </c>
      <c r="G133">
        <v>0</v>
      </c>
      <c r="H133">
        <v>6</v>
      </c>
      <c r="I133">
        <v>0</v>
      </c>
      <c r="J133">
        <v>8</v>
      </c>
      <c r="K133">
        <v>73.7</v>
      </c>
      <c r="L133">
        <v>76.31</v>
      </c>
    </row>
    <row r="134" spans="1:12" x14ac:dyDescent="0.2">
      <c r="A134" s="4">
        <v>133</v>
      </c>
      <c r="B134" t="s">
        <v>180</v>
      </c>
      <c r="C134">
        <v>75</v>
      </c>
      <c r="D134">
        <v>19</v>
      </c>
      <c r="E134">
        <v>10</v>
      </c>
      <c r="F134">
        <v>70.849999999999994</v>
      </c>
      <c r="G134">
        <v>0</v>
      </c>
      <c r="H134">
        <v>0</v>
      </c>
      <c r="I134">
        <v>0</v>
      </c>
      <c r="J134">
        <v>0</v>
      </c>
      <c r="K134">
        <v>75.489999999999995</v>
      </c>
      <c r="L134">
        <v>74.239999999999995</v>
      </c>
    </row>
    <row r="135" spans="1:12" x14ac:dyDescent="0.2">
      <c r="A135" s="4">
        <v>134</v>
      </c>
      <c r="B135" t="s">
        <v>785</v>
      </c>
      <c r="C135">
        <v>74.98</v>
      </c>
      <c r="D135">
        <v>23</v>
      </c>
      <c r="E135">
        <v>9</v>
      </c>
      <c r="F135">
        <v>69.569999999999993</v>
      </c>
      <c r="G135">
        <v>0</v>
      </c>
      <c r="H135">
        <v>3</v>
      </c>
      <c r="I135">
        <v>0</v>
      </c>
      <c r="J135">
        <v>3</v>
      </c>
      <c r="K135">
        <v>75.989999999999995</v>
      </c>
      <c r="L135">
        <v>73.72</v>
      </c>
    </row>
    <row r="136" spans="1:12" x14ac:dyDescent="0.2">
      <c r="A136" s="4">
        <v>135</v>
      </c>
      <c r="B136" t="s">
        <v>69</v>
      </c>
      <c r="C136">
        <v>74.959999999999994</v>
      </c>
      <c r="D136">
        <v>11</v>
      </c>
      <c r="E136">
        <v>20</v>
      </c>
      <c r="F136">
        <v>78.930000000000007</v>
      </c>
      <c r="G136">
        <v>0</v>
      </c>
      <c r="H136">
        <v>6</v>
      </c>
      <c r="I136">
        <v>3</v>
      </c>
      <c r="J136">
        <v>12</v>
      </c>
      <c r="K136">
        <v>73.599999999999994</v>
      </c>
      <c r="L136">
        <v>76.09</v>
      </c>
    </row>
    <row r="137" spans="1:12" x14ac:dyDescent="0.2">
      <c r="A137" s="4">
        <v>136</v>
      </c>
      <c r="B137" t="s">
        <v>821</v>
      </c>
      <c r="C137">
        <v>74.849999999999994</v>
      </c>
      <c r="D137">
        <v>14</v>
      </c>
      <c r="E137">
        <v>16</v>
      </c>
      <c r="F137">
        <v>76.819999999999993</v>
      </c>
      <c r="G137">
        <v>0</v>
      </c>
      <c r="H137">
        <v>4</v>
      </c>
      <c r="I137">
        <v>0</v>
      </c>
      <c r="J137">
        <v>5</v>
      </c>
      <c r="K137">
        <v>76.099999999999994</v>
      </c>
      <c r="L137">
        <v>73.37</v>
      </c>
    </row>
    <row r="138" spans="1:12" x14ac:dyDescent="0.2">
      <c r="A138" s="4">
        <v>137</v>
      </c>
      <c r="B138" t="s">
        <v>259</v>
      </c>
      <c r="C138">
        <v>74.8</v>
      </c>
      <c r="D138">
        <v>15</v>
      </c>
      <c r="E138">
        <v>15</v>
      </c>
      <c r="F138">
        <v>75.37</v>
      </c>
      <c r="G138">
        <v>0</v>
      </c>
      <c r="H138">
        <v>5</v>
      </c>
      <c r="I138">
        <v>0</v>
      </c>
      <c r="J138">
        <v>6</v>
      </c>
      <c r="K138">
        <v>75.64</v>
      </c>
      <c r="L138">
        <v>73.69</v>
      </c>
    </row>
    <row r="139" spans="1:12" x14ac:dyDescent="0.2">
      <c r="A139" s="4">
        <v>138</v>
      </c>
      <c r="B139" t="s">
        <v>83</v>
      </c>
      <c r="C139">
        <v>74.37</v>
      </c>
      <c r="D139">
        <v>17</v>
      </c>
      <c r="E139">
        <v>11</v>
      </c>
      <c r="F139">
        <v>70.819999999999993</v>
      </c>
      <c r="G139">
        <v>0</v>
      </c>
      <c r="H139">
        <v>1</v>
      </c>
      <c r="I139">
        <v>0</v>
      </c>
      <c r="J139">
        <v>3</v>
      </c>
      <c r="K139">
        <v>73.930000000000007</v>
      </c>
      <c r="L139">
        <v>74.52</v>
      </c>
    </row>
    <row r="140" spans="1:12" x14ac:dyDescent="0.2">
      <c r="A140" s="4">
        <v>139</v>
      </c>
      <c r="B140" t="s">
        <v>298</v>
      </c>
      <c r="C140">
        <v>74.34</v>
      </c>
      <c r="D140">
        <v>19</v>
      </c>
      <c r="E140">
        <v>10</v>
      </c>
      <c r="F140">
        <v>70.180000000000007</v>
      </c>
      <c r="G140">
        <v>0</v>
      </c>
      <c r="H140">
        <v>1</v>
      </c>
      <c r="I140">
        <v>0</v>
      </c>
      <c r="J140">
        <v>2</v>
      </c>
      <c r="K140">
        <v>74.94</v>
      </c>
      <c r="L140">
        <v>73.459999999999994</v>
      </c>
    </row>
    <row r="141" spans="1:12" x14ac:dyDescent="0.2">
      <c r="A141" s="4">
        <v>140</v>
      </c>
      <c r="B141" t="s">
        <v>55</v>
      </c>
      <c r="C141">
        <v>74.33</v>
      </c>
      <c r="D141">
        <v>11</v>
      </c>
      <c r="E141">
        <v>19</v>
      </c>
      <c r="F141">
        <v>78.569999999999993</v>
      </c>
      <c r="G141">
        <v>0</v>
      </c>
      <c r="H141">
        <v>9</v>
      </c>
      <c r="I141">
        <v>0</v>
      </c>
      <c r="J141">
        <v>13</v>
      </c>
      <c r="K141">
        <v>73.86</v>
      </c>
      <c r="L141">
        <v>74.510000000000005</v>
      </c>
    </row>
    <row r="142" spans="1:12" x14ac:dyDescent="0.2">
      <c r="A142" s="4">
        <v>141</v>
      </c>
      <c r="B142" t="s">
        <v>80</v>
      </c>
      <c r="C142">
        <v>74.2</v>
      </c>
      <c r="D142">
        <v>16</v>
      </c>
      <c r="E142">
        <v>15</v>
      </c>
      <c r="F142">
        <v>75.19</v>
      </c>
      <c r="G142">
        <v>0</v>
      </c>
      <c r="H142">
        <v>2</v>
      </c>
      <c r="I142">
        <v>2</v>
      </c>
      <c r="J142">
        <v>3</v>
      </c>
      <c r="K142">
        <v>75.09</v>
      </c>
      <c r="L142">
        <v>73.05</v>
      </c>
    </row>
    <row r="143" spans="1:12" x14ac:dyDescent="0.2">
      <c r="A143" s="4">
        <v>142</v>
      </c>
      <c r="B143" t="s">
        <v>190</v>
      </c>
      <c r="C143">
        <v>74.19</v>
      </c>
      <c r="D143">
        <v>18</v>
      </c>
      <c r="E143">
        <v>14</v>
      </c>
      <c r="F143">
        <v>72.400000000000006</v>
      </c>
      <c r="G143">
        <v>0</v>
      </c>
      <c r="H143">
        <v>0</v>
      </c>
      <c r="I143">
        <v>0</v>
      </c>
      <c r="J143">
        <v>2</v>
      </c>
      <c r="K143">
        <v>74.77</v>
      </c>
      <c r="L143">
        <v>73.33</v>
      </c>
    </row>
    <row r="144" spans="1:12" x14ac:dyDescent="0.2">
      <c r="A144" s="4">
        <v>143</v>
      </c>
      <c r="B144" t="s">
        <v>33</v>
      </c>
      <c r="C144">
        <v>74.14</v>
      </c>
      <c r="D144">
        <v>14</v>
      </c>
      <c r="E144">
        <v>16</v>
      </c>
      <c r="F144">
        <v>75.27</v>
      </c>
      <c r="G144">
        <v>0</v>
      </c>
      <c r="H144">
        <v>3</v>
      </c>
      <c r="I144">
        <v>2</v>
      </c>
      <c r="J144">
        <v>10</v>
      </c>
      <c r="K144">
        <v>74.459999999999994</v>
      </c>
      <c r="L144">
        <v>73.53</v>
      </c>
    </row>
    <row r="145" spans="1:12" x14ac:dyDescent="0.2">
      <c r="A145" s="4">
        <v>144</v>
      </c>
      <c r="B145" t="s">
        <v>181</v>
      </c>
      <c r="C145">
        <v>74.099999999999994</v>
      </c>
      <c r="D145">
        <v>14</v>
      </c>
      <c r="E145">
        <v>14</v>
      </c>
      <c r="F145">
        <v>74.36</v>
      </c>
      <c r="G145">
        <v>0</v>
      </c>
      <c r="H145">
        <v>3</v>
      </c>
      <c r="I145">
        <v>0</v>
      </c>
      <c r="J145">
        <v>3</v>
      </c>
      <c r="K145">
        <v>73.790000000000006</v>
      </c>
      <c r="L145">
        <v>74.12</v>
      </c>
    </row>
    <row r="146" spans="1:12" x14ac:dyDescent="0.2">
      <c r="A146" s="4">
        <v>145</v>
      </c>
      <c r="B146" t="s">
        <v>218</v>
      </c>
      <c r="C146">
        <v>73.98</v>
      </c>
      <c r="D146">
        <v>20</v>
      </c>
      <c r="E146">
        <v>10</v>
      </c>
      <c r="F146">
        <v>69.5</v>
      </c>
      <c r="G146">
        <v>0</v>
      </c>
      <c r="H146">
        <v>0</v>
      </c>
      <c r="I146">
        <v>0</v>
      </c>
      <c r="J146">
        <v>1</v>
      </c>
      <c r="K146">
        <v>74.650000000000006</v>
      </c>
      <c r="L146">
        <v>73.040000000000006</v>
      </c>
    </row>
    <row r="147" spans="1:12" x14ac:dyDescent="0.2">
      <c r="A147" s="4">
        <v>146</v>
      </c>
      <c r="B147" t="s">
        <v>826</v>
      </c>
      <c r="C147">
        <v>73.94</v>
      </c>
      <c r="D147">
        <v>17</v>
      </c>
      <c r="E147">
        <v>13</v>
      </c>
      <c r="F147">
        <v>72.19</v>
      </c>
      <c r="G147">
        <v>0</v>
      </c>
      <c r="H147">
        <v>2</v>
      </c>
      <c r="I147">
        <v>1</v>
      </c>
      <c r="J147">
        <v>2</v>
      </c>
      <c r="K147">
        <v>74.23</v>
      </c>
      <c r="L147">
        <v>73.36</v>
      </c>
    </row>
    <row r="148" spans="1:12" x14ac:dyDescent="0.2">
      <c r="A148" s="4">
        <v>147</v>
      </c>
      <c r="B148" t="s">
        <v>85</v>
      </c>
      <c r="C148">
        <v>73.69</v>
      </c>
      <c r="D148">
        <v>16</v>
      </c>
      <c r="E148">
        <v>13</v>
      </c>
      <c r="F148">
        <v>73.06</v>
      </c>
      <c r="G148">
        <v>0</v>
      </c>
      <c r="H148">
        <v>4</v>
      </c>
      <c r="I148">
        <v>0</v>
      </c>
      <c r="J148">
        <v>4</v>
      </c>
      <c r="K148">
        <v>74.8</v>
      </c>
      <c r="L148">
        <v>72.319999999999993</v>
      </c>
    </row>
    <row r="149" spans="1:12" x14ac:dyDescent="0.2">
      <c r="A149" s="4">
        <v>148</v>
      </c>
      <c r="B149" t="s">
        <v>39</v>
      </c>
      <c r="C149">
        <v>73.56</v>
      </c>
      <c r="D149">
        <v>10</v>
      </c>
      <c r="E149">
        <v>22</v>
      </c>
      <c r="F149">
        <v>79.510000000000005</v>
      </c>
      <c r="G149">
        <v>1</v>
      </c>
      <c r="H149">
        <v>0</v>
      </c>
      <c r="I149">
        <v>1</v>
      </c>
      <c r="J149">
        <v>13</v>
      </c>
      <c r="K149">
        <v>72.12</v>
      </c>
      <c r="L149">
        <v>74.75</v>
      </c>
    </row>
    <row r="150" spans="1:12" x14ac:dyDescent="0.2">
      <c r="A150" s="4">
        <v>149</v>
      </c>
      <c r="B150" t="s">
        <v>32</v>
      </c>
      <c r="C150">
        <v>73.52</v>
      </c>
      <c r="D150">
        <v>13</v>
      </c>
      <c r="E150">
        <v>19</v>
      </c>
      <c r="F150">
        <v>76.03</v>
      </c>
      <c r="G150">
        <v>2</v>
      </c>
      <c r="H150">
        <v>7</v>
      </c>
      <c r="I150">
        <v>2</v>
      </c>
      <c r="J150">
        <v>9</v>
      </c>
      <c r="K150">
        <v>72.81</v>
      </c>
      <c r="L150">
        <v>73.959999999999994</v>
      </c>
    </row>
    <row r="151" spans="1:12" x14ac:dyDescent="0.2">
      <c r="A151" s="4">
        <v>150</v>
      </c>
      <c r="B151" t="s">
        <v>561</v>
      </c>
      <c r="C151">
        <v>73.400000000000006</v>
      </c>
      <c r="D151">
        <v>21</v>
      </c>
      <c r="E151">
        <v>12</v>
      </c>
      <c r="F151">
        <v>70.239999999999995</v>
      </c>
      <c r="G151">
        <v>0</v>
      </c>
      <c r="H151">
        <v>2</v>
      </c>
      <c r="I151">
        <v>0</v>
      </c>
      <c r="J151">
        <v>3</v>
      </c>
      <c r="K151">
        <v>74.73</v>
      </c>
      <c r="L151">
        <v>71.81</v>
      </c>
    </row>
    <row r="152" spans="1:12" x14ac:dyDescent="0.2">
      <c r="A152" s="4">
        <v>151</v>
      </c>
      <c r="B152" t="s">
        <v>178</v>
      </c>
      <c r="C152">
        <v>73.37</v>
      </c>
      <c r="D152">
        <v>14</v>
      </c>
      <c r="E152">
        <v>17</v>
      </c>
      <c r="F152">
        <v>74.38</v>
      </c>
      <c r="G152">
        <v>0</v>
      </c>
      <c r="H152">
        <v>1</v>
      </c>
      <c r="I152">
        <v>1</v>
      </c>
      <c r="J152">
        <v>4</v>
      </c>
      <c r="K152">
        <v>73.63</v>
      </c>
      <c r="L152">
        <v>72.83</v>
      </c>
    </row>
    <row r="153" spans="1:12" x14ac:dyDescent="0.2">
      <c r="A153" s="4">
        <v>152</v>
      </c>
      <c r="B153" t="s">
        <v>254</v>
      </c>
      <c r="C153">
        <v>73.290000000000006</v>
      </c>
      <c r="D153">
        <v>19</v>
      </c>
      <c r="E153">
        <v>11</v>
      </c>
      <c r="F153">
        <v>70.260000000000005</v>
      </c>
      <c r="G153">
        <v>0</v>
      </c>
      <c r="H153">
        <v>1</v>
      </c>
      <c r="I153">
        <v>1</v>
      </c>
      <c r="J153">
        <v>3</v>
      </c>
      <c r="K153">
        <v>73.38</v>
      </c>
      <c r="L153">
        <v>72.91</v>
      </c>
    </row>
    <row r="154" spans="1:12" x14ac:dyDescent="0.2">
      <c r="A154" s="4">
        <v>153</v>
      </c>
      <c r="B154" t="s">
        <v>110</v>
      </c>
      <c r="C154">
        <v>73.22</v>
      </c>
      <c r="D154">
        <v>16</v>
      </c>
      <c r="E154">
        <v>15</v>
      </c>
      <c r="F154">
        <v>74</v>
      </c>
      <c r="G154">
        <v>0</v>
      </c>
      <c r="H154">
        <v>2</v>
      </c>
      <c r="I154">
        <v>0</v>
      </c>
      <c r="J154">
        <v>3</v>
      </c>
      <c r="K154">
        <v>73.709999999999994</v>
      </c>
      <c r="L154">
        <v>72.44</v>
      </c>
    </row>
    <row r="155" spans="1:12" x14ac:dyDescent="0.2">
      <c r="A155" s="4">
        <v>154</v>
      </c>
      <c r="B155" t="s">
        <v>154</v>
      </c>
      <c r="C155">
        <v>73.180000000000007</v>
      </c>
      <c r="D155">
        <v>20</v>
      </c>
      <c r="E155">
        <v>13</v>
      </c>
      <c r="F155">
        <v>71.03</v>
      </c>
      <c r="G155">
        <v>0</v>
      </c>
      <c r="H155">
        <v>1</v>
      </c>
      <c r="I155">
        <v>0</v>
      </c>
      <c r="J155">
        <v>1</v>
      </c>
      <c r="K155">
        <v>74.3</v>
      </c>
      <c r="L155">
        <v>71.790000000000006</v>
      </c>
    </row>
    <row r="156" spans="1:12" x14ac:dyDescent="0.2">
      <c r="A156" s="4">
        <v>155</v>
      </c>
      <c r="B156" t="s">
        <v>862</v>
      </c>
      <c r="C156">
        <v>73.099999999999994</v>
      </c>
      <c r="D156">
        <v>14</v>
      </c>
      <c r="E156">
        <v>13</v>
      </c>
      <c r="F156">
        <v>71.290000000000006</v>
      </c>
      <c r="G156">
        <v>0</v>
      </c>
      <c r="H156">
        <v>0</v>
      </c>
      <c r="I156">
        <v>0</v>
      </c>
      <c r="J156">
        <v>1</v>
      </c>
      <c r="K156">
        <v>70.95</v>
      </c>
      <c r="L156">
        <v>75.010000000000005</v>
      </c>
    </row>
    <row r="157" spans="1:12" x14ac:dyDescent="0.2">
      <c r="A157" s="4">
        <v>156</v>
      </c>
      <c r="B157" t="s">
        <v>228</v>
      </c>
      <c r="C157">
        <v>72.98</v>
      </c>
      <c r="D157">
        <v>24</v>
      </c>
      <c r="E157">
        <v>11</v>
      </c>
      <c r="F157">
        <v>69.040000000000006</v>
      </c>
      <c r="G157">
        <v>0</v>
      </c>
      <c r="H157">
        <v>2</v>
      </c>
      <c r="I157">
        <v>0</v>
      </c>
      <c r="J157">
        <v>3</v>
      </c>
      <c r="K157">
        <v>74.39</v>
      </c>
      <c r="L157">
        <v>71.3</v>
      </c>
    </row>
    <row r="158" spans="1:12" x14ac:dyDescent="0.2">
      <c r="A158" s="4">
        <v>157</v>
      </c>
      <c r="B158" t="s">
        <v>182</v>
      </c>
      <c r="C158">
        <v>72.97</v>
      </c>
      <c r="D158">
        <v>19</v>
      </c>
      <c r="E158">
        <v>10</v>
      </c>
      <c r="F158">
        <v>69.73</v>
      </c>
      <c r="G158">
        <v>0</v>
      </c>
      <c r="H158">
        <v>3</v>
      </c>
      <c r="I158">
        <v>0</v>
      </c>
      <c r="J158">
        <v>4</v>
      </c>
      <c r="K158">
        <v>73.06</v>
      </c>
      <c r="L158">
        <v>72.59</v>
      </c>
    </row>
    <row r="159" spans="1:12" x14ac:dyDescent="0.2">
      <c r="A159" s="4">
        <v>158</v>
      </c>
      <c r="B159" t="s">
        <v>878</v>
      </c>
      <c r="C159">
        <v>72.91</v>
      </c>
      <c r="D159">
        <v>15</v>
      </c>
      <c r="E159">
        <v>14</v>
      </c>
      <c r="F159">
        <v>72.84</v>
      </c>
      <c r="G159">
        <v>0</v>
      </c>
      <c r="H159">
        <v>2</v>
      </c>
      <c r="I159">
        <v>1</v>
      </c>
      <c r="J159">
        <v>2</v>
      </c>
      <c r="K159">
        <v>72.12</v>
      </c>
      <c r="L159">
        <v>73.42</v>
      </c>
    </row>
    <row r="160" spans="1:12" x14ac:dyDescent="0.2">
      <c r="A160" s="4">
        <v>159</v>
      </c>
      <c r="B160" t="s">
        <v>249</v>
      </c>
      <c r="C160">
        <v>72.78</v>
      </c>
      <c r="D160">
        <v>13</v>
      </c>
      <c r="E160">
        <v>16</v>
      </c>
      <c r="F160">
        <v>75.27</v>
      </c>
      <c r="G160">
        <v>0</v>
      </c>
      <c r="H160">
        <v>5</v>
      </c>
      <c r="I160">
        <v>0</v>
      </c>
      <c r="J160">
        <v>5</v>
      </c>
      <c r="K160">
        <v>74.11</v>
      </c>
      <c r="L160">
        <v>71.17</v>
      </c>
    </row>
    <row r="161" spans="1:12" x14ac:dyDescent="0.2">
      <c r="A161" s="4">
        <v>160</v>
      </c>
      <c r="B161" t="s">
        <v>216</v>
      </c>
      <c r="C161">
        <v>72.73</v>
      </c>
      <c r="D161">
        <v>14</v>
      </c>
      <c r="E161">
        <v>14</v>
      </c>
      <c r="F161">
        <v>72.73</v>
      </c>
      <c r="G161">
        <v>0</v>
      </c>
      <c r="H161">
        <v>1</v>
      </c>
      <c r="I161">
        <v>1</v>
      </c>
      <c r="J161">
        <v>6</v>
      </c>
      <c r="K161">
        <v>72.150000000000006</v>
      </c>
      <c r="L161">
        <v>73.02</v>
      </c>
    </row>
    <row r="162" spans="1:12" x14ac:dyDescent="0.2">
      <c r="A162" s="4">
        <v>161</v>
      </c>
      <c r="B162" t="s">
        <v>262</v>
      </c>
      <c r="C162">
        <v>72.61</v>
      </c>
      <c r="D162">
        <v>15</v>
      </c>
      <c r="E162">
        <v>11</v>
      </c>
      <c r="F162">
        <v>70.42</v>
      </c>
      <c r="G162">
        <v>0</v>
      </c>
      <c r="H162">
        <v>0</v>
      </c>
      <c r="I162">
        <v>0</v>
      </c>
      <c r="J162">
        <v>2</v>
      </c>
      <c r="K162">
        <v>72.73</v>
      </c>
      <c r="L162">
        <v>72.2</v>
      </c>
    </row>
    <row r="163" spans="1:12" x14ac:dyDescent="0.2">
      <c r="A163" s="4">
        <v>162</v>
      </c>
      <c r="B163" t="s">
        <v>288</v>
      </c>
      <c r="C163">
        <v>72.53</v>
      </c>
      <c r="D163">
        <v>11</v>
      </c>
      <c r="E163">
        <v>17</v>
      </c>
      <c r="F163">
        <v>75.819999999999993</v>
      </c>
      <c r="G163">
        <v>0</v>
      </c>
      <c r="H163">
        <v>2</v>
      </c>
      <c r="I163">
        <v>1</v>
      </c>
      <c r="J163">
        <v>3</v>
      </c>
      <c r="K163">
        <v>72.66</v>
      </c>
      <c r="L163">
        <v>72.12</v>
      </c>
    </row>
    <row r="164" spans="1:12" x14ac:dyDescent="0.2">
      <c r="A164" s="4">
        <v>163</v>
      </c>
      <c r="B164" t="s">
        <v>243</v>
      </c>
      <c r="C164">
        <v>72.42</v>
      </c>
      <c r="D164">
        <v>13</v>
      </c>
      <c r="E164">
        <v>16</v>
      </c>
      <c r="F164">
        <v>74.680000000000007</v>
      </c>
      <c r="G164">
        <v>0</v>
      </c>
      <c r="H164">
        <v>0</v>
      </c>
      <c r="I164">
        <v>0</v>
      </c>
      <c r="J164">
        <v>0</v>
      </c>
      <c r="K164">
        <v>73.48</v>
      </c>
      <c r="L164">
        <v>71.09</v>
      </c>
    </row>
    <row r="165" spans="1:12" x14ac:dyDescent="0.2">
      <c r="A165" s="4">
        <v>164</v>
      </c>
      <c r="B165" t="s">
        <v>217</v>
      </c>
      <c r="C165">
        <v>72.37</v>
      </c>
      <c r="D165">
        <v>19</v>
      </c>
      <c r="E165">
        <v>14</v>
      </c>
      <c r="F165">
        <v>70.930000000000007</v>
      </c>
      <c r="G165">
        <v>0</v>
      </c>
      <c r="H165">
        <v>1</v>
      </c>
      <c r="I165">
        <v>0</v>
      </c>
      <c r="J165">
        <v>2</v>
      </c>
      <c r="K165">
        <v>73.42</v>
      </c>
      <c r="L165">
        <v>71.040000000000006</v>
      </c>
    </row>
    <row r="166" spans="1:12" x14ac:dyDescent="0.2">
      <c r="A166" s="4">
        <v>165</v>
      </c>
      <c r="B166" t="s">
        <v>801</v>
      </c>
      <c r="C166">
        <v>72.349999999999994</v>
      </c>
      <c r="D166">
        <v>11</v>
      </c>
      <c r="E166">
        <v>20</v>
      </c>
      <c r="F166">
        <v>75.31</v>
      </c>
      <c r="G166">
        <v>0</v>
      </c>
      <c r="H166">
        <v>2</v>
      </c>
      <c r="I166">
        <v>0</v>
      </c>
      <c r="J166">
        <v>3</v>
      </c>
      <c r="K166">
        <v>71.540000000000006</v>
      </c>
      <c r="L166">
        <v>72.88</v>
      </c>
    </row>
    <row r="167" spans="1:12" x14ac:dyDescent="0.2">
      <c r="A167" s="4">
        <v>166</v>
      </c>
      <c r="B167" t="s">
        <v>157</v>
      </c>
      <c r="C167">
        <v>72.34</v>
      </c>
      <c r="D167">
        <v>16</v>
      </c>
      <c r="E167">
        <v>17</v>
      </c>
      <c r="F167">
        <v>72.16</v>
      </c>
      <c r="G167">
        <v>0</v>
      </c>
      <c r="H167">
        <v>2</v>
      </c>
      <c r="I167">
        <v>0</v>
      </c>
      <c r="J167">
        <v>3</v>
      </c>
      <c r="K167">
        <v>71.930000000000007</v>
      </c>
      <c r="L167">
        <v>72.459999999999994</v>
      </c>
    </row>
    <row r="168" spans="1:12" x14ac:dyDescent="0.2">
      <c r="A168" s="4">
        <v>167</v>
      </c>
      <c r="B168" t="s">
        <v>128</v>
      </c>
      <c r="C168">
        <v>72.31</v>
      </c>
      <c r="D168">
        <v>16</v>
      </c>
      <c r="E168">
        <v>15</v>
      </c>
      <c r="F168">
        <v>73.37</v>
      </c>
      <c r="G168">
        <v>0</v>
      </c>
      <c r="H168">
        <v>2</v>
      </c>
      <c r="I168">
        <v>0</v>
      </c>
      <c r="J168">
        <v>5</v>
      </c>
      <c r="K168">
        <v>73.09</v>
      </c>
      <c r="L168">
        <v>71.25</v>
      </c>
    </row>
    <row r="169" spans="1:12" x14ac:dyDescent="0.2">
      <c r="A169" s="4">
        <v>168</v>
      </c>
      <c r="B169" t="s">
        <v>191</v>
      </c>
      <c r="C169">
        <v>72.3</v>
      </c>
      <c r="D169">
        <v>17</v>
      </c>
      <c r="E169">
        <v>12</v>
      </c>
      <c r="F169">
        <v>70.2</v>
      </c>
      <c r="G169">
        <v>0</v>
      </c>
      <c r="H169">
        <v>1</v>
      </c>
      <c r="I169">
        <v>0</v>
      </c>
      <c r="J169">
        <v>1</v>
      </c>
      <c r="K169">
        <v>73.069999999999993</v>
      </c>
      <c r="L169">
        <v>71.25</v>
      </c>
    </row>
    <row r="170" spans="1:12" x14ac:dyDescent="0.2">
      <c r="A170" s="4">
        <v>169</v>
      </c>
      <c r="B170" t="s">
        <v>194</v>
      </c>
      <c r="C170">
        <v>72.180000000000007</v>
      </c>
      <c r="D170">
        <v>14</v>
      </c>
      <c r="E170">
        <v>17</v>
      </c>
      <c r="F170">
        <v>73.22</v>
      </c>
      <c r="G170">
        <v>0</v>
      </c>
      <c r="H170">
        <v>0</v>
      </c>
      <c r="I170">
        <v>0</v>
      </c>
      <c r="J170">
        <v>1</v>
      </c>
      <c r="K170">
        <v>71.650000000000006</v>
      </c>
      <c r="L170">
        <v>72.42</v>
      </c>
    </row>
    <row r="171" spans="1:12" x14ac:dyDescent="0.2">
      <c r="A171" s="4">
        <v>170</v>
      </c>
      <c r="B171" t="s">
        <v>134</v>
      </c>
      <c r="C171">
        <v>72.13</v>
      </c>
      <c r="D171">
        <v>17</v>
      </c>
      <c r="E171">
        <v>16</v>
      </c>
      <c r="F171">
        <v>71.150000000000006</v>
      </c>
      <c r="G171">
        <v>0</v>
      </c>
      <c r="H171">
        <v>1</v>
      </c>
      <c r="I171">
        <v>0</v>
      </c>
      <c r="J171">
        <v>2</v>
      </c>
      <c r="K171">
        <v>72</v>
      </c>
      <c r="L171">
        <v>71.97</v>
      </c>
    </row>
    <row r="172" spans="1:12" x14ac:dyDescent="0.2">
      <c r="A172" s="4">
        <v>171</v>
      </c>
      <c r="B172" t="s">
        <v>553</v>
      </c>
      <c r="C172">
        <v>72.12</v>
      </c>
      <c r="D172">
        <v>18</v>
      </c>
      <c r="E172">
        <v>13</v>
      </c>
      <c r="F172">
        <v>70.290000000000006</v>
      </c>
      <c r="G172">
        <v>0</v>
      </c>
      <c r="H172">
        <v>0</v>
      </c>
      <c r="I172">
        <v>0</v>
      </c>
      <c r="J172">
        <v>2</v>
      </c>
      <c r="K172">
        <v>72.81</v>
      </c>
      <c r="L172">
        <v>71.150000000000006</v>
      </c>
    </row>
    <row r="173" spans="1:12" x14ac:dyDescent="0.2">
      <c r="A173" s="4">
        <v>172</v>
      </c>
      <c r="B173" t="s">
        <v>263</v>
      </c>
      <c r="C173">
        <v>72.06</v>
      </c>
      <c r="D173">
        <v>15</v>
      </c>
      <c r="E173">
        <v>14</v>
      </c>
      <c r="F173">
        <v>70.94</v>
      </c>
      <c r="G173">
        <v>0</v>
      </c>
      <c r="H173">
        <v>0</v>
      </c>
      <c r="I173">
        <v>0</v>
      </c>
      <c r="J173">
        <v>1</v>
      </c>
      <c r="K173">
        <v>71.8</v>
      </c>
      <c r="L173">
        <v>72.03</v>
      </c>
    </row>
    <row r="174" spans="1:12" x14ac:dyDescent="0.2">
      <c r="A174" s="4">
        <v>173</v>
      </c>
      <c r="B174" t="s">
        <v>841</v>
      </c>
      <c r="C174">
        <v>71.959999999999994</v>
      </c>
      <c r="D174">
        <v>21</v>
      </c>
      <c r="E174">
        <v>11</v>
      </c>
      <c r="F174">
        <v>67.34</v>
      </c>
      <c r="G174">
        <v>0</v>
      </c>
      <c r="H174">
        <v>0</v>
      </c>
      <c r="I174">
        <v>0</v>
      </c>
      <c r="J174">
        <v>3</v>
      </c>
      <c r="K174">
        <v>73.02</v>
      </c>
      <c r="L174">
        <v>70.599999999999994</v>
      </c>
    </row>
    <row r="175" spans="1:12" x14ac:dyDescent="0.2">
      <c r="A175" s="4">
        <v>174</v>
      </c>
      <c r="B175" t="s">
        <v>219</v>
      </c>
      <c r="C175">
        <v>71.86</v>
      </c>
      <c r="D175">
        <v>17</v>
      </c>
      <c r="E175">
        <v>13</v>
      </c>
      <c r="F175">
        <v>70.62</v>
      </c>
      <c r="G175">
        <v>0</v>
      </c>
      <c r="H175">
        <v>0</v>
      </c>
      <c r="I175">
        <v>0</v>
      </c>
      <c r="J175">
        <v>1</v>
      </c>
      <c r="K175">
        <v>72.84</v>
      </c>
      <c r="L175">
        <v>70.59</v>
      </c>
    </row>
    <row r="176" spans="1:12" x14ac:dyDescent="0.2">
      <c r="A176" s="4">
        <v>175</v>
      </c>
      <c r="B176" t="s">
        <v>187</v>
      </c>
      <c r="C176">
        <v>71.819999999999993</v>
      </c>
      <c r="D176">
        <v>9</v>
      </c>
      <c r="E176">
        <v>17</v>
      </c>
      <c r="F176">
        <v>76.25</v>
      </c>
      <c r="G176">
        <v>0</v>
      </c>
      <c r="H176">
        <v>3</v>
      </c>
      <c r="I176">
        <v>1</v>
      </c>
      <c r="J176">
        <v>5</v>
      </c>
      <c r="K176">
        <v>71.61</v>
      </c>
      <c r="L176">
        <v>71.739999999999995</v>
      </c>
    </row>
    <row r="177" spans="1:12" x14ac:dyDescent="0.2">
      <c r="A177" s="4">
        <v>176</v>
      </c>
      <c r="B177" t="s">
        <v>552</v>
      </c>
      <c r="C177">
        <v>71.430000000000007</v>
      </c>
      <c r="D177">
        <v>18</v>
      </c>
      <c r="E177">
        <v>11</v>
      </c>
      <c r="F177">
        <v>69.62</v>
      </c>
      <c r="G177">
        <v>0</v>
      </c>
      <c r="H177">
        <v>0</v>
      </c>
      <c r="I177">
        <v>0</v>
      </c>
      <c r="J177">
        <v>2</v>
      </c>
      <c r="K177">
        <v>72.819999999999993</v>
      </c>
      <c r="L177">
        <v>69.72</v>
      </c>
    </row>
    <row r="178" spans="1:12" x14ac:dyDescent="0.2">
      <c r="A178" s="4">
        <v>177</v>
      </c>
      <c r="B178" t="s">
        <v>88</v>
      </c>
      <c r="C178">
        <v>71.25</v>
      </c>
      <c r="D178">
        <v>13</v>
      </c>
      <c r="E178">
        <v>16</v>
      </c>
      <c r="F178">
        <v>72.53</v>
      </c>
      <c r="G178">
        <v>0</v>
      </c>
      <c r="H178">
        <v>1</v>
      </c>
      <c r="I178">
        <v>0</v>
      </c>
      <c r="J178">
        <v>6</v>
      </c>
      <c r="K178">
        <v>69.88</v>
      </c>
      <c r="L178">
        <v>72.31</v>
      </c>
    </row>
    <row r="179" spans="1:12" x14ac:dyDescent="0.2">
      <c r="A179" s="4">
        <v>178</v>
      </c>
      <c r="B179" t="s">
        <v>166</v>
      </c>
      <c r="C179">
        <v>71.17</v>
      </c>
      <c r="D179">
        <v>23</v>
      </c>
      <c r="E179">
        <v>8</v>
      </c>
      <c r="F179">
        <v>66.739999999999995</v>
      </c>
      <c r="G179">
        <v>0</v>
      </c>
      <c r="H179">
        <v>0</v>
      </c>
      <c r="I179">
        <v>0</v>
      </c>
      <c r="J179">
        <v>1</v>
      </c>
      <c r="K179">
        <v>74.36</v>
      </c>
      <c r="L179">
        <v>67.55</v>
      </c>
    </row>
    <row r="180" spans="1:12" x14ac:dyDescent="0.2">
      <c r="A180" s="4">
        <v>179</v>
      </c>
      <c r="B180" t="s">
        <v>258</v>
      </c>
      <c r="C180">
        <v>71.040000000000006</v>
      </c>
      <c r="D180">
        <v>15</v>
      </c>
      <c r="E180">
        <v>16</v>
      </c>
      <c r="F180">
        <v>72.430000000000007</v>
      </c>
      <c r="G180">
        <v>0</v>
      </c>
      <c r="H180">
        <v>1</v>
      </c>
      <c r="I180">
        <v>0</v>
      </c>
      <c r="J180">
        <v>1</v>
      </c>
      <c r="K180">
        <v>72.08</v>
      </c>
      <c r="L180">
        <v>69.7</v>
      </c>
    </row>
    <row r="181" spans="1:12" x14ac:dyDescent="0.2">
      <c r="A181" s="4">
        <v>180</v>
      </c>
      <c r="B181" t="s">
        <v>213</v>
      </c>
      <c r="C181">
        <v>71.010000000000005</v>
      </c>
      <c r="D181">
        <v>19</v>
      </c>
      <c r="E181">
        <v>15</v>
      </c>
      <c r="F181">
        <v>69.760000000000005</v>
      </c>
      <c r="G181">
        <v>0</v>
      </c>
      <c r="H181">
        <v>1</v>
      </c>
      <c r="I181">
        <v>0</v>
      </c>
      <c r="J181">
        <v>3</v>
      </c>
      <c r="K181">
        <v>71.680000000000007</v>
      </c>
      <c r="L181">
        <v>70.040000000000006</v>
      </c>
    </row>
    <row r="182" spans="1:12" x14ac:dyDescent="0.2">
      <c r="A182" s="4">
        <v>181</v>
      </c>
      <c r="B182" t="s">
        <v>49</v>
      </c>
      <c r="C182">
        <v>70.91</v>
      </c>
      <c r="D182">
        <v>13</v>
      </c>
      <c r="E182">
        <v>16</v>
      </c>
      <c r="F182">
        <v>72.239999999999995</v>
      </c>
      <c r="G182">
        <v>0</v>
      </c>
      <c r="H182">
        <v>1</v>
      </c>
      <c r="I182">
        <v>1</v>
      </c>
      <c r="J182">
        <v>8</v>
      </c>
      <c r="K182">
        <v>70.2</v>
      </c>
      <c r="L182">
        <v>71.33</v>
      </c>
    </row>
    <row r="183" spans="1:12" x14ac:dyDescent="0.2">
      <c r="A183" s="4">
        <v>182</v>
      </c>
      <c r="B183" t="s">
        <v>551</v>
      </c>
      <c r="C183">
        <v>70.88</v>
      </c>
      <c r="D183">
        <v>14</v>
      </c>
      <c r="E183">
        <v>15</v>
      </c>
      <c r="F183">
        <v>71.67</v>
      </c>
      <c r="G183">
        <v>0</v>
      </c>
      <c r="H183">
        <v>1</v>
      </c>
      <c r="I183">
        <v>0</v>
      </c>
      <c r="J183">
        <v>2</v>
      </c>
      <c r="K183">
        <v>70.599999999999994</v>
      </c>
      <c r="L183">
        <v>70.88</v>
      </c>
    </row>
    <row r="184" spans="1:12" x14ac:dyDescent="0.2">
      <c r="A184" s="4">
        <v>183</v>
      </c>
      <c r="B184" t="s">
        <v>93</v>
      </c>
      <c r="C184">
        <v>70.63</v>
      </c>
      <c r="D184">
        <v>11</v>
      </c>
      <c r="E184">
        <v>19</v>
      </c>
      <c r="F184">
        <v>75.760000000000005</v>
      </c>
      <c r="G184">
        <v>0</v>
      </c>
      <c r="H184">
        <v>1</v>
      </c>
      <c r="I184">
        <v>0</v>
      </c>
      <c r="J184">
        <v>4</v>
      </c>
      <c r="K184">
        <v>71.91</v>
      </c>
      <c r="L184">
        <v>69.02</v>
      </c>
    </row>
    <row r="185" spans="1:12" x14ac:dyDescent="0.2">
      <c r="A185" s="4">
        <v>184</v>
      </c>
      <c r="B185" t="s">
        <v>238</v>
      </c>
      <c r="C185">
        <v>70.59</v>
      </c>
      <c r="D185">
        <v>14</v>
      </c>
      <c r="E185">
        <v>17</v>
      </c>
      <c r="F185">
        <v>72.150000000000006</v>
      </c>
      <c r="G185">
        <v>0</v>
      </c>
      <c r="H185">
        <v>1</v>
      </c>
      <c r="I185">
        <v>0</v>
      </c>
      <c r="J185">
        <v>1</v>
      </c>
      <c r="K185">
        <v>70.69</v>
      </c>
      <c r="L185">
        <v>70.2</v>
      </c>
    </row>
    <row r="186" spans="1:12" x14ac:dyDescent="0.2">
      <c r="A186" s="4">
        <v>185</v>
      </c>
      <c r="B186" t="s">
        <v>50</v>
      </c>
      <c r="C186">
        <v>70.37</v>
      </c>
      <c r="D186">
        <v>10</v>
      </c>
      <c r="E186">
        <v>19</v>
      </c>
      <c r="F186">
        <v>75.23</v>
      </c>
      <c r="G186">
        <v>0</v>
      </c>
      <c r="H186">
        <v>2</v>
      </c>
      <c r="I186">
        <v>0</v>
      </c>
      <c r="J186">
        <v>3</v>
      </c>
      <c r="K186">
        <v>71.28</v>
      </c>
      <c r="L186">
        <v>69.16</v>
      </c>
    </row>
    <row r="187" spans="1:12" x14ac:dyDescent="0.2">
      <c r="A187" s="4">
        <v>186</v>
      </c>
      <c r="B187" t="s">
        <v>207</v>
      </c>
      <c r="C187">
        <v>70.36</v>
      </c>
      <c r="D187">
        <v>13</v>
      </c>
      <c r="E187">
        <v>17</v>
      </c>
      <c r="F187">
        <v>73.239999999999995</v>
      </c>
      <c r="G187">
        <v>0</v>
      </c>
      <c r="H187">
        <v>0</v>
      </c>
      <c r="I187">
        <v>0</v>
      </c>
      <c r="J187">
        <v>0</v>
      </c>
      <c r="K187">
        <v>71.62</v>
      </c>
      <c r="L187">
        <v>68.77</v>
      </c>
    </row>
    <row r="188" spans="1:12" x14ac:dyDescent="0.2">
      <c r="A188" s="4">
        <v>187</v>
      </c>
      <c r="B188" t="s">
        <v>816</v>
      </c>
      <c r="C188">
        <v>70.33</v>
      </c>
      <c r="D188">
        <v>15</v>
      </c>
      <c r="E188">
        <v>13</v>
      </c>
      <c r="F188">
        <v>69.31</v>
      </c>
      <c r="G188">
        <v>0</v>
      </c>
      <c r="H188">
        <v>0</v>
      </c>
      <c r="I188">
        <v>0</v>
      </c>
      <c r="J188">
        <v>2</v>
      </c>
      <c r="K188">
        <v>69.5</v>
      </c>
      <c r="L188">
        <v>70.849999999999994</v>
      </c>
    </row>
    <row r="189" spans="1:12" x14ac:dyDescent="0.2">
      <c r="A189" s="4">
        <v>188</v>
      </c>
      <c r="B189" t="s">
        <v>202</v>
      </c>
      <c r="C189">
        <v>70.31</v>
      </c>
      <c r="D189">
        <v>13</v>
      </c>
      <c r="E189">
        <v>18</v>
      </c>
      <c r="F189">
        <v>73.099999999999994</v>
      </c>
      <c r="G189">
        <v>0</v>
      </c>
      <c r="H189">
        <v>3</v>
      </c>
      <c r="I189">
        <v>0</v>
      </c>
      <c r="J189">
        <v>4</v>
      </c>
      <c r="K189">
        <v>70.45</v>
      </c>
      <c r="L189">
        <v>69.87</v>
      </c>
    </row>
    <row r="190" spans="1:12" x14ac:dyDescent="0.2">
      <c r="A190" s="4">
        <v>189</v>
      </c>
      <c r="B190" t="s">
        <v>188</v>
      </c>
      <c r="C190">
        <v>70.290000000000006</v>
      </c>
      <c r="D190">
        <v>14</v>
      </c>
      <c r="E190">
        <v>16</v>
      </c>
      <c r="F190">
        <v>71.989999999999995</v>
      </c>
      <c r="G190">
        <v>0</v>
      </c>
      <c r="H190">
        <v>1</v>
      </c>
      <c r="I190">
        <v>0</v>
      </c>
      <c r="J190">
        <v>1</v>
      </c>
      <c r="K190">
        <v>71</v>
      </c>
      <c r="L190">
        <v>69.28</v>
      </c>
    </row>
    <row r="191" spans="1:12" x14ac:dyDescent="0.2">
      <c r="A191" s="4">
        <v>190</v>
      </c>
      <c r="B191" t="s">
        <v>79</v>
      </c>
      <c r="C191">
        <v>70.28</v>
      </c>
      <c r="D191">
        <v>7</v>
      </c>
      <c r="E191">
        <v>22</v>
      </c>
      <c r="F191">
        <v>78.209999999999994</v>
      </c>
      <c r="G191">
        <v>0</v>
      </c>
      <c r="H191">
        <v>9</v>
      </c>
      <c r="I191">
        <v>0</v>
      </c>
      <c r="J191">
        <v>11</v>
      </c>
      <c r="K191">
        <v>68.58</v>
      </c>
      <c r="L191">
        <v>71.63</v>
      </c>
    </row>
    <row r="192" spans="1:12" x14ac:dyDescent="0.2">
      <c r="A192" s="4">
        <v>191</v>
      </c>
      <c r="B192" t="s">
        <v>244</v>
      </c>
      <c r="C192">
        <v>70.180000000000007</v>
      </c>
      <c r="D192">
        <v>15</v>
      </c>
      <c r="E192">
        <v>15</v>
      </c>
      <c r="F192">
        <v>69.62</v>
      </c>
      <c r="G192">
        <v>0</v>
      </c>
      <c r="H192">
        <v>1</v>
      </c>
      <c r="I192">
        <v>0</v>
      </c>
      <c r="J192">
        <v>2</v>
      </c>
      <c r="K192">
        <v>70.17</v>
      </c>
      <c r="L192">
        <v>69.91</v>
      </c>
    </row>
    <row r="193" spans="1:12" x14ac:dyDescent="0.2">
      <c r="A193" s="4">
        <v>192</v>
      </c>
      <c r="B193" t="s">
        <v>150</v>
      </c>
      <c r="C193">
        <v>70.040000000000006</v>
      </c>
      <c r="D193">
        <v>14</v>
      </c>
      <c r="E193">
        <v>17</v>
      </c>
      <c r="F193">
        <v>72.13</v>
      </c>
      <c r="G193">
        <v>0</v>
      </c>
      <c r="H193">
        <v>0</v>
      </c>
      <c r="I193">
        <v>0</v>
      </c>
      <c r="J193">
        <v>0</v>
      </c>
      <c r="K193">
        <v>70.88</v>
      </c>
      <c r="L193">
        <v>68.89</v>
      </c>
    </row>
    <row r="194" spans="1:12" x14ac:dyDescent="0.2">
      <c r="A194" s="4">
        <v>193</v>
      </c>
      <c r="B194" t="s">
        <v>92</v>
      </c>
      <c r="C194">
        <v>69.97</v>
      </c>
      <c r="D194">
        <v>10</v>
      </c>
      <c r="E194">
        <v>18</v>
      </c>
      <c r="F194">
        <v>73.97</v>
      </c>
      <c r="G194">
        <v>0</v>
      </c>
      <c r="H194">
        <v>0</v>
      </c>
      <c r="I194">
        <v>0</v>
      </c>
      <c r="J194">
        <v>6</v>
      </c>
      <c r="K194">
        <v>68.92</v>
      </c>
      <c r="L194">
        <v>70.709999999999994</v>
      </c>
    </row>
    <row r="195" spans="1:12" x14ac:dyDescent="0.2">
      <c r="A195" s="4">
        <v>194</v>
      </c>
      <c r="B195" t="s">
        <v>253</v>
      </c>
      <c r="C195">
        <v>69.86</v>
      </c>
      <c r="D195">
        <v>18</v>
      </c>
      <c r="E195">
        <v>12</v>
      </c>
      <c r="F195">
        <v>67.52</v>
      </c>
      <c r="G195">
        <v>0</v>
      </c>
      <c r="H195">
        <v>0</v>
      </c>
      <c r="I195">
        <v>0</v>
      </c>
      <c r="J195">
        <v>0</v>
      </c>
      <c r="K195">
        <v>71.58</v>
      </c>
      <c r="L195">
        <v>67.760000000000005</v>
      </c>
    </row>
    <row r="196" spans="1:12" x14ac:dyDescent="0.2">
      <c r="A196" s="4">
        <v>195</v>
      </c>
      <c r="B196" t="s">
        <v>140</v>
      </c>
      <c r="C196">
        <v>69.849999999999994</v>
      </c>
      <c r="D196">
        <v>18</v>
      </c>
      <c r="E196">
        <v>14</v>
      </c>
      <c r="F196">
        <v>68.98</v>
      </c>
      <c r="G196">
        <v>0</v>
      </c>
      <c r="H196">
        <v>1</v>
      </c>
      <c r="I196">
        <v>0</v>
      </c>
      <c r="J196">
        <v>1</v>
      </c>
      <c r="K196">
        <v>70.900000000000006</v>
      </c>
      <c r="L196">
        <v>68.48</v>
      </c>
    </row>
    <row r="197" spans="1:12" x14ac:dyDescent="0.2">
      <c r="A197" s="4">
        <v>196</v>
      </c>
      <c r="B197" t="s">
        <v>227</v>
      </c>
      <c r="C197">
        <v>69.819999999999993</v>
      </c>
      <c r="D197">
        <v>13</v>
      </c>
      <c r="E197">
        <v>13</v>
      </c>
      <c r="F197">
        <v>69.56</v>
      </c>
      <c r="G197">
        <v>0</v>
      </c>
      <c r="H197">
        <v>0</v>
      </c>
      <c r="I197">
        <v>0</v>
      </c>
      <c r="J197">
        <v>1</v>
      </c>
      <c r="K197">
        <v>69.959999999999994</v>
      </c>
      <c r="L197">
        <v>69.400000000000006</v>
      </c>
    </row>
    <row r="198" spans="1:12" x14ac:dyDescent="0.2">
      <c r="A198" s="4">
        <v>197</v>
      </c>
      <c r="B198" t="s">
        <v>71</v>
      </c>
      <c r="C198">
        <v>69.760000000000005</v>
      </c>
      <c r="D198">
        <v>11</v>
      </c>
      <c r="E198">
        <v>20</v>
      </c>
      <c r="F198">
        <v>76.180000000000007</v>
      </c>
      <c r="G198">
        <v>1</v>
      </c>
      <c r="H198">
        <v>7</v>
      </c>
      <c r="I198">
        <v>2</v>
      </c>
      <c r="J198">
        <v>10</v>
      </c>
      <c r="K198">
        <v>70.430000000000007</v>
      </c>
      <c r="L198">
        <v>68.790000000000006</v>
      </c>
    </row>
    <row r="199" spans="1:12" x14ac:dyDescent="0.2">
      <c r="A199" s="4">
        <v>198</v>
      </c>
      <c r="B199" t="s">
        <v>296</v>
      </c>
      <c r="C199">
        <v>69.709999999999994</v>
      </c>
      <c r="D199">
        <v>17</v>
      </c>
      <c r="E199">
        <v>13</v>
      </c>
      <c r="F199">
        <v>69.290000000000006</v>
      </c>
      <c r="G199">
        <v>0</v>
      </c>
      <c r="H199">
        <v>2</v>
      </c>
      <c r="I199">
        <v>0</v>
      </c>
      <c r="J199">
        <v>3</v>
      </c>
      <c r="K199">
        <v>70.319999999999993</v>
      </c>
      <c r="L199">
        <v>68.8</v>
      </c>
    </row>
    <row r="200" spans="1:12" x14ac:dyDescent="0.2">
      <c r="A200" s="4">
        <v>199</v>
      </c>
      <c r="B200" t="s">
        <v>246</v>
      </c>
      <c r="C200">
        <v>69.63</v>
      </c>
      <c r="D200">
        <v>18</v>
      </c>
      <c r="E200">
        <v>14</v>
      </c>
      <c r="F200">
        <v>68.5</v>
      </c>
      <c r="G200">
        <v>0</v>
      </c>
      <c r="H200">
        <v>0</v>
      </c>
      <c r="I200">
        <v>0</v>
      </c>
      <c r="J200">
        <v>0</v>
      </c>
      <c r="K200">
        <v>70.7</v>
      </c>
      <c r="L200">
        <v>68.22</v>
      </c>
    </row>
    <row r="201" spans="1:12" x14ac:dyDescent="0.2">
      <c r="A201" s="4">
        <v>200</v>
      </c>
      <c r="B201" t="s">
        <v>123</v>
      </c>
      <c r="C201">
        <v>69.59</v>
      </c>
      <c r="D201">
        <v>12</v>
      </c>
      <c r="E201">
        <v>16</v>
      </c>
      <c r="F201">
        <v>73.69</v>
      </c>
      <c r="G201">
        <v>0</v>
      </c>
      <c r="H201">
        <v>4</v>
      </c>
      <c r="I201">
        <v>1</v>
      </c>
      <c r="J201">
        <v>5</v>
      </c>
      <c r="K201">
        <v>70.8</v>
      </c>
      <c r="L201">
        <v>68.040000000000006</v>
      </c>
    </row>
    <row r="202" spans="1:12" x14ac:dyDescent="0.2">
      <c r="A202" s="4">
        <v>201</v>
      </c>
      <c r="B202" t="s">
        <v>903</v>
      </c>
      <c r="C202">
        <v>69.58</v>
      </c>
      <c r="D202">
        <v>15</v>
      </c>
      <c r="E202">
        <v>15</v>
      </c>
      <c r="F202">
        <v>68.44</v>
      </c>
      <c r="G202">
        <v>0</v>
      </c>
      <c r="H202">
        <v>1</v>
      </c>
      <c r="I202">
        <v>0</v>
      </c>
      <c r="J202">
        <v>1</v>
      </c>
      <c r="K202">
        <v>67.86</v>
      </c>
      <c r="L202">
        <v>70.92</v>
      </c>
    </row>
    <row r="203" spans="1:12" x14ac:dyDescent="0.2">
      <c r="A203" s="4">
        <v>202</v>
      </c>
      <c r="B203" t="s">
        <v>291</v>
      </c>
      <c r="C203">
        <v>69.28</v>
      </c>
      <c r="D203">
        <v>15</v>
      </c>
      <c r="E203">
        <v>16</v>
      </c>
      <c r="F203">
        <v>69.489999999999995</v>
      </c>
      <c r="G203">
        <v>0</v>
      </c>
      <c r="H203">
        <v>1</v>
      </c>
      <c r="I203">
        <v>0</v>
      </c>
      <c r="J203">
        <v>4</v>
      </c>
      <c r="K203">
        <v>67.73</v>
      </c>
      <c r="L203">
        <v>70.459999999999994</v>
      </c>
    </row>
    <row r="204" spans="1:12" x14ac:dyDescent="0.2">
      <c r="A204" s="4">
        <v>203</v>
      </c>
      <c r="B204" t="s">
        <v>557</v>
      </c>
      <c r="C204">
        <v>69.2</v>
      </c>
      <c r="D204">
        <v>11</v>
      </c>
      <c r="E204">
        <v>18</v>
      </c>
      <c r="F204">
        <v>73.97</v>
      </c>
      <c r="G204">
        <v>0</v>
      </c>
      <c r="H204">
        <v>3</v>
      </c>
      <c r="I204">
        <v>0</v>
      </c>
      <c r="J204">
        <v>4</v>
      </c>
      <c r="K204">
        <v>68.55</v>
      </c>
      <c r="L204">
        <v>69.540000000000006</v>
      </c>
    </row>
    <row r="205" spans="1:12" x14ac:dyDescent="0.2">
      <c r="A205" s="4">
        <v>204</v>
      </c>
      <c r="B205" t="s">
        <v>89</v>
      </c>
      <c r="C205">
        <v>69.19</v>
      </c>
      <c r="D205">
        <v>16</v>
      </c>
      <c r="E205">
        <v>15</v>
      </c>
      <c r="F205">
        <v>68.25</v>
      </c>
      <c r="G205">
        <v>0</v>
      </c>
      <c r="H205">
        <v>0</v>
      </c>
      <c r="I205">
        <v>0</v>
      </c>
      <c r="J205">
        <v>1</v>
      </c>
      <c r="K205">
        <v>68.47</v>
      </c>
      <c r="L205">
        <v>69.61</v>
      </c>
    </row>
    <row r="206" spans="1:12" x14ac:dyDescent="0.2">
      <c r="A206" s="4">
        <v>205</v>
      </c>
      <c r="B206" t="s">
        <v>192</v>
      </c>
      <c r="C206">
        <v>69.19</v>
      </c>
      <c r="D206">
        <v>12</v>
      </c>
      <c r="E206">
        <v>16</v>
      </c>
      <c r="F206">
        <v>70.099999999999994</v>
      </c>
      <c r="G206">
        <v>0</v>
      </c>
      <c r="H206">
        <v>1</v>
      </c>
      <c r="I206">
        <v>0</v>
      </c>
      <c r="J206">
        <v>2</v>
      </c>
      <c r="K206">
        <v>67.06</v>
      </c>
      <c r="L206">
        <v>70.88</v>
      </c>
    </row>
    <row r="207" spans="1:12" x14ac:dyDescent="0.2">
      <c r="A207" s="4">
        <v>206</v>
      </c>
      <c r="B207" t="s">
        <v>211</v>
      </c>
      <c r="C207">
        <v>69.12</v>
      </c>
      <c r="D207">
        <v>13</v>
      </c>
      <c r="E207">
        <v>14</v>
      </c>
      <c r="F207">
        <v>68.430000000000007</v>
      </c>
      <c r="G207">
        <v>0</v>
      </c>
      <c r="H207">
        <v>0</v>
      </c>
      <c r="I207">
        <v>0</v>
      </c>
      <c r="J207">
        <v>2</v>
      </c>
      <c r="K207">
        <v>67.48</v>
      </c>
      <c r="L207">
        <v>70.38</v>
      </c>
    </row>
    <row r="208" spans="1:12" x14ac:dyDescent="0.2">
      <c r="A208" s="4">
        <v>207</v>
      </c>
      <c r="B208" t="s">
        <v>283</v>
      </c>
      <c r="C208">
        <v>68.97</v>
      </c>
      <c r="D208">
        <v>16</v>
      </c>
      <c r="E208">
        <v>14</v>
      </c>
      <c r="F208">
        <v>66.91</v>
      </c>
      <c r="G208">
        <v>0</v>
      </c>
      <c r="H208">
        <v>0</v>
      </c>
      <c r="I208">
        <v>0</v>
      </c>
      <c r="J208">
        <v>0</v>
      </c>
      <c r="K208">
        <v>68.91</v>
      </c>
      <c r="L208">
        <v>68.739999999999995</v>
      </c>
    </row>
    <row r="209" spans="1:12" x14ac:dyDescent="0.2">
      <c r="A209" s="4">
        <v>208</v>
      </c>
      <c r="B209" t="s">
        <v>831</v>
      </c>
      <c r="C209">
        <v>68.84</v>
      </c>
      <c r="D209">
        <v>7</v>
      </c>
      <c r="E209">
        <v>21</v>
      </c>
      <c r="F209">
        <v>76.52</v>
      </c>
      <c r="G209">
        <v>0</v>
      </c>
      <c r="H209">
        <v>4</v>
      </c>
      <c r="I209">
        <v>0</v>
      </c>
      <c r="J209">
        <v>4</v>
      </c>
      <c r="K209">
        <v>68.75</v>
      </c>
      <c r="L209">
        <v>68.64</v>
      </c>
    </row>
    <row r="210" spans="1:12" x14ac:dyDescent="0.2">
      <c r="A210" s="4">
        <v>209</v>
      </c>
      <c r="B210" t="s">
        <v>209</v>
      </c>
      <c r="C210">
        <v>68.61</v>
      </c>
      <c r="D210">
        <v>14</v>
      </c>
      <c r="E210">
        <v>16</v>
      </c>
      <c r="F210">
        <v>68.69</v>
      </c>
      <c r="G210">
        <v>0</v>
      </c>
      <c r="H210">
        <v>0</v>
      </c>
      <c r="I210">
        <v>0</v>
      </c>
      <c r="J210">
        <v>2</v>
      </c>
      <c r="K210">
        <v>67.42</v>
      </c>
      <c r="L210">
        <v>69.459999999999994</v>
      </c>
    </row>
    <row r="211" spans="1:12" x14ac:dyDescent="0.2">
      <c r="A211" s="4">
        <v>210</v>
      </c>
      <c r="B211" t="s">
        <v>174</v>
      </c>
      <c r="C211">
        <v>68.61</v>
      </c>
      <c r="D211">
        <v>13</v>
      </c>
      <c r="E211">
        <v>17</v>
      </c>
      <c r="F211">
        <v>70.34</v>
      </c>
      <c r="G211">
        <v>0</v>
      </c>
      <c r="H211">
        <v>0</v>
      </c>
      <c r="I211">
        <v>0</v>
      </c>
      <c r="J211">
        <v>0</v>
      </c>
      <c r="K211">
        <v>68.88</v>
      </c>
      <c r="L211">
        <v>68.040000000000006</v>
      </c>
    </row>
    <row r="212" spans="1:12" x14ac:dyDescent="0.2">
      <c r="A212" s="4">
        <v>211</v>
      </c>
      <c r="B212" t="s">
        <v>116</v>
      </c>
      <c r="C212">
        <v>68.540000000000006</v>
      </c>
      <c r="D212">
        <v>9</v>
      </c>
      <c r="E212">
        <v>20</v>
      </c>
      <c r="F212">
        <v>73.849999999999994</v>
      </c>
      <c r="G212">
        <v>0</v>
      </c>
      <c r="H212">
        <v>1</v>
      </c>
      <c r="I212">
        <v>0</v>
      </c>
      <c r="J212">
        <v>2</v>
      </c>
      <c r="K212">
        <v>67.78</v>
      </c>
      <c r="L212">
        <v>68.98</v>
      </c>
    </row>
    <row r="213" spans="1:12" x14ac:dyDescent="0.2">
      <c r="A213" s="4">
        <v>212</v>
      </c>
      <c r="B213" t="s">
        <v>148</v>
      </c>
      <c r="C213">
        <v>68.5</v>
      </c>
      <c r="D213">
        <v>15</v>
      </c>
      <c r="E213">
        <v>18</v>
      </c>
      <c r="F213">
        <v>70.64</v>
      </c>
      <c r="G213">
        <v>0</v>
      </c>
      <c r="H213">
        <v>1</v>
      </c>
      <c r="I213">
        <v>0</v>
      </c>
      <c r="J213">
        <v>3</v>
      </c>
      <c r="K213">
        <v>68.66</v>
      </c>
      <c r="L213">
        <v>68.040000000000006</v>
      </c>
    </row>
    <row r="214" spans="1:12" x14ac:dyDescent="0.2">
      <c r="A214" s="4">
        <v>213</v>
      </c>
      <c r="B214" t="s">
        <v>798</v>
      </c>
      <c r="C214">
        <v>68.489999999999995</v>
      </c>
      <c r="D214">
        <v>16</v>
      </c>
      <c r="E214">
        <v>13</v>
      </c>
      <c r="F214">
        <v>67.22</v>
      </c>
      <c r="G214">
        <v>0</v>
      </c>
      <c r="H214">
        <v>0</v>
      </c>
      <c r="I214">
        <v>0</v>
      </c>
      <c r="J214">
        <v>2</v>
      </c>
      <c r="K214">
        <v>68.02</v>
      </c>
      <c r="L214">
        <v>68.67</v>
      </c>
    </row>
    <row r="215" spans="1:12" x14ac:dyDescent="0.2">
      <c r="A215" s="4">
        <v>214</v>
      </c>
      <c r="B215" t="s">
        <v>823</v>
      </c>
      <c r="C215">
        <v>68.31</v>
      </c>
      <c r="D215">
        <v>13</v>
      </c>
      <c r="E215">
        <v>15</v>
      </c>
      <c r="F215">
        <v>69.459999999999994</v>
      </c>
      <c r="G215">
        <v>0</v>
      </c>
      <c r="H215">
        <v>0</v>
      </c>
      <c r="I215">
        <v>0</v>
      </c>
      <c r="J215">
        <v>1</v>
      </c>
      <c r="K215">
        <v>67.75</v>
      </c>
      <c r="L215">
        <v>68.569999999999993</v>
      </c>
    </row>
    <row r="216" spans="1:12" x14ac:dyDescent="0.2">
      <c r="A216" s="4">
        <v>215</v>
      </c>
      <c r="B216" t="s">
        <v>804</v>
      </c>
      <c r="C216">
        <v>68.290000000000006</v>
      </c>
      <c r="D216">
        <v>12</v>
      </c>
      <c r="E216">
        <v>19</v>
      </c>
      <c r="F216">
        <v>70.89</v>
      </c>
      <c r="G216">
        <v>0</v>
      </c>
      <c r="H216">
        <v>1</v>
      </c>
      <c r="I216">
        <v>0</v>
      </c>
      <c r="J216">
        <v>4</v>
      </c>
      <c r="K216">
        <v>66.3</v>
      </c>
      <c r="L216">
        <v>69.81</v>
      </c>
    </row>
    <row r="217" spans="1:12" x14ac:dyDescent="0.2">
      <c r="A217" s="4">
        <v>216</v>
      </c>
      <c r="B217" t="s">
        <v>142</v>
      </c>
      <c r="C217">
        <v>68.23</v>
      </c>
      <c r="D217">
        <v>12</v>
      </c>
      <c r="E217">
        <v>18</v>
      </c>
      <c r="F217">
        <v>71.03</v>
      </c>
      <c r="G217">
        <v>0</v>
      </c>
      <c r="H217">
        <v>0</v>
      </c>
      <c r="I217">
        <v>0</v>
      </c>
      <c r="J217">
        <v>1</v>
      </c>
      <c r="K217">
        <v>68.48</v>
      </c>
      <c r="L217">
        <v>67.69</v>
      </c>
    </row>
    <row r="218" spans="1:12" x14ac:dyDescent="0.2">
      <c r="A218" s="4">
        <v>217</v>
      </c>
      <c r="B218" t="s">
        <v>234</v>
      </c>
      <c r="C218">
        <v>68.11</v>
      </c>
      <c r="D218">
        <v>8</v>
      </c>
      <c r="E218">
        <v>21</v>
      </c>
      <c r="F218">
        <v>74.94</v>
      </c>
      <c r="G218">
        <v>0</v>
      </c>
      <c r="H218">
        <v>3</v>
      </c>
      <c r="I218">
        <v>0</v>
      </c>
      <c r="J218">
        <v>3</v>
      </c>
      <c r="K218">
        <v>68.010000000000005</v>
      </c>
      <c r="L218">
        <v>67.930000000000007</v>
      </c>
    </row>
    <row r="219" spans="1:12" x14ac:dyDescent="0.2">
      <c r="A219" s="4">
        <v>218</v>
      </c>
      <c r="B219" t="s">
        <v>869</v>
      </c>
      <c r="C219">
        <v>68.069999999999993</v>
      </c>
      <c r="D219">
        <v>13</v>
      </c>
      <c r="E219">
        <v>14</v>
      </c>
      <c r="F219">
        <v>68.150000000000006</v>
      </c>
      <c r="G219">
        <v>0</v>
      </c>
      <c r="H219">
        <v>1</v>
      </c>
      <c r="I219">
        <v>0</v>
      </c>
      <c r="J219">
        <v>1</v>
      </c>
      <c r="K219">
        <v>68.010000000000005</v>
      </c>
      <c r="L219">
        <v>67.849999999999994</v>
      </c>
    </row>
    <row r="220" spans="1:12" x14ac:dyDescent="0.2">
      <c r="A220" s="4">
        <v>219</v>
      </c>
      <c r="B220" t="s">
        <v>884</v>
      </c>
      <c r="C220">
        <v>68.06</v>
      </c>
      <c r="D220">
        <v>14</v>
      </c>
      <c r="E220">
        <v>16</v>
      </c>
      <c r="F220">
        <v>68.290000000000006</v>
      </c>
      <c r="G220">
        <v>0</v>
      </c>
      <c r="H220">
        <v>0</v>
      </c>
      <c r="I220">
        <v>0</v>
      </c>
      <c r="J220">
        <v>1</v>
      </c>
      <c r="K220">
        <v>67.39</v>
      </c>
      <c r="L220">
        <v>68.41</v>
      </c>
    </row>
    <row r="221" spans="1:12" x14ac:dyDescent="0.2">
      <c r="A221" s="4">
        <v>220</v>
      </c>
      <c r="B221" t="s">
        <v>559</v>
      </c>
      <c r="C221">
        <v>68.040000000000006</v>
      </c>
      <c r="D221">
        <v>15</v>
      </c>
      <c r="E221">
        <v>15</v>
      </c>
      <c r="F221">
        <v>68.02</v>
      </c>
      <c r="G221">
        <v>0</v>
      </c>
      <c r="H221">
        <v>1</v>
      </c>
      <c r="I221">
        <v>0</v>
      </c>
      <c r="J221">
        <v>1</v>
      </c>
      <c r="K221">
        <v>67.97</v>
      </c>
      <c r="L221">
        <v>67.819999999999993</v>
      </c>
    </row>
    <row r="222" spans="1:12" x14ac:dyDescent="0.2">
      <c r="A222" s="4">
        <v>221</v>
      </c>
      <c r="B222" t="s">
        <v>144</v>
      </c>
      <c r="C222">
        <v>68</v>
      </c>
      <c r="D222">
        <v>12</v>
      </c>
      <c r="E222">
        <v>15</v>
      </c>
      <c r="F222">
        <v>71.28</v>
      </c>
      <c r="G222">
        <v>0</v>
      </c>
      <c r="H222">
        <v>3</v>
      </c>
      <c r="I222">
        <v>0</v>
      </c>
      <c r="J222">
        <v>4</v>
      </c>
      <c r="K222">
        <v>68.14</v>
      </c>
      <c r="L222">
        <v>67.58</v>
      </c>
    </row>
    <row r="223" spans="1:12" x14ac:dyDescent="0.2">
      <c r="A223" s="4">
        <v>222</v>
      </c>
      <c r="B223" t="s">
        <v>834</v>
      </c>
      <c r="C223">
        <v>67.88</v>
      </c>
      <c r="D223">
        <v>17</v>
      </c>
      <c r="E223">
        <v>11</v>
      </c>
      <c r="F223">
        <v>63.79</v>
      </c>
      <c r="G223">
        <v>0</v>
      </c>
      <c r="H223">
        <v>0</v>
      </c>
      <c r="I223">
        <v>0</v>
      </c>
      <c r="J223">
        <v>1</v>
      </c>
      <c r="K223">
        <v>66.55</v>
      </c>
      <c r="L223">
        <v>68.84</v>
      </c>
    </row>
    <row r="224" spans="1:12" x14ac:dyDescent="0.2">
      <c r="A224" s="4">
        <v>223</v>
      </c>
      <c r="B224" t="s">
        <v>222</v>
      </c>
      <c r="C224">
        <v>67.849999999999994</v>
      </c>
      <c r="D224">
        <v>18</v>
      </c>
      <c r="E224">
        <v>16</v>
      </c>
      <c r="F224">
        <v>69.040000000000006</v>
      </c>
      <c r="G224">
        <v>0</v>
      </c>
      <c r="H224">
        <v>1</v>
      </c>
      <c r="I224">
        <v>0</v>
      </c>
      <c r="J224">
        <v>3</v>
      </c>
      <c r="K224">
        <v>68.91</v>
      </c>
      <c r="L224">
        <v>66.430000000000007</v>
      </c>
    </row>
    <row r="225" spans="1:12" x14ac:dyDescent="0.2">
      <c r="A225" s="4">
        <v>224</v>
      </c>
      <c r="B225" t="s">
        <v>164</v>
      </c>
      <c r="C225">
        <v>67.8</v>
      </c>
      <c r="D225">
        <v>11</v>
      </c>
      <c r="E225">
        <v>18</v>
      </c>
      <c r="F225">
        <v>71.8</v>
      </c>
      <c r="G225">
        <v>0</v>
      </c>
      <c r="H225">
        <v>0</v>
      </c>
      <c r="I225">
        <v>0</v>
      </c>
      <c r="J225">
        <v>2</v>
      </c>
      <c r="K225">
        <v>67.09</v>
      </c>
      <c r="L225">
        <v>68.209999999999994</v>
      </c>
    </row>
    <row r="226" spans="1:12" x14ac:dyDescent="0.2">
      <c r="A226" s="4">
        <v>225</v>
      </c>
      <c r="B226" t="s">
        <v>252</v>
      </c>
      <c r="C226">
        <v>67.77</v>
      </c>
      <c r="D226">
        <v>12</v>
      </c>
      <c r="E226">
        <v>19</v>
      </c>
      <c r="F226">
        <v>71.040000000000006</v>
      </c>
      <c r="G226">
        <v>0</v>
      </c>
      <c r="H226">
        <v>0</v>
      </c>
      <c r="I226">
        <v>0</v>
      </c>
      <c r="J226">
        <v>1</v>
      </c>
      <c r="K226">
        <v>68.25</v>
      </c>
      <c r="L226">
        <v>66.989999999999995</v>
      </c>
    </row>
    <row r="227" spans="1:12" x14ac:dyDescent="0.2">
      <c r="A227" s="4">
        <v>226</v>
      </c>
      <c r="B227" t="s">
        <v>275</v>
      </c>
      <c r="C227">
        <v>67.75</v>
      </c>
      <c r="D227">
        <v>9</v>
      </c>
      <c r="E227">
        <v>18</v>
      </c>
      <c r="F227">
        <v>73.44</v>
      </c>
      <c r="G227">
        <v>0</v>
      </c>
      <c r="H227">
        <v>2</v>
      </c>
      <c r="I227">
        <v>0</v>
      </c>
      <c r="J227">
        <v>2</v>
      </c>
      <c r="K227">
        <v>67.69</v>
      </c>
      <c r="L227">
        <v>67.53</v>
      </c>
    </row>
    <row r="228" spans="1:12" x14ac:dyDescent="0.2">
      <c r="A228" s="4">
        <v>227</v>
      </c>
      <c r="B228" t="s">
        <v>108</v>
      </c>
      <c r="C228">
        <v>67.72</v>
      </c>
      <c r="D228">
        <v>13</v>
      </c>
      <c r="E228">
        <v>18</v>
      </c>
      <c r="F228">
        <v>70.739999999999995</v>
      </c>
      <c r="G228">
        <v>0</v>
      </c>
      <c r="H228">
        <v>0</v>
      </c>
      <c r="I228">
        <v>0</v>
      </c>
      <c r="J228">
        <v>0</v>
      </c>
      <c r="K228">
        <v>68.64</v>
      </c>
      <c r="L228">
        <v>66.45</v>
      </c>
    </row>
    <row r="229" spans="1:12" x14ac:dyDescent="0.2">
      <c r="A229" s="4">
        <v>228</v>
      </c>
      <c r="B229" t="s">
        <v>137</v>
      </c>
      <c r="C229">
        <v>67.67</v>
      </c>
      <c r="D229">
        <v>13</v>
      </c>
      <c r="E229">
        <v>16</v>
      </c>
      <c r="F229">
        <v>68.52</v>
      </c>
      <c r="G229">
        <v>0</v>
      </c>
      <c r="H229">
        <v>0</v>
      </c>
      <c r="I229">
        <v>0</v>
      </c>
      <c r="J229">
        <v>1</v>
      </c>
      <c r="K229">
        <v>66.040000000000006</v>
      </c>
      <c r="L229">
        <v>68.88</v>
      </c>
    </row>
    <row r="230" spans="1:12" x14ac:dyDescent="0.2">
      <c r="A230" s="4">
        <v>229</v>
      </c>
      <c r="B230" t="s">
        <v>203</v>
      </c>
      <c r="C230">
        <v>67.63</v>
      </c>
      <c r="D230">
        <v>15</v>
      </c>
      <c r="E230">
        <v>15</v>
      </c>
      <c r="F230">
        <v>67.739999999999995</v>
      </c>
      <c r="G230">
        <v>0</v>
      </c>
      <c r="H230">
        <v>0</v>
      </c>
      <c r="I230">
        <v>0</v>
      </c>
      <c r="J230">
        <v>1</v>
      </c>
      <c r="K230">
        <v>68.06</v>
      </c>
      <c r="L230">
        <v>66.91</v>
      </c>
    </row>
    <row r="231" spans="1:12" x14ac:dyDescent="0.2">
      <c r="A231" s="4">
        <v>230</v>
      </c>
      <c r="B231" t="s">
        <v>162</v>
      </c>
      <c r="C231">
        <v>67.48</v>
      </c>
      <c r="D231">
        <v>12</v>
      </c>
      <c r="E231">
        <v>20</v>
      </c>
      <c r="F231">
        <v>71.540000000000006</v>
      </c>
      <c r="G231">
        <v>0</v>
      </c>
      <c r="H231">
        <v>0</v>
      </c>
      <c r="I231">
        <v>0</v>
      </c>
      <c r="J231">
        <v>0</v>
      </c>
      <c r="K231">
        <v>68.39</v>
      </c>
      <c r="L231">
        <v>66.23</v>
      </c>
    </row>
    <row r="232" spans="1:12" x14ac:dyDescent="0.2">
      <c r="A232" s="4">
        <v>231</v>
      </c>
      <c r="B232" t="s">
        <v>901</v>
      </c>
      <c r="C232">
        <v>67.38</v>
      </c>
      <c r="D232">
        <v>14</v>
      </c>
      <c r="E232">
        <v>16</v>
      </c>
      <c r="F232">
        <v>68.14</v>
      </c>
      <c r="G232">
        <v>0</v>
      </c>
      <c r="H232">
        <v>0</v>
      </c>
      <c r="I232">
        <v>0</v>
      </c>
      <c r="J232">
        <v>0</v>
      </c>
      <c r="K232">
        <v>66.77</v>
      </c>
      <c r="L232">
        <v>67.680000000000007</v>
      </c>
    </row>
    <row r="233" spans="1:12" x14ac:dyDescent="0.2">
      <c r="A233" s="4">
        <v>232</v>
      </c>
      <c r="B233" t="s">
        <v>548</v>
      </c>
      <c r="C233">
        <v>67.34</v>
      </c>
      <c r="D233">
        <v>12</v>
      </c>
      <c r="E233">
        <v>20</v>
      </c>
      <c r="F233">
        <v>71.53</v>
      </c>
      <c r="G233">
        <v>0</v>
      </c>
      <c r="H233">
        <v>2</v>
      </c>
      <c r="I233">
        <v>0</v>
      </c>
      <c r="J233">
        <v>3</v>
      </c>
      <c r="K233">
        <v>66.63</v>
      </c>
      <c r="L233">
        <v>67.739999999999995</v>
      </c>
    </row>
    <row r="234" spans="1:12" x14ac:dyDescent="0.2">
      <c r="A234" s="4">
        <v>233</v>
      </c>
      <c r="B234" t="s">
        <v>201</v>
      </c>
      <c r="C234">
        <v>67.33</v>
      </c>
      <c r="D234">
        <v>10</v>
      </c>
      <c r="E234">
        <v>21</v>
      </c>
      <c r="F234">
        <v>73.87</v>
      </c>
      <c r="G234">
        <v>0</v>
      </c>
      <c r="H234">
        <v>1</v>
      </c>
      <c r="I234">
        <v>0</v>
      </c>
      <c r="J234">
        <v>7</v>
      </c>
      <c r="K234">
        <v>67.349999999999994</v>
      </c>
      <c r="L234">
        <v>67.03</v>
      </c>
    </row>
    <row r="235" spans="1:12" x14ac:dyDescent="0.2">
      <c r="A235" s="4">
        <v>234</v>
      </c>
      <c r="B235" t="s">
        <v>294</v>
      </c>
      <c r="C235">
        <v>67.290000000000006</v>
      </c>
      <c r="D235">
        <v>10</v>
      </c>
      <c r="E235">
        <v>19</v>
      </c>
      <c r="F235">
        <v>72</v>
      </c>
      <c r="G235">
        <v>0</v>
      </c>
      <c r="H235">
        <v>0</v>
      </c>
      <c r="I235">
        <v>0</v>
      </c>
      <c r="J235">
        <v>3</v>
      </c>
      <c r="K235">
        <v>67.02</v>
      </c>
      <c r="L235">
        <v>67.27</v>
      </c>
    </row>
    <row r="236" spans="1:12" x14ac:dyDescent="0.2">
      <c r="A236" s="4">
        <v>235</v>
      </c>
      <c r="B236" t="s">
        <v>241</v>
      </c>
      <c r="C236">
        <v>67.239999999999995</v>
      </c>
      <c r="D236">
        <v>10</v>
      </c>
      <c r="E236">
        <v>19</v>
      </c>
      <c r="F236">
        <v>71.900000000000006</v>
      </c>
      <c r="G236">
        <v>0</v>
      </c>
      <c r="H236">
        <v>0</v>
      </c>
      <c r="I236">
        <v>0</v>
      </c>
      <c r="J236">
        <v>2</v>
      </c>
      <c r="K236">
        <v>66.73</v>
      </c>
      <c r="L236">
        <v>67.45</v>
      </c>
    </row>
    <row r="237" spans="1:12" x14ac:dyDescent="0.2">
      <c r="A237" s="4">
        <v>236</v>
      </c>
      <c r="B237" t="s">
        <v>562</v>
      </c>
      <c r="C237">
        <v>67.209999999999994</v>
      </c>
      <c r="D237">
        <v>14</v>
      </c>
      <c r="E237">
        <v>17</v>
      </c>
      <c r="F237">
        <v>69.290000000000006</v>
      </c>
      <c r="G237">
        <v>0</v>
      </c>
      <c r="H237">
        <v>1</v>
      </c>
      <c r="I237">
        <v>0</v>
      </c>
      <c r="J237">
        <v>2</v>
      </c>
      <c r="K237">
        <v>66.989999999999995</v>
      </c>
      <c r="L237">
        <v>67.14</v>
      </c>
    </row>
    <row r="238" spans="1:12" x14ac:dyDescent="0.2">
      <c r="A238" s="4">
        <v>237</v>
      </c>
      <c r="B238" t="s">
        <v>868</v>
      </c>
      <c r="C238">
        <v>67.099999999999994</v>
      </c>
      <c r="D238">
        <v>12</v>
      </c>
      <c r="E238">
        <v>17</v>
      </c>
      <c r="F238">
        <v>72.05</v>
      </c>
      <c r="G238">
        <v>0</v>
      </c>
      <c r="H238">
        <v>1</v>
      </c>
      <c r="I238">
        <v>0</v>
      </c>
      <c r="J238">
        <v>2</v>
      </c>
      <c r="K238">
        <v>69.3</v>
      </c>
      <c r="L238">
        <v>64.23</v>
      </c>
    </row>
    <row r="239" spans="1:12" x14ac:dyDescent="0.2">
      <c r="A239" s="4">
        <v>238</v>
      </c>
      <c r="B239" t="s">
        <v>550</v>
      </c>
      <c r="C239">
        <v>67.099999999999994</v>
      </c>
      <c r="D239">
        <v>6</v>
      </c>
      <c r="E239">
        <v>23</v>
      </c>
      <c r="F239">
        <v>75.290000000000006</v>
      </c>
      <c r="G239">
        <v>0</v>
      </c>
      <c r="H239">
        <v>3</v>
      </c>
      <c r="I239">
        <v>0</v>
      </c>
      <c r="J239">
        <v>3</v>
      </c>
      <c r="K239">
        <v>66.77</v>
      </c>
      <c r="L239">
        <v>67.13</v>
      </c>
    </row>
    <row r="240" spans="1:12" x14ac:dyDescent="0.2">
      <c r="A240" s="4">
        <v>239</v>
      </c>
      <c r="B240" t="s">
        <v>264</v>
      </c>
      <c r="C240">
        <v>66.989999999999995</v>
      </c>
      <c r="D240">
        <v>13</v>
      </c>
      <c r="E240">
        <v>15</v>
      </c>
      <c r="F240">
        <v>68.47</v>
      </c>
      <c r="G240">
        <v>0</v>
      </c>
      <c r="H240">
        <v>1</v>
      </c>
      <c r="I240">
        <v>0</v>
      </c>
      <c r="J240">
        <v>2</v>
      </c>
      <c r="K240">
        <v>67.34</v>
      </c>
      <c r="L240">
        <v>66.36</v>
      </c>
    </row>
    <row r="241" spans="1:12" x14ac:dyDescent="0.2">
      <c r="A241" s="4">
        <v>240</v>
      </c>
      <c r="B241" t="s">
        <v>68</v>
      </c>
      <c r="C241">
        <v>66.900000000000006</v>
      </c>
      <c r="D241">
        <v>8</v>
      </c>
      <c r="E241">
        <v>22</v>
      </c>
      <c r="F241">
        <v>74.260000000000005</v>
      </c>
      <c r="G241">
        <v>0</v>
      </c>
      <c r="H241">
        <v>1</v>
      </c>
      <c r="I241">
        <v>0</v>
      </c>
      <c r="J241">
        <v>4</v>
      </c>
      <c r="K241">
        <v>66.31</v>
      </c>
      <c r="L241">
        <v>67.180000000000007</v>
      </c>
    </row>
    <row r="242" spans="1:12" x14ac:dyDescent="0.2">
      <c r="A242" s="4">
        <v>241</v>
      </c>
      <c r="B242" t="s">
        <v>237</v>
      </c>
      <c r="C242">
        <v>66.88</v>
      </c>
      <c r="D242">
        <v>14</v>
      </c>
      <c r="E242">
        <v>15</v>
      </c>
      <c r="F242">
        <v>67.53</v>
      </c>
      <c r="G242">
        <v>0</v>
      </c>
      <c r="H242">
        <v>0</v>
      </c>
      <c r="I242">
        <v>0</v>
      </c>
      <c r="J242">
        <v>0</v>
      </c>
      <c r="K242">
        <v>67.430000000000007</v>
      </c>
      <c r="L242">
        <v>66.03</v>
      </c>
    </row>
    <row r="243" spans="1:12" x14ac:dyDescent="0.2">
      <c r="A243" s="4">
        <v>242</v>
      </c>
      <c r="B243" t="s">
        <v>833</v>
      </c>
      <c r="C243">
        <v>66.77</v>
      </c>
      <c r="D243">
        <v>10</v>
      </c>
      <c r="E243">
        <v>16</v>
      </c>
      <c r="F243">
        <v>71.680000000000007</v>
      </c>
      <c r="G243">
        <v>0</v>
      </c>
      <c r="H243">
        <v>1</v>
      </c>
      <c r="I243">
        <v>0</v>
      </c>
      <c r="J243">
        <v>1</v>
      </c>
      <c r="K243">
        <v>68.08</v>
      </c>
      <c r="L243">
        <v>65.03</v>
      </c>
    </row>
    <row r="244" spans="1:12" x14ac:dyDescent="0.2">
      <c r="A244" s="4">
        <v>243</v>
      </c>
      <c r="B244" t="s">
        <v>850</v>
      </c>
      <c r="C244">
        <v>66.709999999999994</v>
      </c>
      <c r="D244">
        <v>11</v>
      </c>
      <c r="E244">
        <v>18</v>
      </c>
      <c r="F244">
        <v>71.72</v>
      </c>
      <c r="G244">
        <v>0</v>
      </c>
      <c r="H244">
        <v>0</v>
      </c>
      <c r="I244">
        <v>0</v>
      </c>
      <c r="J244">
        <v>2</v>
      </c>
      <c r="K244">
        <v>67.8</v>
      </c>
      <c r="L244">
        <v>65.239999999999995</v>
      </c>
    </row>
    <row r="245" spans="1:12" x14ac:dyDescent="0.2">
      <c r="A245" s="4">
        <v>244</v>
      </c>
      <c r="B245" t="s">
        <v>836</v>
      </c>
      <c r="C245">
        <v>66.67</v>
      </c>
      <c r="D245">
        <v>13</v>
      </c>
      <c r="E245">
        <v>17</v>
      </c>
      <c r="F245">
        <v>68.599999999999994</v>
      </c>
      <c r="G245">
        <v>0</v>
      </c>
      <c r="H245">
        <v>1</v>
      </c>
      <c r="I245">
        <v>0</v>
      </c>
      <c r="J245">
        <v>2</v>
      </c>
      <c r="K245">
        <v>65.67</v>
      </c>
      <c r="L245">
        <v>67.33</v>
      </c>
    </row>
    <row r="246" spans="1:12" x14ac:dyDescent="0.2">
      <c r="A246" s="4">
        <v>245</v>
      </c>
      <c r="B246" t="s">
        <v>891</v>
      </c>
      <c r="C246">
        <v>66.66</v>
      </c>
      <c r="D246">
        <v>15</v>
      </c>
      <c r="E246">
        <v>16</v>
      </c>
      <c r="F246">
        <v>68.23</v>
      </c>
      <c r="G246">
        <v>0</v>
      </c>
      <c r="H246">
        <v>1</v>
      </c>
      <c r="I246">
        <v>0</v>
      </c>
      <c r="J246">
        <v>4</v>
      </c>
      <c r="K246">
        <v>66.13</v>
      </c>
      <c r="L246">
        <v>66.88</v>
      </c>
    </row>
    <row r="247" spans="1:12" x14ac:dyDescent="0.2">
      <c r="A247" s="4">
        <v>246</v>
      </c>
      <c r="B247" t="s">
        <v>556</v>
      </c>
      <c r="C247">
        <v>66.650000000000006</v>
      </c>
      <c r="D247">
        <v>11</v>
      </c>
      <c r="E247">
        <v>19</v>
      </c>
      <c r="F247">
        <v>69.78</v>
      </c>
      <c r="G247">
        <v>0</v>
      </c>
      <c r="H247">
        <v>0</v>
      </c>
      <c r="I247">
        <v>0</v>
      </c>
      <c r="J247">
        <v>2</v>
      </c>
      <c r="K247">
        <v>65.37</v>
      </c>
      <c r="L247">
        <v>67.55</v>
      </c>
    </row>
    <row r="248" spans="1:12" x14ac:dyDescent="0.2">
      <c r="A248" s="4">
        <v>247</v>
      </c>
      <c r="B248" t="s">
        <v>293</v>
      </c>
      <c r="C248">
        <v>66.599999999999994</v>
      </c>
      <c r="D248">
        <v>11</v>
      </c>
      <c r="E248">
        <v>16</v>
      </c>
      <c r="F248">
        <v>69.47</v>
      </c>
      <c r="G248">
        <v>0</v>
      </c>
      <c r="H248">
        <v>0</v>
      </c>
      <c r="I248">
        <v>0</v>
      </c>
      <c r="J248">
        <v>1</v>
      </c>
      <c r="K248">
        <v>65.849999999999994</v>
      </c>
      <c r="L248">
        <v>67.040000000000006</v>
      </c>
    </row>
    <row r="249" spans="1:12" x14ac:dyDescent="0.2">
      <c r="A249" s="4">
        <v>248</v>
      </c>
      <c r="B249" t="s">
        <v>558</v>
      </c>
      <c r="C249">
        <v>66.55</v>
      </c>
      <c r="D249">
        <v>9</v>
      </c>
      <c r="E249">
        <v>21</v>
      </c>
      <c r="F249">
        <v>72.680000000000007</v>
      </c>
      <c r="G249">
        <v>0</v>
      </c>
      <c r="H249">
        <v>1</v>
      </c>
      <c r="I249">
        <v>0</v>
      </c>
      <c r="J249">
        <v>2</v>
      </c>
      <c r="K249">
        <v>65.03</v>
      </c>
      <c r="L249">
        <v>67.64</v>
      </c>
    </row>
    <row r="250" spans="1:12" x14ac:dyDescent="0.2">
      <c r="A250" s="4">
        <v>249</v>
      </c>
      <c r="B250" t="s">
        <v>897</v>
      </c>
      <c r="C250">
        <v>66.44</v>
      </c>
      <c r="D250">
        <v>13</v>
      </c>
      <c r="E250">
        <v>13</v>
      </c>
      <c r="F250">
        <v>66.040000000000006</v>
      </c>
      <c r="G250">
        <v>0</v>
      </c>
      <c r="H250">
        <v>1</v>
      </c>
      <c r="I250">
        <v>0</v>
      </c>
      <c r="J250">
        <v>1</v>
      </c>
      <c r="K250">
        <v>66.05</v>
      </c>
      <c r="L250">
        <v>66.540000000000006</v>
      </c>
    </row>
    <row r="251" spans="1:12" x14ac:dyDescent="0.2">
      <c r="A251" s="4">
        <v>250</v>
      </c>
      <c r="B251" t="s">
        <v>226</v>
      </c>
      <c r="C251">
        <v>66.349999999999994</v>
      </c>
      <c r="D251">
        <v>9</v>
      </c>
      <c r="E251">
        <v>21</v>
      </c>
      <c r="F251">
        <v>72.59</v>
      </c>
      <c r="G251">
        <v>0</v>
      </c>
      <c r="H251">
        <v>3</v>
      </c>
      <c r="I251">
        <v>0</v>
      </c>
      <c r="J251">
        <v>3</v>
      </c>
      <c r="K251">
        <v>66.040000000000006</v>
      </c>
      <c r="L251">
        <v>66.37</v>
      </c>
    </row>
    <row r="252" spans="1:12" x14ac:dyDescent="0.2">
      <c r="A252" s="4">
        <v>251</v>
      </c>
      <c r="B252" t="s">
        <v>813</v>
      </c>
      <c r="C252">
        <v>66.34</v>
      </c>
      <c r="D252">
        <v>6</v>
      </c>
      <c r="E252">
        <v>24</v>
      </c>
      <c r="F252">
        <v>74.290000000000006</v>
      </c>
      <c r="G252">
        <v>0</v>
      </c>
      <c r="H252">
        <v>2</v>
      </c>
      <c r="I252">
        <v>0</v>
      </c>
      <c r="J252">
        <v>3</v>
      </c>
      <c r="K252">
        <v>64.75</v>
      </c>
      <c r="L252">
        <v>67.48</v>
      </c>
    </row>
    <row r="253" spans="1:12" x14ac:dyDescent="0.2">
      <c r="A253" s="4">
        <v>252</v>
      </c>
      <c r="B253" t="s">
        <v>812</v>
      </c>
      <c r="C253">
        <v>66.31</v>
      </c>
      <c r="D253">
        <v>6</v>
      </c>
      <c r="E253">
        <v>24</v>
      </c>
      <c r="F253">
        <v>77.69</v>
      </c>
      <c r="G253">
        <v>0</v>
      </c>
      <c r="H253">
        <v>6</v>
      </c>
      <c r="I253">
        <v>0</v>
      </c>
      <c r="J253">
        <v>13</v>
      </c>
      <c r="K253">
        <v>64.209999999999994</v>
      </c>
      <c r="L253">
        <v>67.849999999999994</v>
      </c>
    </row>
    <row r="254" spans="1:12" x14ac:dyDescent="0.2">
      <c r="A254" s="4">
        <v>253</v>
      </c>
      <c r="B254" t="s">
        <v>845</v>
      </c>
      <c r="C254">
        <v>66.290000000000006</v>
      </c>
      <c r="D254">
        <v>9</v>
      </c>
      <c r="E254">
        <v>21</v>
      </c>
      <c r="F254">
        <v>73.16</v>
      </c>
      <c r="G254">
        <v>0</v>
      </c>
      <c r="H254">
        <v>1</v>
      </c>
      <c r="I254">
        <v>0</v>
      </c>
      <c r="J254">
        <v>3</v>
      </c>
      <c r="K254">
        <v>66.150000000000006</v>
      </c>
      <c r="L254">
        <v>66.150000000000006</v>
      </c>
    </row>
    <row r="255" spans="1:12" x14ac:dyDescent="0.2">
      <c r="A255" s="4">
        <v>254</v>
      </c>
      <c r="B255" t="s">
        <v>828</v>
      </c>
      <c r="C255">
        <v>66.290000000000006</v>
      </c>
      <c r="D255">
        <v>13</v>
      </c>
      <c r="E255">
        <v>19</v>
      </c>
      <c r="F255">
        <v>70.56</v>
      </c>
      <c r="G255">
        <v>0</v>
      </c>
      <c r="H255">
        <v>1</v>
      </c>
      <c r="I255">
        <v>0</v>
      </c>
      <c r="J255">
        <v>1</v>
      </c>
      <c r="K255">
        <v>66.78</v>
      </c>
      <c r="L255">
        <v>65.5</v>
      </c>
    </row>
    <row r="256" spans="1:12" x14ac:dyDescent="0.2">
      <c r="A256" s="4">
        <v>255</v>
      </c>
      <c r="B256" t="s">
        <v>214</v>
      </c>
      <c r="C256">
        <v>66.27</v>
      </c>
      <c r="D256">
        <v>12</v>
      </c>
      <c r="E256">
        <v>19</v>
      </c>
      <c r="F256">
        <v>69.27</v>
      </c>
      <c r="G256">
        <v>0</v>
      </c>
      <c r="H256">
        <v>0</v>
      </c>
      <c r="I256">
        <v>0</v>
      </c>
      <c r="J256">
        <v>0</v>
      </c>
      <c r="K256">
        <v>66.06</v>
      </c>
      <c r="L256">
        <v>66.2</v>
      </c>
    </row>
    <row r="257" spans="1:12" x14ac:dyDescent="0.2">
      <c r="A257" s="4">
        <v>256</v>
      </c>
      <c r="B257" t="s">
        <v>835</v>
      </c>
      <c r="C257">
        <v>66.22</v>
      </c>
      <c r="D257">
        <v>12</v>
      </c>
      <c r="E257">
        <v>16</v>
      </c>
      <c r="F257">
        <v>69.709999999999994</v>
      </c>
      <c r="G257">
        <v>0</v>
      </c>
      <c r="H257">
        <v>1</v>
      </c>
      <c r="I257">
        <v>0</v>
      </c>
      <c r="J257">
        <v>3</v>
      </c>
      <c r="K257">
        <v>67.540000000000006</v>
      </c>
      <c r="L257">
        <v>64.45</v>
      </c>
    </row>
    <row r="258" spans="1:12" x14ac:dyDescent="0.2">
      <c r="A258" s="4">
        <v>257</v>
      </c>
      <c r="B258" t="s">
        <v>549</v>
      </c>
      <c r="C258">
        <v>66.17</v>
      </c>
      <c r="D258">
        <v>14</v>
      </c>
      <c r="E258">
        <v>16</v>
      </c>
      <c r="F258">
        <v>68.44</v>
      </c>
      <c r="G258">
        <v>0</v>
      </c>
      <c r="H258">
        <v>0</v>
      </c>
      <c r="I258">
        <v>0</v>
      </c>
      <c r="J258">
        <v>0</v>
      </c>
      <c r="K258">
        <v>67.73</v>
      </c>
      <c r="L258">
        <v>64.11</v>
      </c>
    </row>
    <row r="259" spans="1:12" x14ac:dyDescent="0.2">
      <c r="A259" s="4">
        <v>258</v>
      </c>
      <c r="B259" t="s">
        <v>890</v>
      </c>
      <c r="C259">
        <v>66.08</v>
      </c>
      <c r="D259">
        <v>7</v>
      </c>
      <c r="E259">
        <v>21</v>
      </c>
      <c r="F259">
        <v>74.319999999999993</v>
      </c>
      <c r="G259">
        <v>0</v>
      </c>
      <c r="H259">
        <v>2</v>
      </c>
      <c r="I259">
        <v>0</v>
      </c>
      <c r="J259">
        <v>6</v>
      </c>
      <c r="K259">
        <v>64.86</v>
      </c>
      <c r="L259">
        <v>66.91</v>
      </c>
    </row>
    <row r="260" spans="1:12" x14ac:dyDescent="0.2">
      <c r="A260" s="4">
        <v>259</v>
      </c>
      <c r="B260" t="s">
        <v>824</v>
      </c>
      <c r="C260">
        <v>66.05</v>
      </c>
      <c r="D260">
        <v>8</v>
      </c>
      <c r="E260">
        <v>17</v>
      </c>
      <c r="F260">
        <v>73.56</v>
      </c>
      <c r="G260">
        <v>0</v>
      </c>
      <c r="H260">
        <v>3</v>
      </c>
      <c r="I260">
        <v>0</v>
      </c>
      <c r="J260">
        <v>3</v>
      </c>
      <c r="K260">
        <v>67.08</v>
      </c>
      <c r="L260">
        <v>64.63</v>
      </c>
    </row>
    <row r="261" spans="1:12" x14ac:dyDescent="0.2">
      <c r="A261" s="4">
        <v>260</v>
      </c>
      <c r="B261" t="s">
        <v>206</v>
      </c>
      <c r="C261">
        <v>66.03</v>
      </c>
      <c r="D261">
        <v>10</v>
      </c>
      <c r="E261">
        <v>18</v>
      </c>
      <c r="F261">
        <v>71.87</v>
      </c>
      <c r="G261">
        <v>0</v>
      </c>
      <c r="H261">
        <v>1</v>
      </c>
      <c r="I261">
        <v>0</v>
      </c>
      <c r="J261">
        <v>2</v>
      </c>
      <c r="K261">
        <v>65.78</v>
      </c>
      <c r="L261">
        <v>65.989999999999995</v>
      </c>
    </row>
    <row r="262" spans="1:12" x14ac:dyDescent="0.2">
      <c r="A262" s="4">
        <v>261</v>
      </c>
      <c r="B262" t="s">
        <v>564</v>
      </c>
      <c r="C262">
        <v>65.92</v>
      </c>
      <c r="D262">
        <v>9</v>
      </c>
      <c r="E262">
        <v>17</v>
      </c>
      <c r="F262">
        <v>72.099999999999994</v>
      </c>
      <c r="G262">
        <v>0</v>
      </c>
      <c r="H262">
        <v>1</v>
      </c>
      <c r="I262">
        <v>0</v>
      </c>
      <c r="J262">
        <v>2</v>
      </c>
      <c r="K262">
        <v>67.010000000000005</v>
      </c>
      <c r="L262">
        <v>64.42</v>
      </c>
    </row>
    <row r="263" spans="1:12" x14ac:dyDescent="0.2">
      <c r="A263" s="4">
        <v>262</v>
      </c>
      <c r="B263" t="s">
        <v>810</v>
      </c>
      <c r="C263">
        <v>65.88</v>
      </c>
      <c r="D263">
        <v>6</v>
      </c>
      <c r="E263">
        <v>24</v>
      </c>
      <c r="F263">
        <v>75.540000000000006</v>
      </c>
      <c r="G263">
        <v>0</v>
      </c>
      <c r="H263">
        <v>1</v>
      </c>
      <c r="I263">
        <v>0</v>
      </c>
      <c r="J263">
        <v>8</v>
      </c>
      <c r="K263">
        <v>64.319999999999993</v>
      </c>
      <c r="L263">
        <v>66.98</v>
      </c>
    </row>
    <row r="264" spans="1:12" x14ac:dyDescent="0.2">
      <c r="A264" s="4">
        <v>263</v>
      </c>
      <c r="B264" t="s">
        <v>881</v>
      </c>
      <c r="C264">
        <v>65.78</v>
      </c>
      <c r="D264">
        <v>8</v>
      </c>
      <c r="E264">
        <v>20</v>
      </c>
      <c r="F264">
        <v>72.39</v>
      </c>
      <c r="G264">
        <v>0</v>
      </c>
      <c r="H264">
        <v>0</v>
      </c>
      <c r="I264">
        <v>0</v>
      </c>
      <c r="J264">
        <v>4</v>
      </c>
      <c r="K264">
        <v>65.33</v>
      </c>
      <c r="L264">
        <v>65.930000000000007</v>
      </c>
    </row>
    <row r="265" spans="1:12" x14ac:dyDescent="0.2">
      <c r="A265" s="4">
        <v>264</v>
      </c>
      <c r="B265" t="s">
        <v>808</v>
      </c>
      <c r="C265">
        <v>65.760000000000005</v>
      </c>
      <c r="D265">
        <v>9</v>
      </c>
      <c r="E265">
        <v>21</v>
      </c>
      <c r="F265">
        <v>70.98</v>
      </c>
      <c r="G265">
        <v>0</v>
      </c>
      <c r="H265">
        <v>0</v>
      </c>
      <c r="I265">
        <v>0</v>
      </c>
      <c r="J265">
        <v>0</v>
      </c>
      <c r="K265">
        <v>65.510000000000005</v>
      </c>
      <c r="L265">
        <v>65.72</v>
      </c>
    </row>
    <row r="266" spans="1:12" x14ac:dyDescent="0.2">
      <c r="A266" s="4">
        <v>265</v>
      </c>
      <c r="B266" t="s">
        <v>47</v>
      </c>
      <c r="C266">
        <v>65.73</v>
      </c>
      <c r="D266">
        <v>9</v>
      </c>
      <c r="E266">
        <v>21</v>
      </c>
      <c r="F266">
        <v>72.23</v>
      </c>
      <c r="G266">
        <v>0</v>
      </c>
      <c r="H266">
        <v>1</v>
      </c>
      <c r="I266">
        <v>0</v>
      </c>
      <c r="J266">
        <v>7</v>
      </c>
      <c r="K266">
        <v>64.83</v>
      </c>
      <c r="L266">
        <v>66.28</v>
      </c>
    </row>
    <row r="267" spans="1:12" x14ac:dyDescent="0.2">
      <c r="A267" s="4">
        <v>266</v>
      </c>
      <c r="B267" t="s">
        <v>887</v>
      </c>
      <c r="C267">
        <v>65.59</v>
      </c>
      <c r="D267">
        <v>9</v>
      </c>
      <c r="E267">
        <v>20</v>
      </c>
      <c r="F267">
        <v>71.48</v>
      </c>
      <c r="G267">
        <v>0</v>
      </c>
      <c r="H267">
        <v>0</v>
      </c>
      <c r="I267">
        <v>0</v>
      </c>
      <c r="J267">
        <v>1</v>
      </c>
      <c r="K267">
        <v>66.010000000000005</v>
      </c>
      <c r="L267">
        <v>64.87</v>
      </c>
    </row>
    <row r="268" spans="1:12" x14ac:dyDescent="0.2">
      <c r="A268" s="4">
        <v>267</v>
      </c>
      <c r="B268" t="s">
        <v>563</v>
      </c>
      <c r="C268">
        <v>65.459999999999994</v>
      </c>
      <c r="D268">
        <v>9</v>
      </c>
      <c r="E268">
        <v>21</v>
      </c>
      <c r="F268">
        <v>72.290000000000006</v>
      </c>
      <c r="G268">
        <v>0</v>
      </c>
      <c r="H268">
        <v>0</v>
      </c>
      <c r="I268">
        <v>0</v>
      </c>
      <c r="J268">
        <v>1</v>
      </c>
      <c r="K268">
        <v>65.16</v>
      </c>
      <c r="L268">
        <v>65.48</v>
      </c>
    </row>
    <row r="269" spans="1:12" x14ac:dyDescent="0.2">
      <c r="A269" s="4">
        <v>268</v>
      </c>
      <c r="B269" t="s">
        <v>861</v>
      </c>
      <c r="C269">
        <v>65.37</v>
      </c>
      <c r="D269">
        <v>10</v>
      </c>
      <c r="E269">
        <v>16</v>
      </c>
      <c r="F269">
        <v>69.62</v>
      </c>
      <c r="G269">
        <v>0</v>
      </c>
      <c r="H269">
        <v>2</v>
      </c>
      <c r="I269">
        <v>0</v>
      </c>
      <c r="J269">
        <v>2</v>
      </c>
      <c r="K269">
        <v>65.650000000000006</v>
      </c>
      <c r="L269">
        <v>64.8</v>
      </c>
    </row>
    <row r="270" spans="1:12" x14ac:dyDescent="0.2">
      <c r="A270" s="4">
        <v>269</v>
      </c>
      <c r="B270" t="s">
        <v>184</v>
      </c>
      <c r="C270">
        <v>65.319999999999993</v>
      </c>
      <c r="D270">
        <v>9</v>
      </c>
      <c r="E270">
        <v>19</v>
      </c>
      <c r="F270">
        <v>71.569999999999993</v>
      </c>
      <c r="G270">
        <v>0</v>
      </c>
      <c r="H270">
        <v>2</v>
      </c>
      <c r="I270">
        <v>0</v>
      </c>
      <c r="J270">
        <v>4</v>
      </c>
      <c r="K270">
        <v>64.08</v>
      </c>
      <c r="L270">
        <v>66.16</v>
      </c>
    </row>
    <row r="271" spans="1:12" x14ac:dyDescent="0.2">
      <c r="A271" s="4">
        <v>270</v>
      </c>
      <c r="B271" t="s">
        <v>820</v>
      </c>
      <c r="C271">
        <v>65.209999999999994</v>
      </c>
      <c r="D271">
        <v>13</v>
      </c>
      <c r="E271">
        <v>15</v>
      </c>
      <c r="F271">
        <v>68.260000000000005</v>
      </c>
      <c r="G271">
        <v>0</v>
      </c>
      <c r="H271">
        <v>1</v>
      </c>
      <c r="I271">
        <v>0</v>
      </c>
      <c r="J271">
        <v>2</v>
      </c>
      <c r="K271">
        <v>65.84</v>
      </c>
      <c r="L271">
        <v>64.239999999999995</v>
      </c>
    </row>
    <row r="272" spans="1:12" x14ac:dyDescent="0.2">
      <c r="A272" s="4">
        <v>271</v>
      </c>
      <c r="B272" t="s">
        <v>236</v>
      </c>
      <c r="C272">
        <v>65.19</v>
      </c>
      <c r="D272">
        <v>6</v>
      </c>
      <c r="E272">
        <v>22</v>
      </c>
      <c r="F272">
        <v>74.459999999999994</v>
      </c>
      <c r="G272">
        <v>0</v>
      </c>
      <c r="H272">
        <v>1</v>
      </c>
      <c r="I272">
        <v>0</v>
      </c>
      <c r="J272">
        <v>2</v>
      </c>
      <c r="K272">
        <v>65.62</v>
      </c>
      <c r="L272">
        <v>64.459999999999994</v>
      </c>
    </row>
    <row r="273" spans="1:12" x14ac:dyDescent="0.2">
      <c r="A273" s="4">
        <v>272</v>
      </c>
      <c r="B273" t="s">
        <v>279</v>
      </c>
      <c r="C273">
        <v>65.13</v>
      </c>
      <c r="D273">
        <v>10</v>
      </c>
      <c r="E273">
        <v>15</v>
      </c>
      <c r="F273">
        <v>68.239999999999995</v>
      </c>
      <c r="G273">
        <v>0</v>
      </c>
      <c r="H273">
        <v>1</v>
      </c>
      <c r="I273">
        <v>0</v>
      </c>
      <c r="J273">
        <v>1</v>
      </c>
      <c r="K273">
        <v>64.739999999999995</v>
      </c>
      <c r="L273">
        <v>65.22</v>
      </c>
    </row>
    <row r="274" spans="1:12" x14ac:dyDescent="0.2">
      <c r="A274" s="4">
        <v>273</v>
      </c>
      <c r="B274" t="s">
        <v>815</v>
      </c>
      <c r="C274">
        <v>65.09</v>
      </c>
      <c r="D274">
        <v>8</v>
      </c>
      <c r="E274">
        <v>20</v>
      </c>
      <c r="F274">
        <v>71.75</v>
      </c>
      <c r="G274">
        <v>0</v>
      </c>
      <c r="H274">
        <v>1</v>
      </c>
      <c r="I274">
        <v>0</v>
      </c>
      <c r="J274">
        <v>2</v>
      </c>
      <c r="K274">
        <v>64</v>
      </c>
      <c r="L274">
        <v>65.8</v>
      </c>
    </row>
    <row r="275" spans="1:12" x14ac:dyDescent="0.2">
      <c r="A275" s="4">
        <v>274</v>
      </c>
      <c r="B275" t="s">
        <v>220</v>
      </c>
      <c r="C275">
        <v>65.08</v>
      </c>
      <c r="D275">
        <v>11</v>
      </c>
      <c r="E275">
        <v>19</v>
      </c>
      <c r="F275">
        <v>68.25</v>
      </c>
      <c r="G275">
        <v>0</v>
      </c>
      <c r="H275">
        <v>0</v>
      </c>
      <c r="I275">
        <v>0</v>
      </c>
      <c r="J275">
        <v>1</v>
      </c>
      <c r="K275">
        <v>63.57</v>
      </c>
      <c r="L275">
        <v>66.13</v>
      </c>
    </row>
    <row r="276" spans="1:12" x14ac:dyDescent="0.2">
      <c r="A276" s="4">
        <v>275</v>
      </c>
      <c r="B276" t="s">
        <v>287</v>
      </c>
      <c r="C276">
        <v>65.06</v>
      </c>
      <c r="D276">
        <v>13</v>
      </c>
      <c r="E276">
        <v>18</v>
      </c>
      <c r="F276">
        <v>69.349999999999994</v>
      </c>
      <c r="G276">
        <v>0</v>
      </c>
      <c r="H276">
        <v>1</v>
      </c>
      <c r="I276">
        <v>0</v>
      </c>
      <c r="J276">
        <v>3</v>
      </c>
      <c r="K276">
        <v>66.650000000000006</v>
      </c>
      <c r="L276">
        <v>62.91</v>
      </c>
    </row>
    <row r="277" spans="1:12" x14ac:dyDescent="0.2">
      <c r="A277" s="4">
        <v>276</v>
      </c>
      <c r="B277" t="s">
        <v>256</v>
      </c>
      <c r="C277">
        <v>65.05</v>
      </c>
      <c r="D277">
        <v>10</v>
      </c>
      <c r="E277">
        <v>16</v>
      </c>
      <c r="F277">
        <v>68.86</v>
      </c>
      <c r="G277">
        <v>0</v>
      </c>
      <c r="H277">
        <v>0</v>
      </c>
      <c r="I277">
        <v>0</v>
      </c>
      <c r="J277">
        <v>0</v>
      </c>
      <c r="K277">
        <v>65.3</v>
      </c>
      <c r="L277">
        <v>64.510000000000005</v>
      </c>
    </row>
    <row r="278" spans="1:12" x14ac:dyDescent="0.2">
      <c r="A278" s="4">
        <v>277</v>
      </c>
      <c r="B278" t="s">
        <v>233</v>
      </c>
      <c r="C278">
        <v>65.040000000000006</v>
      </c>
      <c r="D278">
        <v>15</v>
      </c>
      <c r="E278">
        <v>16</v>
      </c>
      <c r="F278">
        <v>67.11</v>
      </c>
      <c r="G278">
        <v>0</v>
      </c>
      <c r="H278">
        <v>0</v>
      </c>
      <c r="I278">
        <v>0</v>
      </c>
      <c r="J278">
        <v>2</v>
      </c>
      <c r="K278">
        <v>65.73</v>
      </c>
      <c r="L278">
        <v>64.010000000000005</v>
      </c>
    </row>
    <row r="279" spans="1:12" x14ac:dyDescent="0.2">
      <c r="A279" s="4">
        <v>278</v>
      </c>
      <c r="B279" t="s">
        <v>159</v>
      </c>
      <c r="C279">
        <v>65.040000000000006</v>
      </c>
      <c r="D279">
        <v>10</v>
      </c>
      <c r="E279">
        <v>15</v>
      </c>
      <c r="F279">
        <v>69.13</v>
      </c>
      <c r="G279">
        <v>0</v>
      </c>
      <c r="H279">
        <v>0</v>
      </c>
      <c r="I279">
        <v>0</v>
      </c>
      <c r="J279">
        <v>0</v>
      </c>
      <c r="K279">
        <v>65.290000000000006</v>
      </c>
      <c r="L279">
        <v>64.489999999999995</v>
      </c>
    </row>
    <row r="280" spans="1:12" x14ac:dyDescent="0.2">
      <c r="A280" s="4">
        <v>279</v>
      </c>
      <c r="B280" t="s">
        <v>61</v>
      </c>
      <c r="C280">
        <v>64.78</v>
      </c>
      <c r="D280">
        <v>8</v>
      </c>
      <c r="E280">
        <v>20</v>
      </c>
      <c r="F280">
        <v>72.78</v>
      </c>
      <c r="G280">
        <v>0</v>
      </c>
      <c r="H280">
        <v>2</v>
      </c>
      <c r="I280">
        <v>0</v>
      </c>
      <c r="J280">
        <v>3</v>
      </c>
      <c r="K280">
        <v>64.11</v>
      </c>
      <c r="L280">
        <v>65.13</v>
      </c>
    </row>
    <row r="281" spans="1:12" x14ac:dyDescent="0.2">
      <c r="A281" s="4">
        <v>280</v>
      </c>
      <c r="B281" t="s">
        <v>199</v>
      </c>
      <c r="C281">
        <v>64.52</v>
      </c>
      <c r="D281">
        <v>12</v>
      </c>
      <c r="E281">
        <v>16</v>
      </c>
      <c r="F281">
        <v>67.84</v>
      </c>
      <c r="G281">
        <v>0</v>
      </c>
      <c r="H281">
        <v>1</v>
      </c>
      <c r="I281">
        <v>0</v>
      </c>
      <c r="J281">
        <v>2</v>
      </c>
      <c r="K281">
        <v>64.58</v>
      </c>
      <c r="L281">
        <v>64.17</v>
      </c>
    </row>
    <row r="282" spans="1:12" x14ac:dyDescent="0.2">
      <c r="A282" s="4">
        <v>281</v>
      </c>
      <c r="B282" t="s">
        <v>843</v>
      </c>
      <c r="C282">
        <v>64.28</v>
      </c>
      <c r="D282">
        <v>16</v>
      </c>
      <c r="E282">
        <v>15</v>
      </c>
      <c r="F282">
        <v>64.900000000000006</v>
      </c>
      <c r="G282">
        <v>0</v>
      </c>
      <c r="H282">
        <v>0</v>
      </c>
      <c r="I282">
        <v>0</v>
      </c>
      <c r="J282">
        <v>1</v>
      </c>
      <c r="K282">
        <v>66.05</v>
      </c>
      <c r="L282">
        <v>61.83</v>
      </c>
    </row>
    <row r="283" spans="1:12" x14ac:dyDescent="0.2">
      <c r="A283" s="4">
        <v>282</v>
      </c>
      <c r="B283" t="s">
        <v>830</v>
      </c>
      <c r="C283">
        <v>64.2</v>
      </c>
      <c r="D283">
        <v>10</v>
      </c>
      <c r="E283">
        <v>19</v>
      </c>
      <c r="F283">
        <v>71.94</v>
      </c>
      <c r="G283">
        <v>0</v>
      </c>
      <c r="H283">
        <v>2</v>
      </c>
      <c r="I283">
        <v>0</v>
      </c>
      <c r="J283">
        <v>3</v>
      </c>
      <c r="K283">
        <v>65.42</v>
      </c>
      <c r="L283">
        <v>62.51</v>
      </c>
    </row>
    <row r="284" spans="1:12" x14ac:dyDescent="0.2">
      <c r="A284" s="4">
        <v>283</v>
      </c>
      <c r="B284" t="s">
        <v>177</v>
      </c>
      <c r="C284">
        <v>64.17</v>
      </c>
      <c r="D284">
        <v>8</v>
      </c>
      <c r="E284">
        <v>22</v>
      </c>
      <c r="F284">
        <v>71.66</v>
      </c>
      <c r="G284">
        <v>0</v>
      </c>
      <c r="H284">
        <v>0</v>
      </c>
      <c r="I284">
        <v>0</v>
      </c>
      <c r="J284">
        <v>6</v>
      </c>
      <c r="K284">
        <v>63.64</v>
      </c>
      <c r="L284">
        <v>64.39</v>
      </c>
    </row>
    <row r="285" spans="1:12" x14ac:dyDescent="0.2">
      <c r="A285" s="4">
        <v>284</v>
      </c>
      <c r="B285" t="s">
        <v>229</v>
      </c>
      <c r="C285">
        <v>63.94</v>
      </c>
      <c r="D285">
        <v>11</v>
      </c>
      <c r="E285">
        <v>16</v>
      </c>
      <c r="F285">
        <v>69.650000000000006</v>
      </c>
      <c r="G285">
        <v>0</v>
      </c>
      <c r="H285">
        <v>3</v>
      </c>
      <c r="I285">
        <v>0</v>
      </c>
      <c r="J285">
        <v>4</v>
      </c>
      <c r="K285">
        <v>66.099999999999994</v>
      </c>
      <c r="L285">
        <v>60.83</v>
      </c>
    </row>
    <row r="286" spans="1:12" x14ac:dyDescent="0.2">
      <c r="A286" s="4">
        <v>285</v>
      </c>
      <c r="B286" t="s">
        <v>859</v>
      </c>
      <c r="C286">
        <v>63.89</v>
      </c>
      <c r="D286">
        <v>7</v>
      </c>
      <c r="E286">
        <v>21</v>
      </c>
      <c r="F286">
        <v>70.430000000000007</v>
      </c>
      <c r="G286">
        <v>0</v>
      </c>
      <c r="H286">
        <v>0</v>
      </c>
      <c r="I286">
        <v>0</v>
      </c>
      <c r="J286">
        <v>0</v>
      </c>
      <c r="K286">
        <v>62.05</v>
      </c>
      <c r="L286">
        <v>65.14</v>
      </c>
    </row>
    <row r="287" spans="1:12" x14ac:dyDescent="0.2">
      <c r="A287" s="4">
        <v>286</v>
      </c>
      <c r="B287" t="s">
        <v>289</v>
      </c>
      <c r="C287">
        <v>63.63</v>
      </c>
      <c r="D287">
        <v>12</v>
      </c>
      <c r="E287">
        <v>16</v>
      </c>
      <c r="F287">
        <v>67.319999999999993</v>
      </c>
      <c r="G287">
        <v>0</v>
      </c>
      <c r="H287">
        <v>1</v>
      </c>
      <c r="I287">
        <v>0</v>
      </c>
      <c r="J287">
        <v>1</v>
      </c>
      <c r="K287">
        <v>64.400000000000006</v>
      </c>
      <c r="L287">
        <v>62.49</v>
      </c>
    </row>
    <row r="288" spans="1:12" x14ac:dyDescent="0.2">
      <c r="A288" s="4">
        <v>287</v>
      </c>
      <c r="B288" t="s">
        <v>844</v>
      </c>
      <c r="C288">
        <v>63.42</v>
      </c>
      <c r="D288">
        <v>10</v>
      </c>
      <c r="E288">
        <v>17</v>
      </c>
      <c r="F288">
        <v>71.010000000000005</v>
      </c>
      <c r="G288">
        <v>0</v>
      </c>
      <c r="H288">
        <v>2</v>
      </c>
      <c r="I288">
        <v>0</v>
      </c>
      <c r="J288">
        <v>4</v>
      </c>
      <c r="K288">
        <v>65.34</v>
      </c>
      <c r="L288">
        <v>60.67</v>
      </c>
    </row>
    <row r="289" spans="1:12" x14ac:dyDescent="0.2">
      <c r="A289" s="4">
        <v>288</v>
      </c>
      <c r="B289" t="s">
        <v>832</v>
      </c>
      <c r="C289">
        <v>63.31</v>
      </c>
      <c r="D289">
        <v>14</v>
      </c>
      <c r="E289">
        <v>21</v>
      </c>
      <c r="F289">
        <v>69.34</v>
      </c>
      <c r="G289">
        <v>0</v>
      </c>
      <c r="H289">
        <v>4</v>
      </c>
      <c r="I289">
        <v>0</v>
      </c>
      <c r="J289">
        <v>5</v>
      </c>
      <c r="K289">
        <v>65.27</v>
      </c>
      <c r="L289">
        <v>60.48</v>
      </c>
    </row>
    <row r="290" spans="1:12" x14ac:dyDescent="0.2">
      <c r="A290" s="4">
        <v>289</v>
      </c>
      <c r="B290" t="s">
        <v>95</v>
      </c>
      <c r="C290">
        <v>63.22</v>
      </c>
      <c r="D290">
        <v>7</v>
      </c>
      <c r="E290">
        <v>23</v>
      </c>
      <c r="F290">
        <v>72.62</v>
      </c>
      <c r="G290">
        <v>0</v>
      </c>
      <c r="H290">
        <v>3</v>
      </c>
      <c r="I290">
        <v>0</v>
      </c>
      <c r="J290">
        <v>3</v>
      </c>
      <c r="K290">
        <v>63.77</v>
      </c>
      <c r="L290">
        <v>62.36</v>
      </c>
    </row>
    <row r="291" spans="1:12" x14ac:dyDescent="0.2">
      <c r="A291" s="4">
        <v>290</v>
      </c>
      <c r="B291" t="s">
        <v>168</v>
      </c>
      <c r="C291">
        <v>63.1</v>
      </c>
      <c r="D291">
        <v>8</v>
      </c>
      <c r="E291">
        <v>21</v>
      </c>
      <c r="F291">
        <v>71.61</v>
      </c>
      <c r="G291">
        <v>0</v>
      </c>
      <c r="H291">
        <v>0</v>
      </c>
      <c r="I291">
        <v>0</v>
      </c>
      <c r="J291">
        <v>2</v>
      </c>
      <c r="K291">
        <v>63.52</v>
      </c>
      <c r="L291">
        <v>62.37</v>
      </c>
    </row>
    <row r="292" spans="1:12" x14ac:dyDescent="0.2">
      <c r="A292" s="4">
        <v>291</v>
      </c>
      <c r="B292" t="s">
        <v>282</v>
      </c>
      <c r="C292">
        <v>63</v>
      </c>
      <c r="D292">
        <v>10</v>
      </c>
      <c r="E292">
        <v>19</v>
      </c>
      <c r="F292">
        <v>67.180000000000007</v>
      </c>
      <c r="G292">
        <v>0</v>
      </c>
      <c r="H292">
        <v>0</v>
      </c>
      <c r="I292">
        <v>1</v>
      </c>
      <c r="J292">
        <v>0</v>
      </c>
      <c r="K292">
        <v>61.68</v>
      </c>
      <c r="L292">
        <v>63.86</v>
      </c>
    </row>
    <row r="293" spans="1:12" x14ac:dyDescent="0.2">
      <c r="A293" s="4">
        <v>292</v>
      </c>
      <c r="B293" t="s">
        <v>127</v>
      </c>
      <c r="C293">
        <v>62.93</v>
      </c>
      <c r="D293">
        <v>6</v>
      </c>
      <c r="E293">
        <v>24</v>
      </c>
      <c r="F293">
        <v>70.42</v>
      </c>
      <c r="G293">
        <v>0</v>
      </c>
      <c r="H293">
        <v>0</v>
      </c>
      <c r="I293">
        <v>0</v>
      </c>
      <c r="J293">
        <v>0</v>
      </c>
      <c r="K293">
        <v>61.01</v>
      </c>
      <c r="L293">
        <v>64.22</v>
      </c>
    </row>
    <row r="294" spans="1:12" x14ac:dyDescent="0.2">
      <c r="A294" s="4">
        <v>293</v>
      </c>
      <c r="B294" t="s">
        <v>197</v>
      </c>
      <c r="C294">
        <v>62.88</v>
      </c>
      <c r="D294">
        <v>8</v>
      </c>
      <c r="E294">
        <v>20</v>
      </c>
      <c r="F294">
        <v>67.88</v>
      </c>
      <c r="G294">
        <v>0</v>
      </c>
      <c r="H294">
        <v>0</v>
      </c>
      <c r="I294">
        <v>0</v>
      </c>
      <c r="J294">
        <v>0</v>
      </c>
      <c r="K294">
        <v>61.08</v>
      </c>
      <c r="L294">
        <v>64.09</v>
      </c>
    </row>
    <row r="295" spans="1:12" x14ac:dyDescent="0.2">
      <c r="A295" s="4">
        <v>294</v>
      </c>
      <c r="B295" t="s">
        <v>297</v>
      </c>
      <c r="C295">
        <v>62.86</v>
      </c>
      <c r="D295">
        <v>8</v>
      </c>
      <c r="E295">
        <v>22</v>
      </c>
      <c r="F295">
        <v>69.790000000000006</v>
      </c>
      <c r="G295">
        <v>0</v>
      </c>
      <c r="H295">
        <v>1</v>
      </c>
      <c r="I295">
        <v>0</v>
      </c>
      <c r="J295">
        <v>1</v>
      </c>
      <c r="K295">
        <v>62.43</v>
      </c>
      <c r="L295">
        <v>62.98</v>
      </c>
    </row>
    <row r="296" spans="1:12" x14ac:dyDescent="0.2">
      <c r="A296" s="4">
        <v>295</v>
      </c>
      <c r="B296" t="s">
        <v>247</v>
      </c>
      <c r="C296">
        <v>62.73</v>
      </c>
      <c r="D296">
        <v>13</v>
      </c>
      <c r="E296">
        <v>17</v>
      </c>
      <c r="F296">
        <v>67.92</v>
      </c>
      <c r="G296">
        <v>0</v>
      </c>
      <c r="H296">
        <v>2</v>
      </c>
      <c r="I296">
        <v>0</v>
      </c>
      <c r="J296">
        <v>6</v>
      </c>
      <c r="K296">
        <v>64.900000000000006</v>
      </c>
      <c r="L296">
        <v>59.47</v>
      </c>
    </row>
    <row r="297" spans="1:12" x14ac:dyDescent="0.2">
      <c r="A297" s="4">
        <v>296</v>
      </c>
      <c r="B297" t="s">
        <v>889</v>
      </c>
      <c r="C297">
        <v>62.35</v>
      </c>
      <c r="D297">
        <v>10</v>
      </c>
      <c r="E297">
        <v>19</v>
      </c>
      <c r="F297">
        <v>67.88</v>
      </c>
      <c r="G297">
        <v>0</v>
      </c>
      <c r="H297">
        <v>1</v>
      </c>
      <c r="I297">
        <v>0</v>
      </c>
      <c r="J297">
        <v>1</v>
      </c>
      <c r="K297">
        <v>61.91</v>
      </c>
      <c r="L297">
        <v>62.48</v>
      </c>
    </row>
    <row r="298" spans="1:12" x14ac:dyDescent="0.2">
      <c r="A298" s="4">
        <v>297</v>
      </c>
      <c r="B298" t="s">
        <v>189</v>
      </c>
      <c r="C298">
        <v>62.29</v>
      </c>
      <c r="D298">
        <v>9</v>
      </c>
      <c r="E298">
        <v>20</v>
      </c>
      <c r="F298">
        <v>67.239999999999995</v>
      </c>
      <c r="G298">
        <v>0</v>
      </c>
      <c r="H298">
        <v>0</v>
      </c>
      <c r="I298">
        <v>0</v>
      </c>
      <c r="J298">
        <v>0</v>
      </c>
      <c r="K298">
        <v>61</v>
      </c>
      <c r="L298">
        <v>63.12</v>
      </c>
    </row>
    <row r="299" spans="1:12" x14ac:dyDescent="0.2">
      <c r="A299" s="4">
        <v>298</v>
      </c>
      <c r="B299" t="s">
        <v>176</v>
      </c>
      <c r="C299">
        <v>62.26</v>
      </c>
      <c r="D299">
        <v>10</v>
      </c>
      <c r="E299">
        <v>21</v>
      </c>
      <c r="F299">
        <v>69.37</v>
      </c>
      <c r="G299">
        <v>0</v>
      </c>
      <c r="H299">
        <v>2</v>
      </c>
      <c r="I299">
        <v>0</v>
      </c>
      <c r="J299">
        <v>2</v>
      </c>
      <c r="K299">
        <v>62.55</v>
      </c>
      <c r="L299">
        <v>61.68</v>
      </c>
    </row>
    <row r="300" spans="1:12" x14ac:dyDescent="0.2">
      <c r="A300" s="4">
        <v>299</v>
      </c>
      <c r="B300" t="s">
        <v>257</v>
      </c>
      <c r="C300">
        <v>62.15</v>
      </c>
      <c r="D300">
        <v>7</v>
      </c>
      <c r="E300">
        <v>21</v>
      </c>
      <c r="F300">
        <v>71.290000000000006</v>
      </c>
      <c r="G300">
        <v>0</v>
      </c>
      <c r="H300">
        <v>1</v>
      </c>
      <c r="I300">
        <v>0</v>
      </c>
      <c r="J300">
        <v>2</v>
      </c>
      <c r="K300">
        <v>61.66</v>
      </c>
      <c r="L300">
        <v>62.33</v>
      </c>
    </row>
    <row r="301" spans="1:12" x14ac:dyDescent="0.2">
      <c r="A301" s="4">
        <v>300</v>
      </c>
      <c r="B301" t="s">
        <v>223</v>
      </c>
      <c r="C301">
        <v>62.14</v>
      </c>
      <c r="D301">
        <v>8</v>
      </c>
      <c r="E301">
        <v>20</v>
      </c>
      <c r="F301">
        <v>70.77</v>
      </c>
      <c r="G301">
        <v>0</v>
      </c>
      <c r="H301">
        <v>2</v>
      </c>
      <c r="I301">
        <v>0</v>
      </c>
      <c r="J301">
        <v>2</v>
      </c>
      <c r="K301">
        <v>62.35</v>
      </c>
      <c r="L301">
        <v>61.63</v>
      </c>
    </row>
    <row r="302" spans="1:12" x14ac:dyDescent="0.2">
      <c r="A302" s="4">
        <v>301</v>
      </c>
      <c r="B302" t="s">
        <v>231</v>
      </c>
      <c r="C302">
        <v>61.9</v>
      </c>
      <c r="D302">
        <v>6</v>
      </c>
      <c r="E302">
        <v>22</v>
      </c>
      <c r="F302">
        <v>71.61</v>
      </c>
      <c r="G302">
        <v>0</v>
      </c>
      <c r="H302">
        <v>0</v>
      </c>
      <c r="I302">
        <v>0</v>
      </c>
      <c r="J302">
        <v>0</v>
      </c>
      <c r="K302">
        <v>60.84</v>
      </c>
      <c r="L302">
        <v>62.54</v>
      </c>
    </row>
    <row r="303" spans="1:12" x14ac:dyDescent="0.2">
      <c r="A303" s="4">
        <v>302</v>
      </c>
      <c r="B303" t="s">
        <v>173</v>
      </c>
      <c r="C303">
        <v>61.87</v>
      </c>
      <c r="D303">
        <v>9</v>
      </c>
      <c r="E303">
        <v>18</v>
      </c>
      <c r="F303">
        <v>67.8</v>
      </c>
      <c r="G303">
        <v>0</v>
      </c>
      <c r="H303">
        <v>0</v>
      </c>
      <c r="I303">
        <v>0</v>
      </c>
      <c r="J303">
        <v>0</v>
      </c>
      <c r="K303">
        <v>62.88</v>
      </c>
      <c r="L303">
        <v>60.41</v>
      </c>
    </row>
    <row r="304" spans="1:12" x14ac:dyDescent="0.2">
      <c r="A304" s="4">
        <v>303</v>
      </c>
      <c r="B304" t="s">
        <v>266</v>
      </c>
      <c r="C304">
        <v>61.85</v>
      </c>
      <c r="D304">
        <v>8</v>
      </c>
      <c r="E304">
        <v>20</v>
      </c>
      <c r="F304">
        <v>69.459999999999994</v>
      </c>
      <c r="G304">
        <v>0</v>
      </c>
      <c r="H304">
        <v>0</v>
      </c>
      <c r="I304">
        <v>0</v>
      </c>
      <c r="J304">
        <v>0</v>
      </c>
      <c r="K304">
        <v>62.2</v>
      </c>
      <c r="L304">
        <v>61.2</v>
      </c>
    </row>
    <row r="305" spans="1:12" x14ac:dyDescent="0.2">
      <c r="A305" s="4">
        <v>304</v>
      </c>
      <c r="B305" t="s">
        <v>900</v>
      </c>
      <c r="C305">
        <v>61.62</v>
      </c>
      <c r="D305">
        <v>12</v>
      </c>
      <c r="E305">
        <v>20</v>
      </c>
      <c r="F305">
        <v>66.7</v>
      </c>
      <c r="G305">
        <v>0</v>
      </c>
      <c r="H305">
        <v>1</v>
      </c>
      <c r="I305">
        <v>0</v>
      </c>
      <c r="J305">
        <v>1</v>
      </c>
      <c r="K305">
        <v>63.13</v>
      </c>
      <c r="L305">
        <v>59.43</v>
      </c>
    </row>
    <row r="306" spans="1:12" x14ac:dyDescent="0.2">
      <c r="A306" s="4">
        <v>305</v>
      </c>
      <c r="B306" t="s">
        <v>885</v>
      </c>
      <c r="C306">
        <v>61.56</v>
      </c>
      <c r="D306">
        <v>15</v>
      </c>
      <c r="E306">
        <v>16</v>
      </c>
      <c r="F306">
        <v>66.540000000000006</v>
      </c>
      <c r="G306">
        <v>0</v>
      </c>
      <c r="H306">
        <v>3</v>
      </c>
      <c r="I306">
        <v>0</v>
      </c>
      <c r="J306">
        <v>5</v>
      </c>
      <c r="K306">
        <v>63.66</v>
      </c>
      <c r="L306">
        <v>58.28</v>
      </c>
    </row>
    <row r="307" spans="1:12" x14ac:dyDescent="0.2">
      <c r="A307" s="4">
        <v>306</v>
      </c>
      <c r="B307" t="s">
        <v>892</v>
      </c>
      <c r="C307">
        <v>61.52</v>
      </c>
      <c r="D307">
        <v>7</v>
      </c>
      <c r="E307">
        <v>22</v>
      </c>
      <c r="F307">
        <v>68.33</v>
      </c>
      <c r="G307">
        <v>0</v>
      </c>
      <c r="H307">
        <v>0</v>
      </c>
      <c r="I307">
        <v>0</v>
      </c>
      <c r="J307">
        <v>0</v>
      </c>
      <c r="K307">
        <v>60.67</v>
      </c>
      <c r="L307">
        <v>62</v>
      </c>
    </row>
    <row r="308" spans="1:12" x14ac:dyDescent="0.2">
      <c r="A308" s="4">
        <v>307</v>
      </c>
      <c r="B308" t="s">
        <v>883</v>
      </c>
      <c r="C308">
        <v>61.49</v>
      </c>
      <c r="D308">
        <v>2</v>
      </c>
      <c r="E308">
        <v>25</v>
      </c>
      <c r="F308">
        <v>76.430000000000007</v>
      </c>
      <c r="G308">
        <v>0</v>
      </c>
      <c r="H308">
        <v>2</v>
      </c>
      <c r="I308">
        <v>0</v>
      </c>
      <c r="J308">
        <v>5</v>
      </c>
      <c r="K308">
        <v>57.53</v>
      </c>
      <c r="L308">
        <v>63.75</v>
      </c>
    </row>
    <row r="309" spans="1:12" x14ac:dyDescent="0.2">
      <c r="A309" s="4">
        <v>308</v>
      </c>
      <c r="B309" t="s">
        <v>124</v>
      </c>
      <c r="C309">
        <v>61.24</v>
      </c>
      <c r="D309">
        <v>5</v>
      </c>
      <c r="E309">
        <v>22</v>
      </c>
      <c r="F309">
        <v>70.040000000000006</v>
      </c>
      <c r="G309">
        <v>0</v>
      </c>
      <c r="H309">
        <v>1</v>
      </c>
      <c r="I309">
        <v>0</v>
      </c>
      <c r="J309">
        <v>1</v>
      </c>
      <c r="K309">
        <v>59.77</v>
      </c>
      <c r="L309">
        <v>62.18</v>
      </c>
    </row>
    <row r="310" spans="1:12" x14ac:dyDescent="0.2">
      <c r="A310" s="4">
        <v>309</v>
      </c>
      <c r="B310" t="s">
        <v>161</v>
      </c>
      <c r="C310">
        <v>61.04</v>
      </c>
      <c r="D310">
        <v>7</v>
      </c>
      <c r="E310">
        <v>24</v>
      </c>
      <c r="F310">
        <v>69.48</v>
      </c>
      <c r="G310">
        <v>0</v>
      </c>
      <c r="H310">
        <v>1</v>
      </c>
      <c r="I310">
        <v>0</v>
      </c>
      <c r="J310">
        <v>1</v>
      </c>
      <c r="K310">
        <v>60.91</v>
      </c>
      <c r="L310">
        <v>60.88</v>
      </c>
    </row>
    <row r="311" spans="1:12" x14ac:dyDescent="0.2">
      <c r="A311" s="4">
        <v>310</v>
      </c>
      <c r="B311" t="s">
        <v>839</v>
      </c>
      <c r="C311">
        <v>61.04</v>
      </c>
      <c r="D311">
        <v>6</v>
      </c>
      <c r="E311">
        <v>25</v>
      </c>
      <c r="F311">
        <v>70.61</v>
      </c>
      <c r="G311">
        <v>0</v>
      </c>
      <c r="H311">
        <v>0</v>
      </c>
      <c r="I311">
        <v>0</v>
      </c>
      <c r="J311">
        <v>1</v>
      </c>
      <c r="K311">
        <v>60.19</v>
      </c>
      <c r="L311">
        <v>61.51</v>
      </c>
    </row>
    <row r="312" spans="1:12" x14ac:dyDescent="0.2">
      <c r="A312" s="4">
        <v>311</v>
      </c>
      <c r="B312" t="s">
        <v>838</v>
      </c>
      <c r="C312">
        <v>60.88</v>
      </c>
      <c r="D312">
        <v>14</v>
      </c>
      <c r="E312">
        <v>20</v>
      </c>
      <c r="F312">
        <v>65.290000000000006</v>
      </c>
      <c r="G312">
        <v>0</v>
      </c>
      <c r="H312">
        <v>1</v>
      </c>
      <c r="I312">
        <v>0</v>
      </c>
      <c r="J312">
        <v>3</v>
      </c>
      <c r="K312">
        <v>61.42</v>
      </c>
      <c r="L312">
        <v>60.01</v>
      </c>
    </row>
    <row r="313" spans="1:12" x14ac:dyDescent="0.2">
      <c r="A313" s="4">
        <v>312</v>
      </c>
      <c r="B313" t="s">
        <v>301</v>
      </c>
      <c r="C313">
        <v>60.87</v>
      </c>
      <c r="D313">
        <v>7</v>
      </c>
      <c r="E313">
        <v>22</v>
      </c>
      <c r="F313">
        <v>71.069999999999993</v>
      </c>
      <c r="G313">
        <v>0</v>
      </c>
      <c r="H313">
        <v>2</v>
      </c>
      <c r="I313">
        <v>0</v>
      </c>
      <c r="J313">
        <v>2</v>
      </c>
      <c r="K313">
        <v>61.2</v>
      </c>
      <c r="L313">
        <v>60.23</v>
      </c>
    </row>
    <row r="314" spans="1:12" x14ac:dyDescent="0.2">
      <c r="A314" s="4">
        <v>313</v>
      </c>
      <c r="B314" t="s">
        <v>300</v>
      </c>
      <c r="C314">
        <v>60.85</v>
      </c>
      <c r="D314">
        <v>3</v>
      </c>
      <c r="E314">
        <v>27</v>
      </c>
      <c r="F314">
        <v>75.37</v>
      </c>
      <c r="G314">
        <v>0</v>
      </c>
      <c r="H314">
        <v>3</v>
      </c>
      <c r="I314">
        <v>0</v>
      </c>
      <c r="J314">
        <v>5</v>
      </c>
      <c r="K314">
        <v>59.18</v>
      </c>
      <c r="L314">
        <v>61.92</v>
      </c>
    </row>
    <row r="315" spans="1:12" x14ac:dyDescent="0.2">
      <c r="A315" s="4">
        <v>314</v>
      </c>
      <c r="B315" t="s">
        <v>865</v>
      </c>
      <c r="C315">
        <v>60.76</v>
      </c>
      <c r="D315">
        <v>9</v>
      </c>
      <c r="E315">
        <v>20</v>
      </c>
      <c r="F315">
        <v>66.92</v>
      </c>
      <c r="G315">
        <v>0</v>
      </c>
      <c r="H315">
        <v>0</v>
      </c>
      <c r="I315">
        <v>0</v>
      </c>
      <c r="J315">
        <v>2</v>
      </c>
      <c r="K315">
        <v>60.29</v>
      </c>
      <c r="L315">
        <v>60.91</v>
      </c>
    </row>
    <row r="316" spans="1:12" x14ac:dyDescent="0.2">
      <c r="A316" s="4">
        <v>315</v>
      </c>
      <c r="B316" t="s">
        <v>212</v>
      </c>
      <c r="C316">
        <v>60.54</v>
      </c>
      <c r="D316">
        <v>6</v>
      </c>
      <c r="E316">
        <v>25</v>
      </c>
      <c r="F316">
        <v>71.11</v>
      </c>
      <c r="G316">
        <v>0</v>
      </c>
      <c r="H316">
        <v>1</v>
      </c>
      <c r="I316">
        <v>0</v>
      </c>
      <c r="J316">
        <v>1</v>
      </c>
      <c r="K316">
        <v>61.06</v>
      </c>
      <c r="L316">
        <v>59.69</v>
      </c>
    </row>
    <row r="317" spans="1:12" x14ac:dyDescent="0.2">
      <c r="A317" s="4">
        <v>316</v>
      </c>
      <c r="B317" t="s">
        <v>268</v>
      </c>
      <c r="C317">
        <v>60.5</v>
      </c>
      <c r="D317">
        <v>6</v>
      </c>
      <c r="E317">
        <v>20</v>
      </c>
      <c r="F317">
        <v>69.45</v>
      </c>
      <c r="G317">
        <v>0</v>
      </c>
      <c r="H317">
        <v>0</v>
      </c>
      <c r="I317">
        <v>0</v>
      </c>
      <c r="J317">
        <v>2</v>
      </c>
      <c r="K317">
        <v>59.91</v>
      </c>
      <c r="L317">
        <v>60.75</v>
      </c>
    </row>
    <row r="318" spans="1:12" x14ac:dyDescent="0.2">
      <c r="A318" s="4">
        <v>317</v>
      </c>
      <c r="B318" t="s">
        <v>907</v>
      </c>
      <c r="C318">
        <v>60.36</v>
      </c>
      <c r="D318">
        <v>7</v>
      </c>
      <c r="E318">
        <v>23</v>
      </c>
      <c r="F318">
        <v>67.489999999999995</v>
      </c>
      <c r="G318">
        <v>0</v>
      </c>
      <c r="H318">
        <v>0</v>
      </c>
      <c r="I318">
        <v>0</v>
      </c>
      <c r="J318">
        <v>1</v>
      </c>
      <c r="K318">
        <v>58.4</v>
      </c>
      <c r="L318">
        <v>61.59</v>
      </c>
    </row>
    <row r="319" spans="1:12" x14ac:dyDescent="0.2">
      <c r="A319" s="4">
        <v>318</v>
      </c>
      <c r="B319" t="s">
        <v>210</v>
      </c>
      <c r="C319">
        <v>60.27</v>
      </c>
      <c r="D319">
        <v>8</v>
      </c>
      <c r="E319">
        <v>21</v>
      </c>
      <c r="F319">
        <v>68.63</v>
      </c>
      <c r="G319">
        <v>0</v>
      </c>
      <c r="H319">
        <v>0</v>
      </c>
      <c r="I319">
        <v>0</v>
      </c>
      <c r="J319">
        <v>1</v>
      </c>
      <c r="K319">
        <v>60.79</v>
      </c>
      <c r="L319">
        <v>59.42</v>
      </c>
    </row>
    <row r="320" spans="1:12" x14ac:dyDescent="0.2">
      <c r="A320" s="4">
        <v>319</v>
      </c>
      <c r="B320" t="s">
        <v>899</v>
      </c>
      <c r="C320">
        <v>60.25</v>
      </c>
      <c r="D320">
        <v>10</v>
      </c>
      <c r="E320">
        <v>18</v>
      </c>
      <c r="F320">
        <v>66.290000000000006</v>
      </c>
      <c r="G320">
        <v>0</v>
      </c>
      <c r="H320">
        <v>0</v>
      </c>
      <c r="I320">
        <v>0</v>
      </c>
      <c r="J320">
        <v>1</v>
      </c>
      <c r="K320">
        <v>62.04</v>
      </c>
      <c r="L320">
        <v>57.47</v>
      </c>
    </row>
    <row r="321" spans="1:12" x14ac:dyDescent="0.2">
      <c r="A321" s="4">
        <v>320</v>
      </c>
      <c r="B321" t="s">
        <v>895</v>
      </c>
      <c r="C321">
        <v>59.9</v>
      </c>
      <c r="D321">
        <v>9</v>
      </c>
      <c r="E321">
        <v>20</v>
      </c>
      <c r="F321">
        <v>65.510000000000005</v>
      </c>
      <c r="G321">
        <v>0</v>
      </c>
      <c r="H321">
        <v>0</v>
      </c>
      <c r="I321">
        <v>0</v>
      </c>
      <c r="J321">
        <v>1</v>
      </c>
      <c r="K321">
        <v>60.5</v>
      </c>
      <c r="L321">
        <v>58.95</v>
      </c>
    </row>
    <row r="322" spans="1:12" x14ac:dyDescent="0.2">
      <c r="A322" s="4">
        <v>321</v>
      </c>
      <c r="B322" t="s">
        <v>898</v>
      </c>
      <c r="C322">
        <v>59.71</v>
      </c>
      <c r="D322">
        <v>10</v>
      </c>
      <c r="E322">
        <v>18</v>
      </c>
      <c r="F322">
        <v>65.23</v>
      </c>
      <c r="G322">
        <v>0</v>
      </c>
      <c r="H322">
        <v>0</v>
      </c>
      <c r="I322">
        <v>0</v>
      </c>
      <c r="J322">
        <v>1</v>
      </c>
      <c r="K322">
        <v>59.67</v>
      </c>
      <c r="L322">
        <v>59.47</v>
      </c>
    </row>
    <row r="323" spans="1:12" x14ac:dyDescent="0.2">
      <c r="A323" s="4">
        <v>322</v>
      </c>
      <c r="B323" t="s">
        <v>260</v>
      </c>
      <c r="C323">
        <v>59.58</v>
      </c>
      <c r="D323">
        <v>11</v>
      </c>
      <c r="E323">
        <v>15</v>
      </c>
      <c r="F323">
        <v>63.59</v>
      </c>
      <c r="G323">
        <v>0</v>
      </c>
      <c r="H323">
        <v>0</v>
      </c>
      <c r="I323">
        <v>0</v>
      </c>
      <c r="J323">
        <v>2</v>
      </c>
      <c r="K323">
        <v>60.24</v>
      </c>
      <c r="L323">
        <v>58.57</v>
      </c>
    </row>
    <row r="324" spans="1:12" x14ac:dyDescent="0.2">
      <c r="A324" s="4">
        <v>323</v>
      </c>
      <c r="B324" t="s">
        <v>893</v>
      </c>
      <c r="C324">
        <v>59.57</v>
      </c>
      <c r="D324">
        <v>5</v>
      </c>
      <c r="E324">
        <v>23</v>
      </c>
      <c r="F324">
        <v>69.239999999999995</v>
      </c>
      <c r="G324">
        <v>0</v>
      </c>
      <c r="H324">
        <v>0</v>
      </c>
      <c r="I324">
        <v>0</v>
      </c>
      <c r="J324">
        <v>0</v>
      </c>
      <c r="K324">
        <v>58.75</v>
      </c>
      <c r="L324">
        <v>60.02</v>
      </c>
    </row>
    <row r="325" spans="1:12" x14ac:dyDescent="0.2">
      <c r="A325" s="4">
        <v>324</v>
      </c>
      <c r="B325" t="s">
        <v>101</v>
      </c>
      <c r="C325">
        <v>58.96</v>
      </c>
      <c r="D325">
        <v>6</v>
      </c>
      <c r="E325">
        <v>24</v>
      </c>
      <c r="F325">
        <v>69.41</v>
      </c>
      <c r="G325">
        <v>0</v>
      </c>
      <c r="H325">
        <v>0</v>
      </c>
      <c r="I325">
        <v>0</v>
      </c>
      <c r="J325">
        <v>1</v>
      </c>
      <c r="K325">
        <v>58.66</v>
      </c>
      <c r="L325">
        <v>58.96</v>
      </c>
    </row>
    <row r="326" spans="1:12" x14ac:dyDescent="0.2">
      <c r="A326" s="4">
        <v>325</v>
      </c>
      <c r="B326" t="s">
        <v>271</v>
      </c>
      <c r="C326">
        <v>58.83</v>
      </c>
      <c r="D326">
        <v>6</v>
      </c>
      <c r="E326">
        <v>22</v>
      </c>
      <c r="F326">
        <v>66.709999999999994</v>
      </c>
      <c r="G326">
        <v>0</v>
      </c>
      <c r="H326">
        <v>0</v>
      </c>
      <c r="I326">
        <v>0</v>
      </c>
      <c r="J326">
        <v>0</v>
      </c>
      <c r="K326">
        <v>57.63</v>
      </c>
      <c r="L326">
        <v>59.55</v>
      </c>
    </row>
    <row r="327" spans="1:12" x14ac:dyDescent="0.2">
      <c r="A327" s="4">
        <v>326</v>
      </c>
      <c r="B327" t="s">
        <v>270</v>
      </c>
      <c r="C327">
        <v>58.77</v>
      </c>
      <c r="D327">
        <v>11</v>
      </c>
      <c r="E327">
        <v>18</v>
      </c>
      <c r="F327">
        <v>63.85</v>
      </c>
      <c r="G327">
        <v>0</v>
      </c>
      <c r="H327">
        <v>1</v>
      </c>
      <c r="I327">
        <v>0</v>
      </c>
      <c r="J327">
        <v>1</v>
      </c>
      <c r="K327">
        <v>59.16</v>
      </c>
      <c r="L327">
        <v>58.05</v>
      </c>
    </row>
    <row r="328" spans="1:12" x14ac:dyDescent="0.2">
      <c r="A328" s="4">
        <v>327</v>
      </c>
      <c r="B328" t="s">
        <v>172</v>
      </c>
      <c r="C328">
        <v>58.55</v>
      </c>
      <c r="D328">
        <v>5</v>
      </c>
      <c r="E328">
        <v>26</v>
      </c>
      <c r="F328">
        <v>72.44</v>
      </c>
      <c r="G328">
        <v>0</v>
      </c>
      <c r="H328">
        <v>0</v>
      </c>
      <c r="I328">
        <v>0</v>
      </c>
      <c r="J328">
        <v>7</v>
      </c>
      <c r="K328">
        <v>59.97</v>
      </c>
      <c r="L328">
        <v>56.38</v>
      </c>
    </row>
    <row r="329" spans="1:12" x14ac:dyDescent="0.2">
      <c r="A329" s="4">
        <v>328</v>
      </c>
      <c r="B329" t="s">
        <v>240</v>
      </c>
      <c r="C329">
        <v>58.39</v>
      </c>
      <c r="D329">
        <v>3</v>
      </c>
      <c r="E329">
        <v>23</v>
      </c>
      <c r="F329">
        <v>76.97</v>
      </c>
      <c r="G329">
        <v>0</v>
      </c>
      <c r="H329">
        <v>3</v>
      </c>
      <c r="I329">
        <v>0</v>
      </c>
      <c r="J329">
        <v>6</v>
      </c>
      <c r="K329">
        <v>61.23</v>
      </c>
      <c r="L329">
        <v>51.73</v>
      </c>
    </row>
    <row r="330" spans="1:12" x14ac:dyDescent="0.2">
      <c r="A330" s="4">
        <v>329</v>
      </c>
      <c r="B330" t="s">
        <v>170</v>
      </c>
      <c r="C330">
        <v>58.1</v>
      </c>
      <c r="D330">
        <v>6</v>
      </c>
      <c r="E330">
        <v>22</v>
      </c>
      <c r="F330">
        <v>69.19</v>
      </c>
      <c r="G330">
        <v>0</v>
      </c>
      <c r="H330">
        <v>1</v>
      </c>
      <c r="I330">
        <v>0</v>
      </c>
      <c r="J330">
        <v>1</v>
      </c>
      <c r="K330">
        <v>58.62</v>
      </c>
      <c r="L330">
        <v>57.24</v>
      </c>
    </row>
    <row r="331" spans="1:12" x14ac:dyDescent="0.2">
      <c r="A331" s="4">
        <v>330</v>
      </c>
      <c r="B331" t="s">
        <v>198</v>
      </c>
      <c r="C331">
        <v>57.6</v>
      </c>
      <c r="D331">
        <v>2</v>
      </c>
      <c r="E331">
        <v>24</v>
      </c>
      <c r="F331">
        <v>73.650000000000006</v>
      </c>
      <c r="G331">
        <v>0</v>
      </c>
      <c r="H331">
        <v>3</v>
      </c>
      <c r="I331">
        <v>0</v>
      </c>
      <c r="J331">
        <v>4</v>
      </c>
      <c r="K331">
        <v>56.62</v>
      </c>
      <c r="L331">
        <v>58.15</v>
      </c>
    </row>
    <row r="332" spans="1:12" x14ac:dyDescent="0.2">
      <c r="A332" s="4">
        <v>331</v>
      </c>
      <c r="B332" t="s">
        <v>829</v>
      </c>
      <c r="C332">
        <v>57.6</v>
      </c>
      <c r="D332">
        <v>5</v>
      </c>
      <c r="E332">
        <v>22</v>
      </c>
      <c r="F332">
        <v>65.680000000000007</v>
      </c>
      <c r="G332">
        <v>0</v>
      </c>
      <c r="H332">
        <v>0</v>
      </c>
      <c r="I332">
        <v>0</v>
      </c>
      <c r="J332">
        <v>0</v>
      </c>
      <c r="K332">
        <v>55.91</v>
      </c>
      <c r="L332">
        <v>58.6</v>
      </c>
    </row>
    <row r="333" spans="1:12" x14ac:dyDescent="0.2">
      <c r="A333" s="4">
        <v>332</v>
      </c>
      <c r="B333" t="s">
        <v>267</v>
      </c>
      <c r="C333">
        <v>57.54</v>
      </c>
      <c r="D333">
        <v>6</v>
      </c>
      <c r="E333">
        <v>23</v>
      </c>
      <c r="F333">
        <v>68.36</v>
      </c>
      <c r="G333">
        <v>0</v>
      </c>
      <c r="H333">
        <v>0</v>
      </c>
      <c r="I333">
        <v>0</v>
      </c>
      <c r="J333">
        <v>1</v>
      </c>
      <c r="K333">
        <v>57.67</v>
      </c>
      <c r="L333">
        <v>57.13</v>
      </c>
    </row>
    <row r="334" spans="1:12" x14ac:dyDescent="0.2">
      <c r="A334" s="4">
        <v>333</v>
      </c>
      <c r="B334" t="s">
        <v>224</v>
      </c>
      <c r="C334">
        <v>56.76</v>
      </c>
      <c r="D334">
        <v>6</v>
      </c>
      <c r="E334">
        <v>26</v>
      </c>
      <c r="F334">
        <v>68.349999999999994</v>
      </c>
      <c r="G334">
        <v>0</v>
      </c>
      <c r="H334">
        <v>0</v>
      </c>
      <c r="I334">
        <v>0</v>
      </c>
      <c r="J334">
        <v>1</v>
      </c>
      <c r="K334">
        <v>58.81</v>
      </c>
      <c r="L334">
        <v>52.94</v>
      </c>
    </row>
    <row r="335" spans="1:12" x14ac:dyDescent="0.2">
      <c r="A335" s="4">
        <v>334</v>
      </c>
      <c r="B335" t="s">
        <v>822</v>
      </c>
      <c r="C335">
        <v>56.66</v>
      </c>
      <c r="D335">
        <v>2</v>
      </c>
      <c r="E335">
        <v>24</v>
      </c>
      <c r="F335">
        <v>71.78</v>
      </c>
      <c r="G335">
        <v>0</v>
      </c>
      <c r="H335">
        <v>2</v>
      </c>
      <c r="I335">
        <v>0</v>
      </c>
      <c r="J335">
        <v>4</v>
      </c>
      <c r="K335">
        <v>54</v>
      </c>
      <c r="L335">
        <v>58.12</v>
      </c>
    </row>
    <row r="336" spans="1:12" x14ac:dyDescent="0.2">
      <c r="A336" s="4">
        <v>335</v>
      </c>
      <c r="B336" t="s">
        <v>299</v>
      </c>
      <c r="C336">
        <v>56.08</v>
      </c>
      <c r="D336">
        <v>7</v>
      </c>
      <c r="E336">
        <v>25</v>
      </c>
      <c r="F336">
        <v>67.290000000000006</v>
      </c>
      <c r="G336">
        <v>0</v>
      </c>
      <c r="H336">
        <v>1</v>
      </c>
      <c r="I336">
        <v>0</v>
      </c>
      <c r="J336">
        <v>2</v>
      </c>
      <c r="K336">
        <v>56.06</v>
      </c>
      <c r="L336">
        <v>55.82</v>
      </c>
    </row>
    <row r="337" spans="1:12" x14ac:dyDescent="0.2">
      <c r="A337" s="4">
        <v>336</v>
      </c>
      <c r="B337" t="s">
        <v>235</v>
      </c>
      <c r="C337">
        <v>55.58</v>
      </c>
      <c r="D337">
        <v>7</v>
      </c>
      <c r="E337">
        <v>22</v>
      </c>
      <c r="F337">
        <v>66.42</v>
      </c>
      <c r="G337">
        <v>0</v>
      </c>
      <c r="H337">
        <v>2</v>
      </c>
      <c r="I337">
        <v>0</v>
      </c>
      <c r="J337">
        <v>3</v>
      </c>
      <c r="K337">
        <v>55.85</v>
      </c>
      <c r="L337">
        <v>55.01</v>
      </c>
    </row>
    <row r="338" spans="1:12" x14ac:dyDescent="0.2">
      <c r="A338" s="4">
        <v>337</v>
      </c>
      <c r="B338" t="s">
        <v>867</v>
      </c>
      <c r="C338">
        <v>54.94</v>
      </c>
      <c r="D338">
        <v>7</v>
      </c>
      <c r="E338">
        <v>17</v>
      </c>
      <c r="F338">
        <v>64</v>
      </c>
      <c r="G338">
        <v>0</v>
      </c>
      <c r="H338">
        <v>0</v>
      </c>
      <c r="I338">
        <v>0</v>
      </c>
      <c r="J338">
        <v>0</v>
      </c>
      <c r="K338">
        <v>56.36</v>
      </c>
      <c r="L338">
        <v>52.55</v>
      </c>
    </row>
    <row r="339" spans="1:12" x14ac:dyDescent="0.2">
      <c r="A339" s="4">
        <v>338</v>
      </c>
      <c r="B339" t="s">
        <v>842</v>
      </c>
      <c r="C339">
        <v>54.09</v>
      </c>
      <c r="D339">
        <v>6</v>
      </c>
      <c r="E339">
        <v>23</v>
      </c>
      <c r="F339">
        <v>65</v>
      </c>
      <c r="G339">
        <v>0</v>
      </c>
      <c r="H339">
        <v>0</v>
      </c>
      <c r="I339">
        <v>0</v>
      </c>
      <c r="J339">
        <v>2</v>
      </c>
      <c r="K339">
        <v>54.43</v>
      </c>
      <c r="L339">
        <v>53.43</v>
      </c>
    </row>
    <row r="340" spans="1:12" x14ac:dyDescent="0.2">
      <c r="A340" s="4">
        <v>339</v>
      </c>
      <c r="B340" t="s">
        <v>880</v>
      </c>
      <c r="C340">
        <v>53.67</v>
      </c>
      <c r="D340">
        <v>2</v>
      </c>
      <c r="E340">
        <v>26</v>
      </c>
      <c r="F340">
        <v>69.44</v>
      </c>
      <c r="G340">
        <v>0</v>
      </c>
      <c r="H340">
        <v>1</v>
      </c>
      <c r="I340">
        <v>0</v>
      </c>
      <c r="J340">
        <v>3</v>
      </c>
      <c r="K340">
        <v>50.92</v>
      </c>
      <c r="L340">
        <v>55.05</v>
      </c>
    </row>
    <row r="341" spans="1:12" x14ac:dyDescent="0.2">
      <c r="A341" s="4">
        <v>340</v>
      </c>
      <c r="B341" t="s">
        <v>886</v>
      </c>
      <c r="C341">
        <v>53.66</v>
      </c>
      <c r="D341">
        <v>4</v>
      </c>
      <c r="E341">
        <v>28</v>
      </c>
      <c r="F341">
        <v>68.28</v>
      </c>
      <c r="G341">
        <v>0</v>
      </c>
      <c r="H341">
        <v>1</v>
      </c>
      <c r="I341">
        <v>0</v>
      </c>
      <c r="J341">
        <v>2</v>
      </c>
      <c r="K341">
        <v>54.62</v>
      </c>
      <c r="L341">
        <v>52.13</v>
      </c>
    </row>
    <row r="342" spans="1:12" x14ac:dyDescent="0.2">
      <c r="A342" s="4">
        <v>341</v>
      </c>
      <c r="B342" t="s">
        <v>882</v>
      </c>
      <c r="C342">
        <v>46.91</v>
      </c>
      <c r="D342">
        <v>0</v>
      </c>
      <c r="E342">
        <v>29</v>
      </c>
      <c r="F342">
        <v>68.61</v>
      </c>
      <c r="G342">
        <v>0</v>
      </c>
      <c r="H342">
        <v>0</v>
      </c>
      <c r="I342">
        <v>0</v>
      </c>
      <c r="J342">
        <v>0</v>
      </c>
      <c r="K342">
        <v>43.49</v>
      </c>
      <c r="L342">
        <v>48.22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85A5-8DAB-4F6B-B9DB-22B4F8AFC228}">
  <dimension ref="A1:L337"/>
  <sheetViews>
    <sheetView topLeftCell="A131" workbookViewId="0">
      <selection activeCell="B151" sqref="B151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854</v>
      </c>
      <c r="L1" t="s">
        <v>28</v>
      </c>
    </row>
    <row r="2" spans="1:12" x14ac:dyDescent="0.2">
      <c r="A2" s="3">
        <v>1</v>
      </c>
      <c r="B2" t="s">
        <v>60</v>
      </c>
      <c r="C2">
        <v>96.14</v>
      </c>
      <c r="D2">
        <v>35</v>
      </c>
      <c r="E2">
        <v>5</v>
      </c>
      <c r="F2">
        <v>78.14</v>
      </c>
      <c r="G2">
        <v>9</v>
      </c>
      <c r="H2">
        <v>2</v>
      </c>
      <c r="I2">
        <v>17</v>
      </c>
      <c r="J2">
        <v>4</v>
      </c>
      <c r="K2">
        <v>97.59</v>
      </c>
      <c r="L2">
        <v>94.88</v>
      </c>
    </row>
    <row r="3" spans="1:12" x14ac:dyDescent="0.2">
      <c r="A3" s="3">
        <v>2</v>
      </c>
      <c r="B3" t="s">
        <v>809</v>
      </c>
      <c r="C3">
        <v>93.31</v>
      </c>
      <c r="D3">
        <v>35</v>
      </c>
      <c r="E3">
        <v>4</v>
      </c>
      <c r="F3">
        <v>79.489999999999995</v>
      </c>
      <c r="G3">
        <v>12</v>
      </c>
      <c r="H3">
        <v>4</v>
      </c>
      <c r="I3">
        <v>13</v>
      </c>
      <c r="J3">
        <v>4</v>
      </c>
      <c r="K3">
        <v>97.48</v>
      </c>
      <c r="L3">
        <v>91.18</v>
      </c>
    </row>
    <row r="4" spans="1:12" x14ac:dyDescent="0.2">
      <c r="A4" s="3">
        <v>3</v>
      </c>
      <c r="B4" t="s">
        <v>36</v>
      </c>
      <c r="C4">
        <v>92.99</v>
      </c>
      <c r="D4">
        <v>31</v>
      </c>
      <c r="E4">
        <v>7</v>
      </c>
      <c r="F4">
        <v>79.989999999999995</v>
      </c>
      <c r="G4">
        <v>8</v>
      </c>
      <c r="H4">
        <v>2</v>
      </c>
      <c r="I4">
        <v>16</v>
      </c>
      <c r="J4">
        <v>5</v>
      </c>
      <c r="K4">
        <v>91.25</v>
      </c>
      <c r="L4">
        <v>95.5</v>
      </c>
    </row>
    <row r="5" spans="1:12" x14ac:dyDescent="0.2">
      <c r="A5" s="3">
        <v>4</v>
      </c>
      <c r="B5" t="s">
        <v>2</v>
      </c>
      <c r="C5">
        <v>92.58</v>
      </c>
      <c r="D5">
        <v>33</v>
      </c>
      <c r="E5">
        <v>5</v>
      </c>
      <c r="F5">
        <v>77.069999999999993</v>
      </c>
      <c r="G5">
        <v>4</v>
      </c>
      <c r="H5">
        <v>2</v>
      </c>
      <c r="I5">
        <v>7</v>
      </c>
      <c r="J5">
        <v>3</v>
      </c>
      <c r="K5">
        <v>91.64</v>
      </c>
      <c r="L5">
        <v>93.35</v>
      </c>
    </row>
    <row r="6" spans="1:12" x14ac:dyDescent="0.2">
      <c r="A6" s="3">
        <v>5</v>
      </c>
      <c r="B6" t="s">
        <v>30</v>
      </c>
      <c r="C6">
        <v>92.12</v>
      </c>
      <c r="D6">
        <v>29</v>
      </c>
      <c r="E6">
        <v>6</v>
      </c>
      <c r="F6">
        <v>80.41</v>
      </c>
      <c r="G6">
        <v>10</v>
      </c>
      <c r="H6">
        <v>3</v>
      </c>
      <c r="I6">
        <v>14</v>
      </c>
      <c r="J6">
        <v>3</v>
      </c>
      <c r="K6">
        <v>93.09</v>
      </c>
      <c r="L6">
        <v>91.06</v>
      </c>
    </row>
    <row r="7" spans="1:12" x14ac:dyDescent="0.2">
      <c r="A7" s="3">
        <v>6</v>
      </c>
      <c r="B7" t="s">
        <v>147</v>
      </c>
      <c r="C7">
        <v>91.94</v>
      </c>
      <c r="D7">
        <v>30</v>
      </c>
      <c r="E7">
        <v>7</v>
      </c>
      <c r="F7">
        <v>79.19</v>
      </c>
      <c r="G7">
        <v>6</v>
      </c>
      <c r="H7">
        <v>4</v>
      </c>
      <c r="I7">
        <v>14</v>
      </c>
      <c r="J7">
        <v>6</v>
      </c>
      <c r="K7">
        <v>91.86</v>
      </c>
      <c r="L7">
        <v>91.67</v>
      </c>
    </row>
    <row r="8" spans="1:12" x14ac:dyDescent="0.2">
      <c r="A8" s="3">
        <v>7</v>
      </c>
      <c r="B8" t="s">
        <v>40</v>
      </c>
      <c r="C8">
        <v>91.3</v>
      </c>
      <c r="D8">
        <v>33</v>
      </c>
      <c r="E8">
        <v>4</v>
      </c>
      <c r="F8">
        <v>75.41</v>
      </c>
      <c r="G8">
        <v>2</v>
      </c>
      <c r="H8">
        <v>3</v>
      </c>
      <c r="I8">
        <v>3</v>
      </c>
      <c r="J8">
        <v>4</v>
      </c>
      <c r="K8">
        <v>92.31</v>
      </c>
      <c r="L8">
        <v>90.2</v>
      </c>
    </row>
    <row r="9" spans="1:12" x14ac:dyDescent="0.2">
      <c r="A9" s="3">
        <v>8</v>
      </c>
      <c r="B9" t="s">
        <v>43</v>
      </c>
      <c r="C9">
        <v>89.63</v>
      </c>
      <c r="D9">
        <v>30</v>
      </c>
      <c r="E9">
        <v>6</v>
      </c>
      <c r="F9">
        <v>77.56</v>
      </c>
      <c r="G9">
        <v>5</v>
      </c>
      <c r="H9">
        <v>5</v>
      </c>
      <c r="I9">
        <v>9</v>
      </c>
      <c r="J9">
        <v>6</v>
      </c>
      <c r="K9">
        <v>90.34</v>
      </c>
      <c r="L9">
        <v>88.71</v>
      </c>
    </row>
    <row r="10" spans="1:12" x14ac:dyDescent="0.2">
      <c r="A10" s="3">
        <v>9</v>
      </c>
      <c r="B10" t="s">
        <v>57</v>
      </c>
      <c r="C10">
        <v>89.04</v>
      </c>
      <c r="D10">
        <v>27</v>
      </c>
      <c r="E10">
        <v>7</v>
      </c>
      <c r="F10">
        <v>76.17</v>
      </c>
      <c r="G10">
        <v>1</v>
      </c>
      <c r="H10">
        <v>2</v>
      </c>
      <c r="I10">
        <v>4</v>
      </c>
      <c r="J10">
        <v>3</v>
      </c>
      <c r="K10">
        <v>87.36</v>
      </c>
      <c r="L10">
        <v>91.09</v>
      </c>
    </row>
    <row r="11" spans="1:12" x14ac:dyDescent="0.2">
      <c r="A11" s="3">
        <v>10</v>
      </c>
      <c r="B11" t="s">
        <v>59</v>
      </c>
      <c r="C11">
        <v>88.75</v>
      </c>
      <c r="D11">
        <v>29</v>
      </c>
      <c r="E11">
        <v>8</v>
      </c>
      <c r="F11">
        <v>77.819999999999993</v>
      </c>
      <c r="G11">
        <v>6</v>
      </c>
      <c r="H11">
        <v>5</v>
      </c>
      <c r="I11">
        <v>9</v>
      </c>
      <c r="J11">
        <v>5</v>
      </c>
      <c r="K11">
        <v>90.94</v>
      </c>
      <c r="L11">
        <v>87</v>
      </c>
    </row>
    <row r="12" spans="1:12" x14ac:dyDescent="0.2">
      <c r="A12" s="4">
        <v>11</v>
      </c>
      <c r="B12" t="s">
        <v>153</v>
      </c>
      <c r="C12">
        <v>88.57</v>
      </c>
      <c r="D12">
        <v>29</v>
      </c>
      <c r="E12">
        <v>8</v>
      </c>
      <c r="F12">
        <v>79.37</v>
      </c>
      <c r="G12">
        <v>3</v>
      </c>
      <c r="H12">
        <v>4</v>
      </c>
      <c r="I12">
        <v>9</v>
      </c>
      <c r="J12">
        <v>7</v>
      </c>
      <c r="K12">
        <v>89.24</v>
      </c>
      <c r="L12">
        <v>87.68</v>
      </c>
    </row>
    <row r="13" spans="1:12" x14ac:dyDescent="0.2">
      <c r="A13" s="4">
        <v>12</v>
      </c>
      <c r="B13" t="s">
        <v>13</v>
      </c>
      <c r="C13">
        <v>87.84</v>
      </c>
      <c r="D13">
        <v>24</v>
      </c>
      <c r="E13">
        <v>11</v>
      </c>
      <c r="F13">
        <v>80.41</v>
      </c>
      <c r="G13">
        <v>3</v>
      </c>
      <c r="H13">
        <v>6</v>
      </c>
      <c r="I13">
        <v>11</v>
      </c>
      <c r="J13">
        <v>7</v>
      </c>
      <c r="K13">
        <v>87.89</v>
      </c>
      <c r="L13">
        <v>87.45</v>
      </c>
    </row>
    <row r="14" spans="1:12" x14ac:dyDescent="0.2">
      <c r="A14" s="4">
        <v>13</v>
      </c>
      <c r="B14" t="s">
        <v>75</v>
      </c>
      <c r="C14">
        <v>87.42</v>
      </c>
      <c r="D14">
        <v>25</v>
      </c>
      <c r="E14">
        <v>9</v>
      </c>
      <c r="F14">
        <v>77.8</v>
      </c>
      <c r="G14">
        <v>4</v>
      </c>
      <c r="H14">
        <v>2</v>
      </c>
      <c r="I14">
        <v>9</v>
      </c>
      <c r="J14">
        <v>7</v>
      </c>
      <c r="K14">
        <v>86.26</v>
      </c>
      <c r="L14">
        <v>88.45</v>
      </c>
    </row>
    <row r="15" spans="1:12" x14ac:dyDescent="0.2">
      <c r="A15" s="4">
        <v>14</v>
      </c>
      <c r="B15" t="s">
        <v>15</v>
      </c>
      <c r="C15">
        <v>87.4</v>
      </c>
      <c r="D15">
        <v>22</v>
      </c>
      <c r="E15">
        <v>12</v>
      </c>
      <c r="F15">
        <v>82.33</v>
      </c>
      <c r="G15">
        <v>2</v>
      </c>
      <c r="H15">
        <v>7</v>
      </c>
      <c r="I15">
        <v>9</v>
      </c>
      <c r="J15">
        <v>12</v>
      </c>
      <c r="K15">
        <v>87.21</v>
      </c>
      <c r="L15">
        <v>87.24</v>
      </c>
    </row>
    <row r="16" spans="1:12" x14ac:dyDescent="0.2">
      <c r="A16" s="4">
        <v>15</v>
      </c>
      <c r="B16" t="s">
        <v>106</v>
      </c>
      <c r="C16">
        <v>87.2</v>
      </c>
      <c r="D16">
        <v>27</v>
      </c>
      <c r="E16">
        <v>7</v>
      </c>
      <c r="F16">
        <v>76.16</v>
      </c>
      <c r="G16">
        <v>5</v>
      </c>
      <c r="H16">
        <v>2</v>
      </c>
      <c r="I16">
        <v>5</v>
      </c>
      <c r="J16">
        <v>2</v>
      </c>
      <c r="K16">
        <v>86.6</v>
      </c>
      <c r="L16">
        <v>87.49</v>
      </c>
    </row>
    <row r="17" spans="1:12" x14ac:dyDescent="0.2">
      <c r="A17" s="4">
        <v>16</v>
      </c>
      <c r="B17" t="s">
        <v>136</v>
      </c>
      <c r="C17">
        <v>86.94</v>
      </c>
      <c r="D17">
        <v>28</v>
      </c>
      <c r="E17">
        <v>7</v>
      </c>
      <c r="F17">
        <v>79.489999999999995</v>
      </c>
      <c r="G17">
        <v>1</v>
      </c>
      <c r="H17">
        <v>2</v>
      </c>
      <c r="I17">
        <v>7</v>
      </c>
      <c r="J17">
        <v>4</v>
      </c>
      <c r="K17">
        <v>87.97</v>
      </c>
      <c r="L17">
        <v>85.78</v>
      </c>
    </row>
    <row r="18" spans="1:12" x14ac:dyDescent="0.2">
      <c r="A18" s="4">
        <v>17</v>
      </c>
      <c r="B18" t="s">
        <v>72</v>
      </c>
      <c r="C18">
        <v>86.68</v>
      </c>
      <c r="D18">
        <v>26</v>
      </c>
      <c r="E18">
        <v>9</v>
      </c>
      <c r="F18">
        <v>75.88</v>
      </c>
      <c r="G18">
        <v>1</v>
      </c>
      <c r="H18">
        <v>4</v>
      </c>
      <c r="I18">
        <v>5</v>
      </c>
      <c r="J18">
        <v>7</v>
      </c>
      <c r="K18">
        <v>86.66</v>
      </c>
      <c r="L18">
        <v>86.35</v>
      </c>
    </row>
    <row r="19" spans="1:12" x14ac:dyDescent="0.2">
      <c r="A19" s="4">
        <v>18</v>
      </c>
      <c r="B19" t="s">
        <v>6</v>
      </c>
      <c r="C19">
        <v>86.3</v>
      </c>
      <c r="D19">
        <v>20</v>
      </c>
      <c r="E19">
        <v>11</v>
      </c>
      <c r="F19">
        <v>81.56</v>
      </c>
      <c r="G19">
        <v>3</v>
      </c>
      <c r="H19">
        <v>8</v>
      </c>
      <c r="I19">
        <v>4</v>
      </c>
      <c r="J19">
        <v>11</v>
      </c>
      <c r="K19">
        <v>85.9</v>
      </c>
      <c r="L19">
        <v>86.36</v>
      </c>
    </row>
    <row r="20" spans="1:12" x14ac:dyDescent="0.2">
      <c r="A20" s="4">
        <v>19</v>
      </c>
      <c r="B20" t="s">
        <v>794</v>
      </c>
      <c r="C20">
        <v>86.12</v>
      </c>
      <c r="D20">
        <v>23</v>
      </c>
      <c r="E20">
        <v>12</v>
      </c>
      <c r="F20">
        <v>78.61</v>
      </c>
      <c r="G20">
        <v>2</v>
      </c>
      <c r="H20">
        <v>8</v>
      </c>
      <c r="I20">
        <v>5</v>
      </c>
      <c r="J20">
        <v>9</v>
      </c>
      <c r="K20">
        <v>85.09</v>
      </c>
      <c r="L20">
        <v>86.95</v>
      </c>
    </row>
    <row r="21" spans="1:12" x14ac:dyDescent="0.2">
      <c r="A21" s="4">
        <v>20</v>
      </c>
      <c r="B21" t="s">
        <v>46</v>
      </c>
      <c r="C21">
        <v>86.08</v>
      </c>
      <c r="D21">
        <v>21</v>
      </c>
      <c r="E21">
        <v>11</v>
      </c>
      <c r="F21">
        <v>78.91</v>
      </c>
      <c r="G21">
        <v>4</v>
      </c>
      <c r="H21">
        <v>7</v>
      </c>
      <c r="I21">
        <v>4</v>
      </c>
      <c r="J21">
        <v>7</v>
      </c>
      <c r="K21">
        <v>84.82</v>
      </c>
      <c r="L21">
        <v>87.24</v>
      </c>
    </row>
    <row r="22" spans="1:12" x14ac:dyDescent="0.2">
      <c r="A22" s="4">
        <v>21</v>
      </c>
      <c r="B22" t="s">
        <v>877</v>
      </c>
      <c r="C22">
        <v>86.06</v>
      </c>
      <c r="D22">
        <v>25</v>
      </c>
      <c r="E22">
        <v>12</v>
      </c>
      <c r="F22">
        <v>77.95</v>
      </c>
      <c r="G22">
        <v>4</v>
      </c>
      <c r="H22">
        <v>5</v>
      </c>
      <c r="I22">
        <v>7</v>
      </c>
      <c r="J22">
        <v>7</v>
      </c>
      <c r="K22">
        <v>86.35</v>
      </c>
      <c r="L22">
        <v>85.45</v>
      </c>
    </row>
    <row r="23" spans="1:12" x14ac:dyDescent="0.2">
      <c r="A23" s="4">
        <v>22</v>
      </c>
      <c r="B23" t="s">
        <v>115</v>
      </c>
      <c r="C23">
        <v>86.02</v>
      </c>
      <c r="D23">
        <v>29</v>
      </c>
      <c r="E23">
        <v>7</v>
      </c>
      <c r="F23">
        <v>76.8</v>
      </c>
      <c r="G23">
        <v>1</v>
      </c>
      <c r="H23">
        <v>2</v>
      </c>
      <c r="I23">
        <v>6</v>
      </c>
      <c r="J23">
        <v>4</v>
      </c>
      <c r="K23">
        <v>88.51</v>
      </c>
      <c r="L23">
        <v>84.03</v>
      </c>
    </row>
    <row r="24" spans="1:12" x14ac:dyDescent="0.2">
      <c r="A24" s="4">
        <v>23</v>
      </c>
      <c r="B24" t="s">
        <v>54</v>
      </c>
      <c r="C24">
        <v>86</v>
      </c>
      <c r="D24">
        <v>24</v>
      </c>
      <c r="E24">
        <v>8</v>
      </c>
      <c r="F24">
        <v>74.95</v>
      </c>
      <c r="G24">
        <v>2</v>
      </c>
      <c r="H24">
        <v>3</v>
      </c>
      <c r="I24">
        <v>9</v>
      </c>
      <c r="J24">
        <v>6</v>
      </c>
      <c r="K24">
        <v>84.57</v>
      </c>
      <c r="L24">
        <v>87.44</v>
      </c>
    </row>
    <row r="25" spans="1:12" x14ac:dyDescent="0.2">
      <c r="A25" s="4">
        <v>24</v>
      </c>
      <c r="B25" t="s">
        <v>9</v>
      </c>
      <c r="C25">
        <v>85.97</v>
      </c>
      <c r="D25">
        <v>22</v>
      </c>
      <c r="E25">
        <v>11</v>
      </c>
      <c r="F25">
        <v>80.150000000000006</v>
      </c>
      <c r="G25">
        <v>2</v>
      </c>
      <c r="H25">
        <v>4</v>
      </c>
      <c r="I25">
        <v>8</v>
      </c>
      <c r="J25">
        <v>9</v>
      </c>
      <c r="K25">
        <v>84.45</v>
      </c>
      <c r="L25">
        <v>87.54</v>
      </c>
    </row>
    <row r="26" spans="1:12" x14ac:dyDescent="0.2">
      <c r="A26" s="4">
        <v>25</v>
      </c>
      <c r="B26" t="s">
        <v>16</v>
      </c>
      <c r="C26">
        <v>85.93</v>
      </c>
      <c r="D26">
        <v>22</v>
      </c>
      <c r="E26">
        <v>12</v>
      </c>
      <c r="F26">
        <v>78.42</v>
      </c>
      <c r="G26">
        <v>3</v>
      </c>
      <c r="H26">
        <v>7</v>
      </c>
      <c r="I26">
        <v>5</v>
      </c>
      <c r="J26">
        <v>8</v>
      </c>
      <c r="K26">
        <v>84.57</v>
      </c>
      <c r="L26">
        <v>87.25</v>
      </c>
    </row>
    <row r="27" spans="1:12" x14ac:dyDescent="0.2">
      <c r="A27" s="4">
        <v>26</v>
      </c>
      <c r="B27" t="s">
        <v>807</v>
      </c>
      <c r="C27">
        <v>85.85</v>
      </c>
      <c r="D27">
        <v>26</v>
      </c>
      <c r="E27">
        <v>8</v>
      </c>
      <c r="F27">
        <v>77.599999999999994</v>
      </c>
      <c r="G27">
        <v>4</v>
      </c>
      <c r="H27">
        <v>5</v>
      </c>
      <c r="I27">
        <v>4</v>
      </c>
      <c r="J27">
        <v>6</v>
      </c>
      <c r="K27">
        <v>86.75</v>
      </c>
      <c r="L27">
        <v>84.77</v>
      </c>
    </row>
    <row r="28" spans="1:12" x14ac:dyDescent="0.2">
      <c r="A28" s="4">
        <v>27</v>
      </c>
      <c r="B28" t="s">
        <v>104</v>
      </c>
      <c r="C28">
        <v>85.6</v>
      </c>
      <c r="D28">
        <v>23</v>
      </c>
      <c r="E28">
        <v>10</v>
      </c>
      <c r="F28">
        <v>77.33</v>
      </c>
      <c r="G28">
        <v>2</v>
      </c>
      <c r="H28">
        <v>6</v>
      </c>
      <c r="I28">
        <v>5</v>
      </c>
      <c r="J28">
        <v>8</v>
      </c>
      <c r="K28">
        <v>84.11</v>
      </c>
      <c r="L28">
        <v>87.11</v>
      </c>
    </row>
    <row r="29" spans="1:12" x14ac:dyDescent="0.2">
      <c r="A29" s="4">
        <v>28</v>
      </c>
      <c r="B29" t="s">
        <v>76</v>
      </c>
      <c r="C29">
        <v>85.56</v>
      </c>
      <c r="D29">
        <v>21</v>
      </c>
      <c r="E29">
        <v>12</v>
      </c>
      <c r="F29">
        <v>79.28</v>
      </c>
      <c r="G29">
        <v>4</v>
      </c>
      <c r="H29">
        <v>4</v>
      </c>
      <c r="I29">
        <v>8</v>
      </c>
      <c r="J29">
        <v>8</v>
      </c>
      <c r="K29">
        <v>85.78</v>
      </c>
      <c r="L29">
        <v>85.01</v>
      </c>
    </row>
    <row r="30" spans="1:12" x14ac:dyDescent="0.2">
      <c r="A30" s="4">
        <v>29</v>
      </c>
      <c r="B30" t="s">
        <v>78</v>
      </c>
      <c r="C30">
        <v>85.55</v>
      </c>
      <c r="D30">
        <v>25</v>
      </c>
      <c r="E30">
        <v>11</v>
      </c>
      <c r="F30">
        <v>78.11</v>
      </c>
      <c r="G30">
        <v>0</v>
      </c>
      <c r="H30">
        <v>6</v>
      </c>
      <c r="I30">
        <v>9</v>
      </c>
      <c r="J30">
        <v>10</v>
      </c>
      <c r="K30">
        <v>85.62</v>
      </c>
      <c r="L30">
        <v>85.14</v>
      </c>
    </row>
    <row r="31" spans="1:12" x14ac:dyDescent="0.2">
      <c r="A31" s="4">
        <v>30</v>
      </c>
      <c r="B31" t="s">
        <v>130</v>
      </c>
      <c r="C31">
        <v>85.46</v>
      </c>
      <c r="D31">
        <v>20</v>
      </c>
      <c r="E31">
        <v>12</v>
      </c>
      <c r="F31">
        <v>78.53</v>
      </c>
      <c r="G31">
        <v>4</v>
      </c>
      <c r="H31">
        <v>5</v>
      </c>
      <c r="I31">
        <v>9</v>
      </c>
      <c r="J31">
        <v>9</v>
      </c>
      <c r="K31">
        <v>84.01</v>
      </c>
      <c r="L31">
        <v>86.9</v>
      </c>
    </row>
    <row r="32" spans="1:12" x14ac:dyDescent="0.2">
      <c r="A32" s="4">
        <v>31</v>
      </c>
      <c r="B32" t="s">
        <v>11</v>
      </c>
      <c r="C32">
        <v>85.33</v>
      </c>
      <c r="D32">
        <v>21</v>
      </c>
      <c r="E32">
        <v>11</v>
      </c>
      <c r="F32">
        <v>79.77</v>
      </c>
      <c r="G32">
        <v>2</v>
      </c>
      <c r="H32">
        <v>6</v>
      </c>
      <c r="I32">
        <v>6</v>
      </c>
      <c r="J32">
        <v>10</v>
      </c>
      <c r="K32">
        <v>83.72</v>
      </c>
      <c r="L32">
        <v>87.05</v>
      </c>
    </row>
    <row r="33" spans="1:12" x14ac:dyDescent="0.2">
      <c r="A33" s="4">
        <v>32</v>
      </c>
      <c r="B33" t="s">
        <v>38</v>
      </c>
      <c r="C33">
        <v>85.24</v>
      </c>
      <c r="D33">
        <v>25</v>
      </c>
      <c r="E33">
        <v>10</v>
      </c>
      <c r="F33">
        <v>77.23</v>
      </c>
      <c r="G33">
        <v>1</v>
      </c>
      <c r="H33">
        <v>6</v>
      </c>
      <c r="I33">
        <v>2</v>
      </c>
      <c r="J33">
        <v>7</v>
      </c>
      <c r="K33">
        <v>84.74</v>
      </c>
      <c r="L33">
        <v>85.42</v>
      </c>
    </row>
    <row r="34" spans="1:12" x14ac:dyDescent="0.2">
      <c r="A34" s="4">
        <v>33</v>
      </c>
      <c r="B34" t="s">
        <v>122</v>
      </c>
      <c r="C34">
        <v>85.1</v>
      </c>
      <c r="D34">
        <v>21</v>
      </c>
      <c r="E34">
        <v>12</v>
      </c>
      <c r="F34">
        <v>79.34</v>
      </c>
      <c r="G34">
        <v>2</v>
      </c>
      <c r="H34">
        <v>6</v>
      </c>
      <c r="I34">
        <v>7</v>
      </c>
      <c r="J34">
        <v>9</v>
      </c>
      <c r="K34">
        <v>84.55</v>
      </c>
      <c r="L34">
        <v>85.32</v>
      </c>
    </row>
    <row r="35" spans="1:12" x14ac:dyDescent="0.2">
      <c r="A35" s="4">
        <v>34</v>
      </c>
      <c r="B35" t="s">
        <v>791</v>
      </c>
      <c r="C35">
        <v>84.82</v>
      </c>
      <c r="D35">
        <v>21</v>
      </c>
      <c r="E35">
        <v>14</v>
      </c>
      <c r="F35">
        <v>78.53</v>
      </c>
      <c r="G35">
        <v>1</v>
      </c>
      <c r="H35">
        <v>4</v>
      </c>
      <c r="I35">
        <v>5</v>
      </c>
      <c r="J35">
        <v>10</v>
      </c>
      <c r="K35">
        <v>83.15</v>
      </c>
      <c r="L35">
        <v>86.62</v>
      </c>
    </row>
    <row r="36" spans="1:12" x14ac:dyDescent="0.2">
      <c r="A36" s="4">
        <v>35</v>
      </c>
      <c r="B36" t="s">
        <v>793</v>
      </c>
      <c r="C36">
        <v>84.62</v>
      </c>
      <c r="D36">
        <v>22</v>
      </c>
      <c r="E36">
        <v>13</v>
      </c>
      <c r="F36">
        <v>79.099999999999994</v>
      </c>
      <c r="G36">
        <v>3</v>
      </c>
      <c r="H36">
        <v>5</v>
      </c>
      <c r="I36">
        <v>5</v>
      </c>
      <c r="J36">
        <v>13</v>
      </c>
      <c r="K36">
        <v>84.13</v>
      </c>
      <c r="L36">
        <v>84.78</v>
      </c>
    </row>
    <row r="37" spans="1:12" x14ac:dyDescent="0.2">
      <c r="A37" s="4">
        <v>36</v>
      </c>
      <c r="B37" t="s">
        <v>41</v>
      </c>
      <c r="C37">
        <v>84.61</v>
      </c>
      <c r="D37">
        <v>21</v>
      </c>
      <c r="E37">
        <v>12</v>
      </c>
      <c r="F37">
        <v>79.459999999999994</v>
      </c>
      <c r="G37">
        <v>4</v>
      </c>
      <c r="H37">
        <v>2</v>
      </c>
      <c r="I37">
        <v>7</v>
      </c>
      <c r="J37">
        <v>6</v>
      </c>
      <c r="K37">
        <v>83.99</v>
      </c>
      <c r="L37">
        <v>84.92</v>
      </c>
    </row>
    <row r="38" spans="1:12" x14ac:dyDescent="0.2">
      <c r="A38" s="4">
        <v>37</v>
      </c>
      <c r="B38" t="s">
        <v>216</v>
      </c>
      <c r="C38">
        <v>84.56</v>
      </c>
      <c r="D38">
        <v>25</v>
      </c>
      <c r="E38">
        <v>9</v>
      </c>
      <c r="F38">
        <v>75.14</v>
      </c>
      <c r="G38">
        <v>1</v>
      </c>
      <c r="H38">
        <v>2</v>
      </c>
      <c r="I38">
        <v>3</v>
      </c>
      <c r="J38">
        <v>5</v>
      </c>
      <c r="K38">
        <v>84.07</v>
      </c>
      <c r="L38">
        <v>84.71</v>
      </c>
    </row>
    <row r="39" spans="1:12" x14ac:dyDescent="0.2">
      <c r="A39" s="4">
        <v>38</v>
      </c>
      <c r="B39" t="s">
        <v>155</v>
      </c>
      <c r="C39">
        <v>84.53</v>
      </c>
      <c r="D39">
        <v>25</v>
      </c>
      <c r="E39">
        <v>5</v>
      </c>
      <c r="F39">
        <v>71.06</v>
      </c>
      <c r="G39">
        <v>1</v>
      </c>
      <c r="H39">
        <v>5</v>
      </c>
      <c r="I39">
        <v>3</v>
      </c>
      <c r="J39">
        <v>5</v>
      </c>
      <c r="K39">
        <v>87.81</v>
      </c>
      <c r="L39">
        <v>82.13</v>
      </c>
    </row>
    <row r="40" spans="1:12" x14ac:dyDescent="0.2">
      <c r="A40" s="4">
        <v>39</v>
      </c>
      <c r="B40" t="s">
        <v>70</v>
      </c>
      <c r="C40">
        <v>84.33</v>
      </c>
      <c r="D40">
        <v>20</v>
      </c>
      <c r="E40">
        <v>11</v>
      </c>
      <c r="F40">
        <v>77.64</v>
      </c>
      <c r="G40">
        <v>4</v>
      </c>
      <c r="H40">
        <v>3</v>
      </c>
      <c r="I40">
        <v>8</v>
      </c>
      <c r="J40">
        <v>5</v>
      </c>
      <c r="K40">
        <v>83.47</v>
      </c>
      <c r="L40">
        <v>84.93</v>
      </c>
    </row>
    <row r="41" spans="1:12" x14ac:dyDescent="0.2">
      <c r="A41" s="4">
        <v>40</v>
      </c>
      <c r="B41" t="s">
        <v>119</v>
      </c>
      <c r="C41">
        <v>84.15</v>
      </c>
      <c r="D41">
        <v>28</v>
      </c>
      <c r="E41">
        <v>5</v>
      </c>
      <c r="F41">
        <v>73.63</v>
      </c>
      <c r="G41">
        <v>0</v>
      </c>
      <c r="H41">
        <v>2</v>
      </c>
      <c r="I41">
        <v>1</v>
      </c>
      <c r="J41">
        <v>2</v>
      </c>
      <c r="K41">
        <v>86.87</v>
      </c>
      <c r="L41">
        <v>81.98</v>
      </c>
    </row>
    <row r="42" spans="1:12" x14ac:dyDescent="0.2">
      <c r="A42" s="4">
        <v>41</v>
      </c>
      <c r="B42" t="s">
        <v>51</v>
      </c>
      <c r="C42">
        <v>83.74</v>
      </c>
      <c r="D42">
        <v>25</v>
      </c>
      <c r="E42">
        <v>9</v>
      </c>
      <c r="F42">
        <v>74.680000000000007</v>
      </c>
      <c r="G42">
        <v>0</v>
      </c>
      <c r="H42">
        <v>1</v>
      </c>
      <c r="I42">
        <v>2</v>
      </c>
      <c r="J42">
        <v>3</v>
      </c>
      <c r="K42">
        <v>82.75</v>
      </c>
      <c r="L42">
        <v>84.49</v>
      </c>
    </row>
    <row r="43" spans="1:12" x14ac:dyDescent="0.2">
      <c r="A43" s="4">
        <v>42</v>
      </c>
      <c r="B43" t="s">
        <v>35</v>
      </c>
      <c r="C43">
        <v>83.69</v>
      </c>
      <c r="D43">
        <v>21</v>
      </c>
      <c r="E43">
        <v>14</v>
      </c>
      <c r="F43">
        <v>80.010000000000005</v>
      </c>
      <c r="G43">
        <v>2</v>
      </c>
      <c r="H43">
        <v>5</v>
      </c>
      <c r="I43">
        <v>8</v>
      </c>
      <c r="J43">
        <v>8</v>
      </c>
      <c r="K43">
        <v>83.25</v>
      </c>
      <c r="L43">
        <v>83.79</v>
      </c>
    </row>
    <row r="44" spans="1:12" x14ac:dyDescent="0.2">
      <c r="A44" s="4">
        <v>43</v>
      </c>
      <c r="B44" t="s">
        <v>52</v>
      </c>
      <c r="C44">
        <v>83.64</v>
      </c>
      <c r="D44">
        <v>22</v>
      </c>
      <c r="E44">
        <v>11</v>
      </c>
      <c r="F44">
        <v>78.260000000000005</v>
      </c>
      <c r="G44">
        <v>1</v>
      </c>
      <c r="H44">
        <v>2</v>
      </c>
      <c r="I44">
        <v>5</v>
      </c>
      <c r="J44">
        <v>3</v>
      </c>
      <c r="K44">
        <v>82.59</v>
      </c>
      <c r="L44">
        <v>84.47</v>
      </c>
    </row>
    <row r="45" spans="1:12" x14ac:dyDescent="0.2">
      <c r="A45" s="4">
        <v>44</v>
      </c>
      <c r="B45" t="s">
        <v>65</v>
      </c>
      <c r="C45">
        <v>83.41</v>
      </c>
      <c r="D45">
        <v>23</v>
      </c>
      <c r="E45">
        <v>10</v>
      </c>
      <c r="F45">
        <v>77.239999999999995</v>
      </c>
      <c r="G45">
        <v>4</v>
      </c>
      <c r="H45">
        <v>5</v>
      </c>
      <c r="I45">
        <v>6</v>
      </c>
      <c r="J45">
        <v>8</v>
      </c>
      <c r="K45">
        <v>83.51</v>
      </c>
      <c r="L45">
        <v>82.97</v>
      </c>
    </row>
    <row r="46" spans="1:12" x14ac:dyDescent="0.2">
      <c r="A46" s="4">
        <v>45</v>
      </c>
      <c r="B46" t="s">
        <v>97</v>
      </c>
      <c r="C46">
        <v>83.28</v>
      </c>
      <c r="D46">
        <v>19</v>
      </c>
      <c r="E46">
        <v>14</v>
      </c>
      <c r="F46">
        <v>79.290000000000006</v>
      </c>
      <c r="G46">
        <v>2</v>
      </c>
      <c r="H46">
        <v>6</v>
      </c>
      <c r="I46">
        <v>4</v>
      </c>
      <c r="J46">
        <v>10</v>
      </c>
      <c r="K46">
        <v>82.28</v>
      </c>
      <c r="L46">
        <v>84.03</v>
      </c>
    </row>
    <row r="47" spans="1:12" x14ac:dyDescent="0.2">
      <c r="A47" s="4">
        <v>46</v>
      </c>
      <c r="B47" t="s">
        <v>860</v>
      </c>
      <c r="C47">
        <v>83.27</v>
      </c>
      <c r="D47">
        <v>21</v>
      </c>
      <c r="E47">
        <v>11</v>
      </c>
      <c r="F47">
        <v>77.69</v>
      </c>
      <c r="G47">
        <v>1</v>
      </c>
      <c r="H47">
        <v>2</v>
      </c>
      <c r="I47">
        <v>1</v>
      </c>
      <c r="J47">
        <v>6</v>
      </c>
      <c r="K47">
        <v>81.38</v>
      </c>
      <c r="L47">
        <v>85.35</v>
      </c>
    </row>
    <row r="48" spans="1:12" x14ac:dyDescent="0.2">
      <c r="A48" s="4">
        <v>47</v>
      </c>
      <c r="B48" t="s">
        <v>73</v>
      </c>
      <c r="C48">
        <v>83.23</v>
      </c>
      <c r="D48">
        <v>24</v>
      </c>
      <c r="E48">
        <v>11</v>
      </c>
      <c r="F48">
        <v>76.08</v>
      </c>
      <c r="G48">
        <v>1</v>
      </c>
      <c r="H48">
        <v>3</v>
      </c>
      <c r="I48">
        <v>4</v>
      </c>
      <c r="J48">
        <v>6</v>
      </c>
      <c r="K48">
        <v>81.819999999999993</v>
      </c>
      <c r="L48">
        <v>84.55</v>
      </c>
    </row>
    <row r="49" spans="1:12" x14ac:dyDescent="0.2">
      <c r="A49" s="4">
        <v>48</v>
      </c>
      <c r="B49" t="s">
        <v>58</v>
      </c>
      <c r="C49">
        <v>82.9</v>
      </c>
      <c r="D49">
        <v>24</v>
      </c>
      <c r="E49">
        <v>9</v>
      </c>
      <c r="F49">
        <v>75.930000000000007</v>
      </c>
      <c r="G49">
        <v>1</v>
      </c>
      <c r="H49">
        <v>4</v>
      </c>
      <c r="I49">
        <v>3</v>
      </c>
      <c r="J49">
        <v>5</v>
      </c>
      <c r="K49">
        <v>82.93</v>
      </c>
      <c r="L49">
        <v>82.52</v>
      </c>
    </row>
    <row r="50" spans="1:12" x14ac:dyDescent="0.2">
      <c r="A50" s="4">
        <v>49</v>
      </c>
      <c r="B50" t="s">
        <v>286</v>
      </c>
      <c r="C50">
        <v>82.85</v>
      </c>
      <c r="D50">
        <v>18</v>
      </c>
      <c r="E50">
        <v>14</v>
      </c>
      <c r="F50">
        <v>79.37</v>
      </c>
      <c r="G50">
        <v>1</v>
      </c>
      <c r="H50">
        <v>7</v>
      </c>
      <c r="I50">
        <v>4</v>
      </c>
      <c r="J50">
        <v>12</v>
      </c>
      <c r="K50">
        <v>83.45</v>
      </c>
      <c r="L50">
        <v>81.97</v>
      </c>
    </row>
    <row r="51" spans="1:12" x14ac:dyDescent="0.2">
      <c r="A51" s="4">
        <v>50</v>
      </c>
      <c r="B51" t="s">
        <v>42</v>
      </c>
      <c r="C51">
        <v>82.75</v>
      </c>
      <c r="D51">
        <v>20</v>
      </c>
      <c r="E51">
        <v>12</v>
      </c>
      <c r="F51">
        <v>77.959999999999994</v>
      </c>
      <c r="G51">
        <v>1</v>
      </c>
      <c r="H51">
        <v>4</v>
      </c>
      <c r="I51">
        <v>4</v>
      </c>
      <c r="J51">
        <v>8</v>
      </c>
      <c r="K51">
        <v>82.68</v>
      </c>
      <c r="L51">
        <v>82.46</v>
      </c>
    </row>
    <row r="52" spans="1:12" x14ac:dyDescent="0.2">
      <c r="A52" s="4">
        <v>51</v>
      </c>
      <c r="B52" t="s">
        <v>34</v>
      </c>
      <c r="C52">
        <v>82.69</v>
      </c>
      <c r="D52">
        <v>23</v>
      </c>
      <c r="E52">
        <v>12</v>
      </c>
      <c r="F52">
        <v>77.3</v>
      </c>
      <c r="G52">
        <v>3</v>
      </c>
      <c r="H52">
        <v>8</v>
      </c>
      <c r="I52">
        <v>3</v>
      </c>
      <c r="J52">
        <v>10</v>
      </c>
      <c r="K52">
        <v>82.08</v>
      </c>
      <c r="L52">
        <v>82.98</v>
      </c>
    </row>
    <row r="53" spans="1:12" x14ac:dyDescent="0.2">
      <c r="A53" s="4">
        <v>52</v>
      </c>
      <c r="B53" t="s">
        <v>784</v>
      </c>
      <c r="C53">
        <v>82.32</v>
      </c>
      <c r="D53">
        <v>28</v>
      </c>
      <c r="E53">
        <v>7</v>
      </c>
      <c r="F53">
        <v>72.09</v>
      </c>
      <c r="G53">
        <v>1</v>
      </c>
      <c r="H53">
        <v>1</v>
      </c>
      <c r="I53">
        <v>1</v>
      </c>
      <c r="J53">
        <v>2</v>
      </c>
      <c r="K53">
        <v>82.76</v>
      </c>
      <c r="L53">
        <v>81.569999999999993</v>
      </c>
    </row>
    <row r="54" spans="1:12" x14ac:dyDescent="0.2">
      <c r="A54" s="4">
        <v>53</v>
      </c>
      <c r="B54" t="s">
        <v>0</v>
      </c>
      <c r="C54">
        <v>82.23</v>
      </c>
      <c r="D54">
        <v>23</v>
      </c>
      <c r="E54">
        <v>11</v>
      </c>
      <c r="F54">
        <v>75.72</v>
      </c>
      <c r="G54">
        <v>1</v>
      </c>
      <c r="H54">
        <v>4</v>
      </c>
      <c r="I54">
        <v>2</v>
      </c>
      <c r="J54">
        <v>8</v>
      </c>
      <c r="K54">
        <v>81.36</v>
      </c>
      <c r="L54">
        <v>82.82</v>
      </c>
    </row>
    <row r="55" spans="1:12" x14ac:dyDescent="0.2">
      <c r="A55" s="4">
        <v>54</v>
      </c>
      <c r="B55" t="s">
        <v>273</v>
      </c>
      <c r="C55">
        <v>82.18</v>
      </c>
      <c r="D55">
        <v>17</v>
      </c>
      <c r="E55">
        <v>15</v>
      </c>
      <c r="F55">
        <v>78.900000000000006</v>
      </c>
      <c r="G55">
        <v>3</v>
      </c>
      <c r="H55">
        <v>2</v>
      </c>
      <c r="I55">
        <v>4</v>
      </c>
      <c r="J55">
        <v>10</v>
      </c>
      <c r="K55">
        <v>80.66</v>
      </c>
      <c r="L55">
        <v>83.62</v>
      </c>
    </row>
    <row r="56" spans="1:12" x14ac:dyDescent="0.2">
      <c r="A56" s="4">
        <v>55</v>
      </c>
      <c r="B56" t="s">
        <v>114</v>
      </c>
      <c r="C56">
        <v>82.13</v>
      </c>
      <c r="D56">
        <v>21</v>
      </c>
      <c r="E56">
        <v>13</v>
      </c>
      <c r="F56">
        <v>78.75</v>
      </c>
      <c r="G56">
        <v>1</v>
      </c>
      <c r="H56">
        <v>3</v>
      </c>
      <c r="I56">
        <v>2</v>
      </c>
      <c r="J56">
        <v>8</v>
      </c>
      <c r="K56">
        <v>81.64</v>
      </c>
      <c r="L56">
        <v>82.27</v>
      </c>
    </row>
    <row r="57" spans="1:12" x14ac:dyDescent="0.2">
      <c r="A57" s="4">
        <v>56</v>
      </c>
      <c r="B57" t="s">
        <v>39</v>
      </c>
      <c r="C57">
        <v>82</v>
      </c>
      <c r="D57">
        <v>22</v>
      </c>
      <c r="E57">
        <v>13</v>
      </c>
      <c r="F57">
        <v>77.599999999999994</v>
      </c>
      <c r="G57">
        <v>3</v>
      </c>
      <c r="H57">
        <v>9</v>
      </c>
      <c r="I57">
        <v>3</v>
      </c>
      <c r="J57">
        <v>10</v>
      </c>
      <c r="K57">
        <v>82.63</v>
      </c>
      <c r="L57">
        <v>81.09</v>
      </c>
    </row>
    <row r="58" spans="1:12" x14ac:dyDescent="0.2">
      <c r="A58" s="4">
        <v>57</v>
      </c>
      <c r="B58" t="s">
        <v>100</v>
      </c>
      <c r="C58">
        <v>81.92</v>
      </c>
      <c r="D58">
        <v>21</v>
      </c>
      <c r="E58">
        <v>13</v>
      </c>
      <c r="F58">
        <v>78.099999999999994</v>
      </c>
      <c r="G58">
        <v>1</v>
      </c>
      <c r="H58">
        <v>4</v>
      </c>
      <c r="I58">
        <v>5</v>
      </c>
      <c r="J58">
        <v>9</v>
      </c>
      <c r="K58">
        <v>82.95</v>
      </c>
      <c r="L58">
        <v>80.7</v>
      </c>
    </row>
    <row r="59" spans="1:12" x14ac:dyDescent="0.2">
      <c r="A59" s="4">
        <v>58</v>
      </c>
      <c r="B59" t="s">
        <v>98</v>
      </c>
      <c r="C59">
        <v>81.86</v>
      </c>
      <c r="D59">
        <v>18</v>
      </c>
      <c r="E59">
        <v>13</v>
      </c>
      <c r="F59">
        <v>79.03</v>
      </c>
      <c r="G59">
        <v>3</v>
      </c>
      <c r="H59">
        <v>6</v>
      </c>
      <c r="I59">
        <v>5</v>
      </c>
      <c r="J59">
        <v>9</v>
      </c>
      <c r="K59">
        <v>82.11</v>
      </c>
      <c r="L59">
        <v>81.290000000000006</v>
      </c>
    </row>
    <row r="60" spans="1:12" x14ac:dyDescent="0.2">
      <c r="A60" s="4">
        <v>59</v>
      </c>
      <c r="B60" t="s">
        <v>111</v>
      </c>
      <c r="C60">
        <v>81.73</v>
      </c>
      <c r="D60">
        <v>19</v>
      </c>
      <c r="E60">
        <v>13</v>
      </c>
      <c r="F60">
        <v>77.53</v>
      </c>
      <c r="G60">
        <v>3</v>
      </c>
      <c r="H60">
        <v>6</v>
      </c>
      <c r="I60">
        <v>3</v>
      </c>
      <c r="J60">
        <v>9</v>
      </c>
      <c r="K60">
        <v>81.72</v>
      </c>
      <c r="L60">
        <v>81.400000000000006</v>
      </c>
    </row>
    <row r="61" spans="1:12" x14ac:dyDescent="0.2">
      <c r="A61" s="4">
        <v>60</v>
      </c>
      <c r="B61" t="s">
        <v>802</v>
      </c>
      <c r="C61">
        <v>81.64</v>
      </c>
      <c r="D61">
        <v>23</v>
      </c>
      <c r="E61">
        <v>12</v>
      </c>
      <c r="F61">
        <v>76.3</v>
      </c>
      <c r="G61">
        <v>1</v>
      </c>
      <c r="H61">
        <v>4</v>
      </c>
      <c r="I61">
        <v>2</v>
      </c>
      <c r="J61">
        <v>6</v>
      </c>
      <c r="K61">
        <v>81.16</v>
      </c>
      <c r="L61">
        <v>81.78</v>
      </c>
    </row>
    <row r="62" spans="1:12" x14ac:dyDescent="0.2">
      <c r="A62" s="4">
        <v>61</v>
      </c>
      <c r="B62" t="s">
        <v>165</v>
      </c>
      <c r="C62">
        <v>81.44</v>
      </c>
      <c r="D62">
        <v>24</v>
      </c>
      <c r="E62">
        <v>9</v>
      </c>
      <c r="F62">
        <v>73.930000000000007</v>
      </c>
      <c r="G62">
        <v>0</v>
      </c>
      <c r="H62">
        <v>3</v>
      </c>
      <c r="I62">
        <v>2</v>
      </c>
      <c r="J62">
        <v>5</v>
      </c>
      <c r="K62">
        <v>81.98</v>
      </c>
      <c r="L62">
        <v>80.61</v>
      </c>
    </row>
    <row r="63" spans="1:12" x14ac:dyDescent="0.2">
      <c r="A63" s="4">
        <v>62</v>
      </c>
      <c r="B63" t="s">
        <v>64</v>
      </c>
      <c r="C63">
        <v>81.38</v>
      </c>
      <c r="D63">
        <v>27</v>
      </c>
      <c r="E63">
        <v>5</v>
      </c>
      <c r="F63">
        <v>71.150000000000006</v>
      </c>
      <c r="G63">
        <v>0</v>
      </c>
      <c r="H63">
        <v>2</v>
      </c>
      <c r="I63">
        <v>0</v>
      </c>
      <c r="J63">
        <v>2</v>
      </c>
      <c r="K63">
        <v>81.87</v>
      </c>
      <c r="L63">
        <v>80.59</v>
      </c>
    </row>
    <row r="64" spans="1:12" x14ac:dyDescent="0.2">
      <c r="A64" s="4">
        <v>63</v>
      </c>
      <c r="B64" t="s">
        <v>133</v>
      </c>
      <c r="C64">
        <v>81.33</v>
      </c>
      <c r="D64">
        <v>25</v>
      </c>
      <c r="E64">
        <v>7</v>
      </c>
      <c r="F64">
        <v>71.209999999999994</v>
      </c>
      <c r="G64">
        <v>0</v>
      </c>
      <c r="H64">
        <v>0</v>
      </c>
      <c r="I64">
        <v>0</v>
      </c>
      <c r="J64">
        <v>1</v>
      </c>
      <c r="K64">
        <v>79.59</v>
      </c>
      <c r="L64">
        <v>83.07</v>
      </c>
    </row>
    <row r="65" spans="1:12" x14ac:dyDescent="0.2">
      <c r="A65" s="4">
        <v>64</v>
      </c>
      <c r="B65" t="s">
        <v>870</v>
      </c>
      <c r="C65">
        <v>81.27</v>
      </c>
      <c r="D65">
        <v>20</v>
      </c>
      <c r="E65">
        <v>16</v>
      </c>
      <c r="F65">
        <v>78.62</v>
      </c>
      <c r="G65">
        <v>2</v>
      </c>
      <c r="H65">
        <v>7</v>
      </c>
      <c r="I65">
        <v>6</v>
      </c>
      <c r="J65">
        <v>14</v>
      </c>
      <c r="K65">
        <v>82.19</v>
      </c>
      <c r="L65">
        <v>80.11</v>
      </c>
    </row>
    <row r="66" spans="1:12" x14ac:dyDescent="0.2">
      <c r="A66" s="4">
        <v>65</v>
      </c>
      <c r="B66" t="s">
        <v>801</v>
      </c>
      <c r="C66">
        <v>80.41</v>
      </c>
      <c r="D66">
        <v>16</v>
      </c>
      <c r="E66">
        <v>14</v>
      </c>
      <c r="F66">
        <v>77.55</v>
      </c>
      <c r="G66">
        <v>0</v>
      </c>
      <c r="H66">
        <v>3</v>
      </c>
      <c r="I66">
        <v>2</v>
      </c>
      <c r="J66">
        <v>7</v>
      </c>
      <c r="K66">
        <v>79.09</v>
      </c>
      <c r="L66">
        <v>81.55</v>
      </c>
    </row>
    <row r="67" spans="1:12" x14ac:dyDescent="0.2">
      <c r="A67" s="4">
        <v>66</v>
      </c>
      <c r="B67" t="s">
        <v>45</v>
      </c>
      <c r="C67">
        <v>80.349999999999994</v>
      </c>
      <c r="D67">
        <v>15</v>
      </c>
      <c r="E67">
        <v>15</v>
      </c>
      <c r="F67">
        <v>76.77</v>
      </c>
      <c r="G67">
        <v>0</v>
      </c>
      <c r="H67">
        <v>6</v>
      </c>
      <c r="I67">
        <v>0</v>
      </c>
      <c r="J67">
        <v>10</v>
      </c>
      <c r="K67">
        <v>77.650000000000006</v>
      </c>
      <c r="L67">
        <v>83.63</v>
      </c>
    </row>
    <row r="68" spans="1:12" x14ac:dyDescent="0.2">
      <c r="A68" s="4">
        <v>67</v>
      </c>
      <c r="B68" t="s">
        <v>826</v>
      </c>
      <c r="C68">
        <v>80.22</v>
      </c>
      <c r="D68">
        <v>22</v>
      </c>
      <c r="E68">
        <v>8</v>
      </c>
      <c r="F68">
        <v>72.930000000000007</v>
      </c>
      <c r="G68">
        <v>0</v>
      </c>
      <c r="H68">
        <v>0</v>
      </c>
      <c r="I68">
        <v>2</v>
      </c>
      <c r="J68">
        <v>2</v>
      </c>
      <c r="K68">
        <v>81.290000000000006</v>
      </c>
      <c r="L68">
        <v>78.930000000000007</v>
      </c>
    </row>
    <row r="69" spans="1:12" x14ac:dyDescent="0.2">
      <c r="A69" s="4">
        <v>68</v>
      </c>
      <c r="B69" t="s">
        <v>31</v>
      </c>
      <c r="C69">
        <v>80.099999999999994</v>
      </c>
      <c r="D69">
        <v>21</v>
      </c>
      <c r="E69">
        <v>13</v>
      </c>
      <c r="F69">
        <v>77.73</v>
      </c>
      <c r="G69">
        <v>3</v>
      </c>
      <c r="H69">
        <v>1</v>
      </c>
      <c r="I69">
        <v>4</v>
      </c>
      <c r="J69">
        <v>6</v>
      </c>
      <c r="K69">
        <v>80.959999999999994</v>
      </c>
      <c r="L69">
        <v>78.989999999999995</v>
      </c>
    </row>
    <row r="70" spans="1:12" x14ac:dyDescent="0.2">
      <c r="A70" s="4">
        <v>69</v>
      </c>
      <c r="B70" t="s">
        <v>37</v>
      </c>
      <c r="C70">
        <v>80.010000000000005</v>
      </c>
      <c r="D70">
        <v>17</v>
      </c>
      <c r="E70">
        <v>14</v>
      </c>
      <c r="F70">
        <v>75.77</v>
      </c>
      <c r="G70">
        <v>0</v>
      </c>
      <c r="H70">
        <v>4</v>
      </c>
      <c r="I70">
        <v>1</v>
      </c>
      <c r="J70">
        <v>12</v>
      </c>
      <c r="K70">
        <v>77.31</v>
      </c>
      <c r="L70">
        <v>83.22</v>
      </c>
    </row>
    <row r="71" spans="1:12" x14ac:dyDescent="0.2">
      <c r="A71" s="4">
        <v>70</v>
      </c>
      <c r="B71" t="s">
        <v>790</v>
      </c>
      <c r="C71">
        <v>79.98</v>
      </c>
      <c r="D71">
        <v>21</v>
      </c>
      <c r="E71">
        <v>13</v>
      </c>
      <c r="F71">
        <v>76.86</v>
      </c>
      <c r="G71">
        <v>2</v>
      </c>
      <c r="H71">
        <v>4</v>
      </c>
      <c r="I71">
        <v>5</v>
      </c>
      <c r="J71">
        <v>6</v>
      </c>
      <c r="K71">
        <v>79.83</v>
      </c>
      <c r="L71">
        <v>79.78</v>
      </c>
    </row>
    <row r="72" spans="1:12" x14ac:dyDescent="0.2">
      <c r="A72" s="4">
        <v>71</v>
      </c>
      <c r="B72" t="s">
        <v>805</v>
      </c>
      <c r="C72">
        <v>79.98</v>
      </c>
      <c r="D72">
        <v>20</v>
      </c>
      <c r="E72">
        <v>11</v>
      </c>
      <c r="F72">
        <v>76.069999999999993</v>
      </c>
      <c r="G72">
        <v>1</v>
      </c>
      <c r="H72">
        <v>2</v>
      </c>
      <c r="I72">
        <v>4</v>
      </c>
      <c r="J72">
        <v>6</v>
      </c>
      <c r="K72">
        <v>81.73</v>
      </c>
      <c r="L72">
        <v>78.180000000000007</v>
      </c>
    </row>
    <row r="73" spans="1:12" x14ac:dyDescent="0.2">
      <c r="A73" s="4">
        <v>72</v>
      </c>
      <c r="B73" t="s">
        <v>280</v>
      </c>
      <c r="C73">
        <v>79.87</v>
      </c>
      <c r="D73">
        <v>24</v>
      </c>
      <c r="E73">
        <v>9</v>
      </c>
      <c r="F73">
        <v>73.11</v>
      </c>
      <c r="G73">
        <v>1</v>
      </c>
      <c r="H73">
        <v>1</v>
      </c>
      <c r="I73">
        <v>1</v>
      </c>
      <c r="J73">
        <v>4</v>
      </c>
      <c r="K73">
        <v>80.599999999999994</v>
      </c>
      <c r="L73">
        <v>78.87</v>
      </c>
    </row>
    <row r="74" spans="1:12" x14ac:dyDescent="0.2">
      <c r="A74" s="4">
        <v>73</v>
      </c>
      <c r="B74" t="s">
        <v>117</v>
      </c>
      <c r="C74">
        <v>79.739999999999995</v>
      </c>
      <c r="D74">
        <v>18</v>
      </c>
      <c r="E74">
        <v>12</v>
      </c>
      <c r="F74">
        <v>75.400000000000006</v>
      </c>
      <c r="G74">
        <v>0</v>
      </c>
      <c r="H74">
        <v>4</v>
      </c>
      <c r="I74">
        <v>2</v>
      </c>
      <c r="J74">
        <v>5</v>
      </c>
      <c r="K74">
        <v>78.94</v>
      </c>
      <c r="L74">
        <v>80.239999999999995</v>
      </c>
    </row>
    <row r="75" spans="1:12" x14ac:dyDescent="0.2">
      <c r="A75" s="4">
        <v>74</v>
      </c>
      <c r="B75" t="s">
        <v>102</v>
      </c>
      <c r="C75">
        <v>79.73</v>
      </c>
      <c r="D75">
        <v>17</v>
      </c>
      <c r="E75">
        <v>13</v>
      </c>
      <c r="F75">
        <v>77.62</v>
      </c>
      <c r="G75">
        <v>1</v>
      </c>
      <c r="H75">
        <v>1</v>
      </c>
      <c r="I75">
        <v>2</v>
      </c>
      <c r="J75">
        <v>5</v>
      </c>
      <c r="K75">
        <v>79.89</v>
      </c>
      <c r="L75">
        <v>79.22</v>
      </c>
    </row>
    <row r="76" spans="1:12" x14ac:dyDescent="0.2">
      <c r="A76" s="4">
        <v>75</v>
      </c>
      <c r="B76" t="s">
        <v>44</v>
      </c>
      <c r="C76">
        <v>79.72</v>
      </c>
      <c r="D76">
        <v>18</v>
      </c>
      <c r="E76">
        <v>13</v>
      </c>
      <c r="F76">
        <v>76.39</v>
      </c>
      <c r="G76">
        <v>1</v>
      </c>
      <c r="H76">
        <v>4</v>
      </c>
      <c r="I76">
        <v>3</v>
      </c>
      <c r="J76">
        <v>9</v>
      </c>
      <c r="K76">
        <v>78.7</v>
      </c>
      <c r="L76">
        <v>80.47</v>
      </c>
    </row>
    <row r="77" spans="1:12" x14ac:dyDescent="0.2">
      <c r="A77" s="4">
        <v>76</v>
      </c>
      <c r="B77" t="s">
        <v>33</v>
      </c>
      <c r="C77">
        <v>79.510000000000005</v>
      </c>
      <c r="D77">
        <v>16</v>
      </c>
      <c r="E77">
        <v>15</v>
      </c>
      <c r="F77">
        <v>77.430000000000007</v>
      </c>
      <c r="G77">
        <v>1</v>
      </c>
      <c r="H77">
        <v>5</v>
      </c>
      <c r="I77">
        <v>5</v>
      </c>
      <c r="J77">
        <v>10</v>
      </c>
      <c r="K77">
        <v>79.88</v>
      </c>
      <c r="L77">
        <v>78.81</v>
      </c>
    </row>
    <row r="78" spans="1:12" x14ac:dyDescent="0.2">
      <c r="A78" s="4">
        <v>77</v>
      </c>
      <c r="B78" t="s">
        <v>131</v>
      </c>
      <c r="C78">
        <v>79.45</v>
      </c>
      <c r="D78">
        <v>16</v>
      </c>
      <c r="E78">
        <v>17</v>
      </c>
      <c r="F78">
        <v>80.040000000000006</v>
      </c>
      <c r="G78">
        <v>2</v>
      </c>
      <c r="H78">
        <v>8</v>
      </c>
      <c r="I78">
        <v>2</v>
      </c>
      <c r="J78">
        <v>12</v>
      </c>
      <c r="K78">
        <v>79.84</v>
      </c>
      <c r="L78">
        <v>78.73</v>
      </c>
    </row>
    <row r="79" spans="1:12" x14ac:dyDescent="0.2">
      <c r="A79" s="4">
        <v>78</v>
      </c>
      <c r="B79" t="s">
        <v>32</v>
      </c>
      <c r="C79">
        <v>79.38</v>
      </c>
      <c r="D79">
        <v>17</v>
      </c>
      <c r="E79">
        <v>14</v>
      </c>
      <c r="F79">
        <v>77.06</v>
      </c>
      <c r="G79">
        <v>3</v>
      </c>
      <c r="H79">
        <v>6</v>
      </c>
      <c r="I79">
        <v>3</v>
      </c>
      <c r="J79">
        <v>9</v>
      </c>
      <c r="K79">
        <v>79.069999999999993</v>
      </c>
      <c r="L79">
        <v>79.349999999999994</v>
      </c>
    </row>
    <row r="80" spans="1:12" x14ac:dyDescent="0.2">
      <c r="A80" s="4">
        <v>79</v>
      </c>
      <c r="B80" t="s">
        <v>88</v>
      </c>
      <c r="C80">
        <v>78.989999999999995</v>
      </c>
      <c r="D80">
        <v>20</v>
      </c>
      <c r="E80">
        <v>10</v>
      </c>
      <c r="F80">
        <v>73.709999999999994</v>
      </c>
      <c r="G80">
        <v>0</v>
      </c>
      <c r="H80">
        <v>1</v>
      </c>
      <c r="I80">
        <v>0</v>
      </c>
      <c r="J80">
        <v>4</v>
      </c>
      <c r="K80">
        <v>78.7</v>
      </c>
      <c r="L80">
        <v>78.930000000000007</v>
      </c>
    </row>
    <row r="81" spans="1:12" x14ac:dyDescent="0.2">
      <c r="A81" s="4">
        <v>80</v>
      </c>
      <c r="B81" t="s">
        <v>187</v>
      </c>
      <c r="C81">
        <v>78.849999999999994</v>
      </c>
      <c r="D81">
        <v>23</v>
      </c>
      <c r="E81">
        <v>9</v>
      </c>
      <c r="F81">
        <v>72.260000000000005</v>
      </c>
      <c r="G81">
        <v>0</v>
      </c>
      <c r="H81">
        <v>1</v>
      </c>
      <c r="I81">
        <v>1</v>
      </c>
      <c r="J81">
        <v>4</v>
      </c>
      <c r="K81">
        <v>79.87</v>
      </c>
      <c r="L81">
        <v>77.599999999999994</v>
      </c>
    </row>
    <row r="82" spans="1:12" x14ac:dyDescent="0.2">
      <c r="A82" s="4">
        <v>81</v>
      </c>
      <c r="B82" t="s">
        <v>803</v>
      </c>
      <c r="C82">
        <v>78.62</v>
      </c>
      <c r="D82">
        <v>20</v>
      </c>
      <c r="E82">
        <v>11</v>
      </c>
      <c r="F82">
        <v>73.92</v>
      </c>
      <c r="G82">
        <v>0</v>
      </c>
      <c r="H82">
        <v>3</v>
      </c>
      <c r="I82">
        <v>0</v>
      </c>
      <c r="J82">
        <v>3</v>
      </c>
      <c r="K82">
        <v>77</v>
      </c>
      <c r="L82">
        <v>80.069999999999993</v>
      </c>
    </row>
    <row r="83" spans="1:12" x14ac:dyDescent="0.2">
      <c r="A83" s="4">
        <v>82</v>
      </c>
      <c r="B83" t="s">
        <v>120</v>
      </c>
      <c r="C83">
        <v>78.5</v>
      </c>
      <c r="D83">
        <v>15</v>
      </c>
      <c r="E83">
        <v>14</v>
      </c>
      <c r="F83">
        <v>76.84</v>
      </c>
      <c r="G83">
        <v>0</v>
      </c>
      <c r="H83">
        <v>4</v>
      </c>
      <c r="I83">
        <v>1</v>
      </c>
      <c r="J83">
        <v>5</v>
      </c>
      <c r="K83">
        <v>78.02</v>
      </c>
      <c r="L83">
        <v>78.64</v>
      </c>
    </row>
    <row r="84" spans="1:12" x14ac:dyDescent="0.2">
      <c r="A84" s="4">
        <v>83</v>
      </c>
      <c r="B84" t="s">
        <v>53</v>
      </c>
      <c r="C84">
        <v>78.489999999999995</v>
      </c>
      <c r="D84">
        <v>15</v>
      </c>
      <c r="E84">
        <v>16</v>
      </c>
      <c r="F84">
        <v>78.56</v>
      </c>
      <c r="G84">
        <v>0</v>
      </c>
      <c r="H84">
        <v>4</v>
      </c>
      <c r="I84">
        <v>5</v>
      </c>
      <c r="J84">
        <v>13</v>
      </c>
      <c r="K84">
        <v>79.64</v>
      </c>
      <c r="L84">
        <v>77.11</v>
      </c>
    </row>
    <row r="85" spans="1:12" x14ac:dyDescent="0.2">
      <c r="A85" s="4">
        <v>84</v>
      </c>
      <c r="B85" t="s">
        <v>162</v>
      </c>
      <c r="C85">
        <v>78.19</v>
      </c>
      <c r="D85">
        <v>22</v>
      </c>
      <c r="E85">
        <v>9</v>
      </c>
      <c r="F85">
        <v>73.63</v>
      </c>
      <c r="G85">
        <v>0</v>
      </c>
      <c r="H85">
        <v>0</v>
      </c>
      <c r="I85">
        <v>3</v>
      </c>
      <c r="J85">
        <v>0</v>
      </c>
      <c r="K85">
        <v>79.010000000000005</v>
      </c>
      <c r="L85">
        <v>77.09</v>
      </c>
    </row>
    <row r="86" spans="1:12" x14ac:dyDescent="0.2">
      <c r="A86" s="4">
        <v>85</v>
      </c>
      <c r="B86" t="s">
        <v>887</v>
      </c>
      <c r="C86">
        <v>77.7</v>
      </c>
      <c r="D86">
        <v>24</v>
      </c>
      <c r="E86">
        <v>7</v>
      </c>
      <c r="F86">
        <v>69.69</v>
      </c>
      <c r="G86">
        <v>0</v>
      </c>
      <c r="H86">
        <v>3</v>
      </c>
      <c r="I86">
        <v>0</v>
      </c>
      <c r="J86">
        <v>4</v>
      </c>
      <c r="K86">
        <v>79.12</v>
      </c>
      <c r="L86">
        <v>76.09</v>
      </c>
    </row>
    <row r="87" spans="1:12" x14ac:dyDescent="0.2">
      <c r="A87" s="4">
        <v>86</v>
      </c>
      <c r="B87" t="s">
        <v>819</v>
      </c>
      <c r="C87">
        <v>77.61</v>
      </c>
      <c r="D87">
        <v>24</v>
      </c>
      <c r="E87">
        <v>9</v>
      </c>
      <c r="F87">
        <v>72.36</v>
      </c>
      <c r="G87">
        <v>0</v>
      </c>
      <c r="H87">
        <v>1</v>
      </c>
      <c r="I87">
        <v>1</v>
      </c>
      <c r="J87">
        <v>3</v>
      </c>
      <c r="K87">
        <v>79.52</v>
      </c>
      <c r="L87">
        <v>75.61</v>
      </c>
    </row>
    <row r="88" spans="1:12" x14ac:dyDescent="0.2">
      <c r="A88" s="4">
        <v>87</v>
      </c>
      <c r="B88" t="s">
        <v>4</v>
      </c>
      <c r="C88">
        <v>77.59</v>
      </c>
      <c r="D88">
        <v>18</v>
      </c>
      <c r="E88">
        <v>15</v>
      </c>
      <c r="F88">
        <v>75.69</v>
      </c>
      <c r="G88">
        <v>0</v>
      </c>
      <c r="H88">
        <v>6</v>
      </c>
      <c r="I88">
        <v>0</v>
      </c>
      <c r="J88">
        <v>7</v>
      </c>
      <c r="K88">
        <v>77.239999999999995</v>
      </c>
      <c r="L88">
        <v>77.59</v>
      </c>
    </row>
    <row r="89" spans="1:12" x14ac:dyDescent="0.2">
      <c r="A89" s="4">
        <v>88</v>
      </c>
      <c r="B89" t="s">
        <v>74</v>
      </c>
      <c r="C89">
        <v>77.569999999999993</v>
      </c>
      <c r="D89">
        <v>19</v>
      </c>
      <c r="E89">
        <v>13</v>
      </c>
      <c r="F89">
        <v>75.09</v>
      </c>
      <c r="G89">
        <v>0</v>
      </c>
      <c r="H89">
        <v>3</v>
      </c>
      <c r="I89">
        <v>2</v>
      </c>
      <c r="J89">
        <v>4</v>
      </c>
      <c r="K89">
        <v>78.52</v>
      </c>
      <c r="L89">
        <v>76.34</v>
      </c>
    </row>
    <row r="90" spans="1:12" x14ac:dyDescent="0.2">
      <c r="A90" s="4">
        <v>89</v>
      </c>
      <c r="B90" t="s">
        <v>50</v>
      </c>
      <c r="C90">
        <v>77.56</v>
      </c>
      <c r="D90">
        <v>19</v>
      </c>
      <c r="E90">
        <v>11</v>
      </c>
      <c r="F90">
        <v>74.12</v>
      </c>
      <c r="G90">
        <v>1</v>
      </c>
      <c r="H90">
        <v>4</v>
      </c>
      <c r="I90">
        <v>1</v>
      </c>
      <c r="J90">
        <v>4</v>
      </c>
      <c r="K90">
        <v>77.22</v>
      </c>
      <c r="L90">
        <v>77.540000000000006</v>
      </c>
    </row>
    <row r="91" spans="1:12" x14ac:dyDescent="0.2">
      <c r="A91" s="4">
        <v>90</v>
      </c>
      <c r="B91" t="s">
        <v>814</v>
      </c>
      <c r="C91">
        <v>77.52</v>
      </c>
      <c r="D91">
        <v>23</v>
      </c>
      <c r="E91">
        <v>10</v>
      </c>
      <c r="F91">
        <v>73.650000000000006</v>
      </c>
      <c r="G91">
        <v>2</v>
      </c>
      <c r="H91">
        <v>2</v>
      </c>
      <c r="I91">
        <v>2</v>
      </c>
      <c r="J91">
        <v>2</v>
      </c>
      <c r="K91">
        <v>78.599999999999994</v>
      </c>
      <c r="L91">
        <v>76.180000000000007</v>
      </c>
    </row>
    <row r="92" spans="1:12" x14ac:dyDescent="0.2">
      <c r="A92" s="4">
        <v>91</v>
      </c>
      <c r="B92" t="s">
        <v>556</v>
      </c>
      <c r="C92">
        <v>77.489999999999995</v>
      </c>
      <c r="D92">
        <v>18</v>
      </c>
      <c r="E92">
        <v>13</v>
      </c>
      <c r="F92">
        <v>73.63</v>
      </c>
      <c r="G92">
        <v>0</v>
      </c>
      <c r="H92">
        <v>2</v>
      </c>
      <c r="I92">
        <v>1</v>
      </c>
      <c r="J92">
        <v>4</v>
      </c>
      <c r="K92">
        <v>77.3</v>
      </c>
      <c r="L92">
        <v>77.319999999999993</v>
      </c>
    </row>
    <row r="93" spans="1:12" x14ac:dyDescent="0.2">
      <c r="A93" s="4">
        <v>92</v>
      </c>
      <c r="B93" t="s">
        <v>873</v>
      </c>
      <c r="C93">
        <v>77.45</v>
      </c>
      <c r="D93">
        <v>18</v>
      </c>
      <c r="E93">
        <v>15</v>
      </c>
      <c r="F93">
        <v>75.55</v>
      </c>
      <c r="G93">
        <v>0</v>
      </c>
      <c r="H93">
        <v>2</v>
      </c>
      <c r="I93">
        <v>0</v>
      </c>
      <c r="J93">
        <v>3</v>
      </c>
      <c r="K93">
        <v>76.400000000000006</v>
      </c>
      <c r="L93">
        <v>78.22</v>
      </c>
    </row>
    <row r="94" spans="1:12" x14ac:dyDescent="0.2">
      <c r="A94" s="4">
        <v>93</v>
      </c>
      <c r="B94" t="s">
        <v>804</v>
      </c>
      <c r="C94">
        <v>77.36</v>
      </c>
      <c r="D94">
        <v>22</v>
      </c>
      <c r="E94">
        <v>10</v>
      </c>
      <c r="F94">
        <v>72</v>
      </c>
      <c r="G94">
        <v>0</v>
      </c>
      <c r="H94">
        <v>0</v>
      </c>
      <c r="I94">
        <v>1</v>
      </c>
      <c r="J94">
        <v>3</v>
      </c>
      <c r="K94">
        <v>78.39</v>
      </c>
      <c r="L94">
        <v>76.069999999999993</v>
      </c>
    </row>
    <row r="95" spans="1:12" x14ac:dyDescent="0.2">
      <c r="A95" s="4">
        <v>94</v>
      </c>
      <c r="B95" t="s">
        <v>96</v>
      </c>
      <c r="C95">
        <v>77.260000000000005</v>
      </c>
      <c r="D95">
        <v>14</v>
      </c>
      <c r="E95">
        <v>16</v>
      </c>
      <c r="F95">
        <v>79.2</v>
      </c>
      <c r="G95">
        <v>2</v>
      </c>
      <c r="H95">
        <v>6</v>
      </c>
      <c r="I95">
        <v>4</v>
      </c>
      <c r="J95">
        <v>13</v>
      </c>
      <c r="K95">
        <v>79.22</v>
      </c>
      <c r="L95">
        <v>75.2</v>
      </c>
    </row>
    <row r="96" spans="1:12" x14ac:dyDescent="0.2">
      <c r="A96" s="4">
        <v>95</v>
      </c>
      <c r="B96" t="s">
        <v>796</v>
      </c>
      <c r="C96">
        <v>77.209999999999994</v>
      </c>
      <c r="D96">
        <v>22</v>
      </c>
      <c r="E96">
        <v>12</v>
      </c>
      <c r="F96">
        <v>74.150000000000006</v>
      </c>
      <c r="G96">
        <v>0</v>
      </c>
      <c r="H96">
        <v>0</v>
      </c>
      <c r="I96">
        <v>2</v>
      </c>
      <c r="J96">
        <v>2</v>
      </c>
      <c r="K96">
        <v>79.08</v>
      </c>
      <c r="L96">
        <v>75.23</v>
      </c>
    </row>
    <row r="97" spans="1:12" x14ac:dyDescent="0.2">
      <c r="A97" s="4">
        <v>96</v>
      </c>
      <c r="B97" t="s">
        <v>190</v>
      </c>
      <c r="C97">
        <v>77.2</v>
      </c>
      <c r="D97">
        <v>25</v>
      </c>
      <c r="E97">
        <v>9</v>
      </c>
      <c r="F97">
        <v>69.03</v>
      </c>
      <c r="G97">
        <v>0</v>
      </c>
      <c r="H97">
        <v>0</v>
      </c>
      <c r="I97">
        <v>0</v>
      </c>
      <c r="J97">
        <v>1</v>
      </c>
      <c r="K97">
        <v>77.28</v>
      </c>
      <c r="L97">
        <v>76.77</v>
      </c>
    </row>
    <row r="98" spans="1:12" x14ac:dyDescent="0.2">
      <c r="A98" s="4">
        <v>97</v>
      </c>
      <c r="B98" t="s">
        <v>263</v>
      </c>
      <c r="C98">
        <v>77.16</v>
      </c>
      <c r="D98">
        <v>25</v>
      </c>
      <c r="E98">
        <v>9</v>
      </c>
      <c r="F98">
        <v>70.47</v>
      </c>
      <c r="G98">
        <v>0</v>
      </c>
      <c r="H98">
        <v>2</v>
      </c>
      <c r="I98">
        <v>0</v>
      </c>
      <c r="J98">
        <v>3</v>
      </c>
      <c r="K98">
        <v>77.17</v>
      </c>
      <c r="L98">
        <v>76.81</v>
      </c>
    </row>
    <row r="99" spans="1:12" x14ac:dyDescent="0.2">
      <c r="A99" s="4">
        <v>98</v>
      </c>
      <c r="B99" t="s">
        <v>818</v>
      </c>
      <c r="C99">
        <v>77.13</v>
      </c>
      <c r="D99">
        <v>14</v>
      </c>
      <c r="E99">
        <v>16</v>
      </c>
      <c r="F99">
        <v>76.77</v>
      </c>
      <c r="G99">
        <v>0</v>
      </c>
      <c r="H99">
        <v>2</v>
      </c>
      <c r="I99">
        <v>1</v>
      </c>
      <c r="J99">
        <v>6</v>
      </c>
      <c r="K99">
        <v>75.81</v>
      </c>
      <c r="L99">
        <v>78.180000000000007</v>
      </c>
    </row>
    <row r="100" spans="1:12" x14ac:dyDescent="0.2">
      <c r="A100" s="4">
        <v>99</v>
      </c>
      <c r="B100" t="s">
        <v>142</v>
      </c>
      <c r="C100">
        <v>76.91</v>
      </c>
      <c r="D100">
        <v>21</v>
      </c>
      <c r="E100">
        <v>10</v>
      </c>
      <c r="F100">
        <v>72.44</v>
      </c>
      <c r="G100">
        <v>0</v>
      </c>
      <c r="H100">
        <v>0</v>
      </c>
      <c r="I100">
        <v>0</v>
      </c>
      <c r="J100">
        <v>2</v>
      </c>
      <c r="K100">
        <v>77.319999999999993</v>
      </c>
      <c r="L100">
        <v>76.16</v>
      </c>
    </row>
    <row r="101" spans="1:12" x14ac:dyDescent="0.2">
      <c r="A101" s="4">
        <v>100</v>
      </c>
      <c r="B101" t="s">
        <v>8</v>
      </c>
      <c r="C101">
        <v>76.69</v>
      </c>
      <c r="D101">
        <v>14</v>
      </c>
      <c r="E101">
        <v>16</v>
      </c>
      <c r="F101">
        <v>75.040000000000006</v>
      </c>
      <c r="G101">
        <v>0</v>
      </c>
      <c r="H101">
        <v>3</v>
      </c>
      <c r="I101">
        <v>0</v>
      </c>
      <c r="J101">
        <v>7</v>
      </c>
      <c r="K101">
        <v>75.510000000000005</v>
      </c>
      <c r="L101">
        <v>77.59</v>
      </c>
    </row>
    <row r="102" spans="1:12" x14ac:dyDescent="0.2">
      <c r="A102" s="4">
        <v>101</v>
      </c>
      <c r="B102" t="s">
        <v>839</v>
      </c>
      <c r="C102">
        <v>76.680000000000007</v>
      </c>
      <c r="D102">
        <v>23</v>
      </c>
      <c r="E102">
        <v>8</v>
      </c>
      <c r="F102">
        <v>70.930000000000007</v>
      </c>
      <c r="G102">
        <v>0</v>
      </c>
      <c r="H102">
        <v>3</v>
      </c>
      <c r="I102">
        <v>0</v>
      </c>
      <c r="J102">
        <v>4</v>
      </c>
      <c r="K102">
        <v>78.25</v>
      </c>
      <c r="L102">
        <v>74.92</v>
      </c>
    </row>
    <row r="103" spans="1:12" x14ac:dyDescent="0.2">
      <c r="A103" s="4">
        <v>102</v>
      </c>
      <c r="B103" t="s">
        <v>160</v>
      </c>
      <c r="C103">
        <v>76.63</v>
      </c>
      <c r="D103">
        <v>22</v>
      </c>
      <c r="E103">
        <v>11</v>
      </c>
      <c r="F103">
        <v>72.349999999999994</v>
      </c>
      <c r="G103">
        <v>1</v>
      </c>
      <c r="H103">
        <v>1</v>
      </c>
      <c r="I103">
        <v>1</v>
      </c>
      <c r="J103">
        <v>4</v>
      </c>
      <c r="K103">
        <v>76.3</v>
      </c>
      <c r="L103">
        <v>76.61</v>
      </c>
    </row>
    <row r="104" spans="1:12" x14ac:dyDescent="0.2">
      <c r="A104" s="4">
        <v>103</v>
      </c>
      <c r="B104" t="s">
        <v>91</v>
      </c>
      <c r="C104">
        <v>76.62</v>
      </c>
      <c r="D104">
        <v>16</v>
      </c>
      <c r="E104">
        <v>15</v>
      </c>
      <c r="F104">
        <v>76.58</v>
      </c>
      <c r="G104">
        <v>0</v>
      </c>
      <c r="H104">
        <v>3</v>
      </c>
      <c r="I104">
        <v>0</v>
      </c>
      <c r="J104">
        <v>7</v>
      </c>
      <c r="K104">
        <v>77.09</v>
      </c>
      <c r="L104">
        <v>75.83</v>
      </c>
    </row>
    <row r="105" spans="1:12" x14ac:dyDescent="0.2">
      <c r="A105" s="4">
        <v>104</v>
      </c>
      <c r="B105" t="s">
        <v>874</v>
      </c>
      <c r="C105">
        <v>76.569999999999993</v>
      </c>
      <c r="D105">
        <v>20</v>
      </c>
      <c r="E105">
        <v>9</v>
      </c>
      <c r="F105">
        <v>70.06</v>
      </c>
      <c r="G105">
        <v>0</v>
      </c>
      <c r="H105">
        <v>1</v>
      </c>
      <c r="I105">
        <v>0</v>
      </c>
      <c r="J105">
        <v>1</v>
      </c>
      <c r="K105">
        <v>76.180000000000007</v>
      </c>
      <c r="L105">
        <v>76.62</v>
      </c>
    </row>
    <row r="106" spans="1:12" x14ac:dyDescent="0.2">
      <c r="A106" s="4">
        <v>105</v>
      </c>
      <c r="B106" t="s">
        <v>93</v>
      </c>
      <c r="C106">
        <v>76.569999999999993</v>
      </c>
      <c r="D106">
        <v>19</v>
      </c>
      <c r="E106">
        <v>13</v>
      </c>
      <c r="F106">
        <v>74.98</v>
      </c>
      <c r="G106">
        <v>0</v>
      </c>
      <c r="H106">
        <v>1</v>
      </c>
      <c r="I106">
        <v>0</v>
      </c>
      <c r="J106">
        <v>4</v>
      </c>
      <c r="K106">
        <v>76.75</v>
      </c>
      <c r="L106">
        <v>76.040000000000006</v>
      </c>
    </row>
    <row r="107" spans="1:12" x14ac:dyDescent="0.2">
      <c r="A107" s="4">
        <v>106</v>
      </c>
      <c r="B107" t="s">
        <v>234</v>
      </c>
      <c r="C107">
        <v>76.45</v>
      </c>
      <c r="D107">
        <v>14</v>
      </c>
      <c r="E107">
        <v>17</v>
      </c>
      <c r="F107">
        <v>76.75</v>
      </c>
      <c r="G107">
        <v>1</v>
      </c>
      <c r="H107">
        <v>2</v>
      </c>
      <c r="I107">
        <v>2</v>
      </c>
      <c r="J107">
        <v>5</v>
      </c>
      <c r="K107">
        <v>75.12</v>
      </c>
      <c r="L107">
        <v>77.510000000000005</v>
      </c>
    </row>
    <row r="108" spans="1:12" x14ac:dyDescent="0.2">
      <c r="A108" s="4">
        <v>107</v>
      </c>
      <c r="B108" t="s">
        <v>252</v>
      </c>
      <c r="C108">
        <v>76.36</v>
      </c>
      <c r="D108">
        <v>22</v>
      </c>
      <c r="E108">
        <v>9</v>
      </c>
      <c r="F108">
        <v>70.67</v>
      </c>
      <c r="G108">
        <v>0</v>
      </c>
      <c r="H108">
        <v>0</v>
      </c>
      <c r="I108">
        <v>1</v>
      </c>
      <c r="J108">
        <v>0</v>
      </c>
      <c r="K108">
        <v>76.63</v>
      </c>
      <c r="L108">
        <v>75.760000000000005</v>
      </c>
    </row>
    <row r="109" spans="1:12" x14ac:dyDescent="0.2">
      <c r="A109" s="4">
        <v>108</v>
      </c>
      <c r="B109" t="s">
        <v>810</v>
      </c>
      <c r="C109">
        <v>76.33</v>
      </c>
      <c r="D109">
        <v>15</v>
      </c>
      <c r="E109">
        <v>13</v>
      </c>
      <c r="F109">
        <v>75.510000000000005</v>
      </c>
      <c r="G109">
        <v>0</v>
      </c>
      <c r="H109">
        <v>3</v>
      </c>
      <c r="I109">
        <v>1</v>
      </c>
      <c r="J109">
        <v>6</v>
      </c>
      <c r="K109">
        <v>77.260000000000005</v>
      </c>
      <c r="L109">
        <v>75.099999999999994</v>
      </c>
    </row>
    <row r="110" spans="1:12" x14ac:dyDescent="0.2">
      <c r="A110" s="4">
        <v>109</v>
      </c>
      <c r="B110" t="s">
        <v>783</v>
      </c>
      <c r="C110">
        <v>76.23</v>
      </c>
      <c r="D110">
        <v>17</v>
      </c>
      <c r="E110">
        <v>14</v>
      </c>
      <c r="F110">
        <v>74.430000000000007</v>
      </c>
      <c r="G110">
        <v>0</v>
      </c>
      <c r="H110">
        <v>0</v>
      </c>
      <c r="I110">
        <v>1</v>
      </c>
      <c r="J110">
        <v>3</v>
      </c>
      <c r="K110">
        <v>75.31</v>
      </c>
      <c r="L110">
        <v>76.83</v>
      </c>
    </row>
    <row r="111" spans="1:12" x14ac:dyDescent="0.2">
      <c r="A111" s="4">
        <v>110</v>
      </c>
      <c r="B111" t="s">
        <v>121</v>
      </c>
      <c r="C111">
        <v>76.06</v>
      </c>
      <c r="D111">
        <v>21</v>
      </c>
      <c r="E111">
        <v>11</v>
      </c>
      <c r="F111">
        <v>71.42</v>
      </c>
      <c r="G111">
        <v>0</v>
      </c>
      <c r="H111">
        <v>3</v>
      </c>
      <c r="I111">
        <v>1</v>
      </c>
      <c r="J111">
        <v>3</v>
      </c>
      <c r="K111">
        <v>75.599999999999994</v>
      </c>
      <c r="L111">
        <v>76.180000000000007</v>
      </c>
    </row>
    <row r="112" spans="1:12" x14ac:dyDescent="0.2">
      <c r="A112" s="4">
        <v>111</v>
      </c>
      <c r="B112" t="s">
        <v>797</v>
      </c>
      <c r="C112">
        <v>75.989999999999995</v>
      </c>
      <c r="D112">
        <v>16</v>
      </c>
      <c r="E112">
        <v>14</v>
      </c>
      <c r="F112">
        <v>73.47</v>
      </c>
      <c r="G112">
        <v>0</v>
      </c>
      <c r="H112">
        <v>0</v>
      </c>
      <c r="I112">
        <v>1</v>
      </c>
      <c r="J112">
        <v>3</v>
      </c>
      <c r="K112">
        <v>75.48</v>
      </c>
      <c r="L112">
        <v>76.150000000000006</v>
      </c>
    </row>
    <row r="113" spans="1:12" x14ac:dyDescent="0.2">
      <c r="A113" s="4">
        <v>112</v>
      </c>
      <c r="B113" t="s">
        <v>118</v>
      </c>
      <c r="C113">
        <v>75.88</v>
      </c>
      <c r="D113">
        <v>18</v>
      </c>
      <c r="E113">
        <v>15</v>
      </c>
      <c r="F113">
        <v>72.959999999999994</v>
      </c>
      <c r="G113">
        <v>0</v>
      </c>
      <c r="H113">
        <v>1</v>
      </c>
      <c r="I113">
        <v>1</v>
      </c>
      <c r="J113">
        <v>2</v>
      </c>
      <c r="K113">
        <v>74.14</v>
      </c>
      <c r="L113">
        <v>77.39</v>
      </c>
    </row>
    <row r="114" spans="1:12" x14ac:dyDescent="0.2">
      <c r="A114" s="4">
        <v>113</v>
      </c>
      <c r="B114" t="s">
        <v>287</v>
      </c>
      <c r="C114">
        <v>75.86</v>
      </c>
      <c r="D114">
        <v>21</v>
      </c>
      <c r="E114">
        <v>9</v>
      </c>
      <c r="F114">
        <v>71.17</v>
      </c>
      <c r="G114">
        <v>0</v>
      </c>
      <c r="H114">
        <v>2</v>
      </c>
      <c r="I114">
        <v>0</v>
      </c>
      <c r="J114">
        <v>4</v>
      </c>
      <c r="K114">
        <v>75.81</v>
      </c>
      <c r="L114">
        <v>75.569999999999993</v>
      </c>
    </row>
    <row r="115" spans="1:12" x14ac:dyDescent="0.2">
      <c r="A115" s="4">
        <v>114</v>
      </c>
      <c r="B115" t="s">
        <v>92</v>
      </c>
      <c r="C115">
        <v>75.86</v>
      </c>
      <c r="D115">
        <v>16</v>
      </c>
      <c r="E115">
        <v>15</v>
      </c>
      <c r="F115">
        <v>75.680000000000007</v>
      </c>
      <c r="G115">
        <v>1</v>
      </c>
      <c r="H115">
        <v>1</v>
      </c>
      <c r="I115">
        <v>2</v>
      </c>
      <c r="J115">
        <v>6</v>
      </c>
      <c r="K115">
        <v>76.55</v>
      </c>
      <c r="L115">
        <v>74.849999999999994</v>
      </c>
    </row>
    <row r="116" spans="1:12" x14ac:dyDescent="0.2">
      <c r="A116" s="4">
        <v>115</v>
      </c>
      <c r="B116" t="s">
        <v>255</v>
      </c>
      <c r="C116">
        <v>75.75</v>
      </c>
      <c r="D116">
        <v>16</v>
      </c>
      <c r="E116">
        <v>11</v>
      </c>
      <c r="F116">
        <v>72.2</v>
      </c>
      <c r="G116">
        <v>0</v>
      </c>
      <c r="H116">
        <v>2</v>
      </c>
      <c r="I116">
        <v>0</v>
      </c>
      <c r="J116">
        <v>3</v>
      </c>
      <c r="K116">
        <v>74.8</v>
      </c>
      <c r="L116">
        <v>76.39</v>
      </c>
    </row>
    <row r="117" spans="1:12" x14ac:dyDescent="0.2">
      <c r="A117" s="4">
        <v>116</v>
      </c>
      <c r="B117" t="s">
        <v>149</v>
      </c>
      <c r="C117">
        <v>75.680000000000007</v>
      </c>
      <c r="D117">
        <v>18</v>
      </c>
      <c r="E117">
        <v>11</v>
      </c>
      <c r="F117">
        <v>71.83</v>
      </c>
      <c r="G117">
        <v>0</v>
      </c>
      <c r="H117">
        <v>2</v>
      </c>
      <c r="I117">
        <v>0</v>
      </c>
      <c r="J117">
        <v>3</v>
      </c>
      <c r="K117">
        <v>75.17</v>
      </c>
      <c r="L117">
        <v>75.849999999999994</v>
      </c>
    </row>
    <row r="118" spans="1:12" x14ac:dyDescent="0.2">
      <c r="A118" s="4">
        <v>117</v>
      </c>
      <c r="B118" t="s">
        <v>872</v>
      </c>
      <c r="C118">
        <v>75.61</v>
      </c>
      <c r="D118">
        <v>12</v>
      </c>
      <c r="E118">
        <v>20</v>
      </c>
      <c r="F118">
        <v>78.319999999999993</v>
      </c>
      <c r="G118">
        <v>2</v>
      </c>
      <c r="H118">
        <v>2</v>
      </c>
      <c r="I118">
        <v>4</v>
      </c>
      <c r="J118">
        <v>13</v>
      </c>
      <c r="K118">
        <v>74.81</v>
      </c>
      <c r="L118">
        <v>76.09</v>
      </c>
    </row>
    <row r="119" spans="1:12" x14ac:dyDescent="0.2">
      <c r="A119" s="4">
        <v>118</v>
      </c>
      <c r="B119" t="s">
        <v>89</v>
      </c>
      <c r="C119">
        <v>75.61</v>
      </c>
      <c r="D119">
        <v>25</v>
      </c>
      <c r="E119">
        <v>8</v>
      </c>
      <c r="F119">
        <v>69.41</v>
      </c>
      <c r="G119">
        <v>0</v>
      </c>
      <c r="H119">
        <v>2</v>
      </c>
      <c r="I119">
        <v>1</v>
      </c>
      <c r="J119">
        <v>2</v>
      </c>
      <c r="K119">
        <v>76.86</v>
      </c>
      <c r="L119">
        <v>74.09</v>
      </c>
    </row>
    <row r="120" spans="1:12" x14ac:dyDescent="0.2">
      <c r="A120" s="4">
        <v>119</v>
      </c>
      <c r="B120" t="s">
        <v>62</v>
      </c>
      <c r="C120">
        <v>75.52</v>
      </c>
      <c r="D120">
        <v>19</v>
      </c>
      <c r="E120">
        <v>12</v>
      </c>
      <c r="F120">
        <v>73.88</v>
      </c>
      <c r="G120">
        <v>0</v>
      </c>
      <c r="H120">
        <v>2</v>
      </c>
      <c r="I120">
        <v>2</v>
      </c>
      <c r="J120">
        <v>5</v>
      </c>
      <c r="K120">
        <v>77.319999999999993</v>
      </c>
      <c r="L120">
        <v>73.52</v>
      </c>
    </row>
    <row r="121" spans="1:12" x14ac:dyDescent="0.2">
      <c r="A121" s="4">
        <v>120</v>
      </c>
      <c r="B121" t="s">
        <v>869</v>
      </c>
      <c r="C121">
        <v>75.36</v>
      </c>
      <c r="D121">
        <v>20</v>
      </c>
      <c r="E121">
        <v>7</v>
      </c>
      <c r="F121">
        <v>66.989999999999995</v>
      </c>
      <c r="G121">
        <v>0</v>
      </c>
      <c r="H121">
        <v>0</v>
      </c>
      <c r="I121">
        <v>0</v>
      </c>
      <c r="J121">
        <v>0</v>
      </c>
      <c r="K121">
        <v>74.400000000000006</v>
      </c>
      <c r="L121">
        <v>76.010000000000005</v>
      </c>
    </row>
    <row r="122" spans="1:12" x14ac:dyDescent="0.2">
      <c r="A122" s="4">
        <v>121</v>
      </c>
      <c r="B122" t="s">
        <v>66</v>
      </c>
      <c r="C122">
        <v>75.36</v>
      </c>
      <c r="D122">
        <v>15</v>
      </c>
      <c r="E122">
        <v>16</v>
      </c>
      <c r="F122">
        <v>75.47</v>
      </c>
      <c r="G122">
        <v>0</v>
      </c>
      <c r="H122">
        <v>3</v>
      </c>
      <c r="I122">
        <v>1</v>
      </c>
      <c r="J122">
        <v>4</v>
      </c>
      <c r="K122">
        <v>74.13</v>
      </c>
      <c r="L122">
        <v>76.3</v>
      </c>
    </row>
    <row r="123" spans="1:12" x14ac:dyDescent="0.2">
      <c r="A123" s="4">
        <v>122</v>
      </c>
      <c r="B123" t="s">
        <v>875</v>
      </c>
      <c r="C123">
        <v>75.28</v>
      </c>
      <c r="D123">
        <v>14</v>
      </c>
      <c r="E123">
        <v>15</v>
      </c>
      <c r="F123">
        <v>74.069999999999993</v>
      </c>
      <c r="G123">
        <v>0</v>
      </c>
      <c r="H123">
        <v>2</v>
      </c>
      <c r="I123">
        <v>0</v>
      </c>
      <c r="J123">
        <v>3</v>
      </c>
      <c r="K123">
        <v>73.23</v>
      </c>
      <c r="L123">
        <v>77.14</v>
      </c>
    </row>
    <row r="124" spans="1:12" x14ac:dyDescent="0.2">
      <c r="A124" s="4">
        <v>123</v>
      </c>
      <c r="B124" t="s">
        <v>157</v>
      </c>
      <c r="C124">
        <v>75.28</v>
      </c>
      <c r="D124">
        <v>22</v>
      </c>
      <c r="E124">
        <v>11</v>
      </c>
      <c r="F124">
        <v>70.47</v>
      </c>
      <c r="G124">
        <v>0</v>
      </c>
      <c r="H124">
        <v>1</v>
      </c>
      <c r="I124">
        <v>0</v>
      </c>
      <c r="J124">
        <v>2</v>
      </c>
      <c r="K124">
        <v>75.790000000000006</v>
      </c>
      <c r="L124">
        <v>74.44</v>
      </c>
    </row>
    <row r="125" spans="1:12" x14ac:dyDescent="0.2">
      <c r="A125" s="4">
        <v>124</v>
      </c>
      <c r="B125" t="s">
        <v>560</v>
      </c>
      <c r="C125">
        <v>75.260000000000005</v>
      </c>
      <c r="D125">
        <v>18</v>
      </c>
      <c r="E125">
        <v>13</v>
      </c>
      <c r="F125">
        <v>73.33</v>
      </c>
      <c r="G125">
        <v>0</v>
      </c>
      <c r="H125">
        <v>0</v>
      </c>
      <c r="I125">
        <v>0</v>
      </c>
      <c r="J125">
        <v>1</v>
      </c>
      <c r="K125">
        <v>74.88</v>
      </c>
      <c r="L125">
        <v>75.3</v>
      </c>
    </row>
    <row r="126" spans="1:12" x14ac:dyDescent="0.2">
      <c r="A126" s="4">
        <v>125</v>
      </c>
      <c r="B126" t="s">
        <v>862</v>
      </c>
      <c r="C126">
        <v>75.209999999999994</v>
      </c>
      <c r="D126">
        <v>16</v>
      </c>
      <c r="E126">
        <v>8</v>
      </c>
      <c r="F126">
        <v>68.02</v>
      </c>
      <c r="G126">
        <v>0</v>
      </c>
      <c r="H126">
        <v>0</v>
      </c>
      <c r="I126">
        <v>1</v>
      </c>
      <c r="J126">
        <v>0</v>
      </c>
      <c r="K126">
        <v>73.23</v>
      </c>
      <c r="L126">
        <v>76.97</v>
      </c>
    </row>
    <row r="127" spans="1:12" x14ac:dyDescent="0.2">
      <c r="A127" s="4">
        <v>126</v>
      </c>
      <c r="B127" t="s">
        <v>55</v>
      </c>
      <c r="C127">
        <v>74.989999999999995</v>
      </c>
      <c r="D127">
        <v>16</v>
      </c>
      <c r="E127">
        <v>15</v>
      </c>
      <c r="F127">
        <v>75.02</v>
      </c>
      <c r="G127">
        <v>1</v>
      </c>
      <c r="H127">
        <v>5</v>
      </c>
      <c r="I127">
        <v>3</v>
      </c>
      <c r="J127">
        <v>10</v>
      </c>
      <c r="K127">
        <v>76.099999999999994</v>
      </c>
      <c r="L127">
        <v>73.58</v>
      </c>
    </row>
    <row r="128" spans="1:12" x14ac:dyDescent="0.2">
      <c r="A128" s="4">
        <v>127</v>
      </c>
      <c r="B128" t="s">
        <v>48</v>
      </c>
      <c r="C128">
        <v>74.87</v>
      </c>
      <c r="D128">
        <v>12</v>
      </c>
      <c r="E128">
        <v>16</v>
      </c>
      <c r="F128">
        <v>75.73</v>
      </c>
      <c r="G128">
        <v>0</v>
      </c>
      <c r="H128">
        <v>5</v>
      </c>
      <c r="I128">
        <v>0</v>
      </c>
      <c r="J128">
        <v>10</v>
      </c>
      <c r="K128">
        <v>72.66</v>
      </c>
      <c r="L128">
        <v>76.88</v>
      </c>
    </row>
    <row r="129" spans="1:12" x14ac:dyDescent="0.2">
      <c r="A129" s="4">
        <v>128</v>
      </c>
      <c r="B129" t="s">
        <v>87</v>
      </c>
      <c r="C129">
        <v>74.67</v>
      </c>
      <c r="D129">
        <v>22</v>
      </c>
      <c r="E129">
        <v>10</v>
      </c>
      <c r="F129">
        <v>68.31</v>
      </c>
      <c r="G129">
        <v>0</v>
      </c>
      <c r="H129">
        <v>2</v>
      </c>
      <c r="I129">
        <v>0</v>
      </c>
      <c r="J129">
        <v>2</v>
      </c>
      <c r="K129">
        <v>73.39</v>
      </c>
      <c r="L129">
        <v>75.64</v>
      </c>
    </row>
    <row r="130" spans="1:12" x14ac:dyDescent="0.2">
      <c r="A130" s="4">
        <v>129</v>
      </c>
      <c r="B130" t="s">
        <v>245</v>
      </c>
      <c r="C130">
        <v>74.67</v>
      </c>
      <c r="D130">
        <v>15</v>
      </c>
      <c r="E130">
        <v>16</v>
      </c>
      <c r="F130">
        <v>74.91</v>
      </c>
      <c r="G130">
        <v>0</v>
      </c>
      <c r="H130">
        <v>3</v>
      </c>
      <c r="I130">
        <v>1</v>
      </c>
      <c r="J130">
        <v>3</v>
      </c>
      <c r="K130">
        <v>73.55</v>
      </c>
      <c r="L130">
        <v>75.47</v>
      </c>
    </row>
    <row r="131" spans="1:12" x14ac:dyDescent="0.2">
      <c r="A131" s="4">
        <v>130</v>
      </c>
      <c r="B131" t="s">
        <v>821</v>
      </c>
      <c r="C131">
        <v>74.569999999999993</v>
      </c>
      <c r="D131">
        <v>12</v>
      </c>
      <c r="E131">
        <v>18</v>
      </c>
      <c r="F131">
        <v>78.510000000000005</v>
      </c>
      <c r="G131">
        <v>2</v>
      </c>
      <c r="H131">
        <v>3</v>
      </c>
      <c r="I131">
        <v>3</v>
      </c>
      <c r="J131">
        <v>7</v>
      </c>
      <c r="K131">
        <v>75.2</v>
      </c>
      <c r="L131">
        <v>73.61</v>
      </c>
    </row>
    <row r="132" spans="1:12" x14ac:dyDescent="0.2">
      <c r="A132" s="4">
        <v>131</v>
      </c>
      <c r="B132" t="s">
        <v>903</v>
      </c>
      <c r="C132">
        <v>74.489999999999995</v>
      </c>
      <c r="D132">
        <v>23</v>
      </c>
      <c r="E132">
        <v>10</v>
      </c>
      <c r="F132">
        <v>70.02</v>
      </c>
      <c r="G132">
        <v>0</v>
      </c>
      <c r="H132">
        <v>0</v>
      </c>
      <c r="I132">
        <v>0</v>
      </c>
      <c r="J132">
        <v>1</v>
      </c>
      <c r="K132">
        <v>75.650000000000006</v>
      </c>
      <c r="L132">
        <v>73.03</v>
      </c>
    </row>
    <row r="133" spans="1:12" x14ac:dyDescent="0.2">
      <c r="A133" s="4">
        <v>132</v>
      </c>
      <c r="B133" t="s">
        <v>837</v>
      </c>
      <c r="C133">
        <v>74.489999999999995</v>
      </c>
      <c r="D133">
        <v>18</v>
      </c>
      <c r="E133">
        <v>10</v>
      </c>
      <c r="F133">
        <v>70.08</v>
      </c>
      <c r="G133">
        <v>0</v>
      </c>
      <c r="H133">
        <v>1</v>
      </c>
      <c r="I133">
        <v>0</v>
      </c>
      <c r="J133">
        <v>1</v>
      </c>
      <c r="K133">
        <v>74.52</v>
      </c>
      <c r="L133">
        <v>74.099999999999994</v>
      </c>
    </row>
    <row r="134" spans="1:12" x14ac:dyDescent="0.2">
      <c r="A134" s="4">
        <v>133</v>
      </c>
      <c r="B134" t="s">
        <v>129</v>
      </c>
      <c r="C134">
        <v>74.459999999999994</v>
      </c>
      <c r="D134">
        <v>17</v>
      </c>
      <c r="E134">
        <v>14</v>
      </c>
      <c r="F134">
        <v>74.510000000000005</v>
      </c>
      <c r="G134">
        <v>0</v>
      </c>
      <c r="H134">
        <v>1</v>
      </c>
      <c r="I134">
        <v>1</v>
      </c>
      <c r="J134">
        <v>4</v>
      </c>
      <c r="K134">
        <v>76.19</v>
      </c>
      <c r="L134">
        <v>72.48</v>
      </c>
    </row>
    <row r="135" spans="1:12" x14ac:dyDescent="0.2">
      <c r="A135" s="4">
        <v>134</v>
      </c>
      <c r="B135" t="s">
        <v>276</v>
      </c>
      <c r="C135">
        <v>74.3</v>
      </c>
      <c r="D135">
        <v>14</v>
      </c>
      <c r="E135">
        <v>17</v>
      </c>
      <c r="F135">
        <v>74.069999999999993</v>
      </c>
      <c r="G135">
        <v>0</v>
      </c>
      <c r="H135">
        <v>2</v>
      </c>
      <c r="I135">
        <v>0</v>
      </c>
      <c r="J135">
        <v>6</v>
      </c>
      <c r="K135">
        <v>74.099999999999994</v>
      </c>
      <c r="L135">
        <v>74.150000000000006</v>
      </c>
    </row>
    <row r="136" spans="1:12" x14ac:dyDescent="0.2">
      <c r="A136" s="4">
        <v>135</v>
      </c>
      <c r="B136" t="s">
        <v>288</v>
      </c>
      <c r="C136">
        <v>74.28</v>
      </c>
      <c r="D136">
        <v>18</v>
      </c>
      <c r="E136">
        <v>12</v>
      </c>
      <c r="F136">
        <v>72.459999999999994</v>
      </c>
      <c r="G136">
        <v>0</v>
      </c>
      <c r="H136">
        <v>3</v>
      </c>
      <c r="I136">
        <v>0</v>
      </c>
      <c r="J136">
        <v>4</v>
      </c>
      <c r="K136">
        <v>75.56</v>
      </c>
      <c r="L136">
        <v>72.709999999999994</v>
      </c>
    </row>
    <row r="137" spans="1:12" x14ac:dyDescent="0.2">
      <c r="A137" s="4">
        <v>136</v>
      </c>
      <c r="B137" t="s">
        <v>878</v>
      </c>
      <c r="C137">
        <v>74.209999999999994</v>
      </c>
      <c r="D137">
        <v>18</v>
      </c>
      <c r="E137">
        <v>14</v>
      </c>
      <c r="F137">
        <v>73.55</v>
      </c>
      <c r="G137">
        <v>0</v>
      </c>
      <c r="H137">
        <v>3</v>
      </c>
      <c r="I137">
        <v>0</v>
      </c>
      <c r="J137">
        <v>5</v>
      </c>
      <c r="K137">
        <v>74.28</v>
      </c>
      <c r="L137">
        <v>73.78</v>
      </c>
    </row>
    <row r="138" spans="1:12" x14ac:dyDescent="0.2">
      <c r="A138" s="4">
        <v>137</v>
      </c>
      <c r="B138" t="s">
        <v>795</v>
      </c>
      <c r="C138">
        <v>74.040000000000006</v>
      </c>
      <c r="D138">
        <v>14</v>
      </c>
      <c r="E138">
        <v>16</v>
      </c>
      <c r="F138">
        <v>76.290000000000006</v>
      </c>
      <c r="G138">
        <v>0</v>
      </c>
      <c r="H138">
        <v>4</v>
      </c>
      <c r="I138">
        <v>0</v>
      </c>
      <c r="J138">
        <v>5</v>
      </c>
      <c r="K138">
        <v>75.25</v>
      </c>
      <c r="L138">
        <v>72.52</v>
      </c>
    </row>
    <row r="139" spans="1:12" x14ac:dyDescent="0.2">
      <c r="A139" s="4">
        <v>138</v>
      </c>
      <c r="B139" t="s">
        <v>99</v>
      </c>
      <c r="C139">
        <v>73.86</v>
      </c>
      <c r="D139">
        <v>11</v>
      </c>
      <c r="E139">
        <v>19</v>
      </c>
      <c r="F139">
        <v>77.5</v>
      </c>
      <c r="G139">
        <v>1</v>
      </c>
      <c r="H139">
        <v>7</v>
      </c>
      <c r="I139">
        <v>2</v>
      </c>
      <c r="J139">
        <v>11</v>
      </c>
      <c r="K139">
        <v>72.2</v>
      </c>
      <c r="L139">
        <v>75.23</v>
      </c>
    </row>
    <row r="140" spans="1:12" x14ac:dyDescent="0.2">
      <c r="A140" s="4">
        <v>139</v>
      </c>
      <c r="B140" t="s">
        <v>259</v>
      </c>
      <c r="C140">
        <v>73.709999999999994</v>
      </c>
      <c r="D140">
        <v>16</v>
      </c>
      <c r="E140">
        <v>15</v>
      </c>
      <c r="F140">
        <v>72.73</v>
      </c>
      <c r="G140">
        <v>0</v>
      </c>
      <c r="H140">
        <v>4</v>
      </c>
      <c r="I140">
        <v>0</v>
      </c>
      <c r="J140">
        <v>4</v>
      </c>
      <c r="K140">
        <v>72.319999999999993</v>
      </c>
      <c r="L140">
        <v>74.78</v>
      </c>
    </row>
    <row r="141" spans="1:12" x14ac:dyDescent="0.2">
      <c r="A141" s="4">
        <v>140</v>
      </c>
      <c r="B141" t="s">
        <v>110</v>
      </c>
      <c r="C141">
        <v>73.510000000000005</v>
      </c>
      <c r="D141">
        <v>15</v>
      </c>
      <c r="E141">
        <v>13</v>
      </c>
      <c r="F141">
        <v>72.89</v>
      </c>
      <c r="G141">
        <v>0</v>
      </c>
      <c r="H141">
        <v>3</v>
      </c>
      <c r="I141">
        <v>0</v>
      </c>
      <c r="J141">
        <v>3</v>
      </c>
      <c r="K141">
        <v>73.37</v>
      </c>
      <c r="L141">
        <v>73.3</v>
      </c>
    </row>
    <row r="142" spans="1:12" x14ac:dyDescent="0.2">
      <c r="A142" s="4">
        <v>141</v>
      </c>
      <c r="B142" t="s">
        <v>158</v>
      </c>
      <c r="C142">
        <v>73.45</v>
      </c>
      <c r="D142">
        <v>18</v>
      </c>
      <c r="E142">
        <v>12</v>
      </c>
      <c r="F142">
        <v>70.91</v>
      </c>
      <c r="G142">
        <v>0</v>
      </c>
      <c r="H142">
        <v>0</v>
      </c>
      <c r="I142">
        <v>0</v>
      </c>
      <c r="J142">
        <v>2</v>
      </c>
      <c r="K142">
        <v>73.86</v>
      </c>
      <c r="L142">
        <v>72.7</v>
      </c>
    </row>
    <row r="143" spans="1:12" x14ac:dyDescent="0.2">
      <c r="A143" s="4">
        <v>142</v>
      </c>
      <c r="B143" t="s">
        <v>284</v>
      </c>
      <c r="C143">
        <v>73.41</v>
      </c>
      <c r="D143">
        <v>15</v>
      </c>
      <c r="E143">
        <v>15</v>
      </c>
      <c r="F143">
        <v>72.84</v>
      </c>
      <c r="G143">
        <v>0</v>
      </c>
      <c r="H143">
        <v>2</v>
      </c>
      <c r="I143">
        <v>0</v>
      </c>
      <c r="J143">
        <v>4</v>
      </c>
      <c r="K143">
        <v>72.099999999999994</v>
      </c>
      <c r="L143">
        <v>74.38</v>
      </c>
    </row>
    <row r="144" spans="1:12" x14ac:dyDescent="0.2">
      <c r="A144" s="4">
        <v>143</v>
      </c>
      <c r="B144" t="s">
        <v>79</v>
      </c>
      <c r="C144">
        <v>73.38</v>
      </c>
      <c r="D144">
        <v>11</v>
      </c>
      <c r="E144">
        <v>18</v>
      </c>
      <c r="F144">
        <v>76.900000000000006</v>
      </c>
      <c r="G144">
        <v>0</v>
      </c>
      <c r="H144">
        <v>9</v>
      </c>
      <c r="I144">
        <v>1</v>
      </c>
      <c r="J144">
        <v>9</v>
      </c>
      <c r="K144">
        <v>72.2</v>
      </c>
      <c r="L144">
        <v>74.23</v>
      </c>
    </row>
    <row r="145" spans="1:12" x14ac:dyDescent="0.2">
      <c r="A145" s="4">
        <v>144</v>
      </c>
      <c r="B145" t="s">
        <v>83</v>
      </c>
      <c r="C145">
        <v>73.34</v>
      </c>
      <c r="D145">
        <v>20</v>
      </c>
      <c r="E145">
        <v>11</v>
      </c>
      <c r="F145">
        <v>69.2</v>
      </c>
      <c r="G145">
        <v>0</v>
      </c>
      <c r="H145">
        <v>1</v>
      </c>
      <c r="I145">
        <v>0</v>
      </c>
      <c r="J145">
        <v>1</v>
      </c>
      <c r="K145">
        <v>73.5</v>
      </c>
      <c r="L145">
        <v>72.83</v>
      </c>
    </row>
    <row r="146" spans="1:12" x14ac:dyDescent="0.2">
      <c r="A146" s="4">
        <v>145</v>
      </c>
      <c r="B146" t="s">
        <v>113</v>
      </c>
      <c r="C146">
        <v>73.28</v>
      </c>
      <c r="D146">
        <v>11</v>
      </c>
      <c r="E146">
        <v>19</v>
      </c>
      <c r="F146">
        <v>77.13</v>
      </c>
      <c r="G146">
        <v>0</v>
      </c>
      <c r="H146">
        <v>3</v>
      </c>
      <c r="I146">
        <v>3</v>
      </c>
      <c r="J146">
        <v>6</v>
      </c>
      <c r="K146">
        <v>73.930000000000007</v>
      </c>
      <c r="L146">
        <v>72.290000000000006</v>
      </c>
    </row>
    <row r="147" spans="1:12" x14ac:dyDescent="0.2">
      <c r="A147" s="4">
        <v>146</v>
      </c>
      <c r="B147" t="s">
        <v>112</v>
      </c>
      <c r="C147">
        <v>73.180000000000007</v>
      </c>
      <c r="D147">
        <v>12</v>
      </c>
      <c r="E147">
        <v>18</v>
      </c>
      <c r="F147">
        <v>74.22</v>
      </c>
      <c r="G147">
        <v>0</v>
      </c>
      <c r="H147">
        <v>1</v>
      </c>
      <c r="I147">
        <v>0</v>
      </c>
      <c r="J147">
        <v>3</v>
      </c>
      <c r="K147">
        <v>70.91</v>
      </c>
      <c r="L147">
        <v>75.150000000000006</v>
      </c>
    </row>
    <row r="148" spans="1:12" x14ac:dyDescent="0.2">
      <c r="A148" s="4">
        <v>147</v>
      </c>
      <c r="B148" t="s">
        <v>285</v>
      </c>
      <c r="C148">
        <v>73.09</v>
      </c>
      <c r="D148">
        <v>14</v>
      </c>
      <c r="E148">
        <v>16</v>
      </c>
      <c r="F148">
        <v>73.930000000000007</v>
      </c>
      <c r="G148">
        <v>0</v>
      </c>
      <c r="H148">
        <v>1</v>
      </c>
      <c r="I148">
        <v>0</v>
      </c>
      <c r="J148">
        <v>4</v>
      </c>
      <c r="K148">
        <v>73.040000000000006</v>
      </c>
      <c r="L148">
        <v>72.78</v>
      </c>
    </row>
    <row r="149" spans="1:12" x14ac:dyDescent="0.2">
      <c r="A149" s="4">
        <v>148</v>
      </c>
      <c r="B149" t="s">
        <v>302</v>
      </c>
      <c r="C149">
        <v>73.06</v>
      </c>
      <c r="D149">
        <v>15</v>
      </c>
      <c r="E149">
        <v>14</v>
      </c>
      <c r="F149">
        <v>72.5</v>
      </c>
      <c r="G149">
        <v>0</v>
      </c>
      <c r="H149">
        <v>0</v>
      </c>
      <c r="I149">
        <v>0</v>
      </c>
      <c r="J149">
        <v>0</v>
      </c>
      <c r="K149">
        <v>72.650000000000006</v>
      </c>
      <c r="L149">
        <v>73.12</v>
      </c>
    </row>
    <row r="150" spans="1:12" x14ac:dyDescent="0.2">
      <c r="A150" s="4">
        <v>149</v>
      </c>
      <c r="B150" t="s">
        <v>143</v>
      </c>
      <c r="C150">
        <v>72.819999999999993</v>
      </c>
      <c r="D150">
        <v>17</v>
      </c>
      <c r="E150">
        <v>11</v>
      </c>
      <c r="F150">
        <v>70.03</v>
      </c>
      <c r="G150">
        <v>1</v>
      </c>
      <c r="H150">
        <v>0</v>
      </c>
      <c r="I150">
        <v>1</v>
      </c>
      <c r="J150">
        <v>0</v>
      </c>
      <c r="K150">
        <v>73.430000000000007</v>
      </c>
      <c r="L150">
        <v>71.87</v>
      </c>
    </row>
    <row r="151" spans="1:12" x14ac:dyDescent="0.2">
      <c r="A151" s="4">
        <v>150</v>
      </c>
      <c r="B151" t="s">
        <v>163</v>
      </c>
      <c r="C151">
        <v>72.69</v>
      </c>
      <c r="D151">
        <v>14</v>
      </c>
      <c r="E151">
        <v>17</v>
      </c>
      <c r="F151">
        <v>71.55</v>
      </c>
      <c r="G151">
        <v>0</v>
      </c>
      <c r="H151">
        <v>1</v>
      </c>
      <c r="I151">
        <v>0</v>
      </c>
      <c r="J151">
        <v>2</v>
      </c>
      <c r="K151">
        <v>70.44</v>
      </c>
      <c r="L151">
        <v>74.63</v>
      </c>
    </row>
    <row r="152" spans="1:12" x14ac:dyDescent="0.2">
      <c r="A152" s="4">
        <v>151</v>
      </c>
      <c r="B152" t="s">
        <v>196</v>
      </c>
      <c r="C152">
        <v>72.61</v>
      </c>
      <c r="D152">
        <v>20</v>
      </c>
      <c r="E152">
        <v>12</v>
      </c>
      <c r="F152">
        <v>68.37</v>
      </c>
      <c r="G152">
        <v>0</v>
      </c>
      <c r="H152">
        <v>1</v>
      </c>
      <c r="I152">
        <v>0</v>
      </c>
      <c r="J152">
        <v>1</v>
      </c>
      <c r="K152">
        <v>72.03</v>
      </c>
      <c r="L152">
        <v>72.84</v>
      </c>
    </row>
    <row r="153" spans="1:12" x14ac:dyDescent="0.2">
      <c r="A153" s="4">
        <v>152</v>
      </c>
      <c r="B153" t="s">
        <v>221</v>
      </c>
      <c r="C153">
        <v>72.33</v>
      </c>
      <c r="D153">
        <v>13</v>
      </c>
      <c r="E153">
        <v>18</v>
      </c>
      <c r="F153">
        <v>74.62</v>
      </c>
      <c r="G153">
        <v>1</v>
      </c>
      <c r="H153">
        <v>1</v>
      </c>
      <c r="I153">
        <v>1</v>
      </c>
      <c r="J153">
        <v>1</v>
      </c>
      <c r="K153">
        <v>71.64</v>
      </c>
      <c r="L153">
        <v>72.67</v>
      </c>
    </row>
    <row r="154" spans="1:12" x14ac:dyDescent="0.2">
      <c r="A154" s="4">
        <v>153</v>
      </c>
      <c r="B154" t="s">
        <v>850</v>
      </c>
      <c r="C154">
        <v>72.31</v>
      </c>
      <c r="D154">
        <v>17</v>
      </c>
      <c r="E154">
        <v>11</v>
      </c>
      <c r="F154">
        <v>69.709999999999994</v>
      </c>
      <c r="G154">
        <v>0</v>
      </c>
      <c r="H154">
        <v>0</v>
      </c>
      <c r="I154">
        <v>0</v>
      </c>
      <c r="J154">
        <v>0</v>
      </c>
      <c r="K154">
        <v>73.22</v>
      </c>
      <c r="L154">
        <v>71.05</v>
      </c>
    </row>
    <row r="155" spans="1:12" x14ac:dyDescent="0.2">
      <c r="A155" s="4">
        <v>154</v>
      </c>
      <c r="B155" t="s">
        <v>183</v>
      </c>
      <c r="C155">
        <v>72.3</v>
      </c>
      <c r="D155">
        <v>12</v>
      </c>
      <c r="E155">
        <v>18</v>
      </c>
      <c r="F155">
        <v>74.87</v>
      </c>
      <c r="G155">
        <v>1</v>
      </c>
      <c r="H155">
        <v>4</v>
      </c>
      <c r="I155">
        <v>1</v>
      </c>
      <c r="J155">
        <v>11</v>
      </c>
      <c r="K155">
        <v>71.13</v>
      </c>
      <c r="L155">
        <v>73.11</v>
      </c>
    </row>
    <row r="156" spans="1:12" x14ac:dyDescent="0.2">
      <c r="A156" s="4">
        <v>155</v>
      </c>
      <c r="B156" t="s">
        <v>817</v>
      </c>
      <c r="C156">
        <v>72.209999999999994</v>
      </c>
      <c r="D156">
        <v>11</v>
      </c>
      <c r="E156">
        <v>19</v>
      </c>
      <c r="F156">
        <v>75.98</v>
      </c>
      <c r="G156">
        <v>0</v>
      </c>
      <c r="H156">
        <v>9</v>
      </c>
      <c r="I156">
        <v>0</v>
      </c>
      <c r="J156">
        <v>10</v>
      </c>
      <c r="K156">
        <v>70.31</v>
      </c>
      <c r="L156">
        <v>73.760000000000005</v>
      </c>
    </row>
    <row r="157" spans="1:12" x14ac:dyDescent="0.2">
      <c r="A157" s="4">
        <v>156</v>
      </c>
      <c r="B157" t="s">
        <v>300</v>
      </c>
      <c r="C157">
        <v>72.05</v>
      </c>
      <c r="D157">
        <v>14</v>
      </c>
      <c r="E157">
        <v>16</v>
      </c>
      <c r="F157">
        <v>73.650000000000006</v>
      </c>
      <c r="G157">
        <v>0</v>
      </c>
      <c r="H157">
        <v>2</v>
      </c>
      <c r="I157">
        <v>0</v>
      </c>
      <c r="J157">
        <v>3</v>
      </c>
      <c r="K157">
        <v>72.36</v>
      </c>
      <c r="L157">
        <v>71.39</v>
      </c>
    </row>
    <row r="158" spans="1:12" x14ac:dyDescent="0.2">
      <c r="A158" s="4">
        <v>157</v>
      </c>
      <c r="B158" t="s">
        <v>553</v>
      </c>
      <c r="C158">
        <v>71.98</v>
      </c>
      <c r="D158">
        <v>22</v>
      </c>
      <c r="E158">
        <v>10</v>
      </c>
      <c r="F158">
        <v>67.63</v>
      </c>
      <c r="G158">
        <v>0</v>
      </c>
      <c r="H158">
        <v>1</v>
      </c>
      <c r="I158">
        <v>0</v>
      </c>
      <c r="J158">
        <v>3</v>
      </c>
      <c r="K158">
        <v>72.37</v>
      </c>
      <c r="L158">
        <v>71.23</v>
      </c>
    </row>
    <row r="159" spans="1:12" x14ac:dyDescent="0.2">
      <c r="A159" s="4">
        <v>158</v>
      </c>
      <c r="B159" t="s">
        <v>47</v>
      </c>
      <c r="C159">
        <v>71.97</v>
      </c>
      <c r="D159">
        <v>12</v>
      </c>
      <c r="E159">
        <v>18</v>
      </c>
      <c r="F159">
        <v>74.930000000000007</v>
      </c>
      <c r="G159">
        <v>0</v>
      </c>
      <c r="H159">
        <v>2</v>
      </c>
      <c r="I159">
        <v>0</v>
      </c>
      <c r="J159">
        <v>3</v>
      </c>
      <c r="K159">
        <v>71.37</v>
      </c>
      <c r="L159">
        <v>72.23</v>
      </c>
    </row>
    <row r="160" spans="1:12" x14ac:dyDescent="0.2">
      <c r="A160" s="4">
        <v>159</v>
      </c>
      <c r="B160" t="s">
        <v>169</v>
      </c>
      <c r="C160">
        <v>71.87</v>
      </c>
      <c r="D160">
        <v>18</v>
      </c>
      <c r="E160">
        <v>10</v>
      </c>
      <c r="F160">
        <v>68.430000000000007</v>
      </c>
      <c r="G160">
        <v>0</v>
      </c>
      <c r="H160">
        <v>1</v>
      </c>
      <c r="I160">
        <v>0</v>
      </c>
      <c r="J160">
        <v>1</v>
      </c>
      <c r="K160">
        <v>72.92</v>
      </c>
      <c r="L160">
        <v>70.459999999999994</v>
      </c>
    </row>
    <row r="161" spans="1:12" x14ac:dyDescent="0.2">
      <c r="A161" s="4">
        <v>160</v>
      </c>
      <c r="B161" t="s">
        <v>180</v>
      </c>
      <c r="C161">
        <v>71.8</v>
      </c>
      <c r="D161">
        <v>23</v>
      </c>
      <c r="E161">
        <v>12</v>
      </c>
      <c r="F161">
        <v>68.53</v>
      </c>
      <c r="G161">
        <v>0</v>
      </c>
      <c r="H161">
        <v>1</v>
      </c>
      <c r="I161">
        <v>0</v>
      </c>
      <c r="J161">
        <v>1</v>
      </c>
      <c r="K161">
        <v>72.599999999999994</v>
      </c>
      <c r="L161">
        <v>70.64</v>
      </c>
    </row>
    <row r="162" spans="1:12" x14ac:dyDescent="0.2">
      <c r="A162" s="4">
        <v>161</v>
      </c>
      <c r="B162" t="s">
        <v>812</v>
      </c>
      <c r="C162">
        <v>71.78</v>
      </c>
      <c r="D162">
        <v>10</v>
      </c>
      <c r="E162">
        <v>21</v>
      </c>
      <c r="F162">
        <v>77.06</v>
      </c>
      <c r="G162">
        <v>0</v>
      </c>
      <c r="H162">
        <v>8</v>
      </c>
      <c r="I162">
        <v>0</v>
      </c>
      <c r="J162">
        <v>11</v>
      </c>
      <c r="K162">
        <v>71.180000000000007</v>
      </c>
      <c r="L162">
        <v>72.03</v>
      </c>
    </row>
    <row r="163" spans="1:12" x14ac:dyDescent="0.2">
      <c r="A163" s="4">
        <v>162</v>
      </c>
      <c r="B163" t="s">
        <v>816</v>
      </c>
      <c r="C163">
        <v>71.72</v>
      </c>
      <c r="D163">
        <v>17</v>
      </c>
      <c r="E163">
        <v>12</v>
      </c>
      <c r="F163">
        <v>70.760000000000005</v>
      </c>
      <c r="G163">
        <v>0</v>
      </c>
      <c r="H163">
        <v>1</v>
      </c>
      <c r="I163">
        <v>0</v>
      </c>
      <c r="J163">
        <v>2</v>
      </c>
      <c r="K163">
        <v>72.77</v>
      </c>
      <c r="L163">
        <v>70.3</v>
      </c>
    </row>
    <row r="164" spans="1:12" x14ac:dyDescent="0.2">
      <c r="A164" s="4">
        <v>163</v>
      </c>
      <c r="B164" t="s">
        <v>254</v>
      </c>
      <c r="C164">
        <v>71.709999999999994</v>
      </c>
      <c r="D164">
        <v>16</v>
      </c>
      <c r="E164">
        <v>12</v>
      </c>
      <c r="F164">
        <v>70.930000000000007</v>
      </c>
      <c r="G164">
        <v>0</v>
      </c>
      <c r="H164">
        <v>3</v>
      </c>
      <c r="I164">
        <v>0</v>
      </c>
      <c r="J164">
        <v>3</v>
      </c>
      <c r="K164">
        <v>72.05</v>
      </c>
      <c r="L164">
        <v>71.02</v>
      </c>
    </row>
    <row r="165" spans="1:12" x14ac:dyDescent="0.2">
      <c r="A165" s="4">
        <v>164</v>
      </c>
      <c r="B165" t="s">
        <v>220</v>
      </c>
      <c r="C165">
        <v>71.64</v>
      </c>
      <c r="D165">
        <v>18</v>
      </c>
      <c r="E165">
        <v>13</v>
      </c>
      <c r="F165">
        <v>69.540000000000006</v>
      </c>
      <c r="G165">
        <v>0</v>
      </c>
      <c r="H165">
        <v>1</v>
      </c>
      <c r="I165">
        <v>0</v>
      </c>
      <c r="J165">
        <v>2</v>
      </c>
      <c r="K165">
        <v>71.510000000000005</v>
      </c>
      <c r="L165">
        <v>71.41</v>
      </c>
    </row>
    <row r="166" spans="1:12" x14ac:dyDescent="0.2">
      <c r="A166" s="4">
        <v>165</v>
      </c>
      <c r="B166" t="s">
        <v>550</v>
      </c>
      <c r="C166">
        <v>71.569999999999993</v>
      </c>
      <c r="D166">
        <v>11</v>
      </c>
      <c r="E166">
        <v>19</v>
      </c>
      <c r="F166">
        <v>75.27</v>
      </c>
      <c r="G166">
        <v>0</v>
      </c>
      <c r="H166">
        <v>3</v>
      </c>
      <c r="I166">
        <v>0</v>
      </c>
      <c r="J166">
        <v>5</v>
      </c>
      <c r="K166">
        <v>70.42</v>
      </c>
      <c r="L166">
        <v>72.349999999999994</v>
      </c>
    </row>
    <row r="167" spans="1:12" x14ac:dyDescent="0.2">
      <c r="A167" s="4">
        <v>166</v>
      </c>
      <c r="B167" t="s">
        <v>811</v>
      </c>
      <c r="C167">
        <v>71.430000000000007</v>
      </c>
      <c r="D167">
        <v>7</v>
      </c>
      <c r="E167">
        <v>22</v>
      </c>
      <c r="F167">
        <v>78.459999999999994</v>
      </c>
      <c r="G167">
        <v>1</v>
      </c>
      <c r="H167">
        <v>7</v>
      </c>
      <c r="I167">
        <v>1</v>
      </c>
      <c r="J167">
        <v>10</v>
      </c>
      <c r="K167">
        <v>68.81</v>
      </c>
      <c r="L167">
        <v>73.650000000000006</v>
      </c>
    </row>
    <row r="168" spans="1:12" x14ac:dyDescent="0.2">
      <c r="A168" s="4">
        <v>167</v>
      </c>
      <c r="B168" t="s">
        <v>103</v>
      </c>
      <c r="C168">
        <v>71.38</v>
      </c>
      <c r="D168">
        <v>9</v>
      </c>
      <c r="E168">
        <v>22</v>
      </c>
      <c r="F168">
        <v>77.709999999999994</v>
      </c>
      <c r="G168">
        <v>1</v>
      </c>
      <c r="H168">
        <v>8</v>
      </c>
      <c r="I168">
        <v>1</v>
      </c>
      <c r="J168">
        <v>9</v>
      </c>
      <c r="K168">
        <v>70.09</v>
      </c>
      <c r="L168">
        <v>72.3</v>
      </c>
    </row>
    <row r="169" spans="1:12" x14ac:dyDescent="0.2">
      <c r="A169" s="4">
        <v>168</v>
      </c>
      <c r="B169" t="s">
        <v>108</v>
      </c>
      <c r="C169">
        <v>71.290000000000006</v>
      </c>
      <c r="D169">
        <v>15</v>
      </c>
      <c r="E169">
        <v>17</v>
      </c>
      <c r="F169">
        <v>72.099999999999994</v>
      </c>
      <c r="G169">
        <v>0</v>
      </c>
      <c r="H169">
        <v>2</v>
      </c>
      <c r="I169">
        <v>0</v>
      </c>
      <c r="J169">
        <v>2</v>
      </c>
      <c r="K169">
        <v>70.349999999999994</v>
      </c>
      <c r="L169">
        <v>71.88</v>
      </c>
    </row>
    <row r="170" spans="1:12" x14ac:dyDescent="0.2">
      <c r="A170" s="4">
        <v>169</v>
      </c>
      <c r="B170" t="s">
        <v>199</v>
      </c>
      <c r="C170">
        <v>71.27</v>
      </c>
      <c r="D170">
        <v>19</v>
      </c>
      <c r="E170">
        <v>12</v>
      </c>
      <c r="F170">
        <v>69.489999999999995</v>
      </c>
      <c r="G170">
        <v>0</v>
      </c>
      <c r="H170">
        <v>3</v>
      </c>
      <c r="I170">
        <v>0</v>
      </c>
      <c r="J170">
        <v>3</v>
      </c>
      <c r="K170">
        <v>71.62</v>
      </c>
      <c r="L170">
        <v>70.569999999999993</v>
      </c>
    </row>
    <row r="171" spans="1:12" x14ac:dyDescent="0.2">
      <c r="A171" s="4">
        <v>170</v>
      </c>
      <c r="B171" t="s">
        <v>228</v>
      </c>
      <c r="C171">
        <v>71.22</v>
      </c>
      <c r="D171">
        <v>19</v>
      </c>
      <c r="E171">
        <v>12</v>
      </c>
      <c r="F171">
        <v>69.599999999999994</v>
      </c>
      <c r="G171">
        <v>0</v>
      </c>
      <c r="H171">
        <v>1</v>
      </c>
      <c r="I171">
        <v>0</v>
      </c>
      <c r="J171">
        <v>2</v>
      </c>
      <c r="K171">
        <v>72.23</v>
      </c>
      <c r="L171">
        <v>69.849999999999994</v>
      </c>
    </row>
    <row r="172" spans="1:12" x14ac:dyDescent="0.2">
      <c r="A172" s="4">
        <v>171</v>
      </c>
      <c r="B172" t="s">
        <v>49</v>
      </c>
      <c r="C172">
        <v>71.22</v>
      </c>
      <c r="D172">
        <v>13</v>
      </c>
      <c r="E172">
        <v>17</v>
      </c>
      <c r="F172">
        <v>73.84</v>
      </c>
      <c r="G172">
        <v>0</v>
      </c>
      <c r="H172">
        <v>2</v>
      </c>
      <c r="I172">
        <v>1</v>
      </c>
      <c r="J172">
        <v>6</v>
      </c>
      <c r="K172">
        <v>72.52</v>
      </c>
      <c r="L172">
        <v>69.540000000000006</v>
      </c>
    </row>
    <row r="173" spans="1:12" x14ac:dyDescent="0.2">
      <c r="A173" s="4">
        <v>172</v>
      </c>
      <c r="B173" t="s">
        <v>831</v>
      </c>
      <c r="C173">
        <v>71</v>
      </c>
      <c r="D173">
        <v>12</v>
      </c>
      <c r="E173">
        <v>17</v>
      </c>
      <c r="F173">
        <v>75.03</v>
      </c>
      <c r="G173">
        <v>0</v>
      </c>
      <c r="H173">
        <v>4</v>
      </c>
      <c r="I173">
        <v>0</v>
      </c>
      <c r="J173">
        <v>4</v>
      </c>
      <c r="K173">
        <v>71.099999999999994</v>
      </c>
      <c r="L173">
        <v>70.55</v>
      </c>
    </row>
    <row r="174" spans="1:12" x14ac:dyDescent="0.2">
      <c r="A174" s="4">
        <v>173</v>
      </c>
      <c r="B174" t="s">
        <v>61</v>
      </c>
      <c r="C174">
        <v>70.97</v>
      </c>
      <c r="D174">
        <v>12</v>
      </c>
      <c r="E174">
        <v>17</v>
      </c>
      <c r="F174">
        <v>73.09</v>
      </c>
      <c r="G174">
        <v>0</v>
      </c>
      <c r="H174">
        <v>2</v>
      </c>
      <c r="I174">
        <v>0</v>
      </c>
      <c r="J174">
        <v>3</v>
      </c>
      <c r="K174">
        <v>70.150000000000006</v>
      </c>
      <c r="L174">
        <v>71.430000000000007</v>
      </c>
    </row>
    <row r="175" spans="1:12" x14ac:dyDescent="0.2">
      <c r="A175" s="4">
        <v>174</v>
      </c>
      <c r="B175" t="s">
        <v>868</v>
      </c>
      <c r="C175">
        <v>70.94</v>
      </c>
      <c r="D175">
        <v>16</v>
      </c>
      <c r="E175">
        <v>15</v>
      </c>
      <c r="F175">
        <v>70.48</v>
      </c>
      <c r="G175">
        <v>0</v>
      </c>
      <c r="H175">
        <v>0</v>
      </c>
      <c r="I175">
        <v>0</v>
      </c>
      <c r="J175">
        <v>3</v>
      </c>
      <c r="K175">
        <v>70.900000000000006</v>
      </c>
      <c r="L175">
        <v>70.64</v>
      </c>
    </row>
    <row r="176" spans="1:12" x14ac:dyDescent="0.2">
      <c r="A176" s="4">
        <v>175</v>
      </c>
      <c r="B176" t="s">
        <v>181</v>
      </c>
      <c r="C176">
        <v>70.930000000000007</v>
      </c>
      <c r="D176">
        <v>13</v>
      </c>
      <c r="E176">
        <v>19</v>
      </c>
      <c r="F176">
        <v>74.48</v>
      </c>
      <c r="G176">
        <v>0</v>
      </c>
      <c r="H176">
        <v>3</v>
      </c>
      <c r="I176">
        <v>1</v>
      </c>
      <c r="J176">
        <v>3</v>
      </c>
      <c r="K176">
        <v>70.97</v>
      </c>
      <c r="L176">
        <v>70.540000000000006</v>
      </c>
    </row>
    <row r="177" spans="1:12" x14ac:dyDescent="0.2">
      <c r="A177" s="4">
        <v>176</v>
      </c>
      <c r="B177" t="s">
        <v>825</v>
      </c>
      <c r="C177">
        <v>70.709999999999994</v>
      </c>
      <c r="D177">
        <v>17</v>
      </c>
      <c r="E177">
        <v>13</v>
      </c>
      <c r="F177">
        <v>69.11</v>
      </c>
      <c r="G177">
        <v>0</v>
      </c>
      <c r="H177">
        <v>1</v>
      </c>
      <c r="I177">
        <v>0</v>
      </c>
      <c r="J177">
        <v>1</v>
      </c>
      <c r="K177">
        <v>70.45</v>
      </c>
      <c r="L177">
        <v>70.63</v>
      </c>
    </row>
    <row r="178" spans="1:12" x14ac:dyDescent="0.2">
      <c r="A178" s="4">
        <v>177</v>
      </c>
      <c r="B178" t="s">
        <v>278</v>
      </c>
      <c r="C178">
        <v>70.540000000000006</v>
      </c>
      <c r="D178">
        <v>16</v>
      </c>
      <c r="E178">
        <v>14</v>
      </c>
      <c r="F178">
        <v>69.81</v>
      </c>
      <c r="G178">
        <v>0</v>
      </c>
      <c r="H178">
        <v>1</v>
      </c>
      <c r="I178">
        <v>0</v>
      </c>
      <c r="J178">
        <v>2</v>
      </c>
      <c r="K178">
        <v>69.849999999999994</v>
      </c>
      <c r="L178">
        <v>70.87</v>
      </c>
    </row>
    <row r="179" spans="1:12" x14ac:dyDescent="0.2">
      <c r="A179" s="4">
        <v>178</v>
      </c>
      <c r="B179" t="s">
        <v>144</v>
      </c>
      <c r="C179">
        <v>70.39</v>
      </c>
      <c r="D179">
        <v>13</v>
      </c>
      <c r="E179">
        <v>13</v>
      </c>
      <c r="F179">
        <v>70.03</v>
      </c>
      <c r="G179">
        <v>0</v>
      </c>
      <c r="H179">
        <v>0</v>
      </c>
      <c r="I179">
        <v>0</v>
      </c>
      <c r="J179">
        <v>1</v>
      </c>
      <c r="K179">
        <v>69.67</v>
      </c>
      <c r="L179">
        <v>70.760000000000005</v>
      </c>
    </row>
    <row r="180" spans="1:12" x14ac:dyDescent="0.2">
      <c r="A180" s="4">
        <v>179</v>
      </c>
      <c r="B180" t="s">
        <v>164</v>
      </c>
      <c r="C180">
        <v>70.319999999999993</v>
      </c>
      <c r="D180">
        <v>14</v>
      </c>
      <c r="E180">
        <v>14</v>
      </c>
      <c r="F180">
        <v>70.319999999999993</v>
      </c>
      <c r="G180">
        <v>0</v>
      </c>
      <c r="H180">
        <v>0</v>
      </c>
      <c r="I180">
        <v>0</v>
      </c>
      <c r="J180">
        <v>1</v>
      </c>
      <c r="K180">
        <v>69.959999999999994</v>
      </c>
      <c r="L180">
        <v>70.319999999999993</v>
      </c>
    </row>
    <row r="181" spans="1:12" x14ac:dyDescent="0.2">
      <c r="A181" s="4">
        <v>180</v>
      </c>
      <c r="B181" t="s">
        <v>835</v>
      </c>
      <c r="C181">
        <v>70.25</v>
      </c>
      <c r="D181">
        <v>20</v>
      </c>
      <c r="E181">
        <v>13</v>
      </c>
      <c r="F181">
        <v>69</v>
      </c>
      <c r="G181">
        <v>0</v>
      </c>
      <c r="H181">
        <v>4</v>
      </c>
      <c r="I181">
        <v>0</v>
      </c>
      <c r="J181">
        <v>6</v>
      </c>
      <c r="K181">
        <v>71.5</v>
      </c>
      <c r="L181">
        <v>68.599999999999994</v>
      </c>
    </row>
    <row r="182" spans="1:12" x14ac:dyDescent="0.2">
      <c r="A182" s="4">
        <v>181</v>
      </c>
      <c r="B182" t="s">
        <v>211</v>
      </c>
      <c r="C182">
        <v>70.23</v>
      </c>
      <c r="D182">
        <v>18</v>
      </c>
      <c r="E182">
        <v>10</v>
      </c>
      <c r="F182">
        <v>67.260000000000005</v>
      </c>
      <c r="G182">
        <v>0</v>
      </c>
      <c r="H182">
        <v>2</v>
      </c>
      <c r="I182">
        <v>0</v>
      </c>
      <c r="J182">
        <v>5</v>
      </c>
      <c r="K182">
        <v>67.91</v>
      </c>
      <c r="L182">
        <v>72.099999999999994</v>
      </c>
    </row>
    <row r="183" spans="1:12" x14ac:dyDescent="0.2">
      <c r="A183" s="4">
        <v>182</v>
      </c>
      <c r="B183" t="s">
        <v>172</v>
      </c>
      <c r="C183">
        <v>70.23</v>
      </c>
      <c r="D183">
        <v>11</v>
      </c>
      <c r="E183">
        <v>18</v>
      </c>
      <c r="F183">
        <v>74.98</v>
      </c>
      <c r="G183">
        <v>0</v>
      </c>
      <c r="H183">
        <v>1</v>
      </c>
      <c r="I183">
        <v>0</v>
      </c>
      <c r="J183">
        <v>2</v>
      </c>
      <c r="K183">
        <v>71.03</v>
      </c>
      <c r="L183">
        <v>69.05</v>
      </c>
    </row>
    <row r="184" spans="1:12" x14ac:dyDescent="0.2">
      <c r="A184" s="4">
        <v>183</v>
      </c>
      <c r="B184" t="s">
        <v>830</v>
      </c>
      <c r="C184">
        <v>70.16</v>
      </c>
      <c r="D184">
        <v>12</v>
      </c>
      <c r="E184">
        <v>17</v>
      </c>
      <c r="F184">
        <v>72.56</v>
      </c>
      <c r="G184">
        <v>0</v>
      </c>
      <c r="H184">
        <v>2</v>
      </c>
      <c r="I184">
        <v>0</v>
      </c>
      <c r="J184">
        <v>5</v>
      </c>
      <c r="K184">
        <v>68.7</v>
      </c>
      <c r="L184">
        <v>71.239999999999995</v>
      </c>
    </row>
    <row r="185" spans="1:12" x14ac:dyDescent="0.2">
      <c r="A185" s="4">
        <v>184</v>
      </c>
      <c r="B185" t="s">
        <v>217</v>
      </c>
      <c r="C185">
        <v>70.09</v>
      </c>
      <c r="D185">
        <v>18</v>
      </c>
      <c r="E185">
        <v>13</v>
      </c>
      <c r="F185">
        <v>67.989999999999995</v>
      </c>
      <c r="G185">
        <v>0</v>
      </c>
      <c r="H185">
        <v>1</v>
      </c>
      <c r="I185">
        <v>0</v>
      </c>
      <c r="J185">
        <v>1</v>
      </c>
      <c r="K185">
        <v>69.739999999999995</v>
      </c>
      <c r="L185">
        <v>70.09</v>
      </c>
    </row>
    <row r="186" spans="1:12" x14ac:dyDescent="0.2">
      <c r="A186" s="4">
        <v>185</v>
      </c>
      <c r="B186" t="s">
        <v>71</v>
      </c>
      <c r="C186">
        <v>70.06</v>
      </c>
      <c r="D186">
        <v>9</v>
      </c>
      <c r="E186">
        <v>19</v>
      </c>
      <c r="F186">
        <v>76.3</v>
      </c>
      <c r="G186">
        <v>0</v>
      </c>
      <c r="H186">
        <v>4</v>
      </c>
      <c r="I186">
        <v>0</v>
      </c>
      <c r="J186">
        <v>8</v>
      </c>
      <c r="K186">
        <v>70.010000000000005</v>
      </c>
      <c r="L186">
        <v>69.75</v>
      </c>
    </row>
    <row r="187" spans="1:12" x14ac:dyDescent="0.2">
      <c r="A187" s="4">
        <v>186</v>
      </c>
      <c r="B187" t="s">
        <v>134</v>
      </c>
      <c r="C187">
        <v>70.03</v>
      </c>
      <c r="D187">
        <v>15</v>
      </c>
      <c r="E187">
        <v>18</v>
      </c>
      <c r="F187">
        <v>71.790000000000006</v>
      </c>
      <c r="G187">
        <v>0</v>
      </c>
      <c r="H187">
        <v>1</v>
      </c>
      <c r="I187">
        <v>0</v>
      </c>
      <c r="J187">
        <v>3</v>
      </c>
      <c r="K187">
        <v>70.849999999999994</v>
      </c>
      <c r="L187">
        <v>68.819999999999993</v>
      </c>
    </row>
    <row r="188" spans="1:12" x14ac:dyDescent="0.2">
      <c r="A188" s="4">
        <v>187</v>
      </c>
      <c r="B188" t="s">
        <v>128</v>
      </c>
      <c r="C188">
        <v>70.02</v>
      </c>
      <c r="D188">
        <v>14</v>
      </c>
      <c r="E188">
        <v>17</v>
      </c>
      <c r="F188">
        <v>71.63</v>
      </c>
      <c r="G188">
        <v>0</v>
      </c>
      <c r="H188">
        <v>2</v>
      </c>
      <c r="I188">
        <v>0</v>
      </c>
      <c r="J188">
        <v>3</v>
      </c>
      <c r="K188">
        <v>70.5</v>
      </c>
      <c r="L188">
        <v>69.19</v>
      </c>
    </row>
    <row r="189" spans="1:12" x14ac:dyDescent="0.2">
      <c r="A189" s="4">
        <v>188</v>
      </c>
      <c r="B189" t="s">
        <v>192</v>
      </c>
      <c r="C189">
        <v>69.86</v>
      </c>
      <c r="D189">
        <v>15</v>
      </c>
      <c r="E189">
        <v>15</v>
      </c>
      <c r="F189">
        <v>69.739999999999995</v>
      </c>
      <c r="G189">
        <v>0</v>
      </c>
      <c r="H189">
        <v>1</v>
      </c>
      <c r="I189">
        <v>0</v>
      </c>
      <c r="J189">
        <v>2</v>
      </c>
      <c r="K189">
        <v>69.510000000000005</v>
      </c>
      <c r="L189">
        <v>69.86</v>
      </c>
    </row>
    <row r="190" spans="1:12" x14ac:dyDescent="0.2">
      <c r="A190" s="4">
        <v>189</v>
      </c>
      <c r="B190" t="s">
        <v>561</v>
      </c>
      <c r="C190">
        <v>69.849999999999994</v>
      </c>
      <c r="D190">
        <v>16</v>
      </c>
      <c r="E190">
        <v>14</v>
      </c>
      <c r="F190">
        <v>68.73</v>
      </c>
      <c r="G190">
        <v>0</v>
      </c>
      <c r="H190">
        <v>1</v>
      </c>
      <c r="I190">
        <v>0</v>
      </c>
      <c r="J190">
        <v>3</v>
      </c>
      <c r="K190">
        <v>68.47</v>
      </c>
      <c r="L190">
        <v>70.83</v>
      </c>
    </row>
    <row r="191" spans="1:12" x14ac:dyDescent="0.2">
      <c r="A191" s="4">
        <v>190</v>
      </c>
      <c r="B191" t="s">
        <v>884</v>
      </c>
      <c r="C191">
        <v>69.790000000000006</v>
      </c>
      <c r="D191">
        <v>22</v>
      </c>
      <c r="E191">
        <v>12</v>
      </c>
      <c r="F191">
        <v>66.709999999999994</v>
      </c>
      <c r="G191">
        <v>0</v>
      </c>
      <c r="H191">
        <v>1</v>
      </c>
      <c r="I191">
        <v>0</v>
      </c>
      <c r="J191">
        <v>1</v>
      </c>
      <c r="K191">
        <v>69.739999999999995</v>
      </c>
      <c r="L191">
        <v>69.48</v>
      </c>
    </row>
    <row r="192" spans="1:12" x14ac:dyDescent="0.2">
      <c r="A192" s="4">
        <v>191</v>
      </c>
      <c r="B192" t="s">
        <v>184</v>
      </c>
      <c r="C192">
        <v>69.63</v>
      </c>
      <c r="D192">
        <v>12</v>
      </c>
      <c r="E192">
        <v>14</v>
      </c>
      <c r="F192">
        <v>71.7</v>
      </c>
      <c r="G192">
        <v>0</v>
      </c>
      <c r="H192">
        <v>2</v>
      </c>
      <c r="I192">
        <v>0</v>
      </c>
      <c r="J192">
        <v>2</v>
      </c>
      <c r="K192">
        <v>69.72</v>
      </c>
      <c r="L192">
        <v>69.180000000000007</v>
      </c>
    </row>
    <row r="193" spans="1:12" x14ac:dyDescent="0.2">
      <c r="A193" s="4">
        <v>192</v>
      </c>
      <c r="B193" t="s">
        <v>815</v>
      </c>
      <c r="C193">
        <v>69.599999999999994</v>
      </c>
      <c r="D193">
        <v>16</v>
      </c>
      <c r="E193">
        <v>15</v>
      </c>
      <c r="F193">
        <v>69.989999999999995</v>
      </c>
      <c r="G193">
        <v>0</v>
      </c>
      <c r="H193">
        <v>1</v>
      </c>
      <c r="I193">
        <v>0</v>
      </c>
      <c r="J193">
        <v>2</v>
      </c>
      <c r="K193">
        <v>70.180000000000007</v>
      </c>
      <c r="L193">
        <v>68.66</v>
      </c>
    </row>
    <row r="194" spans="1:12" x14ac:dyDescent="0.2">
      <c r="A194" s="4">
        <v>193</v>
      </c>
      <c r="B194" t="s">
        <v>272</v>
      </c>
      <c r="C194">
        <v>69.58</v>
      </c>
      <c r="D194">
        <v>13</v>
      </c>
      <c r="E194">
        <v>15</v>
      </c>
      <c r="F194">
        <v>70.680000000000007</v>
      </c>
      <c r="G194">
        <v>0</v>
      </c>
      <c r="H194">
        <v>1</v>
      </c>
      <c r="I194">
        <v>0</v>
      </c>
      <c r="J194">
        <v>1</v>
      </c>
      <c r="K194">
        <v>69.05</v>
      </c>
      <c r="L194">
        <v>69.760000000000005</v>
      </c>
    </row>
    <row r="195" spans="1:12" x14ac:dyDescent="0.2">
      <c r="A195" s="4">
        <v>194</v>
      </c>
      <c r="B195" t="s">
        <v>194</v>
      </c>
      <c r="C195">
        <v>69.52</v>
      </c>
      <c r="D195">
        <v>13</v>
      </c>
      <c r="E195">
        <v>19</v>
      </c>
      <c r="F195">
        <v>73.459999999999994</v>
      </c>
      <c r="G195">
        <v>0</v>
      </c>
      <c r="H195">
        <v>1</v>
      </c>
      <c r="I195">
        <v>0</v>
      </c>
      <c r="J195">
        <v>4</v>
      </c>
      <c r="K195">
        <v>69.7</v>
      </c>
      <c r="L195">
        <v>68.989999999999995</v>
      </c>
    </row>
    <row r="196" spans="1:12" x14ac:dyDescent="0.2">
      <c r="A196" s="4">
        <v>195</v>
      </c>
      <c r="B196" t="s">
        <v>95</v>
      </c>
      <c r="C196">
        <v>69.33</v>
      </c>
      <c r="D196">
        <v>13</v>
      </c>
      <c r="E196">
        <v>16</v>
      </c>
      <c r="F196">
        <v>71.63</v>
      </c>
      <c r="G196">
        <v>0</v>
      </c>
      <c r="H196">
        <v>0</v>
      </c>
      <c r="I196">
        <v>1</v>
      </c>
      <c r="J196">
        <v>1</v>
      </c>
      <c r="K196">
        <v>69.12</v>
      </c>
      <c r="L196">
        <v>69.180000000000007</v>
      </c>
    </row>
    <row r="197" spans="1:12" x14ac:dyDescent="0.2">
      <c r="A197" s="4">
        <v>196</v>
      </c>
      <c r="B197" t="s">
        <v>209</v>
      </c>
      <c r="C197">
        <v>69.290000000000006</v>
      </c>
      <c r="D197">
        <v>16</v>
      </c>
      <c r="E197">
        <v>13</v>
      </c>
      <c r="F197">
        <v>67.87</v>
      </c>
      <c r="G197">
        <v>0</v>
      </c>
      <c r="H197">
        <v>0</v>
      </c>
      <c r="I197">
        <v>0</v>
      </c>
      <c r="J197">
        <v>2</v>
      </c>
      <c r="K197">
        <v>68.42</v>
      </c>
      <c r="L197">
        <v>69.8</v>
      </c>
    </row>
    <row r="198" spans="1:12" x14ac:dyDescent="0.2">
      <c r="A198" s="4">
        <v>197</v>
      </c>
      <c r="B198" t="s">
        <v>824</v>
      </c>
      <c r="C198">
        <v>69.22</v>
      </c>
      <c r="D198">
        <v>7</v>
      </c>
      <c r="E198">
        <v>20</v>
      </c>
      <c r="F198">
        <v>76.83</v>
      </c>
      <c r="G198">
        <v>0</v>
      </c>
      <c r="H198">
        <v>2</v>
      </c>
      <c r="I198">
        <v>0</v>
      </c>
      <c r="J198">
        <v>4</v>
      </c>
      <c r="K198">
        <v>68.72</v>
      </c>
      <c r="L198">
        <v>69.37</v>
      </c>
    </row>
    <row r="199" spans="1:12" x14ac:dyDescent="0.2">
      <c r="A199" s="4">
        <v>198</v>
      </c>
      <c r="B199" t="s">
        <v>101</v>
      </c>
      <c r="C199">
        <v>69.209999999999994</v>
      </c>
      <c r="D199">
        <v>10</v>
      </c>
      <c r="E199">
        <v>20</v>
      </c>
      <c r="F199">
        <v>74.489999999999995</v>
      </c>
      <c r="G199">
        <v>0</v>
      </c>
      <c r="H199">
        <v>2</v>
      </c>
      <c r="I199">
        <v>0</v>
      </c>
      <c r="J199">
        <v>5</v>
      </c>
      <c r="K199">
        <v>69.650000000000006</v>
      </c>
      <c r="L199">
        <v>68.41</v>
      </c>
    </row>
    <row r="200" spans="1:12" x14ac:dyDescent="0.2">
      <c r="A200" s="4">
        <v>199</v>
      </c>
      <c r="B200" t="s">
        <v>249</v>
      </c>
      <c r="C200">
        <v>69.209999999999994</v>
      </c>
      <c r="D200">
        <v>9</v>
      </c>
      <c r="E200">
        <v>22</v>
      </c>
      <c r="F200">
        <v>75.48</v>
      </c>
      <c r="G200">
        <v>0</v>
      </c>
      <c r="H200">
        <v>3</v>
      </c>
      <c r="I200">
        <v>0</v>
      </c>
      <c r="J200">
        <v>5</v>
      </c>
      <c r="K200">
        <v>68.53</v>
      </c>
      <c r="L200">
        <v>69.53</v>
      </c>
    </row>
    <row r="201" spans="1:12" x14ac:dyDescent="0.2">
      <c r="A201" s="4">
        <v>200</v>
      </c>
      <c r="B201" t="s">
        <v>295</v>
      </c>
      <c r="C201">
        <v>69.180000000000007</v>
      </c>
      <c r="D201">
        <v>15</v>
      </c>
      <c r="E201">
        <v>12</v>
      </c>
      <c r="F201">
        <v>68.260000000000005</v>
      </c>
      <c r="G201">
        <v>0</v>
      </c>
      <c r="H201">
        <v>0</v>
      </c>
      <c r="I201">
        <v>0</v>
      </c>
      <c r="J201">
        <v>0</v>
      </c>
      <c r="K201">
        <v>69.64</v>
      </c>
      <c r="L201">
        <v>68.349999999999994</v>
      </c>
    </row>
    <row r="202" spans="1:12" x14ac:dyDescent="0.2">
      <c r="A202" s="4">
        <v>201</v>
      </c>
      <c r="B202" t="s">
        <v>258</v>
      </c>
      <c r="C202">
        <v>69.16</v>
      </c>
      <c r="D202">
        <v>15</v>
      </c>
      <c r="E202">
        <v>15</v>
      </c>
      <c r="F202">
        <v>69.62</v>
      </c>
      <c r="G202">
        <v>0</v>
      </c>
      <c r="H202">
        <v>0</v>
      </c>
      <c r="I202">
        <v>0</v>
      </c>
      <c r="J202">
        <v>0</v>
      </c>
      <c r="K202">
        <v>69.05</v>
      </c>
      <c r="L202">
        <v>68.91</v>
      </c>
    </row>
    <row r="203" spans="1:12" x14ac:dyDescent="0.2">
      <c r="A203" s="4">
        <v>202</v>
      </c>
      <c r="B203" t="s">
        <v>243</v>
      </c>
      <c r="C203">
        <v>69.12</v>
      </c>
      <c r="D203">
        <v>13</v>
      </c>
      <c r="E203">
        <v>18</v>
      </c>
      <c r="F203">
        <v>72.64</v>
      </c>
      <c r="G203">
        <v>0</v>
      </c>
      <c r="H203">
        <v>1</v>
      </c>
      <c r="I203">
        <v>0</v>
      </c>
      <c r="J203">
        <v>2</v>
      </c>
      <c r="K203">
        <v>69.19</v>
      </c>
      <c r="L203">
        <v>68.69</v>
      </c>
    </row>
    <row r="204" spans="1:12" x14ac:dyDescent="0.2">
      <c r="A204" s="4">
        <v>203</v>
      </c>
      <c r="B204" t="s">
        <v>246</v>
      </c>
      <c r="C204">
        <v>69.09</v>
      </c>
      <c r="D204">
        <v>18</v>
      </c>
      <c r="E204">
        <v>14</v>
      </c>
      <c r="F204">
        <v>67.97</v>
      </c>
      <c r="G204">
        <v>0</v>
      </c>
      <c r="H204">
        <v>1</v>
      </c>
      <c r="I204">
        <v>0</v>
      </c>
      <c r="J204">
        <v>2</v>
      </c>
      <c r="K204">
        <v>68.430000000000007</v>
      </c>
      <c r="L204">
        <v>69.400000000000006</v>
      </c>
    </row>
    <row r="205" spans="1:12" x14ac:dyDescent="0.2">
      <c r="A205" s="4">
        <v>204</v>
      </c>
      <c r="B205" t="s">
        <v>798</v>
      </c>
      <c r="C205">
        <v>69.05</v>
      </c>
      <c r="D205">
        <v>14</v>
      </c>
      <c r="E205">
        <v>13</v>
      </c>
      <c r="F205">
        <v>69.23</v>
      </c>
      <c r="G205">
        <v>0</v>
      </c>
      <c r="H205">
        <v>2</v>
      </c>
      <c r="I205">
        <v>0</v>
      </c>
      <c r="J205">
        <v>2</v>
      </c>
      <c r="K205">
        <v>69.19</v>
      </c>
      <c r="L205">
        <v>68.569999999999993</v>
      </c>
    </row>
    <row r="206" spans="1:12" x14ac:dyDescent="0.2">
      <c r="A206" s="4">
        <v>205</v>
      </c>
      <c r="B206" t="s">
        <v>289</v>
      </c>
      <c r="C206">
        <v>68.959999999999994</v>
      </c>
      <c r="D206">
        <v>15</v>
      </c>
      <c r="E206">
        <v>16</v>
      </c>
      <c r="F206">
        <v>70.17</v>
      </c>
      <c r="G206">
        <v>0</v>
      </c>
      <c r="H206">
        <v>2</v>
      </c>
      <c r="I206">
        <v>0</v>
      </c>
      <c r="J206">
        <v>2</v>
      </c>
      <c r="K206">
        <v>69.040000000000006</v>
      </c>
      <c r="L206">
        <v>68.53</v>
      </c>
    </row>
    <row r="207" spans="1:12" x14ac:dyDescent="0.2">
      <c r="A207" s="4">
        <v>206</v>
      </c>
      <c r="B207" t="s">
        <v>116</v>
      </c>
      <c r="C207">
        <v>68.95</v>
      </c>
      <c r="D207">
        <v>12</v>
      </c>
      <c r="E207">
        <v>19</v>
      </c>
      <c r="F207">
        <v>72.38</v>
      </c>
      <c r="G207">
        <v>0</v>
      </c>
      <c r="H207">
        <v>1</v>
      </c>
      <c r="I207">
        <v>0</v>
      </c>
      <c r="J207">
        <v>1</v>
      </c>
      <c r="K207">
        <v>68.709999999999994</v>
      </c>
      <c r="L207">
        <v>68.849999999999994</v>
      </c>
    </row>
    <row r="208" spans="1:12" x14ac:dyDescent="0.2">
      <c r="A208" s="4">
        <v>207</v>
      </c>
      <c r="B208" t="s">
        <v>890</v>
      </c>
      <c r="C208">
        <v>68.94</v>
      </c>
      <c r="D208">
        <v>15</v>
      </c>
      <c r="E208">
        <v>14</v>
      </c>
      <c r="F208">
        <v>69.78</v>
      </c>
      <c r="G208">
        <v>0</v>
      </c>
      <c r="H208">
        <v>0</v>
      </c>
      <c r="I208">
        <v>0</v>
      </c>
      <c r="J208">
        <v>1</v>
      </c>
      <c r="K208">
        <v>70.400000000000006</v>
      </c>
      <c r="L208">
        <v>67.02</v>
      </c>
    </row>
    <row r="209" spans="1:12" x14ac:dyDescent="0.2">
      <c r="A209" s="4">
        <v>208</v>
      </c>
      <c r="B209" t="s">
        <v>69</v>
      </c>
      <c r="C209">
        <v>68.66</v>
      </c>
      <c r="D209">
        <v>7</v>
      </c>
      <c r="E209">
        <v>20</v>
      </c>
      <c r="F209">
        <v>77</v>
      </c>
      <c r="G209">
        <v>0</v>
      </c>
      <c r="H209">
        <v>3</v>
      </c>
      <c r="I209">
        <v>0</v>
      </c>
      <c r="J209">
        <v>5</v>
      </c>
      <c r="K209">
        <v>69.72</v>
      </c>
      <c r="L209">
        <v>67.180000000000007</v>
      </c>
    </row>
    <row r="210" spans="1:12" x14ac:dyDescent="0.2">
      <c r="A210" s="4">
        <v>209</v>
      </c>
      <c r="B210" t="s">
        <v>148</v>
      </c>
      <c r="C210">
        <v>68.34</v>
      </c>
      <c r="D210">
        <v>15</v>
      </c>
      <c r="E210">
        <v>15</v>
      </c>
      <c r="F210">
        <v>70.64</v>
      </c>
      <c r="G210">
        <v>0</v>
      </c>
      <c r="H210">
        <v>1</v>
      </c>
      <c r="I210">
        <v>0</v>
      </c>
      <c r="J210">
        <v>1</v>
      </c>
      <c r="K210">
        <v>70.39</v>
      </c>
      <c r="L210">
        <v>65.67</v>
      </c>
    </row>
    <row r="211" spans="1:12" x14ac:dyDescent="0.2">
      <c r="A211" s="4">
        <v>210</v>
      </c>
      <c r="B211" t="s">
        <v>562</v>
      </c>
      <c r="C211">
        <v>68.27</v>
      </c>
      <c r="D211">
        <v>12</v>
      </c>
      <c r="E211">
        <v>18</v>
      </c>
      <c r="F211">
        <v>69.97</v>
      </c>
      <c r="G211">
        <v>0</v>
      </c>
      <c r="H211">
        <v>0</v>
      </c>
      <c r="I211">
        <v>0</v>
      </c>
      <c r="J211">
        <v>0</v>
      </c>
      <c r="K211">
        <v>67.58</v>
      </c>
      <c r="L211">
        <v>68.59</v>
      </c>
    </row>
    <row r="212" spans="1:12" x14ac:dyDescent="0.2">
      <c r="A212" s="4">
        <v>211</v>
      </c>
      <c r="B212" t="s">
        <v>238</v>
      </c>
      <c r="C212">
        <v>68.180000000000007</v>
      </c>
      <c r="D212">
        <v>13</v>
      </c>
      <c r="E212">
        <v>19</v>
      </c>
      <c r="F212">
        <v>71.790000000000006</v>
      </c>
      <c r="G212">
        <v>0</v>
      </c>
      <c r="H212">
        <v>0</v>
      </c>
      <c r="I212">
        <v>0</v>
      </c>
      <c r="J212">
        <v>1</v>
      </c>
      <c r="K212">
        <v>68.37</v>
      </c>
      <c r="L212">
        <v>67.64</v>
      </c>
    </row>
    <row r="213" spans="1:12" x14ac:dyDescent="0.2">
      <c r="A213" s="4">
        <v>212</v>
      </c>
      <c r="B213" t="s">
        <v>218</v>
      </c>
      <c r="C213">
        <v>68.13</v>
      </c>
      <c r="D213">
        <v>11</v>
      </c>
      <c r="E213">
        <v>19</v>
      </c>
      <c r="F213">
        <v>72.52</v>
      </c>
      <c r="G213">
        <v>0</v>
      </c>
      <c r="H213">
        <v>2</v>
      </c>
      <c r="I213">
        <v>0</v>
      </c>
      <c r="J213">
        <v>3</v>
      </c>
      <c r="K213">
        <v>68.69</v>
      </c>
      <c r="L213">
        <v>67.19</v>
      </c>
    </row>
    <row r="214" spans="1:12" x14ac:dyDescent="0.2">
      <c r="A214" s="4">
        <v>213</v>
      </c>
      <c r="B214" t="s">
        <v>219</v>
      </c>
      <c r="C214">
        <v>68.13</v>
      </c>
      <c r="D214">
        <v>13</v>
      </c>
      <c r="E214">
        <v>17</v>
      </c>
      <c r="F214">
        <v>70.010000000000005</v>
      </c>
      <c r="G214">
        <v>0</v>
      </c>
      <c r="H214">
        <v>0</v>
      </c>
      <c r="I214">
        <v>0</v>
      </c>
      <c r="J214">
        <v>2</v>
      </c>
      <c r="K214">
        <v>68.290000000000006</v>
      </c>
      <c r="L214">
        <v>67.599999999999994</v>
      </c>
    </row>
    <row r="215" spans="1:12" x14ac:dyDescent="0.2">
      <c r="A215" s="4">
        <v>214</v>
      </c>
      <c r="B215" t="s">
        <v>227</v>
      </c>
      <c r="C215">
        <v>68.010000000000005</v>
      </c>
      <c r="D215">
        <v>14</v>
      </c>
      <c r="E215">
        <v>14</v>
      </c>
      <c r="F215">
        <v>69.28</v>
      </c>
      <c r="G215">
        <v>0</v>
      </c>
      <c r="H215">
        <v>0</v>
      </c>
      <c r="I215">
        <v>0</v>
      </c>
      <c r="J215">
        <v>1</v>
      </c>
      <c r="K215">
        <v>69.31</v>
      </c>
      <c r="L215">
        <v>66.25</v>
      </c>
    </row>
    <row r="216" spans="1:12" x14ac:dyDescent="0.2">
      <c r="A216" s="4">
        <v>215</v>
      </c>
      <c r="B216" t="s">
        <v>264</v>
      </c>
      <c r="C216">
        <v>67.989999999999995</v>
      </c>
      <c r="D216">
        <v>15</v>
      </c>
      <c r="E216">
        <v>12</v>
      </c>
      <c r="F216">
        <v>67.319999999999993</v>
      </c>
      <c r="G216">
        <v>0</v>
      </c>
      <c r="H216">
        <v>1</v>
      </c>
      <c r="I216">
        <v>0</v>
      </c>
      <c r="J216">
        <v>1</v>
      </c>
      <c r="K216">
        <v>68.31</v>
      </c>
      <c r="L216">
        <v>67.319999999999993</v>
      </c>
    </row>
    <row r="217" spans="1:12" x14ac:dyDescent="0.2">
      <c r="A217" s="4">
        <v>216</v>
      </c>
      <c r="B217" t="s">
        <v>205</v>
      </c>
      <c r="C217">
        <v>67.95</v>
      </c>
      <c r="D217">
        <v>10</v>
      </c>
      <c r="E217">
        <v>19</v>
      </c>
      <c r="F217">
        <v>73.31</v>
      </c>
      <c r="G217">
        <v>0</v>
      </c>
      <c r="H217">
        <v>2</v>
      </c>
      <c r="I217">
        <v>2</v>
      </c>
      <c r="J217">
        <v>2</v>
      </c>
      <c r="K217">
        <v>67.69</v>
      </c>
      <c r="L217">
        <v>67.86</v>
      </c>
    </row>
    <row r="218" spans="1:12" x14ac:dyDescent="0.2">
      <c r="A218" s="4">
        <v>217</v>
      </c>
      <c r="B218" t="s">
        <v>294</v>
      </c>
      <c r="C218">
        <v>67.930000000000007</v>
      </c>
      <c r="D218">
        <v>12</v>
      </c>
      <c r="E218">
        <v>17</v>
      </c>
      <c r="F218">
        <v>70.66</v>
      </c>
      <c r="G218">
        <v>0</v>
      </c>
      <c r="H218">
        <v>0</v>
      </c>
      <c r="I218">
        <v>0</v>
      </c>
      <c r="J218">
        <v>1</v>
      </c>
      <c r="K218">
        <v>68.73</v>
      </c>
      <c r="L218">
        <v>66.709999999999994</v>
      </c>
    </row>
    <row r="219" spans="1:12" x14ac:dyDescent="0.2">
      <c r="A219" s="4">
        <v>218</v>
      </c>
      <c r="B219" t="s">
        <v>200</v>
      </c>
      <c r="C219">
        <v>67.92</v>
      </c>
      <c r="D219">
        <v>13</v>
      </c>
      <c r="E219">
        <v>16</v>
      </c>
      <c r="F219">
        <v>70.180000000000007</v>
      </c>
      <c r="G219">
        <v>0</v>
      </c>
      <c r="H219">
        <v>1</v>
      </c>
      <c r="I219">
        <v>0</v>
      </c>
      <c r="J219">
        <v>2</v>
      </c>
      <c r="K219">
        <v>67.400000000000006</v>
      </c>
      <c r="L219">
        <v>68.08</v>
      </c>
    </row>
    <row r="220" spans="1:12" x14ac:dyDescent="0.2">
      <c r="A220" s="4">
        <v>219</v>
      </c>
      <c r="B220" t="s">
        <v>85</v>
      </c>
      <c r="C220">
        <v>67.81</v>
      </c>
      <c r="D220">
        <v>12</v>
      </c>
      <c r="E220">
        <v>18</v>
      </c>
      <c r="F220">
        <v>71.33</v>
      </c>
      <c r="G220">
        <v>0</v>
      </c>
      <c r="H220">
        <v>2</v>
      </c>
      <c r="I220">
        <v>0</v>
      </c>
      <c r="J220">
        <v>2</v>
      </c>
      <c r="K220">
        <v>67.14</v>
      </c>
      <c r="L220">
        <v>68.12</v>
      </c>
    </row>
    <row r="221" spans="1:12" x14ac:dyDescent="0.2">
      <c r="A221" s="4">
        <v>220</v>
      </c>
      <c r="B221" t="s">
        <v>139</v>
      </c>
      <c r="C221">
        <v>67.78</v>
      </c>
      <c r="D221">
        <v>12</v>
      </c>
      <c r="E221">
        <v>14</v>
      </c>
      <c r="F221">
        <v>68.59</v>
      </c>
      <c r="G221">
        <v>0</v>
      </c>
      <c r="H221">
        <v>0</v>
      </c>
      <c r="I221">
        <v>0</v>
      </c>
      <c r="J221">
        <v>1</v>
      </c>
      <c r="K221">
        <v>67.31</v>
      </c>
      <c r="L221">
        <v>67.91</v>
      </c>
    </row>
    <row r="222" spans="1:12" x14ac:dyDescent="0.2">
      <c r="A222" s="4">
        <v>221</v>
      </c>
      <c r="B222" t="s">
        <v>813</v>
      </c>
      <c r="C222">
        <v>67.78</v>
      </c>
      <c r="D222">
        <v>9</v>
      </c>
      <c r="E222">
        <v>22</v>
      </c>
      <c r="F222">
        <v>73.56</v>
      </c>
      <c r="G222">
        <v>0</v>
      </c>
      <c r="H222">
        <v>4</v>
      </c>
      <c r="I222">
        <v>0</v>
      </c>
      <c r="J222">
        <v>4</v>
      </c>
      <c r="K222">
        <v>65.59</v>
      </c>
      <c r="L222">
        <v>69.42</v>
      </c>
    </row>
    <row r="223" spans="1:12" x14ac:dyDescent="0.2">
      <c r="A223" s="4">
        <v>222</v>
      </c>
      <c r="B223" t="s">
        <v>207</v>
      </c>
      <c r="C223">
        <v>67.66</v>
      </c>
      <c r="D223">
        <v>11</v>
      </c>
      <c r="E223">
        <v>18</v>
      </c>
      <c r="F223">
        <v>71.59</v>
      </c>
      <c r="G223">
        <v>0</v>
      </c>
      <c r="H223">
        <v>0</v>
      </c>
      <c r="I223">
        <v>0</v>
      </c>
      <c r="J223">
        <v>0</v>
      </c>
      <c r="K223">
        <v>67.7</v>
      </c>
      <c r="L223">
        <v>67.27</v>
      </c>
    </row>
    <row r="224" spans="1:12" x14ac:dyDescent="0.2">
      <c r="A224" s="4">
        <v>223</v>
      </c>
      <c r="B224" t="s">
        <v>251</v>
      </c>
      <c r="C224">
        <v>67.63</v>
      </c>
      <c r="D224">
        <v>16</v>
      </c>
      <c r="E224">
        <v>11</v>
      </c>
      <c r="F224">
        <v>65.760000000000005</v>
      </c>
      <c r="G224">
        <v>0</v>
      </c>
      <c r="H224">
        <v>1</v>
      </c>
      <c r="I224">
        <v>0</v>
      </c>
      <c r="J224">
        <v>1</v>
      </c>
      <c r="K224">
        <v>67.19</v>
      </c>
      <c r="L224">
        <v>67.72</v>
      </c>
    </row>
    <row r="225" spans="1:12" x14ac:dyDescent="0.2">
      <c r="A225" s="4">
        <v>224</v>
      </c>
      <c r="B225" t="s">
        <v>188</v>
      </c>
      <c r="C225">
        <v>67.61</v>
      </c>
      <c r="D225">
        <v>13</v>
      </c>
      <c r="E225">
        <v>19</v>
      </c>
      <c r="F225">
        <v>70.89</v>
      </c>
      <c r="G225">
        <v>0</v>
      </c>
      <c r="H225">
        <v>1</v>
      </c>
      <c r="I225">
        <v>0</v>
      </c>
      <c r="J225">
        <v>2</v>
      </c>
      <c r="K225">
        <v>67.069999999999993</v>
      </c>
      <c r="L225">
        <v>67.78</v>
      </c>
    </row>
    <row r="226" spans="1:12" x14ac:dyDescent="0.2">
      <c r="A226" s="4">
        <v>225</v>
      </c>
      <c r="B226" t="s">
        <v>262</v>
      </c>
      <c r="C226">
        <v>67.510000000000005</v>
      </c>
      <c r="D226">
        <v>13</v>
      </c>
      <c r="E226">
        <v>17</v>
      </c>
      <c r="F226">
        <v>70.849999999999994</v>
      </c>
      <c r="G226">
        <v>0</v>
      </c>
      <c r="H226">
        <v>2</v>
      </c>
      <c r="I226">
        <v>1</v>
      </c>
      <c r="J226">
        <v>2</v>
      </c>
      <c r="K226">
        <v>68.47</v>
      </c>
      <c r="L226">
        <v>66.11</v>
      </c>
    </row>
    <row r="227" spans="1:12" x14ac:dyDescent="0.2">
      <c r="A227" s="4">
        <v>226</v>
      </c>
      <c r="B227" t="s">
        <v>840</v>
      </c>
      <c r="C227">
        <v>67.47</v>
      </c>
      <c r="D227">
        <v>7</v>
      </c>
      <c r="E227">
        <v>21</v>
      </c>
      <c r="F227">
        <v>75.27</v>
      </c>
      <c r="G227">
        <v>0</v>
      </c>
      <c r="H227">
        <v>3</v>
      </c>
      <c r="I227">
        <v>0</v>
      </c>
      <c r="J227">
        <v>3</v>
      </c>
      <c r="K227">
        <v>66.819999999999993</v>
      </c>
      <c r="L227">
        <v>67.760000000000005</v>
      </c>
    </row>
    <row r="228" spans="1:12" x14ac:dyDescent="0.2">
      <c r="A228" s="4">
        <v>227</v>
      </c>
      <c r="B228" t="s">
        <v>558</v>
      </c>
      <c r="C228">
        <v>67.400000000000006</v>
      </c>
      <c r="D228">
        <v>11</v>
      </c>
      <c r="E228">
        <v>19</v>
      </c>
      <c r="F228">
        <v>71.760000000000005</v>
      </c>
      <c r="G228">
        <v>0</v>
      </c>
      <c r="H228">
        <v>1</v>
      </c>
      <c r="I228">
        <v>0</v>
      </c>
      <c r="J228">
        <v>2</v>
      </c>
      <c r="K228">
        <v>67.33</v>
      </c>
      <c r="L228">
        <v>67.11</v>
      </c>
    </row>
    <row r="229" spans="1:12" x14ac:dyDescent="0.2">
      <c r="A229" s="4">
        <v>228</v>
      </c>
      <c r="B229" t="s">
        <v>201</v>
      </c>
      <c r="C229">
        <v>67.3</v>
      </c>
      <c r="D229">
        <v>8</v>
      </c>
      <c r="E229">
        <v>22</v>
      </c>
      <c r="F229">
        <v>73.83</v>
      </c>
      <c r="G229">
        <v>0</v>
      </c>
      <c r="H229">
        <v>0</v>
      </c>
      <c r="I229">
        <v>0</v>
      </c>
      <c r="J229">
        <v>0</v>
      </c>
      <c r="K229">
        <v>66.77</v>
      </c>
      <c r="L229">
        <v>67.47</v>
      </c>
    </row>
    <row r="230" spans="1:12" x14ac:dyDescent="0.2">
      <c r="A230" s="4">
        <v>229</v>
      </c>
      <c r="B230" t="s">
        <v>195</v>
      </c>
      <c r="C230">
        <v>67.260000000000005</v>
      </c>
      <c r="D230">
        <v>16</v>
      </c>
      <c r="E230">
        <v>15</v>
      </c>
      <c r="F230">
        <v>68.5</v>
      </c>
      <c r="G230">
        <v>0</v>
      </c>
      <c r="H230">
        <v>1</v>
      </c>
      <c r="I230">
        <v>0</v>
      </c>
      <c r="J230">
        <v>2</v>
      </c>
      <c r="K230">
        <v>68.010000000000005</v>
      </c>
      <c r="L230">
        <v>66.099999999999994</v>
      </c>
    </row>
    <row r="231" spans="1:12" x14ac:dyDescent="0.2">
      <c r="A231" s="4">
        <v>230</v>
      </c>
      <c r="B231" t="s">
        <v>248</v>
      </c>
      <c r="C231">
        <v>67.14</v>
      </c>
      <c r="D231">
        <v>12</v>
      </c>
      <c r="E231">
        <v>17</v>
      </c>
      <c r="F231">
        <v>70.19</v>
      </c>
      <c r="G231">
        <v>0</v>
      </c>
      <c r="H231">
        <v>1</v>
      </c>
      <c r="I231">
        <v>0</v>
      </c>
      <c r="J231">
        <v>2</v>
      </c>
      <c r="K231">
        <v>67.37</v>
      </c>
      <c r="L231">
        <v>66.55</v>
      </c>
    </row>
    <row r="232" spans="1:12" x14ac:dyDescent="0.2">
      <c r="A232" s="4">
        <v>231</v>
      </c>
      <c r="B232" t="s">
        <v>552</v>
      </c>
      <c r="C232">
        <v>66.69</v>
      </c>
      <c r="D232">
        <v>12</v>
      </c>
      <c r="E232">
        <v>17</v>
      </c>
      <c r="F232">
        <v>70.260000000000005</v>
      </c>
      <c r="G232">
        <v>0</v>
      </c>
      <c r="H232">
        <v>1</v>
      </c>
      <c r="I232">
        <v>0</v>
      </c>
      <c r="J232">
        <v>1</v>
      </c>
      <c r="K232">
        <v>67.84</v>
      </c>
      <c r="L232">
        <v>65.05</v>
      </c>
    </row>
    <row r="233" spans="1:12" x14ac:dyDescent="0.2">
      <c r="A233" s="4">
        <v>232</v>
      </c>
      <c r="B233" t="s">
        <v>298</v>
      </c>
      <c r="C233">
        <v>66.67</v>
      </c>
      <c r="D233">
        <v>11</v>
      </c>
      <c r="E233">
        <v>18</v>
      </c>
      <c r="F233">
        <v>70.11</v>
      </c>
      <c r="G233">
        <v>0</v>
      </c>
      <c r="H233">
        <v>1</v>
      </c>
      <c r="I233">
        <v>0</v>
      </c>
      <c r="J233">
        <v>1</v>
      </c>
      <c r="K233">
        <v>66.180000000000007</v>
      </c>
      <c r="L233">
        <v>66.81</v>
      </c>
    </row>
    <row r="234" spans="1:12" x14ac:dyDescent="0.2">
      <c r="A234" s="4">
        <v>233</v>
      </c>
      <c r="B234" t="s">
        <v>297</v>
      </c>
      <c r="C234">
        <v>66.56</v>
      </c>
      <c r="D234">
        <v>12</v>
      </c>
      <c r="E234">
        <v>16</v>
      </c>
      <c r="F234">
        <v>69.680000000000007</v>
      </c>
      <c r="G234">
        <v>0</v>
      </c>
      <c r="H234">
        <v>0</v>
      </c>
      <c r="I234">
        <v>0</v>
      </c>
      <c r="J234">
        <v>0</v>
      </c>
      <c r="K234">
        <v>67.349999999999994</v>
      </c>
      <c r="L234">
        <v>65.34</v>
      </c>
    </row>
    <row r="235" spans="1:12" x14ac:dyDescent="0.2">
      <c r="A235" s="4">
        <v>234</v>
      </c>
      <c r="B235" t="s">
        <v>549</v>
      </c>
      <c r="C235">
        <v>66.47</v>
      </c>
      <c r="D235">
        <v>13</v>
      </c>
      <c r="E235">
        <v>16</v>
      </c>
      <c r="F235">
        <v>69.02</v>
      </c>
      <c r="G235">
        <v>0</v>
      </c>
      <c r="H235">
        <v>1</v>
      </c>
      <c r="I235">
        <v>0</v>
      </c>
      <c r="J235">
        <v>1</v>
      </c>
      <c r="K235">
        <v>66.28</v>
      </c>
      <c r="L235">
        <v>66.31</v>
      </c>
    </row>
    <row r="236" spans="1:12" x14ac:dyDescent="0.2">
      <c r="A236" s="4">
        <v>235</v>
      </c>
      <c r="B236" t="s">
        <v>833</v>
      </c>
      <c r="C236">
        <v>66.400000000000006</v>
      </c>
      <c r="D236">
        <v>13</v>
      </c>
      <c r="E236">
        <v>17</v>
      </c>
      <c r="F236">
        <v>70.17</v>
      </c>
      <c r="G236">
        <v>0</v>
      </c>
      <c r="H236">
        <v>0</v>
      </c>
      <c r="I236">
        <v>0</v>
      </c>
      <c r="J236">
        <v>2</v>
      </c>
      <c r="K236">
        <v>67.61</v>
      </c>
      <c r="L236">
        <v>64.680000000000007</v>
      </c>
    </row>
    <row r="237" spans="1:12" x14ac:dyDescent="0.2">
      <c r="A237" s="4">
        <v>236</v>
      </c>
      <c r="B237" t="s">
        <v>838</v>
      </c>
      <c r="C237">
        <v>66.14</v>
      </c>
      <c r="D237">
        <v>20</v>
      </c>
      <c r="E237">
        <v>14</v>
      </c>
      <c r="F237">
        <v>67.17</v>
      </c>
      <c r="G237">
        <v>0</v>
      </c>
      <c r="H237">
        <v>2</v>
      </c>
      <c r="I237">
        <v>0</v>
      </c>
      <c r="J237">
        <v>4</v>
      </c>
      <c r="K237">
        <v>69.41</v>
      </c>
      <c r="L237">
        <v>61.23</v>
      </c>
    </row>
    <row r="238" spans="1:12" x14ac:dyDescent="0.2">
      <c r="A238" s="4">
        <v>237</v>
      </c>
      <c r="B238" t="s">
        <v>178</v>
      </c>
      <c r="C238">
        <v>66.13</v>
      </c>
      <c r="D238">
        <v>10</v>
      </c>
      <c r="E238">
        <v>20</v>
      </c>
      <c r="F238">
        <v>69.72</v>
      </c>
      <c r="G238">
        <v>0</v>
      </c>
      <c r="H238">
        <v>0</v>
      </c>
      <c r="I238">
        <v>0</v>
      </c>
      <c r="J238">
        <v>2</v>
      </c>
      <c r="K238">
        <v>64.069999999999993</v>
      </c>
      <c r="L238">
        <v>67.61</v>
      </c>
    </row>
    <row r="239" spans="1:12" x14ac:dyDescent="0.2">
      <c r="A239" s="4">
        <v>238</v>
      </c>
      <c r="B239" t="s">
        <v>808</v>
      </c>
      <c r="C239">
        <v>66.12</v>
      </c>
      <c r="D239">
        <v>11</v>
      </c>
      <c r="E239">
        <v>20</v>
      </c>
      <c r="F239">
        <v>72.11</v>
      </c>
      <c r="G239">
        <v>0</v>
      </c>
      <c r="H239">
        <v>0</v>
      </c>
      <c r="I239">
        <v>0</v>
      </c>
      <c r="J239">
        <v>3</v>
      </c>
      <c r="K239">
        <v>66.97</v>
      </c>
      <c r="L239">
        <v>64.819999999999993</v>
      </c>
    </row>
    <row r="240" spans="1:12" x14ac:dyDescent="0.2">
      <c r="A240" s="4">
        <v>239</v>
      </c>
      <c r="B240" t="s">
        <v>901</v>
      </c>
      <c r="C240">
        <v>66.09</v>
      </c>
      <c r="D240">
        <v>13</v>
      </c>
      <c r="E240">
        <v>16</v>
      </c>
      <c r="F240">
        <v>67.209999999999994</v>
      </c>
      <c r="G240">
        <v>0</v>
      </c>
      <c r="H240">
        <v>0</v>
      </c>
      <c r="I240">
        <v>0</v>
      </c>
      <c r="J240">
        <v>0</v>
      </c>
      <c r="K240">
        <v>65.569999999999993</v>
      </c>
      <c r="L240">
        <v>66.25</v>
      </c>
    </row>
    <row r="241" spans="1:12" x14ac:dyDescent="0.2">
      <c r="A241" s="4">
        <v>240</v>
      </c>
      <c r="B241" t="s">
        <v>283</v>
      </c>
      <c r="C241">
        <v>66.069999999999993</v>
      </c>
      <c r="D241">
        <v>12</v>
      </c>
      <c r="E241">
        <v>16</v>
      </c>
      <c r="F241">
        <v>69.22</v>
      </c>
      <c r="G241">
        <v>0</v>
      </c>
      <c r="H241">
        <v>1</v>
      </c>
      <c r="I241">
        <v>0</v>
      </c>
      <c r="J241">
        <v>2</v>
      </c>
      <c r="K241">
        <v>66.02</v>
      </c>
      <c r="L241">
        <v>65.78</v>
      </c>
    </row>
    <row r="242" spans="1:12" x14ac:dyDescent="0.2">
      <c r="A242" s="4">
        <v>241</v>
      </c>
      <c r="B242" t="s">
        <v>247</v>
      </c>
      <c r="C242">
        <v>66.069999999999993</v>
      </c>
      <c r="D242">
        <v>18</v>
      </c>
      <c r="E242">
        <v>14</v>
      </c>
      <c r="F242">
        <v>67.040000000000006</v>
      </c>
      <c r="G242">
        <v>0</v>
      </c>
      <c r="H242">
        <v>3</v>
      </c>
      <c r="I242">
        <v>0</v>
      </c>
      <c r="J242">
        <v>3</v>
      </c>
      <c r="K242">
        <v>66.98</v>
      </c>
      <c r="L242">
        <v>64.72</v>
      </c>
    </row>
    <row r="243" spans="1:12" x14ac:dyDescent="0.2">
      <c r="A243" s="4">
        <v>242</v>
      </c>
      <c r="B243" t="s">
        <v>124</v>
      </c>
      <c r="C243">
        <v>66.05</v>
      </c>
      <c r="D243">
        <v>11</v>
      </c>
      <c r="E243">
        <v>17</v>
      </c>
      <c r="F243">
        <v>68.56</v>
      </c>
      <c r="G243">
        <v>0</v>
      </c>
      <c r="H243">
        <v>0</v>
      </c>
      <c r="I243">
        <v>0</v>
      </c>
      <c r="J243">
        <v>0</v>
      </c>
      <c r="K243">
        <v>65.349999999999994</v>
      </c>
      <c r="L243">
        <v>66.38</v>
      </c>
    </row>
    <row r="244" spans="1:12" x14ac:dyDescent="0.2">
      <c r="A244" s="4">
        <v>243</v>
      </c>
      <c r="B244" t="s">
        <v>785</v>
      </c>
      <c r="C244">
        <v>65.89</v>
      </c>
      <c r="D244">
        <v>12</v>
      </c>
      <c r="E244">
        <v>19</v>
      </c>
      <c r="F244">
        <v>69.89</v>
      </c>
      <c r="G244">
        <v>0</v>
      </c>
      <c r="H244">
        <v>0</v>
      </c>
      <c r="I244">
        <v>0</v>
      </c>
      <c r="J244">
        <v>1</v>
      </c>
      <c r="K244">
        <v>66.05</v>
      </c>
      <c r="L244">
        <v>65.36</v>
      </c>
    </row>
    <row r="245" spans="1:12" x14ac:dyDescent="0.2">
      <c r="A245" s="4">
        <v>244</v>
      </c>
      <c r="B245" t="s">
        <v>154</v>
      </c>
      <c r="C245">
        <v>65.86</v>
      </c>
      <c r="D245">
        <v>7</v>
      </c>
      <c r="E245">
        <v>22</v>
      </c>
      <c r="F245">
        <v>73.42</v>
      </c>
      <c r="G245">
        <v>0</v>
      </c>
      <c r="H245">
        <v>1</v>
      </c>
      <c r="I245">
        <v>0</v>
      </c>
      <c r="J245">
        <v>2</v>
      </c>
      <c r="K245">
        <v>64.66</v>
      </c>
      <c r="L245">
        <v>66.64</v>
      </c>
    </row>
    <row r="246" spans="1:12" x14ac:dyDescent="0.2">
      <c r="A246" s="4">
        <v>245</v>
      </c>
      <c r="B246" t="s">
        <v>222</v>
      </c>
      <c r="C246">
        <v>65.83</v>
      </c>
      <c r="D246">
        <v>13</v>
      </c>
      <c r="E246">
        <v>18</v>
      </c>
      <c r="F246">
        <v>69.48</v>
      </c>
      <c r="G246">
        <v>0</v>
      </c>
      <c r="H246">
        <v>1</v>
      </c>
      <c r="I246">
        <v>0</v>
      </c>
      <c r="J246">
        <v>2</v>
      </c>
      <c r="K246">
        <v>66.34</v>
      </c>
      <c r="L246">
        <v>64.92</v>
      </c>
    </row>
    <row r="247" spans="1:12" x14ac:dyDescent="0.2">
      <c r="A247" s="4">
        <v>246</v>
      </c>
      <c r="B247" t="s">
        <v>237</v>
      </c>
      <c r="C247">
        <v>65.8</v>
      </c>
      <c r="D247">
        <v>10</v>
      </c>
      <c r="E247">
        <v>19</v>
      </c>
      <c r="F247">
        <v>70.400000000000006</v>
      </c>
      <c r="G247">
        <v>0</v>
      </c>
      <c r="H247">
        <v>2</v>
      </c>
      <c r="I247">
        <v>0</v>
      </c>
      <c r="J247">
        <v>2</v>
      </c>
      <c r="K247">
        <v>65.06</v>
      </c>
      <c r="L247">
        <v>66.17</v>
      </c>
    </row>
    <row r="248" spans="1:12" x14ac:dyDescent="0.2">
      <c r="A248" s="4">
        <v>247</v>
      </c>
      <c r="B248" t="s">
        <v>177</v>
      </c>
      <c r="C248">
        <v>65.73</v>
      </c>
      <c r="D248">
        <v>8</v>
      </c>
      <c r="E248">
        <v>23</v>
      </c>
      <c r="F248">
        <v>73.739999999999995</v>
      </c>
      <c r="G248">
        <v>0</v>
      </c>
      <c r="H248">
        <v>2</v>
      </c>
      <c r="I248">
        <v>0</v>
      </c>
      <c r="J248">
        <v>4</v>
      </c>
      <c r="K248">
        <v>65.650000000000006</v>
      </c>
      <c r="L248">
        <v>65.45</v>
      </c>
    </row>
    <row r="249" spans="1:12" x14ac:dyDescent="0.2">
      <c r="A249" s="4">
        <v>248</v>
      </c>
      <c r="B249" t="s">
        <v>214</v>
      </c>
      <c r="C249">
        <v>65.7</v>
      </c>
      <c r="D249">
        <v>13</v>
      </c>
      <c r="E249">
        <v>17</v>
      </c>
      <c r="F249">
        <v>68.73</v>
      </c>
      <c r="G249">
        <v>0</v>
      </c>
      <c r="H249">
        <v>1</v>
      </c>
      <c r="I249">
        <v>0</v>
      </c>
      <c r="J249">
        <v>1</v>
      </c>
      <c r="K249">
        <v>65.989999999999995</v>
      </c>
      <c r="L249">
        <v>65.05</v>
      </c>
    </row>
    <row r="250" spans="1:12" x14ac:dyDescent="0.2">
      <c r="A250" s="4">
        <v>249</v>
      </c>
      <c r="B250" t="s">
        <v>236</v>
      </c>
      <c r="C250">
        <v>65.650000000000006</v>
      </c>
      <c r="D250">
        <v>6</v>
      </c>
      <c r="E250">
        <v>23</v>
      </c>
      <c r="F250">
        <v>72.89</v>
      </c>
      <c r="G250">
        <v>0</v>
      </c>
      <c r="H250">
        <v>0</v>
      </c>
      <c r="I250">
        <v>0</v>
      </c>
      <c r="J250">
        <v>1</v>
      </c>
      <c r="K250">
        <v>63.95</v>
      </c>
      <c r="L250">
        <v>66.84</v>
      </c>
    </row>
    <row r="251" spans="1:12" x14ac:dyDescent="0.2">
      <c r="A251" s="4">
        <v>250</v>
      </c>
      <c r="B251" t="s">
        <v>557</v>
      </c>
      <c r="C251">
        <v>65.650000000000006</v>
      </c>
      <c r="D251">
        <v>9</v>
      </c>
      <c r="E251">
        <v>17</v>
      </c>
      <c r="F251">
        <v>71.739999999999995</v>
      </c>
      <c r="G251">
        <v>0</v>
      </c>
      <c r="H251">
        <v>2</v>
      </c>
      <c r="I251">
        <v>0</v>
      </c>
      <c r="J251">
        <v>3</v>
      </c>
      <c r="K251">
        <v>65.56</v>
      </c>
      <c r="L251">
        <v>65.39</v>
      </c>
    </row>
    <row r="252" spans="1:12" x14ac:dyDescent="0.2">
      <c r="A252" s="4">
        <v>251</v>
      </c>
      <c r="B252" t="s">
        <v>296</v>
      </c>
      <c r="C252">
        <v>65.64</v>
      </c>
      <c r="D252">
        <v>13</v>
      </c>
      <c r="E252">
        <v>14</v>
      </c>
      <c r="F252">
        <v>68.67</v>
      </c>
      <c r="G252">
        <v>0</v>
      </c>
      <c r="H252">
        <v>2</v>
      </c>
      <c r="I252">
        <v>0</v>
      </c>
      <c r="J252">
        <v>3</v>
      </c>
      <c r="K252">
        <v>65.760000000000005</v>
      </c>
      <c r="L252">
        <v>65.150000000000006</v>
      </c>
    </row>
    <row r="253" spans="1:12" x14ac:dyDescent="0.2">
      <c r="A253" s="4">
        <v>252</v>
      </c>
      <c r="B253" t="s">
        <v>159</v>
      </c>
      <c r="C253">
        <v>65.61</v>
      </c>
      <c r="D253">
        <v>11</v>
      </c>
      <c r="E253">
        <v>15</v>
      </c>
      <c r="F253">
        <v>67.83</v>
      </c>
      <c r="G253">
        <v>0</v>
      </c>
      <c r="H253">
        <v>0</v>
      </c>
      <c r="I253">
        <v>0</v>
      </c>
      <c r="J253">
        <v>4</v>
      </c>
      <c r="K253">
        <v>62.67</v>
      </c>
      <c r="L253">
        <v>67.680000000000007</v>
      </c>
    </row>
    <row r="254" spans="1:12" x14ac:dyDescent="0.2">
      <c r="A254" s="4">
        <v>253</v>
      </c>
      <c r="B254" t="s">
        <v>226</v>
      </c>
      <c r="C254">
        <v>65.61</v>
      </c>
      <c r="D254">
        <v>9</v>
      </c>
      <c r="E254">
        <v>20</v>
      </c>
      <c r="F254">
        <v>72.959999999999994</v>
      </c>
      <c r="G254">
        <v>0</v>
      </c>
      <c r="H254">
        <v>1</v>
      </c>
      <c r="I254">
        <v>0</v>
      </c>
      <c r="J254">
        <v>3</v>
      </c>
      <c r="K254">
        <v>65.41</v>
      </c>
      <c r="L254">
        <v>65.459999999999994</v>
      </c>
    </row>
    <row r="255" spans="1:12" x14ac:dyDescent="0.2">
      <c r="A255" s="4">
        <v>254</v>
      </c>
      <c r="B255" t="s">
        <v>885</v>
      </c>
      <c r="C255">
        <v>65.58</v>
      </c>
      <c r="D255">
        <v>18</v>
      </c>
      <c r="E255">
        <v>16</v>
      </c>
      <c r="F255">
        <v>66.55</v>
      </c>
      <c r="G255">
        <v>0</v>
      </c>
      <c r="H255">
        <v>2</v>
      </c>
      <c r="I255">
        <v>0</v>
      </c>
      <c r="J255">
        <v>4</v>
      </c>
      <c r="K255">
        <v>66.91</v>
      </c>
      <c r="L255">
        <v>63.68</v>
      </c>
    </row>
    <row r="256" spans="1:12" x14ac:dyDescent="0.2">
      <c r="A256" s="4">
        <v>255</v>
      </c>
      <c r="B256" t="s">
        <v>191</v>
      </c>
      <c r="C256">
        <v>65.540000000000006</v>
      </c>
      <c r="D256">
        <v>11</v>
      </c>
      <c r="E256">
        <v>16</v>
      </c>
      <c r="F256">
        <v>69.45</v>
      </c>
      <c r="G256">
        <v>0</v>
      </c>
      <c r="H256">
        <v>0</v>
      </c>
      <c r="I256">
        <v>0</v>
      </c>
      <c r="J256">
        <v>1</v>
      </c>
      <c r="K256">
        <v>66.27</v>
      </c>
      <c r="L256">
        <v>64.39</v>
      </c>
    </row>
    <row r="257" spans="1:12" x14ac:dyDescent="0.2">
      <c r="A257" s="4">
        <v>256</v>
      </c>
      <c r="B257" t="s">
        <v>212</v>
      </c>
      <c r="C257">
        <v>65.489999999999995</v>
      </c>
      <c r="D257">
        <v>12</v>
      </c>
      <c r="E257">
        <v>19</v>
      </c>
      <c r="F257">
        <v>68.98</v>
      </c>
      <c r="G257">
        <v>0</v>
      </c>
      <c r="H257">
        <v>1</v>
      </c>
      <c r="I257">
        <v>0</v>
      </c>
      <c r="J257">
        <v>2</v>
      </c>
      <c r="K257">
        <v>64.83</v>
      </c>
      <c r="L257">
        <v>65.78</v>
      </c>
    </row>
    <row r="258" spans="1:12" x14ac:dyDescent="0.2">
      <c r="A258" s="4">
        <v>257</v>
      </c>
      <c r="B258" t="s">
        <v>828</v>
      </c>
      <c r="C258">
        <v>65.44</v>
      </c>
      <c r="D258">
        <v>5</v>
      </c>
      <c r="E258">
        <v>25</v>
      </c>
      <c r="F258">
        <v>75.81</v>
      </c>
      <c r="G258">
        <v>0</v>
      </c>
      <c r="H258">
        <v>1</v>
      </c>
      <c r="I258">
        <v>0</v>
      </c>
      <c r="J258">
        <v>4</v>
      </c>
      <c r="K258">
        <v>64.66</v>
      </c>
      <c r="L258">
        <v>65.84</v>
      </c>
    </row>
    <row r="259" spans="1:12" x14ac:dyDescent="0.2">
      <c r="A259" s="4">
        <v>258</v>
      </c>
      <c r="B259" t="s">
        <v>80</v>
      </c>
      <c r="C259">
        <v>65.39</v>
      </c>
      <c r="D259">
        <v>8</v>
      </c>
      <c r="E259">
        <v>22</v>
      </c>
      <c r="F259">
        <v>72.64</v>
      </c>
      <c r="G259">
        <v>0</v>
      </c>
      <c r="H259">
        <v>0</v>
      </c>
      <c r="I259">
        <v>0</v>
      </c>
      <c r="J259">
        <v>2</v>
      </c>
      <c r="K259">
        <v>64.14</v>
      </c>
      <c r="L259">
        <v>66.19</v>
      </c>
    </row>
    <row r="260" spans="1:12" x14ac:dyDescent="0.2">
      <c r="A260" s="4">
        <v>259</v>
      </c>
      <c r="B260" t="s">
        <v>267</v>
      </c>
      <c r="C260">
        <v>65.34</v>
      </c>
      <c r="D260">
        <v>10</v>
      </c>
      <c r="E260">
        <v>18</v>
      </c>
      <c r="F260">
        <v>69.48</v>
      </c>
      <c r="G260">
        <v>0</v>
      </c>
      <c r="H260">
        <v>0</v>
      </c>
      <c r="I260">
        <v>0</v>
      </c>
      <c r="J260">
        <v>1</v>
      </c>
      <c r="K260">
        <v>64.989999999999995</v>
      </c>
      <c r="L260">
        <v>65.349999999999994</v>
      </c>
    </row>
    <row r="261" spans="1:12" x14ac:dyDescent="0.2">
      <c r="A261" s="4">
        <v>260</v>
      </c>
      <c r="B261" t="s">
        <v>881</v>
      </c>
      <c r="C261">
        <v>65.16</v>
      </c>
      <c r="D261">
        <v>10</v>
      </c>
      <c r="E261">
        <v>17</v>
      </c>
      <c r="F261">
        <v>70.290000000000006</v>
      </c>
      <c r="G261">
        <v>0</v>
      </c>
      <c r="H261">
        <v>1</v>
      </c>
      <c r="I261">
        <v>0</v>
      </c>
      <c r="J261">
        <v>1</v>
      </c>
      <c r="K261">
        <v>66.98</v>
      </c>
      <c r="L261">
        <v>62.57</v>
      </c>
    </row>
    <row r="262" spans="1:12" x14ac:dyDescent="0.2">
      <c r="A262" s="4">
        <v>261</v>
      </c>
      <c r="B262" t="s">
        <v>897</v>
      </c>
      <c r="C262">
        <v>65.13</v>
      </c>
      <c r="D262">
        <v>10</v>
      </c>
      <c r="E262">
        <v>15</v>
      </c>
      <c r="F262">
        <v>68.319999999999993</v>
      </c>
      <c r="G262">
        <v>0</v>
      </c>
      <c r="H262">
        <v>0</v>
      </c>
      <c r="I262">
        <v>0</v>
      </c>
      <c r="J262">
        <v>1</v>
      </c>
      <c r="K262">
        <v>64</v>
      </c>
      <c r="L262">
        <v>65.849999999999994</v>
      </c>
    </row>
    <row r="263" spans="1:12" x14ac:dyDescent="0.2">
      <c r="A263" s="4">
        <v>262</v>
      </c>
      <c r="B263" t="s">
        <v>551</v>
      </c>
      <c r="C263">
        <v>65.11</v>
      </c>
      <c r="D263">
        <v>8</v>
      </c>
      <c r="E263">
        <v>21</v>
      </c>
      <c r="F263">
        <v>71.12</v>
      </c>
      <c r="G263">
        <v>0</v>
      </c>
      <c r="H263">
        <v>1</v>
      </c>
      <c r="I263">
        <v>0</v>
      </c>
      <c r="J263">
        <v>2</v>
      </c>
      <c r="K263">
        <v>65.11</v>
      </c>
      <c r="L263">
        <v>64.75</v>
      </c>
    </row>
    <row r="264" spans="1:12" x14ac:dyDescent="0.2">
      <c r="A264" s="4">
        <v>263</v>
      </c>
      <c r="B264" t="s">
        <v>253</v>
      </c>
      <c r="C264">
        <v>65.06</v>
      </c>
      <c r="D264">
        <v>15</v>
      </c>
      <c r="E264">
        <v>16</v>
      </c>
      <c r="F264">
        <v>66.19</v>
      </c>
      <c r="G264">
        <v>0</v>
      </c>
      <c r="H264">
        <v>1</v>
      </c>
      <c r="I264">
        <v>0</v>
      </c>
      <c r="J264">
        <v>2</v>
      </c>
      <c r="K264">
        <v>64.83</v>
      </c>
      <c r="L264">
        <v>64.95</v>
      </c>
    </row>
    <row r="265" spans="1:12" x14ac:dyDescent="0.2">
      <c r="A265" s="4">
        <v>264</v>
      </c>
      <c r="B265" t="s">
        <v>563</v>
      </c>
      <c r="C265">
        <v>65.05</v>
      </c>
      <c r="D265">
        <v>10</v>
      </c>
      <c r="E265">
        <v>21</v>
      </c>
      <c r="F265">
        <v>71.34</v>
      </c>
      <c r="G265">
        <v>0</v>
      </c>
      <c r="H265">
        <v>0</v>
      </c>
      <c r="I265">
        <v>0</v>
      </c>
      <c r="J265">
        <v>2</v>
      </c>
      <c r="K265">
        <v>65.430000000000007</v>
      </c>
      <c r="L265">
        <v>64.290000000000006</v>
      </c>
    </row>
    <row r="266" spans="1:12" x14ac:dyDescent="0.2">
      <c r="A266" s="4">
        <v>265</v>
      </c>
      <c r="B266" t="s">
        <v>182</v>
      </c>
      <c r="C266">
        <v>64.95</v>
      </c>
      <c r="D266">
        <v>8</v>
      </c>
      <c r="E266">
        <v>19</v>
      </c>
      <c r="F266">
        <v>71.930000000000007</v>
      </c>
      <c r="G266">
        <v>0</v>
      </c>
      <c r="H266">
        <v>1</v>
      </c>
      <c r="I266">
        <v>0</v>
      </c>
      <c r="J266">
        <v>6</v>
      </c>
      <c r="K266">
        <v>61.52</v>
      </c>
      <c r="L266">
        <v>67.290000000000006</v>
      </c>
    </row>
    <row r="267" spans="1:12" x14ac:dyDescent="0.2">
      <c r="A267" s="4">
        <v>266</v>
      </c>
      <c r="B267" t="s">
        <v>161</v>
      </c>
      <c r="C267">
        <v>64.94</v>
      </c>
      <c r="D267">
        <v>12</v>
      </c>
      <c r="E267">
        <v>18</v>
      </c>
      <c r="F267">
        <v>67.8</v>
      </c>
      <c r="G267">
        <v>0</v>
      </c>
      <c r="H267">
        <v>0</v>
      </c>
      <c r="I267">
        <v>0</v>
      </c>
      <c r="J267">
        <v>1</v>
      </c>
      <c r="K267">
        <v>63.67</v>
      </c>
      <c r="L267">
        <v>65.77</v>
      </c>
    </row>
    <row r="268" spans="1:12" x14ac:dyDescent="0.2">
      <c r="A268" s="4">
        <v>267</v>
      </c>
      <c r="B268" t="s">
        <v>203</v>
      </c>
      <c r="C268">
        <v>64.91</v>
      </c>
      <c r="D268">
        <v>13</v>
      </c>
      <c r="E268">
        <v>15</v>
      </c>
      <c r="F268">
        <v>66.3</v>
      </c>
      <c r="G268">
        <v>0</v>
      </c>
      <c r="H268">
        <v>0</v>
      </c>
      <c r="I268">
        <v>0</v>
      </c>
      <c r="J268">
        <v>0</v>
      </c>
      <c r="K268">
        <v>64.66</v>
      </c>
      <c r="L268">
        <v>64.8</v>
      </c>
    </row>
    <row r="269" spans="1:12" x14ac:dyDescent="0.2">
      <c r="A269" s="4">
        <v>268</v>
      </c>
      <c r="B269" t="s">
        <v>137</v>
      </c>
      <c r="C269">
        <v>64.69</v>
      </c>
      <c r="D269">
        <v>11</v>
      </c>
      <c r="E269">
        <v>17</v>
      </c>
      <c r="F269">
        <v>68.87</v>
      </c>
      <c r="G269">
        <v>0</v>
      </c>
      <c r="H269">
        <v>1</v>
      </c>
      <c r="I269">
        <v>0</v>
      </c>
      <c r="J269">
        <v>4</v>
      </c>
      <c r="K269">
        <v>61.52</v>
      </c>
      <c r="L269">
        <v>66.84</v>
      </c>
    </row>
    <row r="270" spans="1:12" x14ac:dyDescent="0.2">
      <c r="A270" s="4">
        <v>269</v>
      </c>
      <c r="B270" t="s">
        <v>123</v>
      </c>
      <c r="C270">
        <v>64.64</v>
      </c>
      <c r="D270">
        <v>7</v>
      </c>
      <c r="E270">
        <v>20</v>
      </c>
      <c r="F270">
        <v>72.25</v>
      </c>
      <c r="G270">
        <v>0</v>
      </c>
      <c r="H270">
        <v>0</v>
      </c>
      <c r="I270">
        <v>0</v>
      </c>
      <c r="J270">
        <v>1</v>
      </c>
      <c r="K270">
        <v>63.08</v>
      </c>
      <c r="L270">
        <v>65.69</v>
      </c>
    </row>
    <row r="271" spans="1:12" x14ac:dyDescent="0.2">
      <c r="A271" s="4">
        <v>270</v>
      </c>
      <c r="B271" t="s">
        <v>213</v>
      </c>
      <c r="C271">
        <v>64.599999999999994</v>
      </c>
      <c r="D271">
        <v>11</v>
      </c>
      <c r="E271">
        <v>20</v>
      </c>
      <c r="F271">
        <v>68.8</v>
      </c>
      <c r="G271">
        <v>0</v>
      </c>
      <c r="H271">
        <v>2</v>
      </c>
      <c r="I271">
        <v>0</v>
      </c>
      <c r="J271">
        <v>3</v>
      </c>
      <c r="K271">
        <v>62.79</v>
      </c>
      <c r="L271">
        <v>65.84</v>
      </c>
    </row>
    <row r="272" spans="1:12" x14ac:dyDescent="0.2">
      <c r="A272" s="4">
        <v>271</v>
      </c>
      <c r="B272" t="s">
        <v>823</v>
      </c>
      <c r="C272">
        <v>64.400000000000006</v>
      </c>
      <c r="D272">
        <v>9</v>
      </c>
      <c r="E272">
        <v>19</v>
      </c>
      <c r="F272">
        <v>70.010000000000005</v>
      </c>
      <c r="G272">
        <v>0</v>
      </c>
      <c r="H272">
        <v>0</v>
      </c>
      <c r="I272">
        <v>0</v>
      </c>
      <c r="J272">
        <v>0</v>
      </c>
      <c r="K272">
        <v>64.95</v>
      </c>
      <c r="L272">
        <v>63.45</v>
      </c>
    </row>
    <row r="273" spans="1:12" x14ac:dyDescent="0.2">
      <c r="A273" s="4">
        <v>272</v>
      </c>
      <c r="B273" t="s">
        <v>266</v>
      </c>
      <c r="C273">
        <v>64.400000000000006</v>
      </c>
      <c r="D273">
        <v>13</v>
      </c>
      <c r="E273">
        <v>16</v>
      </c>
      <c r="F273">
        <v>67.38</v>
      </c>
      <c r="G273">
        <v>0</v>
      </c>
      <c r="H273">
        <v>0</v>
      </c>
      <c r="I273">
        <v>0</v>
      </c>
      <c r="J273">
        <v>0</v>
      </c>
      <c r="K273">
        <v>64.86</v>
      </c>
      <c r="L273">
        <v>63.54</v>
      </c>
    </row>
    <row r="274" spans="1:12" x14ac:dyDescent="0.2">
      <c r="A274" s="4">
        <v>273</v>
      </c>
      <c r="B274" t="s">
        <v>140</v>
      </c>
      <c r="C274">
        <v>64.14</v>
      </c>
      <c r="D274">
        <v>9</v>
      </c>
      <c r="E274">
        <v>19</v>
      </c>
      <c r="F274">
        <v>69.61</v>
      </c>
      <c r="G274">
        <v>0</v>
      </c>
      <c r="H274">
        <v>0</v>
      </c>
      <c r="I274">
        <v>0</v>
      </c>
      <c r="J274">
        <v>1</v>
      </c>
      <c r="K274">
        <v>63.44</v>
      </c>
      <c r="L274">
        <v>64.459999999999994</v>
      </c>
    </row>
    <row r="275" spans="1:12" x14ac:dyDescent="0.2">
      <c r="A275" s="4">
        <v>274</v>
      </c>
      <c r="B275" t="s">
        <v>197</v>
      </c>
      <c r="C275">
        <v>63.91</v>
      </c>
      <c r="D275">
        <v>10</v>
      </c>
      <c r="E275">
        <v>19</v>
      </c>
      <c r="F275">
        <v>69.209999999999994</v>
      </c>
      <c r="G275">
        <v>0</v>
      </c>
      <c r="H275">
        <v>0</v>
      </c>
      <c r="I275">
        <v>0</v>
      </c>
      <c r="J275">
        <v>1</v>
      </c>
      <c r="K275">
        <v>64.33</v>
      </c>
      <c r="L275">
        <v>63.11</v>
      </c>
    </row>
    <row r="276" spans="1:12" x14ac:dyDescent="0.2">
      <c r="A276" s="4">
        <v>275</v>
      </c>
      <c r="B276" t="s">
        <v>836</v>
      </c>
      <c r="C276">
        <v>63.79</v>
      </c>
      <c r="D276">
        <v>11</v>
      </c>
      <c r="E276">
        <v>20</v>
      </c>
      <c r="F276">
        <v>69.510000000000005</v>
      </c>
      <c r="G276">
        <v>0</v>
      </c>
      <c r="H276">
        <v>1</v>
      </c>
      <c r="I276">
        <v>0</v>
      </c>
      <c r="J276">
        <v>2</v>
      </c>
      <c r="K276">
        <v>64.489999999999995</v>
      </c>
      <c r="L276">
        <v>62.64</v>
      </c>
    </row>
    <row r="277" spans="1:12" x14ac:dyDescent="0.2">
      <c r="A277" s="4">
        <v>276</v>
      </c>
      <c r="B277" t="s">
        <v>845</v>
      </c>
      <c r="C277">
        <v>63.66</v>
      </c>
      <c r="D277">
        <v>7</v>
      </c>
      <c r="E277">
        <v>22</v>
      </c>
      <c r="F277">
        <v>73.02</v>
      </c>
      <c r="G277">
        <v>0</v>
      </c>
      <c r="H277">
        <v>0</v>
      </c>
      <c r="I277">
        <v>0</v>
      </c>
      <c r="J277">
        <v>3</v>
      </c>
      <c r="K277">
        <v>63.82</v>
      </c>
      <c r="L277">
        <v>63.13</v>
      </c>
    </row>
    <row r="278" spans="1:12" x14ac:dyDescent="0.2">
      <c r="A278" s="4">
        <v>277</v>
      </c>
      <c r="B278" t="s">
        <v>189</v>
      </c>
      <c r="C278">
        <v>63.62</v>
      </c>
      <c r="D278">
        <v>12</v>
      </c>
      <c r="E278">
        <v>17</v>
      </c>
      <c r="F278">
        <v>67.03</v>
      </c>
      <c r="G278">
        <v>0</v>
      </c>
      <c r="H278">
        <v>0</v>
      </c>
      <c r="I278">
        <v>0</v>
      </c>
      <c r="J278">
        <v>1</v>
      </c>
      <c r="K278">
        <v>62.7</v>
      </c>
      <c r="L278">
        <v>64.13</v>
      </c>
    </row>
    <row r="279" spans="1:12" x14ac:dyDescent="0.2">
      <c r="A279" s="4">
        <v>278</v>
      </c>
      <c r="B279" t="s">
        <v>229</v>
      </c>
      <c r="C279">
        <v>63.45</v>
      </c>
      <c r="D279">
        <v>13</v>
      </c>
      <c r="E279">
        <v>17</v>
      </c>
      <c r="F279">
        <v>65.31</v>
      </c>
      <c r="G279">
        <v>0</v>
      </c>
      <c r="H279">
        <v>0</v>
      </c>
      <c r="I279">
        <v>0</v>
      </c>
      <c r="J279">
        <v>0</v>
      </c>
      <c r="K279">
        <v>62.86</v>
      </c>
      <c r="L279">
        <v>63.68</v>
      </c>
    </row>
    <row r="280" spans="1:12" x14ac:dyDescent="0.2">
      <c r="A280" s="4">
        <v>279</v>
      </c>
      <c r="B280" t="s">
        <v>279</v>
      </c>
      <c r="C280">
        <v>63.31</v>
      </c>
      <c r="D280">
        <v>10</v>
      </c>
      <c r="E280">
        <v>19</v>
      </c>
      <c r="F280">
        <v>68.25</v>
      </c>
      <c r="G280">
        <v>0</v>
      </c>
      <c r="H280">
        <v>1</v>
      </c>
      <c r="I280">
        <v>0</v>
      </c>
      <c r="J280">
        <v>4</v>
      </c>
      <c r="K280">
        <v>60.44</v>
      </c>
      <c r="L280">
        <v>65.209999999999994</v>
      </c>
    </row>
    <row r="281" spans="1:12" x14ac:dyDescent="0.2">
      <c r="A281" s="4">
        <v>280</v>
      </c>
      <c r="B281" t="s">
        <v>822</v>
      </c>
      <c r="C281">
        <v>63.29</v>
      </c>
      <c r="D281">
        <v>8</v>
      </c>
      <c r="E281">
        <v>19</v>
      </c>
      <c r="F281">
        <v>71.040000000000006</v>
      </c>
      <c r="G281">
        <v>0</v>
      </c>
      <c r="H281">
        <v>0</v>
      </c>
      <c r="I281">
        <v>0</v>
      </c>
      <c r="J281">
        <v>1</v>
      </c>
      <c r="K281">
        <v>64.2</v>
      </c>
      <c r="L281">
        <v>61.89</v>
      </c>
    </row>
    <row r="282" spans="1:12" x14ac:dyDescent="0.2">
      <c r="A282" s="4">
        <v>281</v>
      </c>
      <c r="B282" t="s">
        <v>865</v>
      </c>
      <c r="C282">
        <v>63.28</v>
      </c>
      <c r="D282">
        <v>12</v>
      </c>
      <c r="E282">
        <v>18</v>
      </c>
      <c r="F282">
        <v>66.959999999999994</v>
      </c>
      <c r="G282">
        <v>0</v>
      </c>
      <c r="H282">
        <v>0</v>
      </c>
      <c r="I282">
        <v>0</v>
      </c>
      <c r="J282">
        <v>1</v>
      </c>
      <c r="K282">
        <v>62.79</v>
      </c>
      <c r="L282">
        <v>63.4</v>
      </c>
    </row>
    <row r="283" spans="1:12" x14ac:dyDescent="0.2">
      <c r="A283" s="4">
        <v>282</v>
      </c>
      <c r="B283" t="s">
        <v>820</v>
      </c>
      <c r="C283">
        <v>63.27</v>
      </c>
      <c r="D283">
        <v>10</v>
      </c>
      <c r="E283">
        <v>18</v>
      </c>
      <c r="F283">
        <v>67.22</v>
      </c>
      <c r="G283">
        <v>0</v>
      </c>
      <c r="H283">
        <v>0</v>
      </c>
      <c r="I283">
        <v>0</v>
      </c>
      <c r="J283">
        <v>0</v>
      </c>
      <c r="K283">
        <v>63.54</v>
      </c>
      <c r="L283">
        <v>62.63</v>
      </c>
    </row>
    <row r="284" spans="1:12" x14ac:dyDescent="0.2">
      <c r="A284" s="4">
        <v>283</v>
      </c>
      <c r="B284" t="s">
        <v>907</v>
      </c>
      <c r="C284">
        <v>63.26</v>
      </c>
      <c r="D284">
        <v>9</v>
      </c>
      <c r="E284">
        <v>20</v>
      </c>
      <c r="F284">
        <v>68.48</v>
      </c>
      <c r="G284">
        <v>0</v>
      </c>
      <c r="H284">
        <v>1</v>
      </c>
      <c r="I284">
        <v>0</v>
      </c>
      <c r="J284">
        <v>2</v>
      </c>
      <c r="K284">
        <v>62.93</v>
      </c>
      <c r="L284">
        <v>63.24</v>
      </c>
    </row>
    <row r="285" spans="1:12" x14ac:dyDescent="0.2">
      <c r="A285" s="4">
        <v>284</v>
      </c>
      <c r="B285" t="s">
        <v>68</v>
      </c>
      <c r="C285">
        <v>62.95</v>
      </c>
      <c r="D285">
        <v>7</v>
      </c>
      <c r="E285">
        <v>22</v>
      </c>
      <c r="F285">
        <v>71.430000000000007</v>
      </c>
      <c r="G285">
        <v>0</v>
      </c>
      <c r="H285">
        <v>0</v>
      </c>
      <c r="I285">
        <v>0</v>
      </c>
      <c r="J285">
        <v>2</v>
      </c>
      <c r="K285">
        <v>62.99</v>
      </c>
      <c r="L285">
        <v>62.55</v>
      </c>
    </row>
    <row r="286" spans="1:12" x14ac:dyDescent="0.2">
      <c r="A286" s="4">
        <v>285</v>
      </c>
      <c r="B286" t="s">
        <v>256</v>
      </c>
      <c r="C286">
        <v>62.63</v>
      </c>
      <c r="D286">
        <v>6</v>
      </c>
      <c r="E286">
        <v>20</v>
      </c>
      <c r="F286">
        <v>69.72</v>
      </c>
      <c r="G286">
        <v>0</v>
      </c>
      <c r="H286">
        <v>0</v>
      </c>
      <c r="I286">
        <v>0</v>
      </c>
      <c r="J286">
        <v>0</v>
      </c>
      <c r="K286">
        <v>62.06</v>
      </c>
      <c r="L286">
        <v>62.84</v>
      </c>
    </row>
    <row r="287" spans="1:12" x14ac:dyDescent="0.2">
      <c r="A287" s="4">
        <v>286</v>
      </c>
      <c r="B287" t="s">
        <v>889</v>
      </c>
      <c r="C287">
        <v>62.39</v>
      </c>
      <c r="D287">
        <v>10</v>
      </c>
      <c r="E287">
        <v>20</v>
      </c>
      <c r="F287">
        <v>68.81</v>
      </c>
      <c r="G287">
        <v>0</v>
      </c>
      <c r="H287">
        <v>1</v>
      </c>
      <c r="I287">
        <v>0</v>
      </c>
      <c r="J287">
        <v>2</v>
      </c>
      <c r="K287">
        <v>63.4</v>
      </c>
      <c r="L287">
        <v>60.84</v>
      </c>
    </row>
    <row r="288" spans="1:12" x14ac:dyDescent="0.2">
      <c r="A288" s="4">
        <v>287</v>
      </c>
      <c r="B288" t="s">
        <v>829</v>
      </c>
      <c r="C288">
        <v>62.28</v>
      </c>
      <c r="D288">
        <v>8</v>
      </c>
      <c r="E288">
        <v>20</v>
      </c>
      <c r="F288">
        <v>67.56</v>
      </c>
      <c r="G288">
        <v>0</v>
      </c>
      <c r="H288">
        <v>0</v>
      </c>
      <c r="I288">
        <v>0</v>
      </c>
      <c r="J288">
        <v>0</v>
      </c>
      <c r="K288">
        <v>61.61</v>
      </c>
      <c r="L288">
        <v>62.56</v>
      </c>
    </row>
    <row r="289" spans="1:12" x14ac:dyDescent="0.2">
      <c r="A289" s="4">
        <v>288</v>
      </c>
      <c r="B289" t="s">
        <v>173</v>
      </c>
      <c r="C289">
        <v>62.24</v>
      </c>
      <c r="D289">
        <v>9</v>
      </c>
      <c r="E289">
        <v>18</v>
      </c>
      <c r="F289">
        <v>69.349999999999994</v>
      </c>
      <c r="G289">
        <v>0</v>
      </c>
      <c r="H289">
        <v>1</v>
      </c>
      <c r="I289">
        <v>0</v>
      </c>
      <c r="J289">
        <v>1</v>
      </c>
      <c r="K289">
        <v>63.34</v>
      </c>
      <c r="L289">
        <v>60.54</v>
      </c>
    </row>
    <row r="290" spans="1:12" x14ac:dyDescent="0.2">
      <c r="A290" s="4">
        <v>289</v>
      </c>
      <c r="B290" t="s">
        <v>174</v>
      </c>
      <c r="C290">
        <v>62.12</v>
      </c>
      <c r="D290">
        <v>7</v>
      </c>
      <c r="E290">
        <v>23</v>
      </c>
      <c r="F290">
        <v>71.25</v>
      </c>
      <c r="G290">
        <v>0</v>
      </c>
      <c r="H290">
        <v>1</v>
      </c>
      <c r="I290">
        <v>0</v>
      </c>
      <c r="J290">
        <v>1</v>
      </c>
      <c r="K290">
        <v>61.59</v>
      </c>
      <c r="L290">
        <v>62.29</v>
      </c>
    </row>
    <row r="291" spans="1:12" x14ac:dyDescent="0.2">
      <c r="A291" s="4">
        <v>290</v>
      </c>
      <c r="B291" t="s">
        <v>233</v>
      </c>
      <c r="C291">
        <v>62.1</v>
      </c>
      <c r="D291">
        <v>9</v>
      </c>
      <c r="E291">
        <v>20</v>
      </c>
      <c r="F291">
        <v>68.88</v>
      </c>
      <c r="G291">
        <v>0</v>
      </c>
      <c r="H291">
        <v>1</v>
      </c>
      <c r="I291">
        <v>0</v>
      </c>
      <c r="J291">
        <v>2</v>
      </c>
      <c r="K291">
        <v>61.46</v>
      </c>
      <c r="L291">
        <v>62.36</v>
      </c>
    </row>
    <row r="292" spans="1:12" x14ac:dyDescent="0.2">
      <c r="A292" s="4">
        <v>291</v>
      </c>
      <c r="B292" t="s">
        <v>282</v>
      </c>
      <c r="C292">
        <v>62.04</v>
      </c>
      <c r="D292">
        <v>11</v>
      </c>
      <c r="E292">
        <v>17</v>
      </c>
      <c r="F292">
        <v>67.23</v>
      </c>
      <c r="G292">
        <v>0</v>
      </c>
      <c r="H292">
        <v>2</v>
      </c>
      <c r="I292">
        <v>0</v>
      </c>
      <c r="J292">
        <v>2</v>
      </c>
      <c r="K292">
        <v>62.39</v>
      </c>
      <c r="L292">
        <v>61.3</v>
      </c>
    </row>
    <row r="293" spans="1:12" x14ac:dyDescent="0.2">
      <c r="A293" s="4">
        <v>292</v>
      </c>
      <c r="B293" t="s">
        <v>832</v>
      </c>
      <c r="C293">
        <v>62.01</v>
      </c>
      <c r="D293">
        <v>12</v>
      </c>
      <c r="E293">
        <v>20</v>
      </c>
      <c r="F293">
        <v>69.33</v>
      </c>
      <c r="G293">
        <v>0</v>
      </c>
      <c r="H293">
        <v>2</v>
      </c>
      <c r="I293">
        <v>0</v>
      </c>
      <c r="J293">
        <v>4</v>
      </c>
      <c r="K293">
        <v>62.59</v>
      </c>
      <c r="L293">
        <v>60.99</v>
      </c>
    </row>
    <row r="294" spans="1:12" x14ac:dyDescent="0.2">
      <c r="A294" s="4">
        <v>293</v>
      </c>
      <c r="B294" t="s">
        <v>166</v>
      </c>
      <c r="C294">
        <v>61.99</v>
      </c>
      <c r="D294">
        <v>10</v>
      </c>
      <c r="E294">
        <v>19</v>
      </c>
      <c r="F294">
        <v>66.569999999999993</v>
      </c>
      <c r="G294">
        <v>0</v>
      </c>
      <c r="H294">
        <v>1</v>
      </c>
      <c r="I294">
        <v>0</v>
      </c>
      <c r="J294">
        <v>1</v>
      </c>
      <c r="K294">
        <v>61.26</v>
      </c>
      <c r="L294">
        <v>62.34</v>
      </c>
    </row>
    <row r="295" spans="1:12" x14ac:dyDescent="0.2">
      <c r="A295" s="4">
        <v>294</v>
      </c>
      <c r="B295" t="s">
        <v>900</v>
      </c>
      <c r="C295">
        <v>61.97</v>
      </c>
      <c r="D295">
        <v>13</v>
      </c>
      <c r="E295">
        <v>17</v>
      </c>
      <c r="F295">
        <v>64.72</v>
      </c>
      <c r="G295">
        <v>0</v>
      </c>
      <c r="H295">
        <v>0</v>
      </c>
      <c r="I295">
        <v>0</v>
      </c>
      <c r="J295">
        <v>1</v>
      </c>
      <c r="K295">
        <v>61.59</v>
      </c>
      <c r="L295">
        <v>61.99</v>
      </c>
    </row>
    <row r="296" spans="1:12" x14ac:dyDescent="0.2">
      <c r="A296" s="4">
        <v>295</v>
      </c>
      <c r="B296" t="s">
        <v>271</v>
      </c>
      <c r="C296">
        <v>61.95</v>
      </c>
      <c r="D296">
        <v>9</v>
      </c>
      <c r="E296">
        <v>20</v>
      </c>
      <c r="F296">
        <v>67.87</v>
      </c>
      <c r="G296">
        <v>0</v>
      </c>
      <c r="H296">
        <v>0</v>
      </c>
      <c r="I296">
        <v>0</v>
      </c>
      <c r="J296">
        <v>1</v>
      </c>
      <c r="K296">
        <v>62.3</v>
      </c>
      <c r="L296">
        <v>61.21</v>
      </c>
    </row>
    <row r="297" spans="1:12" x14ac:dyDescent="0.2">
      <c r="A297" s="4">
        <v>296</v>
      </c>
      <c r="B297" t="s">
        <v>841</v>
      </c>
      <c r="C297">
        <v>61.89</v>
      </c>
      <c r="D297">
        <v>13</v>
      </c>
      <c r="E297">
        <v>18</v>
      </c>
      <c r="F297">
        <v>64.709999999999994</v>
      </c>
      <c r="G297">
        <v>0</v>
      </c>
      <c r="H297">
        <v>0</v>
      </c>
      <c r="I297">
        <v>0</v>
      </c>
      <c r="J297">
        <v>2</v>
      </c>
      <c r="K297">
        <v>61.56</v>
      </c>
      <c r="L297">
        <v>61.88</v>
      </c>
    </row>
    <row r="298" spans="1:12" x14ac:dyDescent="0.2">
      <c r="A298" s="4">
        <v>297</v>
      </c>
      <c r="B298" t="s">
        <v>892</v>
      </c>
      <c r="C298">
        <v>61.85</v>
      </c>
      <c r="D298">
        <v>9</v>
      </c>
      <c r="E298">
        <v>22</v>
      </c>
      <c r="F298">
        <v>68.42</v>
      </c>
      <c r="G298">
        <v>0</v>
      </c>
      <c r="H298">
        <v>0</v>
      </c>
      <c r="I298">
        <v>0</v>
      </c>
      <c r="J298">
        <v>1</v>
      </c>
      <c r="K298">
        <v>61.12</v>
      </c>
      <c r="L298">
        <v>62.18</v>
      </c>
    </row>
    <row r="299" spans="1:12" x14ac:dyDescent="0.2">
      <c r="A299" s="4">
        <v>298</v>
      </c>
      <c r="B299" t="s">
        <v>244</v>
      </c>
      <c r="C299">
        <v>61.83</v>
      </c>
      <c r="D299">
        <v>7</v>
      </c>
      <c r="E299">
        <v>21</v>
      </c>
      <c r="F299">
        <v>70.94</v>
      </c>
      <c r="G299">
        <v>0</v>
      </c>
      <c r="H299">
        <v>2</v>
      </c>
      <c r="I299">
        <v>0</v>
      </c>
      <c r="J299">
        <v>2</v>
      </c>
      <c r="K299">
        <v>61.75</v>
      </c>
      <c r="L299">
        <v>61.56</v>
      </c>
    </row>
    <row r="300" spans="1:12" x14ac:dyDescent="0.2">
      <c r="A300" s="4">
        <v>299</v>
      </c>
      <c r="B300" t="s">
        <v>275</v>
      </c>
      <c r="C300">
        <v>61.59</v>
      </c>
      <c r="D300">
        <v>3</v>
      </c>
      <c r="E300">
        <v>24</v>
      </c>
      <c r="F300">
        <v>74.099999999999994</v>
      </c>
      <c r="G300">
        <v>0</v>
      </c>
      <c r="H300">
        <v>1</v>
      </c>
      <c r="I300">
        <v>0</v>
      </c>
      <c r="J300">
        <v>2</v>
      </c>
      <c r="K300">
        <v>60.15</v>
      </c>
      <c r="L300">
        <v>62.51</v>
      </c>
    </row>
    <row r="301" spans="1:12" x14ac:dyDescent="0.2">
      <c r="A301" s="4">
        <v>300</v>
      </c>
      <c r="B301" t="s">
        <v>291</v>
      </c>
      <c r="C301">
        <v>61.56</v>
      </c>
      <c r="D301">
        <v>8</v>
      </c>
      <c r="E301">
        <v>21</v>
      </c>
      <c r="F301">
        <v>71.06</v>
      </c>
      <c r="G301">
        <v>0</v>
      </c>
      <c r="H301">
        <v>2</v>
      </c>
      <c r="I301">
        <v>0</v>
      </c>
      <c r="J301">
        <v>3</v>
      </c>
      <c r="K301">
        <v>61.31</v>
      </c>
      <c r="L301">
        <v>61.46</v>
      </c>
    </row>
    <row r="302" spans="1:12" x14ac:dyDescent="0.2">
      <c r="A302" s="4">
        <v>301</v>
      </c>
      <c r="B302" t="s">
        <v>202</v>
      </c>
      <c r="C302">
        <v>61.51</v>
      </c>
      <c r="D302">
        <v>5</v>
      </c>
      <c r="E302">
        <v>23</v>
      </c>
      <c r="F302">
        <v>72.709999999999994</v>
      </c>
      <c r="G302">
        <v>0</v>
      </c>
      <c r="H302">
        <v>1</v>
      </c>
      <c r="I302">
        <v>0</v>
      </c>
      <c r="J302">
        <v>3</v>
      </c>
      <c r="K302">
        <v>60.35</v>
      </c>
      <c r="L302">
        <v>62.2</v>
      </c>
    </row>
    <row r="303" spans="1:12" x14ac:dyDescent="0.2">
      <c r="A303" s="4">
        <v>302</v>
      </c>
      <c r="B303" t="s">
        <v>223</v>
      </c>
      <c r="C303">
        <v>61.16</v>
      </c>
      <c r="D303">
        <v>6</v>
      </c>
      <c r="E303">
        <v>22</v>
      </c>
      <c r="F303">
        <v>69.72</v>
      </c>
      <c r="G303">
        <v>0</v>
      </c>
      <c r="H303">
        <v>0</v>
      </c>
      <c r="I303">
        <v>0</v>
      </c>
      <c r="J303">
        <v>4</v>
      </c>
      <c r="K303">
        <v>57.52</v>
      </c>
      <c r="L303">
        <v>63.31</v>
      </c>
    </row>
    <row r="304" spans="1:12" x14ac:dyDescent="0.2">
      <c r="A304" s="4">
        <v>303</v>
      </c>
      <c r="B304" t="s">
        <v>150</v>
      </c>
      <c r="C304">
        <v>60.95</v>
      </c>
      <c r="D304">
        <v>5</v>
      </c>
      <c r="E304">
        <v>26</v>
      </c>
      <c r="F304">
        <v>71.33</v>
      </c>
      <c r="G304">
        <v>0</v>
      </c>
      <c r="H304">
        <v>0</v>
      </c>
      <c r="I304">
        <v>0</v>
      </c>
      <c r="J304">
        <v>0</v>
      </c>
      <c r="K304">
        <v>59.69</v>
      </c>
      <c r="L304">
        <v>61.72</v>
      </c>
    </row>
    <row r="305" spans="1:12" x14ac:dyDescent="0.2">
      <c r="A305" s="4">
        <v>304</v>
      </c>
      <c r="B305" t="s">
        <v>257</v>
      </c>
      <c r="C305">
        <v>60.64</v>
      </c>
      <c r="D305">
        <v>4</v>
      </c>
      <c r="E305">
        <v>27</v>
      </c>
      <c r="F305">
        <v>73.77</v>
      </c>
      <c r="G305">
        <v>0</v>
      </c>
      <c r="H305">
        <v>0</v>
      </c>
      <c r="I305">
        <v>0</v>
      </c>
      <c r="J305">
        <v>4</v>
      </c>
      <c r="K305">
        <v>59.28</v>
      </c>
      <c r="L305">
        <v>61.48</v>
      </c>
    </row>
    <row r="306" spans="1:12" x14ac:dyDescent="0.2">
      <c r="A306" s="4">
        <v>305</v>
      </c>
      <c r="B306" t="s">
        <v>168</v>
      </c>
      <c r="C306">
        <v>60.54</v>
      </c>
      <c r="D306">
        <v>5</v>
      </c>
      <c r="E306">
        <v>24</v>
      </c>
      <c r="F306">
        <v>70.98</v>
      </c>
      <c r="G306">
        <v>0</v>
      </c>
      <c r="H306">
        <v>1</v>
      </c>
      <c r="I306">
        <v>0</v>
      </c>
      <c r="J306">
        <v>1</v>
      </c>
      <c r="K306">
        <v>60.55</v>
      </c>
      <c r="L306">
        <v>60.18</v>
      </c>
    </row>
    <row r="307" spans="1:12" x14ac:dyDescent="0.2">
      <c r="A307" s="4">
        <v>306</v>
      </c>
      <c r="B307" t="s">
        <v>559</v>
      </c>
      <c r="C307">
        <v>60.54</v>
      </c>
      <c r="D307">
        <v>9</v>
      </c>
      <c r="E307">
        <v>19</v>
      </c>
      <c r="F307">
        <v>66.25</v>
      </c>
      <c r="G307">
        <v>0</v>
      </c>
      <c r="H307">
        <v>0</v>
      </c>
      <c r="I307">
        <v>0</v>
      </c>
      <c r="J307">
        <v>0</v>
      </c>
      <c r="K307">
        <v>60.6</v>
      </c>
      <c r="L307">
        <v>60.11</v>
      </c>
    </row>
    <row r="308" spans="1:12" x14ac:dyDescent="0.2">
      <c r="A308" s="4">
        <v>307</v>
      </c>
      <c r="B308" t="s">
        <v>844</v>
      </c>
      <c r="C308">
        <v>60.35</v>
      </c>
      <c r="D308">
        <v>8</v>
      </c>
      <c r="E308">
        <v>18</v>
      </c>
      <c r="F308">
        <v>70</v>
      </c>
      <c r="G308">
        <v>0</v>
      </c>
      <c r="H308">
        <v>1</v>
      </c>
      <c r="I308">
        <v>0</v>
      </c>
      <c r="J308">
        <v>3</v>
      </c>
      <c r="K308">
        <v>61.41</v>
      </c>
      <c r="L308">
        <v>58.66</v>
      </c>
    </row>
    <row r="309" spans="1:12" x14ac:dyDescent="0.2">
      <c r="A309" s="4">
        <v>308</v>
      </c>
      <c r="B309" t="s">
        <v>270</v>
      </c>
      <c r="C309">
        <v>60.24</v>
      </c>
      <c r="D309">
        <v>10</v>
      </c>
      <c r="E309">
        <v>19</v>
      </c>
      <c r="F309">
        <v>67.03</v>
      </c>
      <c r="G309">
        <v>0</v>
      </c>
      <c r="H309">
        <v>0</v>
      </c>
      <c r="I309">
        <v>0</v>
      </c>
      <c r="J309">
        <v>3</v>
      </c>
      <c r="K309">
        <v>61.72</v>
      </c>
      <c r="L309">
        <v>57.86</v>
      </c>
    </row>
    <row r="310" spans="1:12" x14ac:dyDescent="0.2">
      <c r="A310" s="4">
        <v>309</v>
      </c>
      <c r="B310" t="s">
        <v>206</v>
      </c>
      <c r="C310">
        <v>60.23</v>
      </c>
      <c r="D310">
        <v>5</v>
      </c>
      <c r="E310">
        <v>23</v>
      </c>
      <c r="F310">
        <v>69.599999999999994</v>
      </c>
      <c r="G310">
        <v>0</v>
      </c>
      <c r="H310">
        <v>1</v>
      </c>
      <c r="I310">
        <v>0</v>
      </c>
      <c r="J310">
        <v>1</v>
      </c>
      <c r="K310">
        <v>59.03</v>
      </c>
      <c r="L310">
        <v>60.94</v>
      </c>
    </row>
    <row r="311" spans="1:12" x14ac:dyDescent="0.2">
      <c r="A311" s="4">
        <v>310</v>
      </c>
      <c r="B311" t="s">
        <v>299</v>
      </c>
      <c r="C311">
        <v>60.22</v>
      </c>
      <c r="D311">
        <v>11</v>
      </c>
      <c r="E311">
        <v>17</v>
      </c>
      <c r="F311">
        <v>65.81</v>
      </c>
      <c r="G311">
        <v>0</v>
      </c>
      <c r="H311">
        <v>0</v>
      </c>
      <c r="I311">
        <v>0</v>
      </c>
      <c r="J311">
        <v>2</v>
      </c>
      <c r="K311">
        <v>62.11</v>
      </c>
      <c r="L311">
        <v>57.03</v>
      </c>
    </row>
    <row r="312" spans="1:12" x14ac:dyDescent="0.2">
      <c r="A312" s="4">
        <v>311</v>
      </c>
      <c r="B312" t="s">
        <v>891</v>
      </c>
      <c r="C312">
        <v>60.14</v>
      </c>
      <c r="D312">
        <v>7</v>
      </c>
      <c r="E312">
        <v>23</v>
      </c>
      <c r="F312">
        <v>68.17</v>
      </c>
      <c r="G312">
        <v>0</v>
      </c>
      <c r="H312">
        <v>0</v>
      </c>
      <c r="I312">
        <v>0</v>
      </c>
      <c r="J312">
        <v>0</v>
      </c>
      <c r="K312">
        <v>59.9</v>
      </c>
      <c r="L312">
        <v>60.02</v>
      </c>
    </row>
    <row r="313" spans="1:12" x14ac:dyDescent="0.2">
      <c r="A313" s="4">
        <v>312</v>
      </c>
      <c r="B313" t="s">
        <v>867</v>
      </c>
      <c r="C313">
        <v>59.96</v>
      </c>
      <c r="D313">
        <v>10</v>
      </c>
      <c r="E313">
        <v>14</v>
      </c>
      <c r="F313">
        <v>64.52</v>
      </c>
      <c r="G313">
        <v>0</v>
      </c>
      <c r="H313">
        <v>1</v>
      </c>
      <c r="I313">
        <v>0</v>
      </c>
      <c r="J313">
        <v>1</v>
      </c>
      <c r="K313">
        <v>62.02</v>
      </c>
      <c r="L313">
        <v>56.33</v>
      </c>
    </row>
    <row r="314" spans="1:12" x14ac:dyDescent="0.2">
      <c r="A314" s="4">
        <v>313</v>
      </c>
      <c r="B314" t="s">
        <v>301</v>
      </c>
      <c r="C314">
        <v>59.94</v>
      </c>
      <c r="D314">
        <v>5</v>
      </c>
      <c r="E314">
        <v>23</v>
      </c>
      <c r="F314">
        <v>70.709999999999994</v>
      </c>
      <c r="G314">
        <v>0</v>
      </c>
      <c r="H314">
        <v>0</v>
      </c>
      <c r="I314">
        <v>0</v>
      </c>
      <c r="J314">
        <v>0</v>
      </c>
      <c r="K314">
        <v>61.4</v>
      </c>
      <c r="L314">
        <v>57.59</v>
      </c>
    </row>
    <row r="315" spans="1:12" x14ac:dyDescent="0.2">
      <c r="A315" s="4">
        <v>314</v>
      </c>
      <c r="B315" t="s">
        <v>843</v>
      </c>
      <c r="C315">
        <v>59.73</v>
      </c>
      <c r="D315">
        <v>11</v>
      </c>
      <c r="E315">
        <v>19</v>
      </c>
      <c r="F315">
        <v>66.349999999999994</v>
      </c>
      <c r="G315">
        <v>0</v>
      </c>
      <c r="H315">
        <v>1</v>
      </c>
      <c r="I315">
        <v>0</v>
      </c>
      <c r="J315">
        <v>2</v>
      </c>
      <c r="K315">
        <v>60.81</v>
      </c>
      <c r="L315">
        <v>58</v>
      </c>
    </row>
    <row r="316" spans="1:12" x14ac:dyDescent="0.2">
      <c r="A316" s="4">
        <v>315</v>
      </c>
      <c r="B316" t="s">
        <v>861</v>
      </c>
      <c r="C316">
        <v>59.72</v>
      </c>
      <c r="D316">
        <v>6</v>
      </c>
      <c r="E316">
        <v>20</v>
      </c>
      <c r="F316">
        <v>68.83</v>
      </c>
      <c r="G316">
        <v>0</v>
      </c>
      <c r="H316">
        <v>0</v>
      </c>
      <c r="I316">
        <v>0</v>
      </c>
      <c r="J316">
        <v>1</v>
      </c>
      <c r="K316">
        <v>60.08</v>
      </c>
      <c r="L316">
        <v>58.96</v>
      </c>
    </row>
    <row r="317" spans="1:12" x14ac:dyDescent="0.2">
      <c r="A317" s="4">
        <v>316</v>
      </c>
      <c r="B317" t="s">
        <v>293</v>
      </c>
      <c r="C317">
        <v>59.71</v>
      </c>
      <c r="D317">
        <v>3</v>
      </c>
      <c r="E317">
        <v>23</v>
      </c>
      <c r="F317">
        <v>70.040000000000006</v>
      </c>
      <c r="G317">
        <v>0</v>
      </c>
      <c r="H317">
        <v>1</v>
      </c>
      <c r="I317">
        <v>0</v>
      </c>
      <c r="J317">
        <v>1</v>
      </c>
      <c r="K317">
        <v>56.84</v>
      </c>
      <c r="L317">
        <v>61.42</v>
      </c>
    </row>
    <row r="318" spans="1:12" x14ac:dyDescent="0.2">
      <c r="A318" s="4">
        <v>317</v>
      </c>
      <c r="B318" t="s">
        <v>170</v>
      </c>
      <c r="C318">
        <v>59.7</v>
      </c>
      <c r="D318">
        <v>7</v>
      </c>
      <c r="E318">
        <v>22</v>
      </c>
      <c r="F318">
        <v>69.56</v>
      </c>
      <c r="G318">
        <v>0</v>
      </c>
      <c r="H318">
        <v>1</v>
      </c>
      <c r="I318">
        <v>0</v>
      </c>
      <c r="J318">
        <v>2</v>
      </c>
      <c r="K318">
        <v>59.17</v>
      </c>
      <c r="L318">
        <v>59.86</v>
      </c>
    </row>
    <row r="319" spans="1:12" x14ac:dyDescent="0.2">
      <c r="A319" s="4">
        <v>318</v>
      </c>
      <c r="B319" t="s">
        <v>893</v>
      </c>
      <c r="C319">
        <v>59.62</v>
      </c>
      <c r="D319">
        <v>7</v>
      </c>
      <c r="E319">
        <v>21</v>
      </c>
      <c r="F319">
        <v>66.53</v>
      </c>
      <c r="G319">
        <v>0</v>
      </c>
      <c r="H319">
        <v>0</v>
      </c>
      <c r="I319">
        <v>0</v>
      </c>
      <c r="J319">
        <v>1</v>
      </c>
      <c r="K319">
        <v>58.07</v>
      </c>
      <c r="L319">
        <v>60.57</v>
      </c>
    </row>
    <row r="320" spans="1:12" x14ac:dyDescent="0.2">
      <c r="A320" s="4">
        <v>319</v>
      </c>
      <c r="B320" t="s">
        <v>198</v>
      </c>
      <c r="C320">
        <v>59.29</v>
      </c>
      <c r="D320">
        <v>4</v>
      </c>
      <c r="E320">
        <v>23</v>
      </c>
      <c r="F320">
        <v>73.13</v>
      </c>
      <c r="G320">
        <v>0</v>
      </c>
      <c r="H320">
        <v>4</v>
      </c>
      <c r="I320">
        <v>0</v>
      </c>
      <c r="J320">
        <v>4</v>
      </c>
      <c r="K320">
        <v>58.24</v>
      </c>
      <c r="L320">
        <v>59.88</v>
      </c>
    </row>
    <row r="321" spans="1:12" x14ac:dyDescent="0.2">
      <c r="A321" s="4">
        <v>320</v>
      </c>
      <c r="B321" t="s">
        <v>127</v>
      </c>
      <c r="C321">
        <v>59.29</v>
      </c>
      <c r="D321">
        <v>5</v>
      </c>
      <c r="E321">
        <v>25</v>
      </c>
      <c r="F321">
        <v>67.459999999999994</v>
      </c>
      <c r="G321">
        <v>0</v>
      </c>
      <c r="H321">
        <v>0</v>
      </c>
      <c r="I321">
        <v>0</v>
      </c>
      <c r="J321">
        <v>1</v>
      </c>
      <c r="K321">
        <v>55.57</v>
      </c>
      <c r="L321">
        <v>61.34</v>
      </c>
    </row>
    <row r="322" spans="1:12" x14ac:dyDescent="0.2">
      <c r="A322" s="4">
        <v>321</v>
      </c>
      <c r="B322" t="s">
        <v>859</v>
      </c>
      <c r="C322">
        <v>59.22</v>
      </c>
      <c r="D322">
        <v>6</v>
      </c>
      <c r="E322">
        <v>24</v>
      </c>
      <c r="F322">
        <v>69.099999999999994</v>
      </c>
      <c r="G322">
        <v>0</v>
      </c>
      <c r="H322">
        <v>1</v>
      </c>
      <c r="I322">
        <v>0</v>
      </c>
      <c r="J322">
        <v>1</v>
      </c>
      <c r="K322">
        <v>58.31</v>
      </c>
      <c r="L322">
        <v>59.71</v>
      </c>
    </row>
    <row r="323" spans="1:12" x14ac:dyDescent="0.2">
      <c r="A323" s="4">
        <v>322</v>
      </c>
      <c r="B323" t="s">
        <v>898</v>
      </c>
      <c r="C323">
        <v>59.14</v>
      </c>
      <c r="D323">
        <v>10</v>
      </c>
      <c r="E323">
        <v>21</v>
      </c>
      <c r="F323">
        <v>67.02</v>
      </c>
      <c r="G323">
        <v>0</v>
      </c>
      <c r="H323">
        <v>2</v>
      </c>
      <c r="I323">
        <v>0</v>
      </c>
      <c r="J323">
        <v>3</v>
      </c>
      <c r="K323">
        <v>60.96</v>
      </c>
      <c r="L323">
        <v>55.95</v>
      </c>
    </row>
    <row r="324" spans="1:12" x14ac:dyDescent="0.2">
      <c r="A324" s="4">
        <v>323</v>
      </c>
      <c r="B324" t="s">
        <v>564</v>
      </c>
      <c r="C324">
        <v>59.04</v>
      </c>
      <c r="D324">
        <v>4</v>
      </c>
      <c r="E324">
        <v>22</v>
      </c>
      <c r="F324">
        <v>70.599999999999994</v>
      </c>
      <c r="G324">
        <v>0</v>
      </c>
      <c r="H324">
        <v>0</v>
      </c>
      <c r="I324">
        <v>0</v>
      </c>
      <c r="J324">
        <v>1</v>
      </c>
      <c r="K324">
        <v>58.83</v>
      </c>
      <c r="L324">
        <v>58.9</v>
      </c>
    </row>
    <row r="325" spans="1:12" x14ac:dyDescent="0.2">
      <c r="A325" s="4">
        <v>324</v>
      </c>
      <c r="B325" t="s">
        <v>834</v>
      </c>
      <c r="C325">
        <v>58.76</v>
      </c>
      <c r="D325">
        <v>9</v>
      </c>
      <c r="E325">
        <v>20</v>
      </c>
      <c r="F325">
        <v>65.63</v>
      </c>
      <c r="G325">
        <v>0</v>
      </c>
      <c r="H325">
        <v>0</v>
      </c>
      <c r="I325">
        <v>0</v>
      </c>
      <c r="J325">
        <v>3</v>
      </c>
      <c r="K325">
        <v>59.84</v>
      </c>
      <c r="L325">
        <v>57</v>
      </c>
    </row>
    <row r="326" spans="1:12" x14ac:dyDescent="0.2">
      <c r="A326" s="4">
        <v>325</v>
      </c>
      <c r="B326" t="s">
        <v>224</v>
      </c>
      <c r="C326">
        <v>58.25</v>
      </c>
      <c r="D326">
        <v>9</v>
      </c>
      <c r="E326">
        <v>22</v>
      </c>
      <c r="F326">
        <v>64.55</v>
      </c>
      <c r="G326">
        <v>0</v>
      </c>
      <c r="H326">
        <v>0</v>
      </c>
      <c r="I326">
        <v>0</v>
      </c>
      <c r="J326">
        <v>0</v>
      </c>
      <c r="K326">
        <v>57.83</v>
      </c>
      <c r="L326">
        <v>58.3</v>
      </c>
    </row>
    <row r="327" spans="1:12" x14ac:dyDescent="0.2">
      <c r="A327" s="4">
        <v>326</v>
      </c>
      <c r="B327" t="s">
        <v>268</v>
      </c>
      <c r="C327">
        <v>57.96</v>
      </c>
      <c r="D327">
        <v>4</v>
      </c>
      <c r="E327">
        <v>22</v>
      </c>
      <c r="F327">
        <v>70.87</v>
      </c>
      <c r="G327">
        <v>0</v>
      </c>
      <c r="H327">
        <v>1</v>
      </c>
      <c r="I327">
        <v>0</v>
      </c>
      <c r="J327">
        <v>5</v>
      </c>
      <c r="K327">
        <v>54.25</v>
      </c>
      <c r="L327">
        <v>59.92</v>
      </c>
    </row>
    <row r="328" spans="1:12" x14ac:dyDescent="0.2">
      <c r="A328" s="4">
        <v>327</v>
      </c>
      <c r="B328" t="s">
        <v>842</v>
      </c>
      <c r="C328">
        <v>57.93</v>
      </c>
      <c r="D328">
        <v>10</v>
      </c>
      <c r="E328">
        <v>19</v>
      </c>
      <c r="F328">
        <v>64.28</v>
      </c>
      <c r="G328">
        <v>0</v>
      </c>
      <c r="H328">
        <v>0</v>
      </c>
      <c r="I328">
        <v>0</v>
      </c>
      <c r="J328">
        <v>1</v>
      </c>
      <c r="K328">
        <v>60.02</v>
      </c>
      <c r="L328">
        <v>53.85</v>
      </c>
    </row>
    <row r="329" spans="1:12" x14ac:dyDescent="0.2">
      <c r="A329" s="4">
        <v>328</v>
      </c>
      <c r="B329" t="s">
        <v>241</v>
      </c>
      <c r="C329">
        <v>57.55</v>
      </c>
      <c r="D329">
        <v>4</v>
      </c>
      <c r="E329">
        <v>25</v>
      </c>
      <c r="F329">
        <v>69.069999999999993</v>
      </c>
      <c r="G329">
        <v>0</v>
      </c>
      <c r="H329">
        <v>0</v>
      </c>
      <c r="I329">
        <v>0</v>
      </c>
      <c r="J329">
        <v>0</v>
      </c>
      <c r="K329">
        <v>57.29</v>
      </c>
      <c r="L329">
        <v>57.46</v>
      </c>
    </row>
    <row r="330" spans="1:12" x14ac:dyDescent="0.2">
      <c r="A330" s="4">
        <v>329</v>
      </c>
      <c r="B330" t="s">
        <v>548</v>
      </c>
      <c r="C330">
        <v>57.09</v>
      </c>
      <c r="D330">
        <v>2</v>
      </c>
      <c r="E330">
        <v>28</v>
      </c>
      <c r="F330">
        <v>70.66</v>
      </c>
      <c r="G330">
        <v>0</v>
      </c>
      <c r="H330">
        <v>1</v>
      </c>
      <c r="I330">
        <v>0</v>
      </c>
      <c r="J330">
        <v>2</v>
      </c>
      <c r="K330">
        <v>52.58</v>
      </c>
      <c r="L330">
        <v>59.24</v>
      </c>
    </row>
    <row r="331" spans="1:12" x14ac:dyDescent="0.2">
      <c r="A331" s="4">
        <v>330</v>
      </c>
      <c r="B331" t="s">
        <v>899</v>
      </c>
      <c r="C331">
        <v>56.33</v>
      </c>
      <c r="D331">
        <v>2</v>
      </c>
      <c r="E331">
        <v>24</v>
      </c>
      <c r="F331">
        <v>75.19</v>
      </c>
      <c r="G331">
        <v>0</v>
      </c>
      <c r="H331">
        <v>3</v>
      </c>
      <c r="I331">
        <v>0</v>
      </c>
      <c r="J331">
        <v>4</v>
      </c>
      <c r="K331">
        <v>56.86</v>
      </c>
      <c r="L331">
        <v>55.32</v>
      </c>
    </row>
    <row r="332" spans="1:12" x14ac:dyDescent="0.2">
      <c r="A332" s="4">
        <v>331</v>
      </c>
      <c r="B332" t="s">
        <v>895</v>
      </c>
      <c r="C332">
        <v>55.77</v>
      </c>
      <c r="D332">
        <v>7</v>
      </c>
      <c r="E332">
        <v>21</v>
      </c>
      <c r="F332">
        <v>65.819999999999993</v>
      </c>
      <c r="G332">
        <v>0</v>
      </c>
      <c r="H332">
        <v>2</v>
      </c>
      <c r="I332">
        <v>0</v>
      </c>
      <c r="J332">
        <v>2</v>
      </c>
      <c r="K332">
        <v>56.56</v>
      </c>
      <c r="L332">
        <v>54.4</v>
      </c>
    </row>
    <row r="333" spans="1:12" x14ac:dyDescent="0.2">
      <c r="A333" s="4">
        <v>332</v>
      </c>
      <c r="B333" t="s">
        <v>882</v>
      </c>
      <c r="C333">
        <v>55.5</v>
      </c>
      <c r="D333">
        <v>5</v>
      </c>
      <c r="E333">
        <v>24</v>
      </c>
      <c r="F333">
        <v>67.599999999999994</v>
      </c>
      <c r="G333">
        <v>0</v>
      </c>
      <c r="H333">
        <v>0</v>
      </c>
      <c r="I333">
        <v>0</v>
      </c>
      <c r="J333">
        <v>0</v>
      </c>
      <c r="K333">
        <v>56.11</v>
      </c>
      <c r="L333">
        <v>54.4</v>
      </c>
    </row>
    <row r="334" spans="1:12" x14ac:dyDescent="0.2">
      <c r="A334" s="4">
        <v>333</v>
      </c>
      <c r="B334" t="s">
        <v>235</v>
      </c>
      <c r="C334">
        <v>55.42</v>
      </c>
      <c r="D334">
        <v>6</v>
      </c>
      <c r="E334">
        <v>22</v>
      </c>
      <c r="F334">
        <v>67.05</v>
      </c>
      <c r="G334">
        <v>0</v>
      </c>
      <c r="H334">
        <v>2</v>
      </c>
      <c r="I334">
        <v>0</v>
      </c>
      <c r="J334">
        <v>2</v>
      </c>
      <c r="K334">
        <v>57.07</v>
      </c>
      <c r="L334">
        <v>52.26</v>
      </c>
    </row>
    <row r="335" spans="1:12" x14ac:dyDescent="0.2">
      <c r="A335" s="4">
        <v>334</v>
      </c>
      <c r="B335" t="s">
        <v>260</v>
      </c>
      <c r="C335">
        <v>55.22</v>
      </c>
      <c r="D335">
        <v>6</v>
      </c>
      <c r="E335">
        <v>20</v>
      </c>
      <c r="F335">
        <v>64.59</v>
      </c>
      <c r="G335">
        <v>0</v>
      </c>
      <c r="H335">
        <v>0</v>
      </c>
      <c r="I335">
        <v>0</v>
      </c>
      <c r="J335">
        <v>2</v>
      </c>
      <c r="K335">
        <v>55.94</v>
      </c>
      <c r="L335">
        <v>53.94</v>
      </c>
    </row>
    <row r="336" spans="1:12" x14ac:dyDescent="0.2">
      <c r="A336" s="4">
        <v>335</v>
      </c>
      <c r="B336" t="s">
        <v>880</v>
      </c>
      <c r="C336">
        <v>53.42</v>
      </c>
      <c r="D336">
        <v>1</v>
      </c>
      <c r="E336">
        <v>26</v>
      </c>
      <c r="F336">
        <v>68.2</v>
      </c>
      <c r="G336">
        <v>0</v>
      </c>
      <c r="H336">
        <v>1</v>
      </c>
      <c r="I336">
        <v>0</v>
      </c>
      <c r="J336">
        <v>1</v>
      </c>
      <c r="K336">
        <v>48.26</v>
      </c>
      <c r="L336">
        <v>55.45</v>
      </c>
    </row>
    <row r="337" spans="1:12" x14ac:dyDescent="0.2">
      <c r="A337" s="4">
        <v>336</v>
      </c>
      <c r="B337" t="s">
        <v>886</v>
      </c>
      <c r="C337">
        <v>51.01</v>
      </c>
      <c r="D337">
        <v>3</v>
      </c>
      <c r="E337">
        <v>27</v>
      </c>
      <c r="F337">
        <v>66.39</v>
      </c>
      <c r="G337">
        <v>0</v>
      </c>
      <c r="H337">
        <v>1</v>
      </c>
      <c r="I337">
        <v>0</v>
      </c>
      <c r="J337">
        <v>2</v>
      </c>
      <c r="K337">
        <v>50.39</v>
      </c>
      <c r="L337">
        <v>51.23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8E14-F4A2-4E6F-82FF-C17633AC7983}">
  <dimension ref="A1:L335"/>
  <sheetViews>
    <sheetView topLeftCell="A304" workbookViewId="0">
      <selection activeCell="B325" sqref="B325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858</v>
      </c>
      <c r="H1" t="s">
        <v>857</v>
      </c>
      <c r="I1" t="s">
        <v>856</v>
      </c>
      <c r="J1" t="s">
        <v>855</v>
      </c>
      <c r="K1" t="s">
        <v>854</v>
      </c>
      <c r="L1" t="s">
        <v>28</v>
      </c>
    </row>
    <row r="2" spans="1:12" x14ac:dyDescent="0.2">
      <c r="A2" s="3">
        <v>1</v>
      </c>
      <c r="B2" t="s">
        <v>9</v>
      </c>
      <c r="C2">
        <v>93.63</v>
      </c>
      <c r="D2">
        <v>32</v>
      </c>
      <c r="E2">
        <v>4</v>
      </c>
      <c r="F2">
        <v>80.739999999999995</v>
      </c>
      <c r="G2">
        <v>2</v>
      </c>
      <c r="H2">
        <v>2</v>
      </c>
      <c r="I2">
        <v>7</v>
      </c>
      <c r="J2">
        <v>3</v>
      </c>
      <c r="K2">
        <v>93.21</v>
      </c>
      <c r="L2">
        <v>93.78</v>
      </c>
    </row>
    <row r="3" spans="1:12" x14ac:dyDescent="0.2">
      <c r="A3" s="3">
        <v>2</v>
      </c>
      <c r="B3" t="s">
        <v>60</v>
      </c>
      <c r="C3">
        <v>93.62</v>
      </c>
      <c r="D3">
        <v>33</v>
      </c>
      <c r="E3">
        <v>6</v>
      </c>
      <c r="F3">
        <v>78.150000000000006</v>
      </c>
      <c r="G3">
        <v>5</v>
      </c>
      <c r="H3">
        <v>0</v>
      </c>
      <c r="I3">
        <v>10</v>
      </c>
      <c r="J3">
        <v>5</v>
      </c>
      <c r="K3">
        <v>94.08</v>
      </c>
      <c r="L3">
        <v>92.93</v>
      </c>
    </row>
    <row r="4" spans="1:12" x14ac:dyDescent="0.2">
      <c r="A4" s="3">
        <v>3</v>
      </c>
      <c r="B4" t="s">
        <v>37</v>
      </c>
      <c r="C4">
        <v>92.6</v>
      </c>
      <c r="D4">
        <v>30</v>
      </c>
      <c r="E4">
        <v>4</v>
      </c>
      <c r="F4">
        <v>78.510000000000005</v>
      </c>
      <c r="G4">
        <v>3</v>
      </c>
      <c r="H4">
        <v>1</v>
      </c>
      <c r="I4">
        <v>10</v>
      </c>
      <c r="J4">
        <v>2</v>
      </c>
      <c r="K4">
        <v>93.68</v>
      </c>
      <c r="L4">
        <v>91.49</v>
      </c>
    </row>
    <row r="5" spans="1:12" x14ac:dyDescent="0.2">
      <c r="A5" s="3">
        <v>4</v>
      </c>
      <c r="B5" t="s">
        <v>40</v>
      </c>
      <c r="C5">
        <v>91.38</v>
      </c>
      <c r="D5">
        <v>33</v>
      </c>
      <c r="E5">
        <v>4</v>
      </c>
      <c r="F5">
        <v>76.27</v>
      </c>
      <c r="G5">
        <v>1</v>
      </c>
      <c r="H5">
        <v>3</v>
      </c>
      <c r="I5">
        <v>4</v>
      </c>
      <c r="J5">
        <v>3</v>
      </c>
      <c r="K5">
        <v>91.72</v>
      </c>
      <c r="L5">
        <v>90.78</v>
      </c>
    </row>
    <row r="6" spans="1:12" x14ac:dyDescent="0.2">
      <c r="A6" s="3">
        <v>5</v>
      </c>
      <c r="B6" t="s">
        <v>11</v>
      </c>
      <c r="C6">
        <v>91.3</v>
      </c>
      <c r="D6">
        <v>28</v>
      </c>
      <c r="E6">
        <v>5</v>
      </c>
      <c r="F6">
        <v>80.959999999999994</v>
      </c>
      <c r="G6">
        <v>2</v>
      </c>
      <c r="H6">
        <v>3</v>
      </c>
      <c r="I6">
        <v>4</v>
      </c>
      <c r="J6">
        <v>5</v>
      </c>
      <c r="K6">
        <v>92.88</v>
      </c>
      <c r="L6">
        <v>89.9</v>
      </c>
    </row>
    <row r="7" spans="1:12" x14ac:dyDescent="0.2">
      <c r="A7" s="3">
        <v>6</v>
      </c>
      <c r="B7" t="s">
        <v>38</v>
      </c>
      <c r="C7">
        <v>90.81</v>
      </c>
      <c r="D7">
        <v>30</v>
      </c>
      <c r="E7">
        <v>7</v>
      </c>
      <c r="F7">
        <v>77.77</v>
      </c>
      <c r="G7">
        <v>2</v>
      </c>
      <c r="H7">
        <v>2</v>
      </c>
      <c r="I7">
        <v>7</v>
      </c>
      <c r="J7">
        <v>4</v>
      </c>
      <c r="K7">
        <v>89.52</v>
      </c>
      <c r="L7">
        <v>92.27</v>
      </c>
    </row>
    <row r="8" spans="1:12" x14ac:dyDescent="0.2">
      <c r="A8" s="3">
        <v>7</v>
      </c>
      <c r="B8" t="s">
        <v>273</v>
      </c>
      <c r="C8">
        <v>90.09</v>
      </c>
      <c r="D8">
        <v>26</v>
      </c>
      <c r="E8">
        <v>9</v>
      </c>
      <c r="F8">
        <v>81.09</v>
      </c>
      <c r="G8">
        <v>2</v>
      </c>
      <c r="H8">
        <v>4</v>
      </c>
      <c r="I8">
        <v>8</v>
      </c>
      <c r="J8">
        <v>5</v>
      </c>
      <c r="K8">
        <v>90.87</v>
      </c>
      <c r="L8">
        <v>89.15</v>
      </c>
    </row>
    <row r="9" spans="1:12" x14ac:dyDescent="0.2">
      <c r="A9" s="3">
        <v>8</v>
      </c>
      <c r="B9" t="s">
        <v>30</v>
      </c>
      <c r="C9">
        <v>89.99</v>
      </c>
      <c r="D9">
        <v>32</v>
      </c>
      <c r="E9">
        <v>7</v>
      </c>
      <c r="F9">
        <v>79.16</v>
      </c>
      <c r="G9">
        <v>2</v>
      </c>
      <c r="H9">
        <v>2</v>
      </c>
      <c r="I9">
        <v>6</v>
      </c>
      <c r="J9">
        <v>5</v>
      </c>
      <c r="K9">
        <v>91.08</v>
      </c>
      <c r="L9">
        <v>88.85</v>
      </c>
    </row>
    <row r="10" spans="1:12" x14ac:dyDescent="0.2">
      <c r="A10" s="3">
        <v>9</v>
      </c>
      <c r="B10" t="s">
        <v>34</v>
      </c>
      <c r="C10">
        <v>88.39</v>
      </c>
      <c r="D10">
        <v>26</v>
      </c>
      <c r="E10">
        <v>7</v>
      </c>
      <c r="F10">
        <v>77.31</v>
      </c>
      <c r="G10">
        <v>1</v>
      </c>
      <c r="H10">
        <v>0</v>
      </c>
      <c r="I10">
        <v>4</v>
      </c>
      <c r="J10">
        <v>3</v>
      </c>
      <c r="K10">
        <v>87.99</v>
      </c>
      <c r="L10">
        <v>88.51</v>
      </c>
    </row>
    <row r="11" spans="1:12" x14ac:dyDescent="0.2">
      <c r="A11" s="3">
        <v>10</v>
      </c>
      <c r="B11" t="s">
        <v>147</v>
      </c>
      <c r="C11">
        <v>88.05</v>
      </c>
      <c r="D11">
        <v>23</v>
      </c>
      <c r="E11">
        <v>10</v>
      </c>
      <c r="F11">
        <v>79.400000000000006</v>
      </c>
      <c r="G11">
        <v>1</v>
      </c>
      <c r="H11">
        <v>4</v>
      </c>
      <c r="I11">
        <v>3</v>
      </c>
      <c r="J11">
        <v>6</v>
      </c>
      <c r="K11">
        <v>87.63</v>
      </c>
      <c r="L11">
        <v>88.2</v>
      </c>
    </row>
    <row r="12" spans="1:12" x14ac:dyDescent="0.2">
      <c r="A12" s="4">
        <v>11</v>
      </c>
      <c r="B12" t="s">
        <v>111</v>
      </c>
      <c r="C12">
        <v>88.01</v>
      </c>
      <c r="D12">
        <v>26</v>
      </c>
      <c r="E12">
        <v>7</v>
      </c>
      <c r="F12">
        <v>76.53</v>
      </c>
      <c r="G12">
        <v>3</v>
      </c>
      <c r="H12">
        <v>1</v>
      </c>
      <c r="I12">
        <v>5</v>
      </c>
      <c r="J12">
        <v>2</v>
      </c>
      <c r="K12">
        <v>86.87</v>
      </c>
      <c r="L12">
        <v>89.12</v>
      </c>
    </row>
    <row r="13" spans="1:12" x14ac:dyDescent="0.2">
      <c r="A13" s="4">
        <v>12</v>
      </c>
      <c r="B13" t="s">
        <v>153</v>
      </c>
      <c r="C13">
        <v>87.83</v>
      </c>
      <c r="D13">
        <v>25</v>
      </c>
      <c r="E13">
        <v>8</v>
      </c>
      <c r="F13">
        <v>78.94</v>
      </c>
      <c r="G13">
        <v>1</v>
      </c>
      <c r="H13">
        <v>2</v>
      </c>
      <c r="I13">
        <v>4</v>
      </c>
      <c r="J13">
        <v>4</v>
      </c>
      <c r="K13">
        <v>87.65</v>
      </c>
      <c r="L13">
        <v>87.71</v>
      </c>
    </row>
    <row r="14" spans="1:12" x14ac:dyDescent="0.2">
      <c r="A14" s="4">
        <v>13</v>
      </c>
      <c r="B14" t="s">
        <v>36</v>
      </c>
      <c r="C14">
        <v>87.75</v>
      </c>
      <c r="D14">
        <v>23</v>
      </c>
      <c r="E14">
        <v>8</v>
      </c>
      <c r="F14">
        <v>79.489999999999995</v>
      </c>
      <c r="G14">
        <v>1</v>
      </c>
      <c r="H14">
        <v>2</v>
      </c>
      <c r="I14">
        <v>5</v>
      </c>
      <c r="J14">
        <v>5</v>
      </c>
      <c r="K14">
        <v>86.79</v>
      </c>
      <c r="L14">
        <v>88.59</v>
      </c>
    </row>
    <row r="15" spans="1:12" x14ac:dyDescent="0.2">
      <c r="A15" s="4">
        <v>14</v>
      </c>
      <c r="B15" t="s">
        <v>122</v>
      </c>
      <c r="C15">
        <v>87.61</v>
      </c>
      <c r="D15">
        <v>27</v>
      </c>
      <c r="E15">
        <v>8</v>
      </c>
      <c r="F15">
        <v>77.72</v>
      </c>
      <c r="G15">
        <v>0</v>
      </c>
      <c r="H15">
        <v>3</v>
      </c>
      <c r="I15">
        <v>3</v>
      </c>
      <c r="J15">
        <v>4</v>
      </c>
      <c r="K15">
        <v>86.92</v>
      </c>
      <c r="L15">
        <v>88.07</v>
      </c>
    </row>
    <row r="16" spans="1:12" x14ac:dyDescent="0.2">
      <c r="A16" s="4">
        <v>15</v>
      </c>
      <c r="B16" t="s">
        <v>118</v>
      </c>
      <c r="C16">
        <v>87.34</v>
      </c>
      <c r="D16">
        <v>27</v>
      </c>
      <c r="E16">
        <v>8</v>
      </c>
      <c r="F16">
        <v>76.8</v>
      </c>
      <c r="G16">
        <v>1</v>
      </c>
      <c r="H16">
        <v>1</v>
      </c>
      <c r="I16">
        <v>4</v>
      </c>
      <c r="J16">
        <v>1</v>
      </c>
      <c r="K16">
        <v>88.66</v>
      </c>
      <c r="L16">
        <v>86.02</v>
      </c>
    </row>
    <row r="17" spans="1:12" x14ac:dyDescent="0.2">
      <c r="A17" s="4">
        <v>16</v>
      </c>
      <c r="B17" t="s">
        <v>0</v>
      </c>
      <c r="C17">
        <v>87.28</v>
      </c>
      <c r="D17">
        <v>29</v>
      </c>
      <c r="E17">
        <v>4</v>
      </c>
      <c r="F17">
        <v>76.319999999999993</v>
      </c>
      <c r="G17">
        <v>0</v>
      </c>
      <c r="H17">
        <v>3</v>
      </c>
      <c r="I17">
        <v>0</v>
      </c>
      <c r="J17">
        <v>4</v>
      </c>
      <c r="K17">
        <v>89.79</v>
      </c>
      <c r="L17">
        <v>85.34</v>
      </c>
    </row>
    <row r="18" spans="1:12" x14ac:dyDescent="0.2">
      <c r="A18" s="4">
        <v>17</v>
      </c>
      <c r="B18" t="s">
        <v>809</v>
      </c>
      <c r="C18">
        <v>87.23</v>
      </c>
      <c r="D18">
        <v>26</v>
      </c>
      <c r="E18">
        <v>6</v>
      </c>
      <c r="F18">
        <v>77.599999999999994</v>
      </c>
      <c r="G18">
        <v>2</v>
      </c>
      <c r="H18">
        <v>1</v>
      </c>
      <c r="I18">
        <v>2</v>
      </c>
      <c r="J18">
        <v>3</v>
      </c>
      <c r="K18">
        <v>87.94</v>
      </c>
      <c r="L18">
        <v>86.32</v>
      </c>
    </row>
    <row r="19" spans="1:12" x14ac:dyDescent="0.2">
      <c r="A19" s="4">
        <v>18</v>
      </c>
      <c r="B19" t="s">
        <v>72</v>
      </c>
      <c r="C19">
        <v>87.09</v>
      </c>
      <c r="D19">
        <v>21</v>
      </c>
      <c r="E19">
        <v>11</v>
      </c>
      <c r="F19">
        <v>80.25</v>
      </c>
      <c r="G19">
        <v>4</v>
      </c>
      <c r="H19">
        <v>4</v>
      </c>
      <c r="I19">
        <v>5</v>
      </c>
      <c r="J19">
        <v>7</v>
      </c>
      <c r="K19">
        <v>86.9</v>
      </c>
      <c r="L19">
        <v>86.98</v>
      </c>
    </row>
    <row r="20" spans="1:12" x14ac:dyDescent="0.2">
      <c r="A20" s="4">
        <v>19</v>
      </c>
      <c r="B20" t="s">
        <v>13</v>
      </c>
      <c r="C20">
        <v>87.03</v>
      </c>
      <c r="D20">
        <v>22</v>
      </c>
      <c r="E20">
        <v>8</v>
      </c>
      <c r="F20">
        <v>80.209999999999994</v>
      </c>
      <c r="G20">
        <v>3</v>
      </c>
      <c r="H20">
        <v>2</v>
      </c>
      <c r="I20">
        <v>6</v>
      </c>
      <c r="J20">
        <v>6</v>
      </c>
      <c r="K20">
        <v>88.24</v>
      </c>
      <c r="L20">
        <v>85.77</v>
      </c>
    </row>
    <row r="21" spans="1:12" x14ac:dyDescent="0.2">
      <c r="A21" s="4">
        <v>20</v>
      </c>
      <c r="B21" t="s">
        <v>96</v>
      </c>
      <c r="C21">
        <v>87.02</v>
      </c>
      <c r="D21">
        <v>22</v>
      </c>
      <c r="E21">
        <v>15</v>
      </c>
      <c r="F21">
        <v>80.849999999999994</v>
      </c>
      <c r="G21">
        <v>2</v>
      </c>
      <c r="H21">
        <v>2</v>
      </c>
      <c r="I21">
        <v>4</v>
      </c>
      <c r="J21">
        <v>8</v>
      </c>
      <c r="K21">
        <v>85.93</v>
      </c>
      <c r="L21">
        <v>88.03</v>
      </c>
    </row>
    <row r="22" spans="1:12" x14ac:dyDescent="0.2">
      <c r="A22" s="4">
        <v>21</v>
      </c>
      <c r="B22" t="s">
        <v>2</v>
      </c>
      <c r="C22">
        <v>86.58</v>
      </c>
      <c r="D22">
        <v>24</v>
      </c>
      <c r="E22">
        <v>8</v>
      </c>
      <c r="F22">
        <v>77.08</v>
      </c>
      <c r="G22">
        <v>1</v>
      </c>
      <c r="H22">
        <v>1</v>
      </c>
      <c r="I22">
        <v>2</v>
      </c>
      <c r="J22">
        <v>4</v>
      </c>
      <c r="K22">
        <v>84.5</v>
      </c>
      <c r="L22">
        <v>89.55</v>
      </c>
    </row>
    <row r="23" spans="1:12" x14ac:dyDescent="0.2">
      <c r="A23" s="4">
        <v>22</v>
      </c>
      <c r="B23" t="s">
        <v>35</v>
      </c>
      <c r="C23">
        <v>86.16</v>
      </c>
      <c r="D23">
        <v>22</v>
      </c>
      <c r="E23">
        <v>10</v>
      </c>
      <c r="F23">
        <v>77.92</v>
      </c>
      <c r="G23">
        <v>1</v>
      </c>
      <c r="H23">
        <v>4</v>
      </c>
      <c r="I23">
        <v>5</v>
      </c>
      <c r="J23">
        <v>5</v>
      </c>
      <c r="K23">
        <v>85.53</v>
      </c>
      <c r="L23">
        <v>86.55</v>
      </c>
    </row>
    <row r="24" spans="1:12" x14ac:dyDescent="0.2">
      <c r="A24" s="4">
        <v>23</v>
      </c>
      <c r="B24" t="s">
        <v>187</v>
      </c>
      <c r="C24">
        <v>85.66</v>
      </c>
      <c r="D24">
        <v>27</v>
      </c>
      <c r="E24">
        <v>3</v>
      </c>
      <c r="F24">
        <v>72.22</v>
      </c>
      <c r="G24">
        <v>0</v>
      </c>
      <c r="H24">
        <v>1</v>
      </c>
      <c r="I24">
        <v>0</v>
      </c>
      <c r="J24">
        <v>2</v>
      </c>
      <c r="K24">
        <v>88.78</v>
      </c>
      <c r="L24">
        <v>83.39</v>
      </c>
    </row>
    <row r="25" spans="1:12" x14ac:dyDescent="0.2">
      <c r="A25" s="4">
        <v>24</v>
      </c>
      <c r="B25" t="s">
        <v>32</v>
      </c>
      <c r="C25">
        <v>85.49</v>
      </c>
      <c r="D25">
        <v>25</v>
      </c>
      <c r="E25">
        <v>9</v>
      </c>
      <c r="F25">
        <v>78.36</v>
      </c>
      <c r="G25">
        <v>1</v>
      </c>
      <c r="H25">
        <v>2</v>
      </c>
      <c r="I25">
        <v>5</v>
      </c>
      <c r="J25">
        <v>2</v>
      </c>
      <c r="K25">
        <v>85.99</v>
      </c>
      <c r="L25">
        <v>84.75</v>
      </c>
    </row>
    <row r="26" spans="1:12" x14ac:dyDescent="0.2">
      <c r="A26" s="4">
        <v>25</v>
      </c>
      <c r="B26" t="s">
        <v>15</v>
      </c>
      <c r="C26">
        <v>85.42</v>
      </c>
      <c r="D26">
        <v>22</v>
      </c>
      <c r="E26">
        <v>13</v>
      </c>
      <c r="F26">
        <v>80.650000000000006</v>
      </c>
      <c r="G26">
        <v>0</v>
      </c>
      <c r="H26">
        <v>4</v>
      </c>
      <c r="I26">
        <v>5</v>
      </c>
      <c r="J26">
        <v>9</v>
      </c>
      <c r="K26">
        <v>85.71</v>
      </c>
      <c r="L26">
        <v>84.84</v>
      </c>
    </row>
    <row r="27" spans="1:12" x14ac:dyDescent="0.2">
      <c r="A27" s="4">
        <v>26</v>
      </c>
      <c r="B27" t="s">
        <v>114</v>
      </c>
      <c r="C27">
        <v>85.3</v>
      </c>
      <c r="D27">
        <v>22</v>
      </c>
      <c r="E27">
        <v>11</v>
      </c>
      <c r="F27">
        <v>78.45</v>
      </c>
      <c r="G27">
        <v>0</v>
      </c>
      <c r="H27">
        <v>1</v>
      </c>
      <c r="I27">
        <v>4</v>
      </c>
      <c r="J27">
        <v>4</v>
      </c>
      <c r="K27">
        <v>84.69</v>
      </c>
      <c r="L27">
        <v>85.66</v>
      </c>
    </row>
    <row r="28" spans="1:12" x14ac:dyDescent="0.2">
      <c r="A28" s="4">
        <v>27</v>
      </c>
      <c r="B28" t="s">
        <v>801</v>
      </c>
      <c r="C28">
        <v>85.14</v>
      </c>
      <c r="D28">
        <v>25</v>
      </c>
      <c r="E28">
        <v>9</v>
      </c>
      <c r="F28">
        <v>77.64</v>
      </c>
      <c r="G28">
        <v>0</v>
      </c>
      <c r="H28">
        <v>1</v>
      </c>
      <c r="I28">
        <v>5</v>
      </c>
      <c r="J28">
        <v>4</v>
      </c>
      <c r="K28">
        <v>86.21</v>
      </c>
      <c r="L28">
        <v>83.95</v>
      </c>
    </row>
    <row r="29" spans="1:12" x14ac:dyDescent="0.2">
      <c r="A29" s="4">
        <v>28</v>
      </c>
      <c r="B29" t="s">
        <v>860</v>
      </c>
      <c r="C29">
        <v>84.96</v>
      </c>
      <c r="D29">
        <v>22</v>
      </c>
      <c r="E29">
        <v>9</v>
      </c>
      <c r="F29">
        <v>77.91</v>
      </c>
      <c r="G29">
        <v>0</v>
      </c>
      <c r="H29">
        <v>0</v>
      </c>
      <c r="I29">
        <v>1</v>
      </c>
      <c r="J29">
        <v>4</v>
      </c>
      <c r="K29">
        <v>84.02</v>
      </c>
      <c r="L29">
        <v>85.74</v>
      </c>
    </row>
    <row r="30" spans="1:12" x14ac:dyDescent="0.2">
      <c r="A30" s="4">
        <v>29</v>
      </c>
      <c r="B30" t="s">
        <v>870</v>
      </c>
      <c r="C30">
        <v>84.87</v>
      </c>
      <c r="D30">
        <v>22</v>
      </c>
      <c r="E30">
        <v>10</v>
      </c>
      <c r="F30">
        <v>77.38</v>
      </c>
      <c r="G30">
        <v>0</v>
      </c>
      <c r="H30">
        <v>2</v>
      </c>
      <c r="I30">
        <v>2</v>
      </c>
      <c r="J30">
        <v>6</v>
      </c>
      <c r="K30">
        <v>84.84</v>
      </c>
      <c r="L30">
        <v>84.6</v>
      </c>
    </row>
    <row r="31" spans="1:12" x14ac:dyDescent="0.2">
      <c r="A31" s="4">
        <v>30</v>
      </c>
      <c r="B31" t="s">
        <v>6</v>
      </c>
      <c r="C31">
        <v>84.76</v>
      </c>
      <c r="D31">
        <v>20</v>
      </c>
      <c r="E31">
        <v>13</v>
      </c>
      <c r="F31">
        <v>80.89</v>
      </c>
      <c r="G31">
        <v>0</v>
      </c>
      <c r="H31">
        <v>5</v>
      </c>
      <c r="I31">
        <v>2</v>
      </c>
      <c r="J31">
        <v>7</v>
      </c>
      <c r="K31">
        <v>83.55</v>
      </c>
      <c r="L31">
        <v>85.9</v>
      </c>
    </row>
    <row r="32" spans="1:12" x14ac:dyDescent="0.2">
      <c r="A32" s="4">
        <v>31</v>
      </c>
      <c r="B32" t="s">
        <v>46</v>
      </c>
      <c r="C32">
        <v>84.2</v>
      </c>
      <c r="D32">
        <v>19</v>
      </c>
      <c r="E32">
        <v>12</v>
      </c>
      <c r="F32">
        <v>79.58</v>
      </c>
      <c r="G32">
        <v>1</v>
      </c>
      <c r="H32">
        <v>3</v>
      </c>
      <c r="I32">
        <v>3</v>
      </c>
      <c r="J32">
        <v>7</v>
      </c>
      <c r="K32">
        <v>84.25</v>
      </c>
      <c r="L32">
        <v>83.85</v>
      </c>
    </row>
    <row r="33" spans="1:12" x14ac:dyDescent="0.2">
      <c r="A33" s="4">
        <v>32</v>
      </c>
      <c r="B33" t="s">
        <v>39</v>
      </c>
      <c r="C33">
        <v>84.16</v>
      </c>
      <c r="D33">
        <v>22</v>
      </c>
      <c r="E33">
        <v>11</v>
      </c>
      <c r="F33">
        <v>78.53</v>
      </c>
      <c r="G33">
        <v>1</v>
      </c>
      <c r="H33">
        <v>2</v>
      </c>
      <c r="I33">
        <v>1</v>
      </c>
      <c r="J33">
        <v>6</v>
      </c>
      <c r="K33">
        <v>84.47</v>
      </c>
      <c r="L33">
        <v>83.58</v>
      </c>
    </row>
    <row r="34" spans="1:12" x14ac:dyDescent="0.2">
      <c r="A34" s="4">
        <v>33</v>
      </c>
      <c r="B34" t="s">
        <v>99</v>
      </c>
      <c r="C34">
        <v>84.1</v>
      </c>
      <c r="D34">
        <v>20</v>
      </c>
      <c r="E34">
        <v>13</v>
      </c>
      <c r="F34">
        <v>80.010000000000005</v>
      </c>
      <c r="G34">
        <v>1</v>
      </c>
      <c r="H34">
        <v>4</v>
      </c>
      <c r="I34">
        <v>2</v>
      </c>
      <c r="J34">
        <v>7</v>
      </c>
      <c r="K34">
        <v>83.72</v>
      </c>
      <c r="L34">
        <v>84.2</v>
      </c>
    </row>
    <row r="35" spans="1:12" x14ac:dyDescent="0.2">
      <c r="A35" s="4">
        <v>34</v>
      </c>
      <c r="B35" t="s">
        <v>73</v>
      </c>
      <c r="C35">
        <v>84.04</v>
      </c>
      <c r="D35">
        <v>23</v>
      </c>
      <c r="E35">
        <v>12</v>
      </c>
      <c r="F35">
        <v>79.650000000000006</v>
      </c>
      <c r="G35">
        <v>2</v>
      </c>
      <c r="H35">
        <v>6</v>
      </c>
      <c r="I35">
        <v>4</v>
      </c>
      <c r="J35">
        <v>7</v>
      </c>
      <c r="K35">
        <v>85.37</v>
      </c>
      <c r="L35">
        <v>82.65</v>
      </c>
    </row>
    <row r="36" spans="1:12" x14ac:dyDescent="0.2">
      <c r="A36" s="4">
        <v>35</v>
      </c>
      <c r="B36" t="s">
        <v>65</v>
      </c>
      <c r="C36">
        <v>83.9</v>
      </c>
      <c r="D36">
        <v>19</v>
      </c>
      <c r="E36">
        <v>11</v>
      </c>
      <c r="F36">
        <v>79.540000000000006</v>
      </c>
      <c r="G36">
        <v>2</v>
      </c>
      <c r="H36">
        <v>2</v>
      </c>
      <c r="I36">
        <v>4</v>
      </c>
      <c r="J36">
        <v>4</v>
      </c>
      <c r="K36">
        <v>83.77</v>
      </c>
      <c r="L36">
        <v>83.72</v>
      </c>
    </row>
    <row r="37" spans="1:12" x14ac:dyDescent="0.2">
      <c r="A37" s="4">
        <v>36</v>
      </c>
      <c r="B37" t="s">
        <v>794</v>
      </c>
      <c r="C37">
        <v>83.69</v>
      </c>
      <c r="D37">
        <v>21</v>
      </c>
      <c r="E37">
        <v>12</v>
      </c>
      <c r="F37">
        <v>79.31</v>
      </c>
      <c r="G37">
        <v>1</v>
      </c>
      <c r="H37">
        <v>2</v>
      </c>
      <c r="I37">
        <v>6</v>
      </c>
      <c r="J37">
        <v>7</v>
      </c>
      <c r="K37">
        <v>84.66</v>
      </c>
      <c r="L37">
        <v>82.56</v>
      </c>
    </row>
    <row r="38" spans="1:12" x14ac:dyDescent="0.2">
      <c r="A38" s="4">
        <v>37</v>
      </c>
      <c r="B38" t="s">
        <v>102</v>
      </c>
      <c r="C38">
        <v>83.69</v>
      </c>
      <c r="D38">
        <v>21</v>
      </c>
      <c r="E38">
        <v>10</v>
      </c>
      <c r="F38">
        <v>78.209999999999994</v>
      </c>
      <c r="G38">
        <v>1</v>
      </c>
      <c r="H38">
        <v>1</v>
      </c>
      <c r="I38">
        <v>6</v>
      </c>
      <c r="J38">
        <v>4</v>
      </c>
      <c r="K38">
        <v>83.79</v>
      </c>
      <c r="L38">
        <v>83.3</v>
      </c>
    </row>
    <row r="39" spans="1:12" x14ac:dyDescent="0.2">
      <c r="A39" s="4">
        <v>38</v>
      </c>
      <c r="B39" t="s">
        <v>57</v>
      </c>
      <c r="C39">
        <v>83.59</v>
      </c>
      <c r="D39">
        <v>22</v>
      </c>
      <c r="E39">
        <v>9</v>
      </c>
      <c r="F39">
        <v>75.45</v>
      </c>
      <c r="G39">
        <v>1</v>
      </c>
      <c r="H39">
        <v>3</v>
      </c>
      <c r="I39">
        <v>1</v>
      </c>
      <c r="J39">
        <v>4</v>
      </c>
      <c r="K39">
        <v>83.79</v>
      </c>
      <c r="L39">
        <v>83.11</v>
      </c>
    </row>
    <row r="40" spans="1:12" x14ac:dyDescent="0.2">
      <c r="A40" s="4">
        <v>39</v>
      </c>
      <c r="B40" t="s">
        <v>252</v>
      </c>
      <c r="C40">
        <v>83.42</v>
      </c>
      <c r="D40">
        <v>26</v>
      </c>
      <c r="E40">
        <v>5</v>
      </c>
      <c r="F40">
        <v>71.88</v>
      </c>
      <c r="G40">
        <v>0</v>
      </c>
      <c r="H40">
        <v>3</v>
      </c>
      <c r="I40">
        <v>1</v>
      </c>
      <c r="J40">
        <v>3</v>
      </c>
      <c r="K40">
        <v>86.82</v>
      </c>
      <c r="L40">
        <v>80.88</v>
      </c>
    </row>
    <row r="41" spans="1:12" x14ac:dyDescent="0.2">
      <c r="A41" s="4">
        <v>40</v>
      </c>
      <c r="B41" t="s">
        <v>42</v>
      </c>
      <c r="C41">
        <v>83.29</v>
      </c>
      <c r="D41">
        <v>18</v>
      </c>
      <c r="E41">
        <v>13</v>
      </c>
      <c r="F41">
        <v>80.08</v>
      </c>
      <c r="G41">
        <v>2</v>
      </c>
      <c r="H41">
        <v>3</v>
      </c>
      <c r="I41">
        <v>5</v>
      </c>
      <c r="J41">
        <v>7</v>
      </c>
      <c r="K41">
        <v>83.79</v>
      </c>
      <c r="L41">
        <v>82.54</v>
      </c>
    </row>
    <row r="42" spans="1:12" x14ac:dyDescent="0.2">
      <c r="A42" s="4">
        <v>41</v>
      </c>
      <c r="B42" t="s">
        <v>793</v>
      </c>
      <c r="C42">
        <v>83.19</v>
      </c>
      <c r="D42">
        <v>20</v>
      </c>
      <c r="E42">
        <v>10</v>
      </c>
      <c r="F42">
        <v>76.239999999999995</v>
      </c>
      <c r="G42">
        <v>1</v>
      </c>
      <c r="H42">
        <v>2</v>
      </c>
      <c r="I42">
        <v>1</v>
      </c>
      <c r="J42">
        <v>6</v>
      </c>
      <c r="K42">
        <v>82.29</v>
      </c>
      <c r="L42">
        <v>83.89</v>
      </c>
    </row>
    <row r="43" spans="1:12" x14ac:dyDescent="0.2">
      <c r="A43" s="4">
        <v>42</v>
      </c>
      <c r="B43" t="s">
        <v>154</v>
      </c>
      <c r="C43">
        <v>83.13</v>
      </c>
      <c r="D43">
        <v>25</v>
      </c>
      <c r="E43">
        <v>8</v>
      </c>
      <c r="F43">
        <v>74.92</v>
      </c>
      <c r="G43">
        <v>0</v>
      </c>
      <c r="H43">
        <v>0</v>
      </c>
      <c r="I43">
        <v>1</v>
      </c>
      <c r="J43">
        <v>2</v>
      </c>
      <c r="K43">
        <v>83.41</v>
      </c>
      <c r="L43">
        <v>82.56</v>
      </c>
    </row>
    <row r="44" spans="1:12" x14ac:dyDescent="0.2">
      <c r="A44" s="4">
        <v>43</v>
      </c>
      <c r="B44" t="s">
        <v>119</v>
      </c>
      <c r="C44">
        <v>83</v>
      </c>
      <c r="D44">
        <v>26</v>
      </c>
      <c r="E44">
        <v>6</v>
      </c>
      <c r="F44">
        <v>74.069999999999993</v>
      </c>
      <c r="G44">
        <v>0</v>
      </c>
      <c r="H44">
        <v>1</v>
      </c>
      <c r="I44">
        <v>1</v>
      </c>
      <c r="J44">
        <v>1</v>
      </c>
      <c r="K44">
        <v>83.08</v>
      </c>
      <c r="L44">
        <v>82.62</v>
      </c>
    </row>
    <row r="45" spans="1:12" x14ac:dyDescent="0.2">
      <c r="A45" s="4">
        <v>44</v>
      </c>
      <c r="B45" t="s">
        <v>54</v>
      </c>
      <c r="C45">
        <v>82.91</v>
      </c>
      <c r="D45">
        <v>16</v>
      </c>
      <c r="E45">
        <v>14</v>
      </c>
      <c r="F45">
        <v>78.790000000000006</v>
      </c>
      <c r="G45">
        <v>0</v>
      </c>
      <c r="H45">
        <v>4</v>
      </c>
      <c r="I45">
        <v>0</v>
      </c>
      <c r="J45">
        <v>7</v>
      </c>
      <c r="K45">
        <v>81.510000000000005</v>
      </c>
      <c r="L45">
        <v>84.28</v>
      </c>
    </row>
    <row r="46" spans="1:12" x14ac:dyDescent="0.2">
      <c r="A46" s="4">
        <v>45</v>
      </c>
      <c r="B46" t="s">
        <v>104</v>
      </c>
      <c r="C46">
        <v>82.85</v>
      </c>
      <c r="D46">
        <v>21</v>
      </c>
      <c r="E46">
        <v>13</v>
      </c>
      <c r="F46">
        <v>77.58</v>
      </c>
      <c r="G46">
        <v>0</v>
      </c>
      <c r="H46">
        <v>4</v>
      </c>
      <c r="I46">
        <v>1</v>
      </c>
      <c r="J46">
        <v>9</v>
      </c>
      <c r="K46">
        <v>83.15</v>
      </c>
      <c r="L46">
        <v>82.26</v>
      </c>
    </row>
    <row r="47" spans="1:12" x14ac:dyDescent="0.2">
      <c r="A47" s="4">
        <v>46</v>
      </c>
      <c r="B47" t="s">
        <v>131</v>
      </c>
      <c r="C47">
        <v>82.73</v>
      </c>
      <c r="D47">
        <v>20</v>
      </c>
      <c r="E47">
        <v>11</v>
      </c>
      <c r="F47">
        <v>78.62</v>
      </c>
      <c r="G47">
        <v>1</v>
      </c>
      <c r="H47">
        <v>2</v>
      </c>
      <c r="I47">
        <v>3</v>
      </c>
      <c r="J47">
        <v>6</v>
      </c>
      <c r="K47">
        <v>81.96</v>
      </c>
      <c r="L47">
        <v>83.26</v>
      </c>
    </row>
    <row r="48" spans="1:12" x14ac:dyDescent="0.2">
      <c r="A48" s="4">
        <v>47</v>
      </c>
      <c r="B48" t="s">
        <v>76</v>
      </c>
      <c r="C48">
        <v>82.63</v>
      </c>
      <c r="D48">
        <v>17</v>
      </c>
      <c r="E48">
        <v>13</v>
      </c>
      <c r="F48">
        <v>79.98</v>
      </c>
      <c r="G48">
        <v>1</v>
      </c>
      <c r="H48">
        <v>4</v>
      </c>
      <c r="I48">
        <v>4</v>
      </c>
      <c r="J48">
        <v>8</v>
      </c>
      <c r="K48">
        <v>82.61</v>
      </c>
      <c r="L48">
        <v>82.34</v>
      </c>
    </row>
    <row r="49" spans="1:12" x14ac:dyDescent="0.2">
      <c r="A49" s="4">
        <v>48</v>
      </c>
      <c r="B49" t="s">
        <v>43</v>
      </c>
      <c r="C49">
        <v>82.62</v>
      </c>
      <c r="D49">
        <v>19</v>
      </c>
      <c r="E49">
        <v>12</v>
      </c>
      <c r="F49">
        <v>78.87</v>
      </c>
      <c r="G49">
        <v>0</v>
      </c>
      <c r="H49">
        <v>1</v>
      </c>
      <c r="I49">
        <v>2</v>
      </c>
      <c r="J49">
        <v>5</v>
      </c>
      <c r="K49">
        <v>82.53</v>
      </c>
      <c r="L49">
        <v>82.42</v>
      </c>
    </row>
    <row r="50" spans="1:12" x14ac:dyDescent="0.2">
      <c r="A50" s="4">
        <v>49</v>
      </c>
      <c r="B50" t="s">
        <v>52</v>
      </c>
      <c r="C50">
        <v>82.45</v>
      </c>
      <c r="D50">
        <v>20</v>
      </c>
      <c r="E50">
        <v>10</v>
      </c>
      <c r="F50">
        <v>77.42</v>
      </c>
      <c r="G50">
        <v>0</v>
      </c>
      <c r="H50">
        <v>0</v>
      </c>
      <c r="I50">
        <v>4</v>
      </c>
      <c r="J50">
        <v>4</v>
      </c>
      <c r="K50">
        <v>82.36</v>
      </c>
      <c r="L50">
        <v>82.25</v>
      </c>
    </row>
    <row r="51" spans="1:12" x14ac:dyDescent="0.2">
      <c r="A51" s="4">
        <v>50</v>
      </c>
      <c r="B51" t="s">
        <v>136</v>
      </c>
      <c r="C51">
        <v>82.3</v>
      </c>
      <c r="D51">
        <v>22</v>
      </c>
      <c r="E51">
        <v>10</v>
      </c>
      <c r="F51">
        <v>77.77</v>
      </c>
      <c r="G51">
        <v>0</v>
      </c>
      <c r="H51">
        <v>0</v>
      </c>
      <c r="I51">
        <v>4</v>
      </c>
      <c r="J51">
        <v>4</v>
      </c>
      <c r="K51">
        <v>82.91</v>
      </c>
      <c r="L51">
        <v>81.44</v>
      </c>
    </row>
    <row r="52" spans="1:12" x14ac:dyDescent="0.2">
      <c r="A52" s="4">
        <v>51</v>
      </c>
      <c r="B52" t="s">
        <v>142</v>
      </c>
      <c r="C52">
        <v>82.29</v>
      </c>
      <c r="D52">
        <v>26</v>
      </c>
      <c r="E52">
        <v>7</v>
      </c>
      <c r="F52">
        <v>74.760000000000005</v>
      </c>
      <c r="G52">
        <v>0</v>
      </c>
      <c r="H52">
        <v>0</v>
      </c>
      <c r="I52">
        <v>2</v>
      </c>
      <c r="J52">
        <v>0</v>
      </c>
      <c r="K52">
        <v>84.67</v>
      </c>
      <c r="L52">
        <v>80.19</v>
      </c>
    </row>
    <row r="53" spans="1:12" x14ac:dyDescent="0.2">
      <c r="A53" s="4">
        <v>52</v>
      </c>
      <c r="B53" t="s">
        <v>45</v>
      </c>
      <c r="C53">
        <v>82.28</v>
      </c>
      <c r="D53">
        <v>20</v>
      </c>
      <c r="E53">
        <v>9</v>
      </c>
      <c r="F53">
        <v>77.66</v>
      </c>
      <c r="G53">
        <v>1</v>
      </c>
      <c r="H53">
        <v>2</v>
      </c>
      <c r="I53">
        <v>1</v>
      </c>
      <c r="J53">
        <v>4</v>
      </c>
      <c r="K53">
        <v>82.37</v>
      </c>
      <c r="L53">
        <v>81.900000000000006</v>
      </c>
    </row>
    <row r="54" spans="1:12" x14ac:dyDescent="0.2">
      <c r="A54" s="4">
        <v>53</v>
      </c>
      <c r="B54" t="s">
        <v>280</v>
      </c>
      <c r="C54">
        <v>82.21</v>
      </c>
      <c r="D54">
        <v>24</v>
      </c>
      <c r="E54">
        <v>10</v>
      </c>
      <c r="F54">
        <v>75.150000000000006</v>
      </c>
      <c r="G54">
        <v>0</v>
      </c>
      <c r="H54">
        <v>0</v>
      </c>
      <c r="I54">
        <v>1</v>
      </c>
      <c r="J54">
        <v>1</v>
      </c>
      <c r="K54">
        <v>83.14</v>
      </c>
      <c r="L54">
        <v>81.09</v>
      </c>
    </row>
    <row r="55" spans="1:12" x14ac:dyDescent="0.2">
      <c r="A55" s="4">
        <v>54</v>
      </c>
      <c r="B55" t="s">
        <v>66</v>
      </c>
      <c r="C55">
        <v>82.21</v>
      </c>
      <c r="D55">
        <v>23</v>
      </c>
      <c r="E55">
        <v>7</v>
      </c>
      <c r="F55">
        <v>74.180000000000007</v>
      </c>
      <c r="G55">
        <v>1</v>
      </c>
      <c r="H55">
        <v>2</v>
      </c>
      <c r="I55">
        <v>1</v>
      </c>
      <c r="J55">
        <v>3</v>
      </c>
      <c r="K55">
        <v>82.86</v>
      </c>
      <c r="L55">
        <v>81.33</v>
      </c>
    </row>
    <row r="56" spans="1:12" x14ac:dyDescent="0.2">
      <c r="A56" s="4">
        <v>55</v>
      </c>
      <c r="B56" t="s">
        <v>75</v>
      </c>
      <c r="C56">
        <v>81.709999999999994</v>
      </c>
      <c r="D56">
        <v>18</v>
      </c>
      <c r="E56">
        <v>13</v>
      </c>
      <c r="F56">
        <v>78.66</v>
      </c>
      <c r="G56">
        <v>0</v>
      </c>
      <c r="H56">
        <v>2</v>
      </c>
      <c r="I56">
        <v>2</v>
      </c>
      <c r="J56">
        <v>8</v>
      </c>
      <c r="K56">
        <v>81.09</v>
      </c>
      <c r="L56">
        <v>82.07</v>
      </c>
    </row>
    <row r="57" spans="1:12" x14ac:dyDescent="0.2">
      <c r="A57" s="4">
        <v>56</v>
      </c>
      <c r="B57" t="s">
        <v>783</v>
      </c>
      <c r="C57">
        <v>81.709999999999994</v>
      </c>
      <c r="D57">
        <v>19</v>
      </c>
      <c r="E57">
        <v>14</v>
      </c>
      <c r="F57">
        <v>78.680000000000007</v>
      </c>
      <c r="G57">
        <v>0</v>
      </c>
      <c r="H57">
        <v>1</v>
      </c>
      <c r="I57">
        <v>1</v>
      </c>
      <c r="J57">
        <v>5</v>
      </c>
      <c r="K57">
        <v>80.650000000000006</v>
      </c>
      <c r="L57">
        <v>82.6</v>
      </c>
    </row>
    <row r="58" spans="1:12" x14ac:dyDescent="0.2">
      <c r="A58" s="4">
        <v>57</v>
      </c>
      <c r="B58" t="s">
        <v>872</v>
      </c>
      <c r="C58">
        <v>81.55</v>
      </c>
      <c r="D58">
        <v>18</v>
      </c>
      <c r="E58">
        <v>16</v>
      </c>
      <c r="F58">
        <v>78.94</v>
      </c>
      <c r="G58">
        <v>0</v>
      </c>
      <c r="H58">
        <v>3</v>
      </c>
      <c r="I58">
        <v>1</v>
      </c>
      <c r="J58">
        <v>8</v>
      </c>
      <c r="K58">
        <v>81.52</v>
      </c>
      <c r="L58">
        <v>81.28</v>
      </c>
    </row>
    <row r="59" spans="1:12" x14ac:dyDescent="0.2">
      <c r="A59" s="4">
        <v>58</v>
      </c>
      <c r="B59" t="s">
        <v>216</v>
      </c>
      <c r="C59">
        <v>81.44</v>
      </c>
      <c r="D59">
        <v>22</v>
      </c>
      <c r="E59">
        <v>7</v>
      </c>
      <c r="F59">
        <v>73.3</v>
      </c>
      <c r="G59">
        <v>0</v>
      </c>
      <c r="H59">
        <v>1</v>
      </c>
      <c r="I59">
        <v>0</v>
      </c>
      <c r="J59">
        <v>2</v>
      </c>
      <c r="K59">
        <v>80.42</v>
      </c>
      <c r="L59">
        <v>82.28</v>
      </c>
    </row>
    <row r="60" spans="1:12" x14ac:dyDescent="0.2">
      <c r="A60" s="4">
        <v>59</v>
      </c>
      <c r="B60" t="s">
        <v>78</v>
      </c>
      <c r="C60">
        <v>81.400000000000006</v>
      </c>
      <c r="D60">
        <v>18</v>
      </c>
      <c r="E60">
        <v>13</v>
      </c>
      <c r="F60">
        <v>77.349999999999994</v>
      </c>
      <c r="G60">
        <v>0</v>
      </c>
      <c r="H60">
        <v>1</v>
      </c>
      <c r="I60">
        <v>1</v>
      </c>
      <c r="J60">
        <v>4</v>
      </c>
      <c r="K60">
        <v>80.33</v>
      </c>
      <c r="L60">
        <v>82.29</v>
      </c>
    </row>
    <row r="61" spans="1:12" x14ac:dyDescent="0.2">
      <c r="A61" s="4">
        <v>60</v>
      </c>
      <c r="B61" t="s">
        <v>249</v>
      </c>
      <c r="C61">
        <v>81.36</v>
      </c>
      <c r="D61">
        <v>21</v>
      </c>
      <c r="E61">
        <v>9</v>
      </c>
      <c r="F61">
        <v>75.040000000000006</v>
      </c>
      <c r="G61">
        <v>0</v>
      </c>
      <c r="H61">
        <v>2</v>
      </c>
      <c r="I61">
        <v>0</v>
      </c>
      <c r="J61">
        <v>3</v>
      </c>
      <c r="K61">
        <v>81.25</v>
      </c>
      <c r="L61">
        <v>81.16</v>
      </c>
    </row>
    <row r="62" spans="1:12" x14ac:dyDescent="0.2">
      <c r="A62" s="4">
        <v>61</v>
      </c>
      <c r="B62" t="s">
        <v>51</v>
      </c>
      <c r="C62">
        <v>81.319999999999993</v>
      </c>
      <c r="D62">
        <v>21</v>
      </c>
      <c r="E62">
        <v>11</v>
      </c>
      <c r="F62">
        <v>74.709999999999994</v>
      </c>
      <c r="G62">
        <v>0</v>
      </c>
      <c r="H62">
        <v>1</v>
      </c>
      <c r="I62">
        <v>0</v>
      </c>
      <c r="J62">
        <v>3</v>
      </c>
      <c r="K62">
        <v>79.930000000000007</v>
      </c>
      <c r="L62">
        <v>82.63</v>
      </c>
    </row>
    <row r="63" spans="1:12" x14ac:dyDescent="0.2">
      <c r="A63" s="4">
        <v>62</v>
      </c>
      <c r="B63" t="s">
        <v>548</v>
      </c>
      <c r="C63">
        <v>81.06</v>
      </c>
      <c r="D63">
        <v>23</v>
      </c>
      <c r="E63">
        <v>8</v>
      </c>
      <c r="F63">
        <v>74.260000000000005</v>
      </c>
      <c r="G63">
        <v>0</v>
      </c>
      <c r="H63">
        <v>1</v>
      </c>
      <c r="I63">
        <v>0</v>
      </c>
      <c r="J63">
        <v>2</v>
      </c>
      <c r="K63">
        <v>81.13</v>
      </c>
      <c r="L63">
        <v>80.7</v>
      </c>
    </row>
    <row r="64" spans="1:12" x14ac:dyDescent="0.2">
      <c r="A64" s="4">
        <v>63</v>
      </c>
      <c r="B64" t="s">
        <v>71</v>
      </c>
      <c r="C64">
        <v>80.819999999999993</v>
      </c>
      <c r="D64">
        <v>18</v>
      </c>
      <c r="E64">
        <v>14</v>
      </c>
      <c r="F64">
        <v>77.89</v>
      </c>
      <c r="G64">
        <v>0</v>
      </c>
      <c r="H64">
        <v>4</v>
      </c>
      <c r="I64">
        <v>0</v>
      </c>
      <c r="J64">
        <v>5</v>
      </c>
      <c r="K64">
        <v>81</v>
      </c>
      <c r="L64">
        <v>80.349999999999994</v>
      </c>
    </row>
    <row r="65" spans="1:12" x14ac:dyDescent="0.2">
      <c r="A65" s="4">
        <v>64</v>
      </c>
      <c r="B65" t="s">
        <v>69</v>
      </c>
      <c r="C65">
        <v>80.760000000000005</v>
      </c>
      <c r="D65">
        <v>20</v>
      </c>
      <c r="E65">
        <v>10</v>
      </c>
      <c r="F65">
        <v>75.22</v>
      </c>
      <c r="G65">
        <v>0</v>
      </c>
      <c r="H65">
        <v>1</v>
      </c>
      <c r="I65">
        <v>0</v>
      </c>
      <c r="J65">
        <v>3</v>
      </c>
      <c r="K65">
        <v>80.239999999999995</v>
      </c>
      <c r="L65">
        <v>80.989999999999995</v>
      </c>
    </row>
    <row r="66" spans="1:12" x14ac:dyDescent="0.2">
      <c r="A66" s="4">
        <v>65</v>
      </c>
      <c r="B66" t="s">
        <v>803</v>
      </c>
      <c r="C66">
        <v>80.72</v>
      </c>
      <c r="D66">
        <v>24</v>
      </c>
      <c r="E66">
        <v>9</v>
      </c>
      <c r="F66">
        <v>73.97</v>
      </c>
      <c r="G66">
        <v>0</v>
      </c>
      <c r="H66">
        <v>0</v>
      </c>
      <c r="I66">
        <v>0</v>
      </c>
      <c r="J66">
        <v>1</v>
      </c>
      <c r="K66">
        <v>80.89</v>
      </c>
      <c r="L66">
        <v>80.25</v>
      </c>
    </row>
    <row r="67" spans="1:12" x14ac:dyDescent="0.2">
      <c r="A67" s="4">
        <v>66</v>
      </c>
      <c r="B67" t="s">
        <v>48</v>
      </c>
      <c r="C67">
        <v>80.63</v>
      </c>
      <c r="D67">
        <v>18</v>
      </c>
      <c r="E67">
        <v>12</v>
      </c>
      <c r="F67">
        <v>78.41</v>
      </c>
      <c r="G67">
        <v>0</v>
      </c>
      <c r="H67">
        <v>3</v>
      </c>
      <c r="I67">
        <v>3</v>
      </c>
      <c r="J67">
        <v>4</v>
      </c>
      <c r="K67">
        <v>81.8</v>
      </c>
      <c r="L67">
        <v>79.3</v>
      </c>
    </row>
    <row r="68" spans="1:12" x14ac:dyDescent="0.2">
      <c r="A68" s="4">
        <v>67</v>
      </c>
      <c r="B68" t="s">
        <v>155</v>
      </c>
      <c r="C68">
        <v>80.62</v>
      </c>
      <c r="D68">
        <v>21</v>
      </c>
      <c r="E68">
        <v>8</v>
      </c>
      <c r="F68">
        <v>71</v>
      </c>
      <c r="G68">
        <v>0</v>
      </c>
      <c r="H68">
        <v>1</v>
      </c>
      <c r="I68">
        <v>0</v>
      </c>
      <c r="J68">
        <v>3</v>
      </c>
      <c r="K68">
        <v>78.8</v>
      </c>
      <c r="L68">
        <v>82.52</v>
      </c>
    </row>
    <row r="69" spans="1:12" x14ac:dyDescent="0.2">
      <c r="A69" s="4">
        <v>68</v>
      </c>
      <c r="B69" t="s">
        <v>805</v>
      </c>
      <c r="C69">
        <v>80.53</v>
      </c>
      <c r="D69">
        <v>22</v>
      </c>
      <c r="E69">
        <v>9</v>
      </c>
      <c r="F69">
        <v>74.42</v>
      </c>
      <c r="G69">
        <v>0</v>
      </c>
      <c r="H69">
        <v>0</v>
      </c>
      <c r="I69">
        <v>0</v>
      </c>
      <c r="J69">
        <v>0</v>
      </c>
      <c r="K69">
        <v>79.099999999999994</v>
      </c>
      <c r="L69">
        <v>81.86</v>
      </c>
    </row>
    <row r="70" spans="1:12" x14ac:dyDescent="0.2">
      <c r="A70" s="4">
        <v>69</v>
      </c>
      <c r="B70" t="s">
        <v>98</v>
      </c>
      <c r="C70">
        <v>80.28</v>
      </c>
      <c r="D70">
        <v>16</v>
      </c>
      <c r="E70">
        <v>14</v>
      </c>
      <c r="F70">
        <v>78.599999999999994</v>
      </c>
      <c r="G70">
        <v>0</v>
      </c>
      <c r="H70">
        <v>2</v>
      </c>
      <c r="I70">
        <v>1</v>
      </c>
      <c r="J70">
        <v>8</v>
      </c>
      <c r="K70">
        <v>79.23</v>
      </c>
      <c r="L70">
        <v>81.12</v>
      </c>
    </row>
    <row r="71" spans="1:12" x14ac:dyDescent="0.2">
      <c r="A71" s="4">
        <v>70</v>
      </c>
      <c r="B71" t="s">
        <v>112</v>
      </c>
      <c r="C71">
        <v>80.13</v>
      </c>
      <c r="D71">
        <v>17</v>
      </c>
      <c r="E71">
        <v>15</v>
      </c>
      <c r="F71">
        <v>77.8</v>
      </c>
      <c r="G71">
        <v>0</v>
      </c>
      <c r="H71">
        <v>3</v>
      </c>
      <c r="I71">
        <v>2</v>
      </c>
      <c r="J71">
        <v>4</v>
      </c>
      <c r="K71">
        <v>78.72</v>
      </c>
      <c r="L71">
        <v>81.42</v>
      </c>
    </row>
    <row r="72" spans="1:12" x14ac:dyDescent="0.2">
      <c r="A72" s="4">
        <v>71</v>
      </c>
      <c r="B72" t="s">
        <v>790</v>
      </c>
      <c r="C72">
        <v>80.11</v>
      </c>
      <c r="D72">
        <v>17</v>
      </c>
      <c r="E72">
        <v>16</v>
      </c>
      <c r="F72">
        <v>77.55</v>
      </c>
      <c r="G72">
        <v>1</v>
      </c>
      <c r="H72">
        <v>1</v>
      </c>
      <c r="I72">
        <v>2</v>
      </c>
      <c r="J72">
        <v>5</v>
      </c>
      <c r="K72">
        <v>78.290000000000006</v>
      </c>
      <c r="L72">
        <v>81.99</v>
      </c>
    </row>
    <row r="73" spans="1:12" x14ac:dyDescent="0.2">
      <c r="A73" s="4">
        <v>72</v>
      </c>
      <c r="B73" t="s">
        <v>4</v>
      </c>
      <c r="C73">
        <v>79.95</v>
      </c>
      <c r="D73">
        <v>20</v>
      </c>
      <c r="E73">
        <v>10</v>
      </c>
      <c r="F73">
        <v>74.69</v>
      </c>
      <c r="G73">
        <v>1</v>
      </c>
      <c r="H73">
        <v>2</v>
      </c>
      <c r="I73">
        <v>2</v>
      </c>
      <c r="J73">
        <v>3</v>
      </c>
      <c r="K73">
        <v>79.040000000000006</v>
      </c>
      <c r="L73">
        <v>80.62</v>
      </c>
    </row>
    <row r="74" spans="1:12" x14ac:dyDescent="0.2">
      <c r="A74" s="4">
        <v>73</v>
      </c>
      <c r="B74" t="s">
        <v>796</v>
      </c>
      <c r="C74">
        <v>79.930000000000007</v>
      </c>
      <c r="D74">
        <v>22</v>
      </c>
      <c r="E74">
        <v>9</v>
      </c>
      <c r="F74">
        <v>73.83</v>
      </c>
      <c r="G74">
        <v>0</v>
      </c>
      <c r="H74">
        <v>0</v>
      </c>
      <c r="I74">
        <v>0</v>
      </c>
      <c r="J74">
        <v>1</v>
      </c>
      <c r="K74">
        <v>79.56</v>
      </c>
      <c r="L74">
        <v>80.02</v>
      </c>
    </row>
    <row r="75" spans="1:12" x14ac:dyDescent="0.2">
      <c r="A75" s="4">
        <v>74</v>
      </c>
      <c r="B75" t="s">
        <v>133</v>
      </c>
      <c r="C75">
        <v>79.849999999999994</v>
      </c>
      <c r="D75">
        <v>22</v>
      </c>
      <c r="E75">
        <v>10</v>
      </c>
      <c r="F75">
        <v>74.290000000000006</v>
      </c>
      <c r="G75">
        <v>0</v>
      </c>
      <c r="H75">
        <v>0</v>
      </c>
      <c r="I75">
        <v>0</v>
      </c>
      <c r="J75">
        <v>0</v>
      </c>
      <c r="K75">
        <v>80.39</v>
      </c>
      <c r="L75">
        <v>79.05</v>
      </c>
    </row>
    <row r="76" spans="1:12" x14ac:dyDescent="0.2">
      <c r="A76" s="4">
        <v>75</v>
      </c>
      <c r="B76" t="s">
        <v>103</v>
      </c>
      <c r="C76">
        <v>79.58</v>
      </c>
      <c r="D76">
        <v>16</v>
      </c>
      <c r="E76">
        <v>15</v>
      </c>
      <c r="F76">
        <v>77.849999999999994</v>
      </c>
      <c r="G76">
        <v>0</v>
      </c>
      <c r="H76">
        <v>2</v>
      </c>
      <c r="I76">
        <v>1</v>
      </c>
      <c r="J76">
        <v>5</v>
      </c>
      <c r="K76">
        <v>79.64</v>
      </c>
      <c r="L76">
        <v>79.22</v>
      </c>
    </row>
    <row r="77" spans="1:12" x14ac:dyDescent="0.2">
      <c r="A77" s="4">
        <v>76</v>
      </c>
      <c r="B77" t="s">
        <v>97</v>
      </c>
      <c r="C77">
        <v>79.45</v>
      </c>
      <c r="D77">
        <v>12</v>
      </c>
      <c r="E77">
        <v>15</v>
      </c>
      <c r="F77">
        <v>80.98</v>
      </c>
      <c r="G77">
        <v>0</v>
      </c>
      <c r="H77">
        <v>2</v>
      </c>
      <c r="I77">
        <v>0</v>
      </c>
      <c r="J77">
        <v>4</v>
      </c>
      <c r="K77">
        <v>80.03</v>
      </c>
      <c r="L77">
        <v>78.599999999999994</v>
      </c>
    </row>
    <row r="78" spans="1:12" x14ac:dyDescent="0.2">
      <c r="A78" s="4">
        <v>77</v>
      </c>
      <c r="B78" t="s">
        <v>795</v>
      </c>
      <c r="C78">
        <v>79.430000000000007</v>
      </c>
      <c r="D78">
        <v>15</v>
      </c>
      <c r="E78">
        <v>14</v>
      </c>
      <c r="F78">
        <v>77.510000000000005</v>
      </c>
      <c r="G78">
        <v>0</v>
      </c>
      <c r="H78">
        <v>1</v>
      </c>
      <c r="I78">
        <v>1</v>
      </c>
      <c r="J78">
        <v>4</v>
      </c>
      <c r="K78">
        <v>78.209999999999994</v>
      </c>
      <c r="L78">
        <v>80.47</v>
      </c>
    </row>
    <row r="79" spans="1:12" x14ac:dyDescent="0.2">
      <c r="A79" s="4">
        <v>78</v>
      </c>
      <c r="B79" t="s">
        <v>53</v>
      </c>
      <c r="C79">
        <v>79.39</v>
      </c>
      <c r="D79">
        <v>17</v>
      </c>
      <c r="E79">
        <v>17</v>
      </c>
      <c r="F79">
        <v>78.77</v>
      </c>
      <c r="G79">
        <v>0</v>
      </c>
      <c r="H79">
        <v>4</v>
      </c>
      <c r="I79">
        <v>3</v>
      </c>
      <c r="J79">
        <v>8</v>
      </c>
      <c r="K79">
        <v>79.260000000000005</v>
      </c>
      <c r="L79">
        <v>79.209999999999994</v>
      </c>
    </row>
    <row r="80" spans="1:12" x14ac:dyDescent="0.2">
      <c r="A80" s="4">
        <v>79</v>
      </c>
      <c r="B80" t="s">
        <v>218</v>
      </c>
      <c r="C80">
        <v>79.2</v>
      </c>
      <c r="D80">
        <v>22</v>
      </c>
      <c r="E80">
        <v>8</v>
      </c>
      <c r="F80">
        <v>70.97</v>
      </c>
      <c r="G80">
        <v>0</v>
      </c>
      <c r="H80">
        <v>0</v>
      </c>
      <c r="I80">
        <v>0</v>
      </c>
      <c r="J80">
        <v>1</v>
      </c>
      <c r="K80">
        <v>77.78</v>
      </c>
      <c r="L80">
        <v>80.48</v>
      </c>
    </row>
    <row r="81" spans="1:12" x14ac:dyDescent="0.2">
      <c r="A81" s="4">
        <v>80</v>
      </c>
      <c r="B81" t="s">
        <v>192</v>
      </c>
      <c r="C81">
        <v>79.17</v>
      </c>
      <c r="D81">
        <v>22</v>
      </c>
      <c r="E81">
        <v>7</v>
      </c>
      <c r="F81">
        <v>72.430000000000007</v>
      </c>
      <c r="G81">
        <v>0</v>
      </c>
      <c r="H81">
        <v>0</v>
      </c>
      <c r="I81">
        <v>0</v>
      </c>
      <c r="J81">
        <v>1</v>
      </c>
      <c r="K81">
        <v>79.5</v>
      </c>
      <c r="L81">
        <v>78.56</v>
      </c>
    </row>
    <row r="82" spans="1:12" x14ac:dyDescent="0.2">
      <c r="A82" s="4">
        <v>81</v>
      </c>
      <c r="B82" t="s">
        <v>285</v>
      </c>
      <c r="C82">
        <v>79.13</v>
      </c>
      <c r="D82">
        <v>19</v>
      </c>
      <c r="E82">
        <v>13</v>
      </c>
      <c r="F82">
        <v>75.260000000000005</v>
      </c>
      <c r="G82">
        <v>0</v>
      </c>
      <c r="H82">
        <v>0</v>
      </c>
      <c r="I82">
        <v>0</v>
      </c>
      <c r="J82">
        <v>2</v>
      </c>
      <c r="K82">
        <v>78.12</v>
      </c>
      <c r="L82">
        <v>79.92</v>
      </c>
    </row>
    <row r="83" spans="1:12" x14ac:dyDescent="0.2">
      <c r="A83" s="4">
        <v>82</v>
      </c>
      <c r="B83" t="s">
        <v>106</v>
      </c>
      <c r="C83">
        <v>79.12</v>
      </c>
      <c r="D83">
        <v>20</v>
      </c>
      <c r="E83">
        <v>13</v>
      </c>
      <c r="F83">
        <v>74.650000000000006</v>
      </c>
      <c r="G83">
        <v>0</v>
      </c>
      <c r="H83">
        <v>0</v>
      </c>
      <c r="I83">
        <v>1</v>
      </c>
      <c r="J83">
        <v>1</v>
      </c>
      <c r="K83">
        <v>78.069999999999993</v>
      </c>
      <c r="L83">
        <v>79.95</v>
      </c>
    </row>
    <row r="84" spans="1:12" x14ac:dyDescent="0.2">
      <c r="A84" s="4">
        <v>83</v>
      </c>
      <c r="B84" t="s">
        <v>58</v>
      </c>
      <c r="C84">
        <v>79.11</v>
      </c>
      <c r="D84">
        <v>19</v>
      </c>
      <c r="E84">
        <v>9</v>
      </c>
      <c r="F84">
        <v>74.17</v>
      </c>
      <c r="G84">
        <v>0</v>
      </c>
      <c r="H84">
        <v>0</v>
      </c>
      <c r="I84">
        <v>0</v>
      </c>
      <c r="J84">
        <v>0</v>
      </c>
      <c r="K84">
        <v>77.92</v>
      </c>
      <c r="L84">
        <v>80.11</v>
      </c>
    </row>
    <row r="85" spans="1:12" x14ac:dyDescent="0.2">
      <c r="A85" s="4">
        <v>84</v>
      </c>
      <c r="B85" t="s">
        <v>286</v>
      </c>
      <c r="C85">
        <v>79.099999999999994</v>
      </c>
      <c r="D85">
        <v>15</v>
      </c>
      <c r="E85">
        <v>15</v>
      </c>
      <c r="F85">
        <v>78.66</v>
      </c>
      <c r="G85">
        <v>0</v>
      </c>
      <c r="H85">
        <v>3</v>
      </c>
      <c r="I85">
        <v>2</v>
      </c>
      <c r="J85">
        <v>9</v>
      </c>
      <c r="K85">
        <v>80.540000000000006</v>
      </c>
      <c r="L85">
        <v>77.540000000000006</v>
      </c>
    </row>
    <row r="86" spans="1:12" x14ac:dyDescent="0.2">
      <c r="A86" s="4">
        <v>85</v>
      </c>
      <c r="B86" t="s">
        <v>868</v>
      </c>
      <c r="C86">
        <v>79.09</v>
      </c>
      <c r="D86">
        <v>23</v>
      </c>
      <c r="E86">
        <v>8</v>
      </c>
      <c r="F86">
        <v>72.56</v>
      </c>
      <c r="G86">
        <v>0</v>
      </c>
      <c r="H86">
        <v>0</v>
      </c>
      <c r="I86">
        <v>1</v>
      </c>
      <c r="J86">
        <v>2</v>
      </c>
      <c r="K86">
        <v>81.569999999999993</v>
      </c>
      <c r="L86">
        <v>76.760000000000005</v>
      </c>
    </row>
    <row r="87" spans="1:12" x14ac:dyDescent="0.2">
      <c r="A87" s="4">
        <v>86</v>
      </c>
      <c r="B87" t="s">
        <v>44</v>
      </c>
      <c r="C87">
        <v>79.06</v>
      </c>
      <c r="D87">
        <v>12</v>
      </c>
      <c r="E87">
        <v>15</v>
      </c>
      <c r="F87">
        <v>79.849999999999994</v>
      </c>
      <c r="G87">
        <v>0</v>
      </c>
      <c r="H87">
        <v>4</v>
      </c>
      <c r="I87">
        <v>0</v>
      </c>
      <c r="J87">
        <v>8</v>
      </c>
      <c r="K87">
        <v>78.75</v>
      </c>
      <c r="L87">
        <v>79.069999999999993</v>
      </c>
    </row>
    <row r="88" spans="1:12" x14ac:dyDescent="0.2">
      <c r="A88" s="4">
        <v>87</v>
      </c>
      <c r="B88" t="s">
        <v>59</v>
      </c>
      <c r="C88">
        <v>78.98</v>
      </c>
      <c r="D88">
        <v>14</v>
      </c>
      <c r="E88">
        <v>18</v>
      </c>
      <c r="F88">
        <v>77.83</v>
      </c>
      <c r="G88">
        <v>0</v>
      </c>
      <c r="H88">
        <v>4</v>
      </c>
      <c r="I88">
        <v>2</v>
      </c>
      <c r="J88">
        <v>7</v>
      </c>
      <c r="K88">
        <v>76.5</v>
      </c>
      <c r="L88">
        <v>81.760000000000005</v>
      </c>
    </row>
    <row r="89" spans="1:12" x14ac:dyDescent="0.2">
      <c r="A89" s="4">
        <v>88</v>
      </c>
      <c r="B89" t="s">
        <v>121</v>
      </c>
      <c r="C89">
        <v>78.849999999999994</v>
      </c>
      <c r="D89">
        <v>22</v>
      </c>
      <c r="E89">
        <v>8</v>
      </c>
      <c r="F89">
        <v>73.11</v>
      </c>
      <c r="G89">
        <v>0</v>
      </c>
      <c r="H89">
        <v>0</v>
      </c>
      <c r="I89">
        <v>0</v>
      </c>
      <c r="J89">
        <v>3</v>
      </c>
      <c r="K89">
        <v>79.58</v>
      </c>
      <c r="L89">
        <v>77.87</v>
      </c>
    </row>
    <row r="90" spans="1:12" x14ac:dyDescent="0.2">
      <c r="A90" s="4">
        <v>89</v>
      </c>
      <c r="B90" t="s">
        <v>802</v>
      </c>
      <c r="C90">
        <v>78.81</v>
      </c>
      <c r="D90">
        <v>15</v>
      </c>
      <c r="E90">
        <v>13</v>
      </c>
      <c r="F90">
        <v>75.540000000000006</v>
      </c>
      <c r="G90">
        <v>0</v>
      </c>
      <c r="H90">
        <v>1</v>
      </c>
      <c r="I90">
        <v>1</v>
      </c>
      <c r="J90">
        <v>2</v>
      </c>
      <c r="K90">
        <v>76.7</v>
      </c>
      <c r="L90">
        <v>81.03</v>
      </c>
    </row>
    <row r="91" spans="1:12" x14ac:dyDescent="0.2">
      <c r="A91" s="4">
        <v>90</v>
      </c>
      <c r="B91" t="s">
        <v>877</v>
      </c>
      <c r="C91">
        <v>78.78</v>
      </c>
      <c r="D91">
        <v>16</v>
      </c>
      <c r="E91">
        <v>13</v>
      </c>
      <c r="F91">
        <v>76.59</v>
      </c>
      <c r="G91">
        <v>1</v>
      </c>
      <c r="H91">
        <v>1</v>
      </c>
      <c r="I91">
        <v>3</v>
      </c>
      <c r="J91">
        <v>4</v>
      </c>
      <c r="K91">
        <v>78.290000000000006</v>
      </c>
      <c r="L91">
        <v>78.98</v>
      </c>
    </row>
    <row r="92" spans="1:12" x14ac:dyDescent="0.2">
      <c r="A92" s="4">
        <v>91</v>
      </c>
      <c r="B92" t="s">
        <v>873</v>
      </c>
      <c r="C92">
        <v>78.73</v>
      </c>
      <c r="D92">
        <v>18</v>
      </c>
      <c r="E92">
        <v>11</v>
      </c>
      <c r="F92">
        <v>75.25</v>
      </c>
      <c r="G92">
        <v>0</v>
      </c>
      <c r="H92">
        <v>0</v>
      </c>
      <c r="I92">
        <v>0</v>
      </c>
      <c r="J92">
        <v>1</v>
      </c>
      <c r="K92">
        <v>78.510000000000005</v>
      </c>
      <c r="L92">
        <v>78.66</v>
      </c>
    </row>
    <row r="93" spans="1:12" x14ac:dyDescent="0.2">
      <c r="A93" s="4">
        <v>92</v>
      </c>
      <c r="B93" t="s">
        <v>194</v>
      </c>
      <c r="C93">
        <v>78.680000000000007</v>
      </c>
      <c r="D93">
        <v>18</v>
      </c>
      <c r="E93">
        <v>11</v>
      </c>
      <c r="F93">
        <v>74.3</v>
      </c>
      <c r="G93">
        <v>0</v>
      </c>
      <c r="H93">
        <v>0</v>
      </c>
      <c r="I93">
        <v>0</v>
      </c>
      <c r="J93">
        <v>2</v>
      </c>
      <c r="K93">
        <v>78.34</v>
      </c>
      <c r="L93">
        <v>78.72</v>
      </c>
    </row>
    <row r="94" spans="1:12" x14ac:dyDescent="0.2">
      <c r="A94" s="4">
        <v>93</v>
      </c>
      <c r="B94" t="s">
        <v>70</v>
      </c>
      <c r="C94">
        <v>78.67</v>
      </c>
      <c r="D94">
        <v>15</v>
      </c>
      <c r="E94">
        <v>15</v>
      </c>
      <c r="F94">
        <v>78.89</v>
      </c>
      <c r="G94">
        <v>0</v>
      </c>
      <c r="H94">
        <v>1</v>
      </c>
      <c r="I94">
        <v>2</v>
      </c>
      <c r="J94">
        <v>6</v>
      </c>
      <c r="K94">
        <v>79.010000000000005</v>
      </c>
      <c r="L94">
        <v>78.040000000000006</v>
      </c>
    </row>
    <row r="95" spans="1:12" x14ac:dyDescent="0.2">
      <c r="A95" s="4">
        <v>94</v>
      </c>
      <c r="B95" t="s">
        <v>287</v>
      </c>
      <c r="C95">
        <v>78.67</v>
      </c>
      <c r="D95">
        <v>19</v>
      </c>
      <c r="E95">
        <v>9</v>
      </c>
      <c r="F95">
        <v>71.540000000000006</v>
      </c>
      <c r="G95">
        <v>0</v>
      </c>
      <c r="H95">
        <v>3</v>
      </c>
      <c r="I95">
        <v>0</v>
      </c>
      <c r="J95">
        <v>3</v>
      </c>
      <c r="K95">
        <v>76.45</v>
      </c>
      <c r="L95">
        <v>81.02</v>
      </c>
    </row>
    <row r="96" spans="1:12" x14ac:dyDescent="0.2">
      <c r="A96" s="4">
        <v>95</v>
      </c>
      <c r="B96" t="s">
        <v>791</v>
      </c>
      <c r="C96">
        <v>78.5</v>
      </c>
      <c r="D96">
        <v>15</v>
      </c>
      <c r="E96">
        <v>15</v>
      </c>
      <c r="F96">
        <v>78.27</v>
      </c>
      <c r="G96">
        <v>0</v>
      </c>
      <c r="H96">
        <v>3</v>
      </c>
      <c r="I96">
        <v>2</v>
      </c>
      <c r="J96">
        <v>8</v>
      </c>
      <c r="K96">
        <v>79.19</v>
      </c>
      <c r="L96">
        <v>77.55</v>
      </c>
    </row>
    <row r="97" spans="1:12" x14ac:dyDescent="0.2">
      <c r="A97" s="4">
        <v>96</v>
      </c>
      <c r="B97" t="s">
        <v>41</v>
      </c>
      <c r="C97">
        <v>78.430000000000007</v>
      </c>
      <c r="D97">
        <v>14</v>
      </c>
      <c r="E97">
        <v>16</v>
      </c>
      <c r="F97">
        <v>76.760000000000005</v>
      </c>
      <c r="G97">
        <v>0</v>
      </c>
      <c r="H97">
        <v>2</v>
      </c>
      <c r="I97">
        <v>0</v>
      </c>
      <c r="J97">
        <v>7</v>
      </c>
      <c r="K97">
        <v>76.66</v>
      </c>
      <c r="L97">
        <v>80.14</v>
      </c>
    </row>
    <row r="98" spans="1:12" x14ac:dyDescent="0.2">
      <c r="A98" s="4">
        <v>97</v>
      </c>
      <c r="B98" t="s">
        <v>786</v>
      </c>
      <c r="C98">
        <v>78.349999999999994</v>
      </c>
      <c r="D98">
        <v>18</v>
      </c>
      <c r="E98">
        <v>11</v>
      </c>
      <c r="F98">
        <v>73.69</v>
      </c>
      <c r="G98">
        <v>0</v>
      </c>
      <c r="H98">
        <v>0</v>
      </c>
      <c r="I98">
        <v>0</v>
      </c>
      <c r="J98">
        <v>1</v>
      </c>
      <c r="K98">
        <v>78.150000000000006</v>
      </c>
      <c r="L98">
        <v>78.25</v>
      </c>
    </row>
    <row r="99" spans="1:12" x14ac:dyDescent="0.2">
      <c r="A99" s="4">
        <v>98</v>
      </c>
      <c r="B99" t="s">
        <v>798</v>
      </c>
      <c r="C99">
        <v>78.319999999999993</v>
      </c>
      <c r="D99">
        <v>23</v>
      </c>
      <c r="E99">
        <v>7</v>
      </c>
      <c r="F99">
        <v>70.3</v>
      </c>
      <c r="G99">
        <v>0</v>
      </c>
      <c r="H99">
        <v>0</v>
      </c>
      <c r="I99">
        <v>0</v>
      </c>
      <c r="J99">
        <v>2</v>
      </c>
      <c r="K99">
        <v>78.86</v>
      </c>
      <c r="L99">
        <v>77.5</v>
      </c>
    </row>
    <row r="100" spans="1:12" x14ac:dyDescent="0.2">
      <c r="A100" s="4">
        <v>99</v>
      </c>
      <c r="B100" t="s">
        <v>158</v>
      </c>
      <c r="C100">
        <v>78.099999999999994</v>
      </c>
      <c r="D100">
        <v>23</v>
      </c>
      <c r="E100">
        <v>7</v>
      </c>
      <c r="F100">
        <v>71.56</v>
      </c>
      <c r="G100">
        <v>0</v>
      </c>
      <c r="H100">
        <v>1</v>
      </c>
      <c r="I100">
        <v>0</v>
      </c>
      <c r="J100">
        <v>2</v>
      </c>
      <c r="K100">
        <v>78.89</v>
      </c>
      <c r="L100">
        <v>77.05</v>
      </c>
    </row>
    <row r="101" spans="1:12" x14ac:dyDescent="0.2">
      <c r="A101" s="4">
        <v>100</v>
      </c>
      <c r="B101" t="s">
        <v>163</v>
      </c>
      <c r="C101">
        <v>78.09</v>
      </c>
      <c r="D101">
        <v>19</v>
      </c>
      <c r="E101">
        <v>10</v>
      </c>
      <c r="F101">
        <v>72.849999999999994</v>
      </c>
      <c r="G101">
        <v>0</v>
      </c>
      <c r="H101">
        <v>2</v>
      </c>
      <c r="I101">
        <v>0</v>
      </c>
      <c r="J101">
        <v>2</v>
      </c>
      <c r="K101">
        <v>77.55</v>
      </c>
      <c r="L101">
        <v>78.33</v>
      </c>
    </row>
    <row r="102" spans="1:12" x14ac:dyDescent="0.2">
      <c r="A102" s="4">
        <v>101</v>
      </c>
      <c r="B102" t="s">
        <v>33</v>
      </c>
      <c r="C102">
        <v>78.02</v>
      </c>
      <c r="D102">
        <v>12</v>
      </c>
      <c r="E102">
        <v>16</v>
      </c>
      <c r="F102">
        <v>79.48</v>
      </c>
      <c r="G102">
        <v>0</v>
      </c>
      <c r="H102">
        <v>3</v>
      </c>
      <c r="I102">
        <v>0</v>
      </c>
      <c r="J102">
        <v>9</v>
      </c>
      <c r="K102">
        <v>77.88</v>
      </c>
      <c r="L102">
        <v>77.86</v>
      </c>
    </row>
    <row r="103" spans="1:12" x14ac:dyDescent="0.2">
      <c r="A103" s="4">
        <v>102</v>
      </c>
      <c r="B103" t="s">
        <v>115</v>
      </c>
      <c r="C103">
        <v>77.819999999999993</v>
      </c>
      <c r="D103">
        <v>17</v>
      </c>
      <c r="E103">
        <v>13</v>
      </c>
      <c r="F103">
        <v>75.47</v>
      </c>
      <c r="G103">
        <v>0</v>
      </c>
      <c r="H103">
        <v>0</v>
      </c>
      <c r="I103">
        <v>0</v>
      </c>
      <c r="J103">
        <v>0</v>
      </c>
      <c r="K103">
        <v>76.569999999999993</v>
      </c>
      <c r="L103">
        <v>78.86</v>
      </c>
    </row>
    <row r="104" spans="1:12" x14ac:dyDescent="0.2">
      <c r="A104" s="4">
        <v>103</v>
      </c>
      <c r="B104" t="s">
        <v>784</v>
      </c>
      <c r="C104">
        <v>77.69</v>
      </c>
      <c r="D104">
        <v>19</v>
      </c>
      <c r="E104">
        <v>10</v>
      </c>
      <c r="F104">
        <v>73.31</v>
      </c>
      <c r="G104">
        <v>0</v>
      </c>
      <c r="H104">
        <v>0</v>
      </c>
      <c r="I104">
        <v>0</v>
      </c>
      <c r="J104">
        <v>2</v>
      </c>
      <c r="K104">
        <v>78.62</v>
      </c>
      <c r="L104">
        <v>76.510000000000005</v>
      </c>
    </row>
    <row r="105" spans="1:12" x14ac:dyDescent="0.2">
      <c r="A105" s="4">
        <v>104</v>
      </c>
      <c r="B105" t="s">
        <v>130</v>
      </c>
      <c r="C105">
        <v>77.64</v>
      </c>
      <c r="D105">
        <v>11</v>
      </c>
      <c r="E105">
        <v>17</v>
      </c>
      <c r="F105">
        <v>77.95</v>
      </c>
      <c r="G105">
        <v>0</v>
      </c>
      <c r="H105">
        <v>1</v>
      </c>
      <c r="I105">
        <v>2</v>
      </c>
      <c r="J105">
        <v>4</v>
      </c>
      <c r="K105">
        <v>75.87</v>
      </c>
      <c r="L105">
        <v>79.31</v>
      </c>
    </row>
    <row r="106" spans="1:12" x14ac:dyDescent="0.2">
      <c r="A106" s="4">
        <v>105</v>
      </c>
      <c r="B106" t="s">
        <v>214</v>
      </c>
      <c r="C106">
        <v>77.540000000000006</v>
      </c>
      <c r="D106">
        <v>20</v>
      </c>
      <c r="E106">
        <v>11</v>
      </c>
      <c r="F106">
        <v>74.52</v>
      </c>
      <c r="G106">
        <v>0</v>
      </c>
      <c r="H106">
        <v>0</v>
      </c>
      <c r="I106">
        <v>0</v>
      </c>
      <c r="J106">
        <v>1</v>
      </c>
      <c r="K106">
        <v>79.16</v>
      </c>
      <c r="L106">
        <v>75.790000000000006</v>
      </c>
    </row>
    <row r="107" spans="1:12" x14ac:dyDescent="0.2">
      <c r="A107" s="4">
        <v>106</v>
      </c>
      <c r="B107" t="s">
        <v>79</v>
      </c>
      <c r="C107">
        <v>77.489999999999995</v>
      </c>
      <c r="D107">
        <v>13</v>
      </c>
      <c r="E107">
        <v>15</v>
      </c>
      <c r="F107">
        <v>78.13</v>
      </c>
      <c r="G107">
        <v>0</v>
      </c>
      <c r="H107">
        <v>2</v>
      </c>
      <c r="I107">
        <v>1</v>
      </c>
      <c r="J107">
        <v>4</v>
      </c>
      <c r="K107">
        <v>78.540000000000006</v>
      </c>
      <c r="L107">
        <v>76.22</v>
      </c>
    </row>
    <row r="108" spans="1:12" x14ac:dyDescent="0.2">
      <c r="A108" s="4">
        <v>107</v>
      </c>
      <c r="B108" t="s">
        <v>120</v>
      </c>
      <c r="C108">
        <v>77.25</v>
      </c>
      <c r="D108">
        <v>19</v>
      </c>
      <c r="E108">
        <v>14</v>
      </c>
      <c r="F108">
        <v>75.489999999999995</v>
      </c>
      <c r="G108">
        <v>0</v>
      </c>
      <c r="H108">
        <v>1</v>
      </c>
      <c r="I108">
        <v>0</v>
      </c>
      <c r="J108">
        <v>4</v>
      </c>
      <c r="K108">
        <v>78.81</v>
      </c>
      <c r="L108">
        <v>75.540000000000006</v>
      </c>
    </row>
    <row r="109" spans="1:12" x14ac:dyDescent="0.2">
      <c r="A109" s="4">
        <v>108</v>
      </c>
      <c r="B109" t="s">
        <v>74</v>
      </c>
      <c r="C109">
        <v>77.239999999999995</v>
      </c>
      <c r="D109">
        <v>16</v>
      </c>
      <c r="E109">
        <v>13</v>
      </c>
      <c r="F109">
        <v>75.52</v>
      </c>
      <c r="G109">
        <v>0</v>
      </c>
      <c r="H109">
        <v>0</v>
      </c>
      <c r="I109">
        <v>0</v>
      </c>
      <c r="J109">
        <v>4</v>
      </c>
      <c r="K109">
        <v>77.58</v>
      </c>
      <c r="L109">
        <v>76.599999999999994</v>
      </c>
    </row>
    <row r="110" spans="1:12" x14ac:dyDescent="0.2">
      <c r="A110" s="4">
        <v>109</v>
      </c>
      <c r="B110" t="s">
        <v>190</v>
      </c>
      <c r="C110">
        <v>77.209999999999994</v>
      </c>
      <c r="D110">
        <v>19</v>
      </c>
      <c r="E110">
        <v>10</v>
      </c>
      <c r="F110">
        <v>73.150000000000006</v>
      </c>
      <c r="G110">
        <v>0</v>
      </c>
      <c r="H110">
        <v>0</v>
      </c>
      <c r="I110">
        <v>0</v>
      </c>
      <c r="J110">
        <v>0</v>
      </c>
      <c r="K110">
        <v>77.47</v>
      </c>
      <c r="L110">
        <v>76.66</v>
      </c>
    </row>
    <row r="111" spans="1:12" x14ac:dyDescent="0.2">
      <c r="A111" s="4">
        <v>110</v>
      </c>
      <c r="B111" t="s">
        <v>556</v>
      </c>
      <c r="C111">
        <v>77.17</v>
      </c>
      <c r="D111">
        <v>17</v>
      </c>
      <c r="E111">
        <v>11</v>
      </c>
      <c r="F111">
        <v>73.89</v>
      </c>
      <c r="G111">
        <v>0</v>
      </c>
      <c r="H111">
        <v>0</v>
      </c>
      <c r="I111">
        <v>0</v>
      </c>
      <c r="J111">
        <v>0</v>
      </c>
      <c r="K111">
        <v>77.08</v>
      </c>
      <c r="L111">
        <v>76.95</v>
      </c>
    </row>
    <row r="112" spans="1:12" x14ac:dyDescent="0.2">
      <c r="A112" s="4">
        <v>111</v>
      </c>
      <c r="B112" t="s">
        <v>55</v>
      </c>
      <c r="C112">
        <v>77.150000000000006</v>
      </c>
      <c r="D112">
        <v>12</v>
      </c>
      <c r="E112">
        <v>15</v>
      </c>
      <c r="F112">
        <v>78.17</v>
      </c>
      <c r="G112">
        <v>0</v>
      </c>
      <c r="H112">
        <v>5</v>
      </c>
      <c r="I112">
        <v>1</v>
      </c>
      <c r="J112">
        <v>6</v>
      </c>
      <c r="K112">
        <v>77.400000000000006</v>
      </c>
      <c r="L112">
        <v>76.61</v>
      </c>
    </row>
    <row r="113" spans="1:12" x14ac:dyDescent="0.2">
      <c r="A113" s="4">
        <v>112</v>
      </c>
      <c r="B113" t="s">
        <v>101</v>
      </c>
      <c r="C113">
        <v>77.14</v>
      </c>
      <c r="D113">
        <v>19</v>
      </c>
      <c r="E113">
        <v>13</v>
      </c>
      <c r="F113">
        <v>75.41</v>
      </c>
      <c r="G113">
        <v>0</v>
      </c>
      <c r="H113">
        <v>1</v>
      </c>
      <c r="I113">
        <v>0</v>
      </c>
      <c r="J113">
        <v>1</v>
      </c>
      <c r="K113">
        <v>77.77</v>
      </c>
      <c r="L113">
        <v>76.239999999999995</v>
      </c>
    </row>
    <row r="114" spans="1:12" x14ac:dyDescent="0.2">
      <c r="A114" s="4">
        <v>113</v>
      </c>
      <c r="B114" t="s">
        <v>31</v>
      </c>
      <c r="C114">
        <v>77.069999999999993</v>
      </c>
      <c r="D114">
        <v>15</v>
      </c>
      <c r="E114">
        <v>17</v>
      </c>
      <c r="F114">
        <v>77.09</v>
      </c>
      <c r="G114">
        <v>0</v>
      </c>
      <c r="H114">
        <v>3</v>
      </c>
      <c r="I114">
        <v>0</v>
      </c>
      <c r="J114">
        <v>5</v>
      </c>
      <c r="K114">
        <v>76.63</v>
      </c>
      <c r="L114">
        <v>77.2</v>
      </c>
    </row>
    <row r="115" spans="1:12" x14ac:dyDescent="0.2">
      <c r="A115" s="4">
        <v>114</v>
      </c>
      <c r="B115" t="s">
        <v>178</v>
      </c>
      <c r="C115">
        <v>77.06</v>
      </c>
      <c r="D115">
        <v>18</v>
      </c>
      <c r="E115">
        <v>10</v>
      </c>
      <c r="F115">
        <v>73.319999999999993</v>
      </c>
      <c r="G115">
        <v>0</v>
      </c>
      <c r="H115">
        <v>1</v>
      </c>
      <c r="I115">
        <v>0</v>
      </c>
      <c r="J115">
        <v>2</v>
      </c>
      <c r="K115">
        <v>77.44</v>
      </c>
      <c r="L115">
        <v>76.39</v>
      </c>
    </row>
    <row r="116" spans="1:12" x14ac:dyDescent="0.2">
      <c r="A116" s="4">
        <v>115</v>
      </c>
      <c r="B116" t="s">
        <v>817</v>
      </c>
      <c r="C116">
        <v>76.819999999999993</v>
      </c>
      <c r="D116">
        <v>15</v>
      </c>
      <c r="E116">
        <v>15</v>
      </c>
      <c r="F116">
        <v>76.510000000000005</v>
      </c>
      <c r="G116">
        <v>1</v>
      </c>
      <c r="H116">
        <v>0</v>
      </c>
      <c r="I116">
        <v>1</v>
      </c>
      <c r="J116">
        <v>6</v>
      </c>
      <c r="K116">
        <v>77.75</v>
      </c>
      <c r="L116">
        <v>75.64</v>
      </c>
    </row>
    <row r="117" spans="1:12" x14ac:dyDescent="0.2">
      <c r="A117" s="4">
        <v>116</v>
      </c>
      <c r="B117" t="s">
        <v>807</v>
      </c>
      <c r="C117">
        <v>76.62</v>
      </c>
      <c r="D117">
        <v>11</v>
      </c>
      <c r="E117">
        <v>17</v>
      </c>
      <c r="F117">
        <v>78.33</v>
      </c>
      <c r="G117">
        <v>0</v>
      </c>
      <c r="H117">
        <v>2</v>
      </c>
      <c r="I117">
        <v>2</v>
      </c>
      <c r="J117">
        <v>5</v>
      </c>
      <c r="K117">
        <v>74.78</v>
      </c>
      <c r="L117">
        <v>78.349999999999994</v>
      </c>
    </row>
    <row r="118" spans="1:12" x14ac:dyDescent="0.2">
      <c r="A118" s="4">
        <v>117</v>
      </c>
      <c r="B118" t="s">
        <v>875</v>
      </c>
      <c r="C118">
        <v>76.61</v>
      </c>
      <c r="D118">
        <v>16</v>
      </c>
      <c r="E118">
        <v>12</v>
      </c>
      <c r="F118">
        <v>74.28</v>
      </c>
      <c r="G118">
        <v>0</v>
      </c>
      <c r="H118">
        <v>0</v>
      </c>
      <c r="I118">
        <v>0</v>
      </c>
      <c r="J118">
        <v>3</v>
      </c>
      <c r="K118">
        <v>75.819999999999993</v>
      </c>
      <c r="L118">
        <v>77.12</v>
      </c>
    </row>
    <row r="119" spans="1:12" x14ac:dyDescent="0.2">
      <c r="A119" s="4">
        <v>118</v>
      </c>
      <c r="B119" t="s">
        <v>162</v>
      </c>
      <c r="C119">
        <v>76.349999999999994</v>
      </c>
      <c r="D119">
        <v>15</v>
      </c>
      <c r="E119">
        <v>16</v>
      </c>
      <c r="F119">
        <v>75.41</v>
      </c>
      <c r="G119">
        <v>0</v>
      </c>
      <c r="H119">
        <v>2</v>
      </c>
      <c r="I119">
        <v>0</v>
      </c>
      <c r="J119">
        <v>3</v>
      </c>
      <c r="K119">
        <v>74.73</v>
      </c>
      <c r="L119">
        <v>77.8</v>
      </c>
    </row>
    <row r="120" spans="1:12" x14ac:dyDescent="0.2">
      <c r="A120" s="4">
        <v>119</v>
      </c>
      <c r="B120" t="s">
        <v>276</v>
      </c>
      <c r="C120">
        <v>76.22</v>
      </c>
      <c r="D120">
        <v>17</v>
      </c>
      <c r="E120">
        <v>13</v>
      </c>
      <c r="F120">
        <v>73.959999999999994</v>
      </c>
      <c r="G120">
        <v>0</v>
      </c>
      <c r="H120">
        <v>0</v>
      </c>
      <c r="I120">
        <v>0</v>
      </c>
      <c r="J120">
        <v>1</v>
      </c>
      <c r="K120">
        <v>75.430000000000007</v>
      </c>
      <c r="L120">
        <v>76.73</v>
      </c>
    </row>
    <row r="121" spans="1:12" x14ac:dyDescent="0.2">
      <c r="A121" s="4">
        <v>120</v>
      </c>
      <c r="B121" t="s">
        <v>165</v>
      </c>
      <c r="C121">
        <v>76.180000000000007</v>
      </c>
      <c r="D121">
        <v>13</v>
      </c>
      <c r="E121">
        <v>15</v>
      </c>
      <c r="F121">
        <v>75.92</v>
      </c>
      <c r="G121">
        <v>0</v>
      </c>
      <c r="H121">
        <v>1</v>
      </c>
      <c r="I121">
        <v>0</v>
      </c>
      <c r="J121">
        <v>3</v>
      </c>
      <c r="K121">
        <v>75.16</v>
      </c>
      <c r="L121">
        <v>76.94</v>
      </c>
    </row>
    <row r="122" spans="1:12" x14ac:dyDescent="0.2">
      <c r="A122" s="4">
        <v>121</v>
      </c>
      <c r="B122" t="s">
        <v>93</v>
      </c>
      <c r="C122">
        <v>75.94</v>
      </c>
      <c r="D122">
        <v>19</v>
      </c>
      <c r="E122">
        <v>11</v>
      </c>
      <c r="F122">
        <v>71.599999999999994</v>
      </c>
      <c r="G122">
        <v>0</v>
      </c>
      <c r="H122">
        <v>0</v>
      </c>
      <c r="I122">
        <v>0</v>
      </c>
      <c r="J122">
        <v>1</v>
      </c>
      <c r="K122">
        <v>75.63</v>
      </c>
      <c r="L122">
        <v>75.95</v>
      </c>
    </row>
    <row r="123" spans="1:12" x14ac:dyDescent="0.2">
      <c r="A123" s="4">
        <v>122</v>
      </c>
      <c r="B123" t="s">
        <v>263</v>
      </c>
      <c r="C123">
        <v>75.930000000000007</v>
      </c>
      <c r="D123">
        <v>20</v>
      </c>
      <c r="E123">
        <v>12</v>
      </c>
      <c r="F123">
        <v>71.2</v>
      </c>
      <c r="G123">
        <v>0</v>
      </c>
      <c r="H123">
        <v>0</v>
      </c>
      <c r="I123">
        <v>0</v>
      </c>
      <c r="J123">
        <v>2</v>
      </c>
      <c r="K123">
        <v>75.03</v>
      </c>
      <c r="L123">
        <v>76.55</v>
      </c>
    </row>
    <row r="124" spans="1:12" x14ac:dyDescent="0.2">
      <c r="A124" s="4">
        <v>123</v>
      </c>
      <c r="B124" t="s">
        <v>160</v>
      </c>
      <c r="C124">
        <v>75.760000000000005</v>
      </c>
      <c r="D124">
        <v>20</v>
      </c>
      <c r="E124">
        <v>12</v>
      </c>
      <c r="F124">
        <v>71.13</v>
      </c>
      <c r="G124">
        <v>0</v>
      </c>
      <c r="H124">
        <v>1</v>
      </c>
      <c r="I124">
        <v>0</v>
      </c>
      <c r="J124">
        <v>2</v>
      </c>
      <c r="K124">
        <v>74.400000000000006</v>
      </c>
      <c r="L124">
        <v>76.900000000000006</v>
      </c>
    </row>
    <row r="125" spans="1:12" x14ac:dyDescent="0.2">
      <c r="A125" s="4">
        <v>124</v>
      </c>
      <c r="B125" t="s">
        <v>64</v>
      </c>
      <c r="C125">
        <v>75.73</v>
      </c>
      <c r="D125">
        <v>17</v>
      </c>
      <c r="E125">
        <v>11</v>
      </c>
      <c r="F125">
        <v>71.849999999999994</v>
      </c>
      <c r="G125">
        <v>0</v>
      </c>
      <c r="H125">
        <v>1</v>
      </c>
      <c r="I125">
        <v>0</v>
      </c>
      <c r="J125">
        <v>3</v>
      </c>
      <c r="K125">
        <v>74.83</v>
      </c>
      <c r="L125">
        <v>76.36</v>
      </c>
    </row>
    <row r="126" spans="1:12" x14ac:dyDescent="0.2">
      <c r="A126" s="4">
        <v>125</v>
      </c>
      <c r="B126" t="s">
        <v>236</v>
      </c>
      <c r="C126">
        <v>75.7</v>
      </c>
      <c r="D126">
        <v>16</v>
      </c>
      <c r="E126">
        <v>11</v>
      </c>
      <c r="F126">
        <v>73.709999999999994</v>
      </c>
      <c r="G126">
        <v>0</v>
      </c>
      <c r="H126">
        <v>0</v>
      </c>
      <c r="I126">
        <v>0</v>
      </c>
      <c r="J126">
        <v>1</v>
      </c>
      <c r="K126">
        <v>76.09</v>
      </c>
      <c r="L126">
        <v>75.02</v>
      </c>
    </row>
    <row r="127" spans="1:12" x14ac:dyDescent="0.2">
      <c r="A127" s="4">
        <v>126</v>
      </c>
      <c r="B127" t="s">
        <v>100</v>
      </c>
      <c r="C127">
        <v>75.58</v>
      </c>
      <c r="D127">
        <v>14</v>
      </c>
      <c r="E127">
        <v>16</v>
      </c>
      <c r="F127">
        <v>76.87</v>
      </c>
      <c r="G127">
        <v>0</v>
      </c>
      <c r="H127">
        <v>4</v>
      </c>
      <c r="I127">
        <v>2</v>
      </c>
      <c r="J127">
        <v>8</v>
      </c>
      <c r="K127">
        <v>77.3</v>
      </c>
      <c r="L127">
        <v>73.66</v>
      </c>
    </row>
    <row r="128" spans="1:12" x14ac:dyDescent="0.2">
      <c r="A128" s="4">
        <v>127</v>
      </c>
      <c r="B128" t="s">
        <v>819</v>
      </c>
      <c r="C128">
        <v>75.489999999999995</v>
      </c>
      <c r="D128">
        <v>15</v>
      </c>
      <c r="E128">
        <v>14</v>
      </c>
      <c r="F128">
        <v>75.459999999999994</v>
      </c>
      <c r="G128">
        <v>0</v>
      </c>
      <c r="H128">
        <v>1</v>
      </c>
      <c r="I128">
        <v>0</v>
      </c>
      <c r="J128">
        <v>1</v>
      </c>
      <c r="K128">
        <v>75.7</v>
      </c>
      <c r="L128">
        <v>74.989999999999995</v>
      </c>
    </row>
    <row r="129" spans="1:12" x14ac:dyDescent="0.2">
      <c r="A129" s="4">
        <v>128</v>
      </c>
      <c r="B129" t="s">
        <v>196</v>
      </c>
      <c r="C129">
        <v>75.489999999999995</v>
      </c>
      <c r="D129">
        <v>15</v>
      </c>
      <c r="E129">
        <v>13</v>
      </c>
      <c r="F129">
        <v>74.36</v>
      </c>
      <c r="G129">
        <v>0</v>
      </c>
      <c r="H129">
        <v>0</v>
      </c>
      <c r="I129">
        <v>0</v>
      </c>
      <c r="J129">
        <v>0</v>
      </c>
      <c r="K129">
        <v>75.099999999999994</v>
      </c>
      <c r="L129">
        <v>75.59</v>
      </c>
    </row>
    <row r="130" spans="1:12" x14ac:dyDescent="0.2">
      <c r="A130" s="4">
        <v>129</v>
      </c>
      <c r="B130" t="s">
        <v>302</v>
      </c>
      <c r="C130">
        <v>75.47</v>
      </c>
      <c r="D130">
        <v>17</v>
      </c>
      <c r="E130">
        <v>12</v>
      </c>
      <c r="F130">
        <v>72.95</v>
      </c>
      <c r="G130">
        <v>0</v>
      </c>
      <c r="H130">
        <v>0</v>
      </c>
      <c r="I130">
        <v>0</v>
      </c>
      <c r="J130">
        <v>3</v>
      </c>
      <c r="K130">
        <v>74.400000000000006</v>
      </c>
      <c r="L130">
        <v>76.27</v>
      </c>
    </row>
    <row r="131" spans="1:12" x14ac:dyDescent="0.2">
      <c r="A131" s="4">
        <v>130</v>
      </c>
      <c r="B131" t="s">
        <v>116</v>
      </c>
      <c r="C131">
        <v>75.3</v>
      </c>
      <c r="D131">
        <v>18</v>
      </c>
      <c r="E131">
        <v>13</v>
      </c>
      <c r="F131">
        <v>73.33</v>
      </c>
      <c r="G131">
        <v>0</v>
      </c>
      <c r="H131">
        <v>0</v>
      </c>
      <c r="I131">
        <v>0</v>
      </c>
      <c r="J131">
        <v>1</v>
      </c>
      <c r="K131">
        <v>75.92</v>
      </c>
      <c r="L131">
        <v>74.400000000000006</v>
      </c>
    </row>
    <row r="132" spans="1:12" x14ac:dyDescent="0.2">
      <c r="A132" s="4">
        <v>131</v>
      </c>
      <c r="B132" t="s">
        <v>288</v>
      </c>
      <c r="C132">
        <v>75.28</v>
      </c>
      <c r="D132">
        <v>16</v>
      </c>
      <c r="E132">
        <v>16</v>
      </c>
      <c r="F132">
        <v>75.05</v>
      </c>
      <c r="G132">
        <v>0</v>
      </c>
      <c r="H132">
        <v>0</v>
      </c>
      <c r="I132">
        <v>0</v>
      </c>
      <c r="J132">
        <v>1</v>
      </c>
      <c r="K132">
        <v>75.59</v>
      </c>
      <c r="L132">
        <v>74.680000000000007</v>
      </c>
    </row>
    <row r="133" spans="1:12" x14ac:dyDescent="0.2">
      <c r="A133" s="4">
        <v>132</v>
      </c>
      <c r="B133" t="s">
        <v>810</v>
      </c>
      <c r="C133">
        <v>75.209999999999994</v>
      </c>
      <c r="D133">
        <v>14</v>
      </c>
      <c r="E133">
        <v>15</v>
      </c>
      <c r="F133">
        <v>74.790000000000006</v>
      </c>
      <c r="G133">
        <v>0</v>
      </c>
      <c r="H133">
        <v>0</v>
      </c>
      <c r="I133">
        <v>0</v>
      </c>
      <c r="J133">
        <v>0</v>
      </c>
      <c r="K133">
        <v>73.69</v>
      </c>
      <c r="L133">
        <v>76.510000000000005</v>
      </c>
    </row>
    <row r="134" spans="1:12" x14ac:dyDescent="0.2">
      <c r="A134" s="4">
        <v>133</v>
      </c>
      <c r="B134" t="s">
        <v>62</v>
      </c>
      <c r="C134">
        <v>74.989999999999995</v>
      </c>
      <c r="D134">
        <v>13</v>
      </c>
      <c r="E134">
        <v>17</v>
      </c>
      <c r="F134">
        <v>74.849999999999994</v>
      </c>
      <c r="G134">
        <v>0</v>
      </c>
      <c r="H134">
        <v>0</v>
      </c>
      <c r="I134">
        <v>0</v>
      </c>
      <c r="J134">
        <v>1</v>
      </c>
      <c r="K134">
        <v>73.989999999999995</v>
      </c>
      <c r="L134">
        <v>75.709999999999994</v>
      </c>
    </row>
    <row r="135" spans="1:12" x14ac:dyDescent="0.2">
      <c r="A135" s="4">
        <v>134</v>
      </c>
      <c r="B135" t="s">
        <v>804</v>
      </c>
      <c r="C135">
        <v>74.97</v>
      </c>
      <c r="D135">
        <v>15</v>
      </c>
      <c r="E135">
        <v>13</v>
      </c>
      <c r="F135">
        <v>74.23</v>
      </c>
      <c r="G135">
        <v>0</v>
      </c>
      <c r="H135">
        <v>0</v>
      </c>
      <c r="I135">
        <v>0</v>
      </c>
      <c r="J135">
        <v>0</v>
      </c>
      <c r="K135">
        <v>75.239999999999995</v>
      </c>
      <c r="L135">
        <v>74.400000000000006</v>
      </c>
    </row>
    <row r="136" spans="1:12" x14ac:dyDescent="0.2">
      <c r="A136" s="4">
        <v>135</v>
      </c>
      <c r="B136" t="s">
        <v>129</v>
      </c>
      <c r="C136">
        <v>74.739999999999995</v>
      </c>
      <c r="D136">
        <v>14</v>
      </c>
      <c r="E136">
        <v>14</v>
      </c>
      <c r="F136">
        <v>74.400000000000006</v>
      </c>
      <c r="G136">
        <v>0</v>
      </c>
      <c r="H136">
        <v>0</v>
      </c>
      <c r="I136">
        <v>0</v>
      </c>
      <c r="J136">
        <v>2</v>
      </c>
      <c r="K136">
        <v>74.64</v>
      </c>
      <c r="L136">
        <v>74.53</v>
      </c>
    </row>
    <row r="137" spans="1:12" x14ac:dyDescent="0.2">
      <c r="A137" s="4">
        <v>136</v>
      </c>
      <c r="B137" t="s">
        <v>812</v>
      </c>
      <c r="C137">
        <v>74.66</v>
      </c>
      <c r="D137">
        <v>13</v>
      </c>
      <c r="E137">
        <v>18</v>
      </c>
      <c r="F137">
        <v>77.069999999999993</v>
      </c>
      <c r="G137">
        <v>0</v>
      </c>
      <c r="H137">
        <v>3</v>
      </c>
      <c r="I137">
        <v>1</v>
      </c>
      <c r="J137">
        <v>6</v>
      </c>
      <c r="K137">
        <v>75.28</v>
      </c>
      <c r="L137">
        <v>73.75</v>
      </c>
    </row>
    <row r="138" spans="1:12" x14ac:dyDescent="0.2">
      <c r="A138" s="4">
        <v>137</v>
      </c>
      <c r="B138" t="s">
        <v>50</v>
      </c>
      <c r="C138">
        <v>74.650000000000006</v>
      </c>
      <c r="D138">
        <v>17</v>
      </c>
      <c r="E138">
        <v>11</v>
      </c>
      <c r="F138">
        <v>72.77</v>
      </c>
      <c r="G138">
        <v>0</v>
      </c>
      <c r="H138">
        <v>0</v>
      </c>
      <c r="I138">
        <v>1</v>
      </c>
      <c r="J138">
        <v>0</v>
      </c>
      <c r="K138">
        <v>75.97</v>
      </c>
      <c r="L138">
        <v>73.08</v>
      </c>
    </row>
    <row r="139" spans="1:12" x14ac:dyDescent="0.2">
      <c r="A139" s="4">
        <v>138</v>
      </c>
      <c r="B139" t="s">
        <v>887</v>
      </c>
      <c r="C139">
        <v>74.64</v>
      </c>
      <c r="D139">
        <v>16</v>
      </c>
      <c r="E139">
        <v>8</v>
      </c>
      <c r="F139">
        <v>66.81</v>
      </c>
      <c r="G139">
        <v>0</v>
      </c>
      <c r="H139">
        <v>0</v>
      </c>
      <c r="I139">
        <v>0</v>
      </c>
      <c r="J139">
        <v>1</v>
      </c>
      <c r="K139">
        <v>72.180000000000007</v>
      </c>
      <c r="L139">
        <v>76.95</v>
      </c>
    </row>
    <row r="140" spans="1:12" x14ac:dyDescent="0.2">
      <c r="A140" s="4">
        <v>139</v>
      </c>
      <c r="B140" t="s">
        <v>113</v>
      </c>
      <c r="C140">
        <v>74.45</v>
      </c>
      <c r="D140">
        <v>13</v>
      </c>
      <c r="E140">
        <v>15</v>
      </c>
      <c r="F140">
        <v>74.650000000000006</v>
      </c>
      <c r="G140">
        <v>0</v>
      </c>
      <c r="H140">
        <v>0</v>
      </c>
      <c r="I140">
        <v>0</v>
      </c>
      <c r="J140">
        <v>1</v>
      </c>
      <c r="K140">
        <v>73.260000000000005</v>
      </c>
      <c r="L140">
        <v>75.37</v>
      </c>
    </row>
    <row r="141" spans="1:12" x14ac:dyDescent="0.2">
      <c r="A141" s="4">
        <v>140</v>
      </c>
      <c r="B141" t="s">
        <v>289</v>
      </c>
      <c r="C141">
        <v>74.39</v>
      </c>
      <c r="D141">
        <v>18</v>
      </c>
      <c r="E141">
        <v>11</v>
      </c>
      <c r="F141">
        <v>71.040000000000006</v>
      </c>
      <c r="G141">
        <v>0</v>
      </c>
      <c r="H141">
        <v>1</v>
      </c>
      <c r="I141">
        <v>0</v>
      </c>
      <c r="J141">
        <v>1</v>
      </c>
      <c r="K141">
        <v>75</v>
      </c>
      <c r="L141">
        <v>73.489999999999995</v>
      </c>
    </row>
    <row r="142" spans="1:12" x14ac:dyDescent="0.2">
      <c r="A142" s="4">
        <v>141</v>
      </c>
      <c r="B142" t="s">
        <v>91</v>
      </c>
      <c r="C142">
        <v>74.180000000000007</v>
      </c>
      <c r="D142">
        <v>10</v>
      </c>
      <c r="E142">
        <v>19</v>
      </c>
      <c r="F142">
        <v>77.81</v>
      </c>
      <c r="G142">
        <v>0</v>
      </c>
      <c r="H142">
        <v>0</v>
      </c>
      <c r="I142">
        <v>1</v>
      </c>
      <c r="J142">
        <v>7</v>
      </c>
      <c r="K142">
        <v>73.349999999999994</v>
      </c>
      <c r="L142">
        <v>74.73</v>
      </c>
    </row>
    <row r="143" spans="1:12" x14ac:dyDescent="0.2">
      <c r="A143" s="4">
        <v>142</v>
      </c>
      <c r="B143" t="s">
        <v>117</v>
      </c>
      <c r="C143">
        <v>74.17</v>
      </c>
      <c r="D143">
        <v>12</v>
      </c>
      <c r="E143">
        <v>16</v>
      </c>
      <c r="F143">
        <v>76.760000000000005</v>
      </c>
      <c r="G143">
        <v>0</v>
      </c>
      <c r="H143">
        <v>2</v>
      </c>
      <c r="I143">
        <v>1</v>
      </c>
      <c r="J143">
        <v>4</v>
      </c>
      <c r="K143">
        <v>75.23</v>
      </c>
      <c r="L143">
        <v>72.83</v>
      </c>
    </row>
    <row r="144" spans="1:12" x14ac:dyDescent="0.2">
      <c r="A144" s="4">
        <v>143</v>
      </c>
      <c r="B144" t="s">
        <v>811</v>
      </c>
      <c r="C144">
        <v>73.959999999999994</v>
      </c>
      <c r="D144">
        <v>11</v>
      </c>
      <c r="E144">
        <v>17</v>
      </c>
      <c r="F144">
        <v>77.2</v>
      </c>
      <c r="G144">
        <v>0</v>
      </c>
      <c r="H144">
        <v>2</v>
      </c>
      <c r="I144">
        <v>0</v>
      </c>
      <c r="J144">
        <v>7</v>
      </c>
      <c r="K144">
        <v>73.58</v>
      </c>
      <c r="L144">
        <v>74.05</v>
      </c>
    </row>
    <row r="145" spans="1:12" x14ac:dyDescent="0.2">
      <c r="A145" s="4">
        <v>144</v>
      </c>
      <c r="B145" t="s">
        <v>134</v>
      </c>
      <c r="C145">
        <v>73.81</v>
      </c>
      <c r="D145">
        <v>16</v>
      </c>
      <c r="E145">
        <v>11</v>
      </c>
      <c r="F145">
        <v>70.83</v>
      </c>
      <c r="G145">
        <v>0</v>
      </c>
      <c r="H145">
        <v>0</v>
      </c>
      <c r="I145">
        <v>0</v>
      </c>
      <c r="J145">
        <v>1</v>
      </c>
      <c r="K145">
        <v>72.819999999999993</v>
      </c>
      <c r="L145">
        <v>74.52</v>
      </c>
    </row>
    <row r="146" spans="1:12" x14ac:dyDescent="0.2">
      <c r="A146" s="4">
        <v>145</v>
      </c>
      <c r="B146" t="s">
        <v>903</v>
      </c>
      <c r="C146">
        <v>73.8</v>
      </c>
      <c r="D146">
        <v>21</v>
      </c>
      <c r="E146">
        <v>11</v>
      </c>
      <c r="F146">
        <v>69.66</v>
      </c>
      <c r="G146">
        <v>0</v>
      </c>
      <c r="H146">
        <v>3</v>
      </c>
      <c r="I146">
        <v>0</v>
      </c>
      <c r="J146">
        <v>3</v>
      </c>
      <c r="K146">
        <v>71.63</v>
      </c>
      <c r="L146">
        <v>75.73</v>
      </c>
    </row>
    <row r="147" spans="1:12" x14ac:dyDescent="0.2">
      <c r="A147" s="4">
        <v>146</v>
      </c>
      <c r="B147" t="s">
        <v>8</v>
      </c>
      <c r="C147">
        <v>73.77</v>
      </c>
      <c r="D147">
        <v>4</v>
      </c>
      <c r="E147">
        <v>13</v>
      </c>
      <c r="F147">
        <v>81.5</v>
      </c>
      <c r="G147">
        <v>0</v>
      </c>
      <c r="H147">
        <v>2</v>
      </c>
      <c r="I147">
        <v>0</v>
      </c>
      <c r="J147">
        <v>3</v>
      </c>
      <c r="K147">
        <v>73.63</v>
      </c>
      <c r="L147">
        <v>73.61</v>
      </c>
    </row>
    <row r="148" spans="1:12" x14ac:dyDescent="0.2">
      <c r="A148" s="4">
        <v>147</v>
      </c>
      <c r="B148" t="s">
        <v>221</v>
      </c>
      <c r="C148">
        <v>73.77</v>
      </c>
      <c r="D148">
        <v>16</v>
      </c>
      <c r="E148">
        <v>14</v>
      </c>
      <c r="F148">
        <v>73.91</v>
      </c>
      <c r="G148">
        <v>0</v>
      </c>
      <c r="H148">
        <v>0</v>
      </c>
      <c r="I148">
        <v>0</v>
      </c>
      <c r="J148">
        <v>0</v>
      </c>
      <c r="K148">
        <v>74.95</v>
      </c>
      <c r="L148">
        <v>72.31</v>
      </c>
    </row>
    <row r="149" spans="1:12" x14ac:dyDescent="0.2">
      <c r="A149" s="4">
        <v>148</v>
      </c>
      <c r="B149" t="s">
        <v>821</v>
      </c>
      <c r="C149">
        <v>73.569999999999993</v>
      </c>
      <c r="D149">
        <v>12</v>
      </c>
      <c r="E149">
        <v>16</v>
      </c>
      <c r="F149">
        <v>77.099999999999994</v>
      </c>
      <c r="G149">
        <v>0</v>
      </c>
      <c r="H149">
        <v>0</v>
      </c>
      <c r="I149">
        <v>1</v>
      </c>
      <c r="J149">
        <v>6</v>
      </c>
      <c r="K149">
        <v>75.56</v>
      </c>
      <c r="L149">
        <v>71.319999999999993</v>
      </c>
    </row>
    <row r="150" spans="1:12" x14ac:dyDescent="0.2">
      <c r="A150" s="4">
        <v>149</v>
      </c>
      <c r="B150" t="s">
        <v>127</v>
      </c>
      <c r="C150">
        <v>73.459999999999994</v>
      </c>
      <c r="D150">
        <v>17</v>
      </c>
      <c r="E150">
        <v>15</v>
      </c>
      <c r="F150">
        <v>74.19</v>
      </c>
      <c r="G150">
        <v>0</v>
      </c>
      <c r="H150">
        <v>1</v>
      </c>
      <c r="I150">
        <v>0</v>
      </c>
      <c r="J150">
        <v>2</v>
      </c>
      <c r="K150">
        <v>74.61</v>
      </c>
      <c r="L150">
        <v>72.02</v>
      </c>
    </row>
    <row r="151" spans="1:12" x14ac:dyDescent="0.2">
      <c r="A151" s="4">
        <v>150</v>
      </c>
      <c r="B151" t="s">
        <v>184</v>
      </c>
      <c r="C151">
        <v>73.27</v>
      </c>
      <c r="D151">
        <v>14</v>
      </c>
      <c r="E151">
        <v>15</v>
      </c>
      <c r="F151">
        <v>73.69</v>
      </c>
      <c r="G151">
        <v>0</v>
      </c>
      <c r="H151">
        <v>0</v>
      </c>
      <c r="I151">
        <v>0</v>
      </c>
      <c r="J151">
        <v>2</v>
      </c>
      <c r="K151">
        <v>72.23</v>
      </c>
      <c r="L151">
        <v>74.02</v>
      </c>
    </row>
    <row r="152" spans="1:12" x14ac:dyDescent="0.2">
      <c r="A152" s="4">
        <v>151</v>
      </c>
      <c r="B152" t="s">
        <v>172</v>
      </c>
      <c r="C152">
        <v>73.27</v>
      </c>
      <c r="D152">
        <v>12</v>
      </c>
      <c r="E152">
        <v>18</v>
      </c>
      <c r="F152">
        <v>76.239999999999995</v>
      </c>
      <c r="G152">
        <v>0</v>
      </c>
      <c r="H152">
        <v>0</v>
      </c>
      <c r="I152">
        <v>0</v>
      </c>
      <c r="J152">
        <v>4</v>
      </c>
      <c r="K152">
        <v>72.92</v>
      </c>
      <c r="L152">
        <v>73.31</v>
      </c>
    </row>
    <row r="153" spans="1:12" x14ac:dyDescent="0.2">
      <c r="A153" s="4">
        <v>152</v>
      </c>
      <c r="B153" t="s">
        <v>837</v>
      </c>
      <c r="C153">
        <v>73.260000000000005</v>
      </c>
      <c r="D153">
        <v>18</v>
      </c>
      <c r="E153">
        <v>9</v>
      </c>
      <c r="F153">
        <v>70.459999999999994</v>
      </c>
      <c r="G153">
        <v>0</v>
      </c>
      <c r="H153">
        <v>0</v>
      </c>
      <c r="I153">
        <v>0</v>
      </c>
      <c r="J153">
        <v>1</v>
      </c>
      <c r="K153">
        <v>75.739999999999995</v>
      </c>
      <c r="L153">
        <v>70.53</v>
      </c>
    </row>
    <row r="154" spans="1:12" x14ac:dyDescent="0.2">
      <c r="A154" s="4">
        <v>153</v>
      </c>
      <c r="B154" t="s">
        <v>128</v>
      </c>
      <c r="C154">
        <v>73.150000000000006</v>
      </c>
      <c r="D154">
        <v>15</v>
      </c>
      <c r="E154">
        <v>12</v>
      </c>
      <c r="F154">
        <v>72.67</v>
      </c>
      <c r="G154">
        <v>0</v>
      </c>
      <c r="H154">
        <v>1</v>
      </c>
      <c r="I154">
        <v>0</v>
      </c>
      <c r="J154">
        <v>1</v>
      </c>
      <c r="K154">
        <v>73.8</v>
      </c>
      <c r="L154">
        <v>72.2</v>
      </c>
    </row>
    <row r="155" spans="1:12" x14ac:dyDescent="0.2">
      <c r="A155" s="4">
        <v>154</v>
      </c>
      <c r="B155" t="s">
        <v>797</v>
      </c>
      <c r="C155">
        <v>73.08</v>
      </c>
      <c r="D155">
        <v>13</v>
      </c>
      <c r="E155">
        <v>15</v>
      </c>
      <c r="F155">
        <v>73.23</v>
      </c>
      <c r="G155">
        <v>0</v>
      </c>
      <c r="H155">
        <v>0</v>
      </c>
      <c r="I155">
        <v>0</v>
      </c>
      <c r="J155">
        <v>0</v>
      </c>
      <c r="K155">
        <v>72.17</v>
      </c>
      <c r="L155">
        <v>73.69</v>
      </c>
    </row>
    <row r="156" spans="1:12" x14ac:dyDescent="0.2">
      <c r="A156" s="4">
        <v>155</v>
      </c>
      <c r="B156" t="s">
        <v>839</v>
      </c>
      <c r="C156">
        <v>73.03</v>
      </c>
      <c r="D156">
        <v>17</v>
      </c>
      <c r="E156">
        <v>12</v>
      </c>
      <c r="F156">
        <v>71</v>
      </c>
      <c r="G156">
        <v>0</v>
      </c>
      <c r="H156">
        <v>0</v>
      </c>
      <c r="I156">
        <v>0</v>
      </c>
      <c r="J156">
        <v>0</v>
      </c>
      <c r="K156">
        <v>72.599999999999994</v>
      </c>
      <c r="L156">
        <v>73.16</v>
      </c>
    </row>
    <row r="157" spans="1:12" x14ac:dyDescent="0.2">
      <c r="A157" s="4">
        <v>156</v>
      </c>
      <c r="B157" t="s">
        <v>92</v>
      </c>
      <c r="C157">
        <v>73</v>
      </c>
      <c r="D157">
        <v>13</v>
      </c>
      <c r="E157">
        <v>18</v>
      </c>
      <c r="F157">
        <v>74.400000000000006</v>
      </c>
      <c r="G157">
        <v>0</v>
      </c>
      <c r="H157">
        <v>0</v>
      </c>
      <c r="I157">
        <v>0</v>
      </c>
      <c r="J157">
        <v>0</v>
      </c>
      <c r="K157">
        <v>72.02</v>
      </c>
      <c r="L157">
        <v>73.67</v>
      </c>
    </row>
    <row r="158" spans="1:12" x14ac:dyDescent="0.2">
      <c r="A158" s="4">
        <v>157</v>
      </c>
      <c r="B158" t="s">
        <v>254</v>
      </c>
      <c r="C158">
        <v>72.94</v>
      </c>
      <c r="D158">
        <v>18</v>
      </c>
      <c r="E158">
        <v>11</v>
      </c>
      <c r="F158">
        <v>70.94</v>
      </c>
      <c r="G158">
        <v>0</v>
      </c>
      <c r="H158">
        <v>0</v>
      </c>
      <c r="I158">
        <v>0</v>
      </c>
      <c r="J158">
        <v>1</v>
      </c>
      <c r="K158">
        <v>73.400000000000006</v>
      </c>
      <c r="L158">
        <v>72.180000000000007</v>
      </c>
    </row>
    <row r="159" spans="1:12" x14ac:dyDescent="0.2">
      <c r="A159" s="4">
        <v>158</v>
      </c>
      <c r="B159" t="s">
        <v>88</v>
      </c>
      <c r="C159">
        <v>72.87</v>
      </c>
      <c r="D159">
        <v>11</v>
      </c>
      <c r="E159">
        <v>16</v>
      </c>
      <c r="F159">
        <v>75.27</v>
      </c>
      <c r="G159">
        <v>0</v>
      </c>
      <c r="H159">
        <v>0</v>
      </c>
      <c r="I159">
        <v>0</v>
      </c>
      <c r="J159">
        <v>3</v>
      </c>
      <c r="K159">
        <v>72.319999999999993</v>
      </c>
      <c r="L159">
        <v>73.12</v>
      </c>
    </row>
    <row r="160" spans="1:12" x14ac:dyDescent="0.2">
      <c r="A160" s="4">
        <v>159</v>
      </c>
      <c r="B160" t="s">
        <v>16</v>
      </c>
      <c r="C160">
        <v>72.77</v>
      </c>
      <c r="D160">
        <v>9</v>
      </c>
      <c r="E160">
        <v>19</v>
      </c>
      <c r="F160">
        <v>78.86</v>
      </c>
      <c r="G160">
        <v>0</v>
      </c>
      <c r="H160">
        <v>2</v>
      </c>
      <c r="I160">
        <v>0</v>
      </c>
      <c r="J160">
        <v>5</v>
      </c>
      <c r="K160">
        <v>74.209999999999994</v>
      </c>
      <c r="L160">
        <v>71.02</v>
      </c>
    </row>
    <row r="161" spans="1:12" x14ac:dyDescent="0.2">
      <c r="A161" s="4">
        <v>160</v>
      </c>
      <c r="B161" t="s">
        <v>550</v>
      </c>
      <c r="C161">
        <v>72.58</v>
      </c>
      <c r="D161">
        <v>14</v>
      </c>
      <c r="E161">
        <v>16</v>
      </c>
      <c r="F161">
        <v>74.38</v>
      </c>
      <c r="G161">
        <v>0</v>
      </c>
      <c r="H161">
        <v>0</v>
      </c>
      <c r="I161">
        <v>0</v>
      </c>
      <c r="J161">
        <v>2</v>
      </c>
      <c r="K161">
        <v>73.400000000000006</v>
      </c>
      <c r="L161">
        <v>71.459999999999994</v>
      </c>
    </row>
    <row r="162" spans="1:12" x14ac:dyDescent="0.2">
      <c r="A162" s="4">
        <v>161</v>
      </c>
      <c r="B162" t="s">
        <v>217</v>
      </c>
      <c r="C162">
        <v>72.37</v>
      </c>
      <c r="D162">
        <v>15</v>
      </c>
      <c r="E162">
        <v>13</v>
      </c>
      <c r="F162">
        <v>72.62</v>
      </c>
      <c r="G162">
        <v>0</v>
      </c>
      <c r="H162">
        <v>0</v>
      </c>
      <c r="I162">
        <v>0</v>
      </c>
      <c r="J162">
        <v>0</v>
      </c>
      <c r="K162">
        <v>73.5</v>
      </c>
      <c r="L162">
        <v>70.94</v>
      </c>
    </row>
    <row r="163" spans="1:12" x14ac:dyDescent="0.2">
      <c r="A163" s="4">
        <v>162</v>
      </c>
      <c r="B163" t="s">
        <v>814</v>
      </c>
      <c r="C163">
        <v>72.37</v>
      </c>
      <c r="D163">
        <v>12</v>
      </c>
      <c r="E163">
        <v>15</v>
      </c>
      <c r="F163">
        <v>73.31</v>
      </c>
      <c r="G163">
        <v>0</v>
      </c>
      <c r="H163">
        <v>0</v>
      </c>
      <c r="I163">
        <v>0</v>
      </c>
      <c r="J163">
        <v>0</v>
      </c>
      <c r="K163">
        <v>72.459999999999994</v>
      </c>
      <c r="L163">
        <v>71.97</v>
      </c>
    </row>
    <row r="164" spans="1:12" x14ac:dyDescent="0.2">
      <c r="A164" s="4">
        <v>163</v>
      </c>
      <c r="B164" t="s">
        <v>47</v>
      </c>
      <c r="C164">
        <v>72.349999999999994</v>
      </c>
      <c r="D164">
        <v>11</v>
      </c>
      <c r="E164">
        <v>17</v>
      </c>
      <c r="F164">
        <v>75.08</v>
      </c>
      <c r="G164">
        <v>0</v>
      </c>
      <c r="H164">
        <v>0</v>
      </c>
      <c r="I164">
        <v>0</v>
      </c>
      <c r="J164">
        <v>3</v>
      </c>
      <c r="K164">
        <v>71.62</v>
      </c>
      <c r="L164">
        <v>72.77</v>
      </c>
    </row>
    <row r="165" spans="1:12" x14ac:dyDescent="0.2">
      <c r="A165" s="4">
        <v>164</v>
      </c>
      <c r="B165" t="s">
        <v>551</v>
      </c>
      <c r="C165">
        <v>72.25</v>
      </c>
      <c r="D165">
        <v>13</v>
      </c>
      <c r="E165">
        <v>16</v>
      </c>
      <c r="F165">
        <v>74.599999999999994</v>
      </c>
      <c r="G165">
        <v>0</v>
      </c>
      <c r="H165">
        <v>1</v>
      </c>
      <c r="I165">
        <v>0</v>
      </c>
      <c r="J165">
        <v>2</v>
      </c>
      <c r="K165">
        <v>72.459999999999994</v>
      </c>
      <c r="L165">
        <v>71.73</v>
      </c>
    </row>
    <row r="166" spans="1:12" x14ac:dyDescent="0.2">
      <c r="A166" s="4">
        <v>165</v>
      </c>
      <c r="B166" t="s">
        <v>200</v>
      </c>
      <c r="C166">
        <v>72.150000000000006</v>
      </c>
      <c r="D166">
        <v>18</v>
      </c>
      <c r="E166">
        <v>10</v>
      </c>
      <c r="F166">
        <v>69.03</v>
      </c>
      <c r="G166">
        <v>0</v>
      </c>
      <c r="H166">
        <v>0</v>
      </c>
      <c r="I166">
        <v>0</v>
      </c>
      <c r="J166">
        <v>1</v>
      </c>
      <c r="K166">
        <v>73.42</v>
      </c>
      <c r="L166">
        <v>70.56</v>
      </c>
    </row>
    <row r="167" spans="1:12" x14ac:dyDescent="0.2">
      <c r="A167" s="4">
        <v>166</v>
      </c>
      <c r="B167" t="s">
        <v>272</v>
      </c>
      <c r="C167">
        <v>72.06</v>
      </c>
      <c r="D167">
        <v>17</v>
      </c>
      <c r="E167">
        <v>10</v>
      </c>
      <c r="F167">
        <v>69.59</v>
      </c>
      <c r="G167">
        <v>0</v>
      </c>
      <c r="H167">
        <v>0</v>
      </c>
      <c r="I167">
        <v>0</v>
      </c>
      <c r="J167">
        <v>0</v>
      </c>
      <c r="K167">
        <v>72.64</v>
      </c>
      <c r="L167">
        <v>71.17</v>
      </c>
    </row>
    <row r="168" spans="1:12" x14ac:dyDescent="0.2">
      <c r="A168" s="4">
        <v>167</v>
      </c>
      <c r="B168" t="s">
        <v>161</v>
      </c>
      <c r="C168">
        <v>71.959999999999994</v>
      </c>
      <c r="D168">
        <v>19</v>
      </c>
      <c r="E168">
        <v>15</v>
      </c>
      <c r="F168">
        <v>70.69</v>
      </c>
      <c r="G168">
        <v>0</v>
      </c>
      <c r="H168">
        <v>1</v>
      </c>
      <c r="I168">
        <v>0</v>
      </c>
      <c r="J168">
        <v>2</v>
      </c>
      <c r="K168">
        <v>71.47</v>
      </c>
      <c r="L168">
        <v>72.14</v>
      </c>
    </row>
    <row r="169" spans="1:12" x14ac:dyDescent="0.2">
      <c r="A169" s="4">
        <v>168</v>
      </c>
      <c r="B169" t="s">
        <v>159</v>
      </c>
      <c r="C169">
        <v>71.900000000000006</v>
      </c>
      <c r="D169">
        <v>16</v>
      </c>
      <c r="E169">
        <v>10</v>
      </c>
      <c r="F169">
        <v>69.64</v>
      </c>
      <c r="G169">
        <v>0</v>
      </c>
      <c r="H169">
        <v>0</v>
      </c>
      <c r="I169">
        <v>0</v>
      </c>
      <c r="J169">
        <v>0</v>
      </c>
      <c r="K169">
        <v>73.86</v>
      </c>
      <c r="L169">
        <v>69.59</v>
      </c>
    </row>
    <row r="170" spans="1:12" x14ac:dyDescent="0.2">
      <c r="A170" s="4">
        <v>169</v>
      </c>
      <c r="B170" t="s">
        <v>234</v>
      </c>
      <c r="C170">
        <v>71.88</v>
      </c>
      <c r="D170">
        <v>10</v>
      </c>
      <c r="E170">
        <v>19</v>
      </c>
      <c r="F170">
        <v>76.62</v>
      </c>
      <c r="G170">
        <v>0</v>
      </c>
      <c r="H170">
        <v>0</v>
      </c>
      <c r="I170">
        <v>0</v>
      </c>
      <c r="J170">
        <v>6</v>
      </c>
      <c r="K170">
        <v>72.63</v>
      </c>
      <c r="L170">
        <v>70.83</v>
      </c>
    </row>
    <row r="171" spans="1:12" x14ac:dyDescent="0.2">
      <c r="A171" s="4">
        <v>170</v>
      </c>
      <c r="B171" t="s">
        <v>818</v>
      </c>
      <c r="C171">
        <v>71.88</v>
      </c>
      <c r="D171">
        <v>8</v>
      </c>
      <c r="E171">
        <v>19</v>
      </c>
      <c r="F171">
        <v>77.010000000000005</v>
      </c>
      <c r="G171">
        <v>0</v>
      </c>
      <c r="H171">
        <v>0</v>
      </c>
      <c r="I171">
        <v>0</v>
      </c>
      <c r="J171">
        <v>6</v>
      </c>
      <c r="K171">
        <v>71.34</v>
      </c>
      <c r="L171">
        <v>72.11</v>
      </c>
    </row>
    <row r="172" spans="1:12" x14ac:dyDescent="0.2">
      <c r="A172" s="4">
        <v>171</v>
      </c>
      <c r="B172" t="s">
        <v>896</v>
      </c>
      <c r="C172">
        <v>71.86</v>
      </c>
      <c r="D172">
        <v>17</v>
      </c>
      <c r="E172">
        <v>9</v>
      </c>
      <c r="F172">
        <v>68.05</v>
      </c>
      <c r="G172">
        <v>0</v>
      </c>
      <c r="H172">
        <v>0</v>
      </c>
      <c r="I172">
        <v>0</v>
      </c>
      <c r="J172">
        <v>0</v>
      </c>
      <c r="K172">
        <v>72.760000000000005</v>
      </c>
      <c r="L172">
        <v>70.66</v>
      </c>
    </row>
    <row r="173" spans="1:12" x14ac:dyDescent="0.2">
      <c r="A173" s="4">
        <v>172</v>
      </c>
      <c r="B173" t="s">
        <v>220</v>
      </c>
      <c r="C173">
        <v>71.8</v>
      </c>
      <c r="D173">
        <v>17</v>
      </c>
      <c r="E173">
        <v>12</v>
      </c>
      <c r="F173">
        <v>71.010000000000005</v>
      </c>
      <c r="G173">
        <v>0</v>
      </c>
      <c r="H173">
        <v>0</v>
      </c>
      <c r="I173">
        <v>0</v>
      </c>
      <c r="J173">
        <v>1</v>
      </c>
      <c r="K173">
        <v>73.97</v>
      </c>
      <c r="L173">
        <v>69.27</v>
      </c>
    </row>
    <row r="174" spans="1:12" x14ac:dyDescent="0.2">
      <c r="A174" s="4">
        <v>173</v>
      </c>
      <c r="B174" t="s">
        <v>835</v>
      </c>
      <c r="C174">
        <v>71.760000000000005</v>
      </c>
      <c r="D174">
        <v>21</v>
      </c>
      <c r="E174">
        <v>14</v>
      </c>
      <c r="F174">
        <v>70.33</v>
      </c>
      <c r="G174">
        <v>0</v>
      </c>
      <c r="H174">
        <v>1</v>
      </c>
      <c r="I174">
        <v>0</v>
      </c>
      <c r="J174">
        <v>3</v>
      </c>
      <c r="K174">
        <v>74.180000000000007</v>
      </c>
      <c r="L174">
        <v>68.959999999999994</v>
      </c>
    </row>
    <row r="175" spans="1:12" x14ac:dyDescent="0.2">
      <c r="A175" s="4">
        <v>174</v>
      </c>
      <c r="B175" t="s">
        <v>822</v>
      </c>
      <c r="C175">
        <v>71.760000000000005</v>
      </c>
      <c r="D175">
        <v>13</v>
      </c>
      <c r="E175">
        <v>15</v>
      </c>
      <c r="F175">
        <v>72.709999999999994</v>
      </c>
      <c r="G175">
        <v>0</v>
      </c>
      <c r="H175">
        <v>1</v>
      </c>
      <c r="I175">
        <v>0</v>
      </c>
      <c r="J175">
        <v>1</v>
      </c>
      <c r="K175">
        <v>70.87</v>
      </c>
      <c r="L175">
        <v>72.33</v>
      </c>
    </row>
    <row r="176" spans="1:12" x14ac:dyDescent="0.2">
      <c r="A176" s="4">
        <v>175</v>
      </c>
      <c r="B176" t="s">
        <v>266</v>
      </c>
      <c r="C176">
        <v>71.75</v>
      </c>
      <c r="D176">
        <v>19</v>
      </c>
      <c r="E176">
        <v>12</v>
      </c>
      <c r="F176">
        <v>69.39</v>
      </c>
      <c r="G176">
        <v>0</v>
      </c>
      <c r="H176">
        <v>0</v>
      </c>
      <c r="I176">
        <v>0</v>
      </c>
      <c r="J176">
        <v>0</v>
      </c>
      <c r="K176">
        <v>71.59</v>
      </c>
      <c r="L176">
        <v>71.61</v>
      </c>
    </row>
    <row r="177" spans="1:12" x14ac:dyDescent="0.2">
      <c r="A177" s="4">
        <v>176</v>
      </c>
      <c r="B177" t="s">
        <v>284</v>
      </c>
      <c r="C177">
        <v>71.599999999999994</v>
      </c>
      <c r="D177">
        <v>16</v>
      </c>
      <c r="E177">
        <v>12</v>
      </c>
      <c r="F177">
        <v>69.81</v>
      </c>
      <c r="G177">
        <v>0</v>
      </c>
      <c r="H177">
        <v>1</v>
      </c>
      <c r="I177">
        <v>0</v>
      </c>
      <c r="J177">
        <v>2</v>
      </c>
      <c r="K177">
        <v>70.45</v>
      </c>
      <c r="L177">
        <v>72.430000000000007</v>
      </c>
    </row>
    <row r="178" spans="1:12" x14ac:dyDescent="0.2">
      <c r="A178" s="4">
        <v>177</v>
      </c>
      <c r="B178" t="s">
        <v>143</v>
      </c>
      <c r="C178">
        <v>71.459999999999994</v>
      </c>
      <c r="D178">
        <v>14</v>
      </c>
      <c r="E178">
        <v>14</v>
      </c>
      <c r="F178">
        <v>70.97</v>
      </c>
      <c r="G178">
        <v>0</v>
      </c>
      <c r="H178">
        <v>0</v>
      </c>
      <c r="I178">
        <v>0</v>
      </c>
      <c r="J178">
        <v>1</v>
      </c>
      <c r="K178">
        <v>70.150000000000006</v>
      </c>
      <c r="L178">
        <v>72.45</v>
      </c>
    </row>
    <row r="179" spans="1:12" x14ac:dyDescent="0.2">
      <c r="A179" s="4">
        <v>178</v>
      </c>
      <c r="B179" t="s">
        <v>241</v>
      </c>
      <c r="C179">
        <v>71.44</v>
      </c>
      <c r="D179">
        <v>16</v>
      </c>
      <c r="E179">
        <v>15</v>
      </c>
      <c r="F179">
        <v>70.91</v>
      </c>
      <c r="G179">
        <v>0</v>
      </c>
      <c r="H179">
        <v>0</v>
      </c>
      <c r="I179">
        <v>0</v>
      </c>
      <c r="J179">
        <v>0</v>
      </c>
      <c r="K179">
        <v>71.42</v>
      </c>
      <c r="L179">
        <v>71.16</v>
      </c>
    </row>
    <row r="180" spans="1:12" x14ac:dyDescent="0.2">
      <c r="A180" s="4">
        <v>179</v>
      </c>
      <c r="B180" t="s">
        <v>169</v>
      </c>
      <c r="C180">
        <v>71.430000000000007</v>
      </c>
      <c r="D180">
        <v>15</v>
      </c>
      <c r="E180">
        <v>13</v>
      </c>
      <c r="F180">
        <v>69.44</v>
      </c>
      <c r="G180">
        <v>0</v>
      </c>
      <c r="H180">
        <v>0</v>
      </c>
      <c r="I180">
        <v>0</v>
      </c>
      <c r="J180">
        <v>0</v>
      </c>
      <c r="K180">
        <v>69.8</v>
      </c>
      <c r="L180">
        <v>72.72</v>
      </c>
    </row>
    <row r="181" spans="1:12" x14ac:dyDescent="0.2">
      <c r="A181" s="4">
        <v>180</v>
      </c>
      <c r="B181" t="s">
        <v>787</v>
      </c>
      <c r="C181">
        <v>71.38</v>
      </c>
      <c r="D181">
        <v>18</v>
      </c>
      <c r="E181">
        <v>11</v>
      </c>
      <c r="F181">
        <v>67.56</v>
      </c>
      <c r="G181">
        <v>0</v>
      </c>
      <c r="H181">
        <v>0</v>
      </c>
      <c r="I181">
        <v>0</v>
      </c>
      <c r="J181">
        <v>0</v>
      </c>
      <c r="K181">
        <v>70.05</v>
      </c>
      <c r="L181">
        <v>72.38</v>
      </c>
    </row>
    <row r="182" spans="1:12" x14ac:dyDescent="0.2">
      <c r="A182" s="4">
        <v>181</v>
      </c>
      <c r="B182" t="s">
        <v>157</v>
      </c>
      <c r="C182">
        <v>71.34</v>
      </c>
      <c r="D182">
        <v>15</v>
      </c>
      <c r="E182">
        <v>11</v>
      </c>
      <c r="F182">
        <v>68.349999999999994</v>
      </c>
      <c r="G182">
        <v>0</v>
      </c>
      <c r="H182">
        <v>0</v>
      </c>
      <c r="I182">
        <v>0</v>
      </c>
      <c r="J182">
        <v>0</v>
      </c>
      <c r="K182">
        <v>70.930000000000007</v>
      </c>
      <c r="L182">
        <v>71.430000000000007</v>
      </c>
    </row>
    <row r="183" spans="1:12" x14ac:dyDescent="0.2">
      <c r="A183" s="4">
        <v>182</v>
      </c>
      <c r="B183" t="s">
        <v>237</v>
      </c>
      <c r="C183">
        <v>71.2</v>
      </c>
      <c r="D183">
        <v>17</v>
      </c>
      <c r="E183">
        <v>12</v>
      </c>
      <c r="F183">
        <v>69.709999999999994</v>
      </c>
      <c r="G183">
        <v>0</v>
      </c>
      <c r="H183">
        <v>1</v>
      </c>
      <c r="I183">
        <v>0</v>
      </c>
      <c r="J183">
        <v>2</v>
      </c>
      <c r="K183">
        <v>71.209999999999994</v>
      </c>
      <c r="L183">
        <v>70.88</v>
      </c>
    </row>
    <row r="184" spans="1:12" x14ac:dyDescent="0.2">
      <c r="A184" s="4">
        <v>183</v>
      </c>
      <c r="B184" t="s">
        <v>259</v>
      </c>
      <c r="C184">
        <v>71.17</v>
      </c>
      <c r="D184">
        <v>14</v>
      </c>
      <c r="E184">
        <v>16</v>
      </c>
      <c r="F184">
        <v>73.44</v>
      </c>
      <c r="G184">
        <v>0</v>
      </c>
      <c r="H184">
        <v>0</v>
      </c>
      <c r="I184">
        <v>0</v>
      </c>
      <c r="J184">
        <v>1</v>
      </c>
      <c r="K184">
        <v>72.44</v>
      </c>
      <c r="L184">
        <v>69.569999999999993</v>
      </c>
    </row>
    <row r="185" spans="1:12" x14ac:dyDescent="0.2">
      <c r="A185" s="4">
        <v>184</v>
      </c>
      <c r="B185" t="s">
        <v>180</v>
      </c>
      <c r="C185">
        <v>71.150000000000006</v>
      </c>
      <c r="D185">
        <v>11</v>
      </c>
      <c r="E185">
        <v>18</v>
      </c>
      <c r="F185">
        <v>74.09</v>
      </c>
      <c r="G185">
        <v>0</v>
      </c>
      <c r="H185">
        <v>0</v>
      </c>
      <c r="I185">
        <v>0</v>
      </c>
      <c r="J185">
        <v>0</v>
      </c>
      <c r="K185">
        <v>71.11</v>
      </c>
      <c r="L185">
        <v>70.88</v>
      </c>
    </row>
    <row r="186" spans="1:12" x14ac:dyDescent="0.2">
      <c r="A186" s="4">
        <v>185</v>
      </c>
      <c r="B186" t="s">
        <v>228</v>
      </c>
      <c r="C186">
        <v>71.08</v>
      </c>
      <c r="D186">
        <v>17</v>
      </c>
      <c r="E186">
        <v>14</v>
      </c>
      <c r="F186">
        <v>69.84</v>
      </c>
      <c r="G186">
        <v>0</v>
      </c>
      <c r="H186">
        <v>0</v>
      </c>
      <c r="I186">
        <v>0</v>
      </c>
      <c r="J186">
        <v>0</v>
      </c>
      <c r="K186">
        <v>72.180000000000007</v>
      </c>
      <c r="L186">
        <v>69.66</v>
      </c>
    </row>
    <row r="187" spans="1:12" x14ac:dyDescent="0.2">
      <c r="A187" s="4">
        <v>186</v>
      </c>
      <c r="B187" t="s">
        <v>183</v>
      </c>
      <c r="C187">
        <v>70.94</v>
      </c>
      <c r="D187">
        <v>7</v>
      </c>
      <c r="E187">
        <v>22</v>
      </c>
      <c r="F187">
        <v>77.03</v>
      </c>
      <c r="G187">
        <v>1</v>
      </c>
      <c r="H187">
        <v>3</v>
      </c>
      <c r="I187">
        <v>1</v>
      </c>
      <c r="J187">
        <v>4</v>
      </c>
      <c r="K187">
        <v>68.72</v>
      </c>
      <c r="L187">
        <v>72.760000000000005</v>
      </c>
    </row>
    <row r="188" spans="1:12" x14ac:dyDescent="0.2">
      <c r="A188" s="4">
        <v>187</v>
      </c>
      <c r="B188" t="s">
        <v>211</v>
      </c>
      <c r="C188">
        <v>70.849999999999994</v>
      </c>
      <c r="D188">
        <v>14</v>
      </c>
      <c r="E188">
        <v>13</v>
      </c>
      <c r="F188">
        <v>70.319999999999993</v>
      </c>
      <c r="G188">
        <v>0</v>
      </c>
      <c r="H188">
        <v>0</v>
      </c>
      <c r="I188">
        <v>0</v>
      </c>
      <c r="J188">
        <v>1</v>
      </c>
      <c r="K188">
        <v>71.17</v>
      </c>
      <c r="L188">
        <v>70.23</v>
      </c>
    </row>
    <row r="189" spans="1:12" x14ac:dyDescent="0.2">
      <c r="A189" s="4">
        <v>188</v>
      </c>
      <c r="B189" t="s">
        <v>829</v>
      </c>
      <c r="C189">
        <v>70.81</v>
      </c>
      <c r="D189">
        <v>15</v>
      </c>
      <c r="E189">
        <v>13</v>
      </c>
      <c r="F189">
        <v>69.83</v>
      </c>
      <c r="G189">
        <v>0</v>
      </c>
      <c r="H189">
        <v>0</v>
      </c>
      <c r="I189">
        <v>0</v>
      </c>
      <c r="J189">
        <v>0</v>
      </c>
      <c r="K189">
        <v>71.790000000000006</v>
      </c>
      <c r="L189">
        <v>69.5</v>
      </c>
    </row>
    <row r="190" spans="1:12" x14ac:dyDescent="0.2">
      <c r="A190" s="4">
        <v>189</v>
      </c>
      <c r="B190" t="s">
        <v>227</v>
      </c>
      <c r="C190">
        <v>70.72</v>
      </c>
      <c r="D190">
        <v>13</v>
      </c>
      <c r="E190">
        <v>11</v>
      </c>
      <c r="F190">
        <v>69.78</v>
      </c>
      <c r="G190">
        <v>0</v>
      </c>
      <c r="H190">
        <v>0</v>
      </c>
      <c r="I190">
        <v>0</v>
      </c>
      <c r="J190">
        <v>0</v>
      </c>
      <c r="K190">
        <v>71.3</v>
      </c>
      <c r="L190">
        <v>69.819999999999993</v>
      </c>
    </row>
    <row r="191" spans="1:12" x14ac:dyDescent="0.2">
      <c r="A191" s="4">
        <v>190</v>
      </c>
      <c r="B191" t="s">
        <v>825</v>
      </c>
      <c r="C191">
        <v>70.66</v>
      </c>
      <c r="D191">
        <v>10</v>
      </c>
      <c r="E191">
        <v>16</v>
      </c>
      <c r="F191">
        <v>73.31</v>
      </c>
      <c r="G191">
        <v>0</v>
      </c>
      <c r="H191">
        <v>0</v>
      </c>
      <c r="I191">
        <v>0</v>
      </c>
      <c r="J191">
        <v>2</v>
      </c>
      <c r="K191">
        <v>69.25</v>
      </c>
      <c r="L191">
        <v>71.72</v>
      </c>
    </row>
    <row r="192" spans="1:12" x14ac:dyDescent="0.2">
      <c r="A192" s="4">
        <v>191</v>
      </c>
      <c r="B192" t="s">
        <v>862</v>
      </c>
      <c r="C192">
        <v>70.569999999999993</v>
      </c>
      <c r="D192">
        <v>12</v>
      </c>
      <c r="E192">
        <v>12</v>
      </c>
      <c r="F192">
        <v>70.13</v>
      </c>
      <c r="G192">
        <v>0</v>
      </c>
      <c r="H192">
        <v>0</v>
      </c>
      <c r="I192">
        <v>0</v>
      </c>
      <c r="J192">
        <v>0</v>
      </c>
      <c r="K192">
        <v>69.8</v>
      </c>
      <c r="L192">
        <v>71.03</v>
      </c>
    </row>
    <row r="193" spans="1:12" x14ac:dyDescent="0.2">
      <c r="A193" s="4">
        <v>192</v>
      </c>
      <c r="B193" t="s">
        <v>87</v>
      </c>
      <c r="C193">
        <v>70.510000000000005</v>
      </c>
      <c r="D193">
        <v>20</v>
      </c>
      <c r="E193">
        <v>11</v>
      </c>
      <c r="F193">
        <v>66.61</v>
      </c>
      <c r="G193">
        <v>0</v>
      </c>
      <c r="H193">
        <v>1</v>
      </c>
      <c r="I193">
        <v>0</v>
      </c>
      <c r="J193">
        <v>2</v>
      </c>
      <c r="K193">
        <v>70.06</v>
      </c>
      <c r="L193">
        <v>70.66</v>
      </c>
    </row>
    <row r="194" spans="1:12" x14ac:dyDescent="0.2">
      <c r="A194" s="4">
        <v>193</v>
      </c>
      <c r="B194" t="s">
        <v>245</v>
      </c>
      <c r="C194">
        <v>70.28</v>
      </c>
      <c r="D194">
        <v>13</v>
      </c>
      <c r="E194">
        <v>17</v>
      </c>
      <c r="F194">
        <v>73.83</v>
      </c>
      <c r="G194">
        <v>0</v>
      </c>
      <c r="H194">
        <v>0</v>
      </c>
      <c r="I194">
        <v>0</v>
      </c>
      <c r="J194">
        <v>0</v>
      </c>
      <c r="K194">
        <v>72.41</v>
      </c>
      <c r="L194">
        <v>67.69</v>
      </c>
    </row>
    <row r="195" spans="1:12" x14ac:dyDescent="0.2">
      <c r="A195" s="4">
        <v>194</v>
      </c>
      <c r="B195" t="s">
        <v>813</v>
      </c>
      <c r="C195">
        <v>70.209999999999994</v>
      </c>
      <c r="D195">
        <v>8</v>
      </c>
      <c r="E195">
        <v>18</v>
      </c>
      <c r="F195">
        <v>73.94</v>
      </c>
      <c r="G195">
        <v>0</v>
      </c>
      <c r="H195">
        <v>0</v>
      </c>
      <c r="I195">
        <v>0</v>
      </c>
      <c r="J195">
        <v>0</v>
      </c>
      <c r="K195">
        <v>69.13</v>
      </c>
      <c r="L195">
        <v>70.95</v>
      </c>
    </row>
    <row r="196" spans="1:12" x14ac:dyDescent="0.2">
      <c r="A196" s="4">
        <v>195</v>
      </c>
      <c r="B196" t="s">
        <v>83</v>
      </c>
      <c r="C196">
        <v>70.02</v>
      </c>
      <c r="D196">
        <v>11</v>
      </c>
      <c r="E196">
        <v>14</v>
      </c>
      <c r="F196">
        <v>71.8</v>
      </c>
      <c r="G196">
        <v>0</v>
      </c>
      <c r="H196">
        <v>0</v>
      </c>
      <c r="I196">
        <v>0</v>
      </c>
      <c r="J196">
        <v>0</v>
      </c>
      <c r="K196">
        <v>70.28</v>
      </c>
      <c r="L196">
        <v>69.459999999999994</v>
      </c>
    </row>
    <row r="197" spans="1:12" x14ac:dyDescent="0.2">
      <c r="A197" s="4">
        <v>196</v>
      </c>
      <c r="B197" t="s">
        <v>262</v>
      </c>
      <c r="C197">
        <v>69.98</v>
      </c>
      <c r="D197">
        <v>14</v>
      </c>
      <c r="E197">
        <v>13</v>
      </c>
      <c r="F197">
        <v>69.42</v>
      </c>
      <c r="G197">
        <v>0</v>
      </c>
      <c r="H197">
        <v>1</v>
      </c>
      <c r="I197">
        <v>0</v>
      </c>
      <c r="J197">
        <v>1</v>
      </c>
      <c r="K197">
        <v>69.77</v>
      </c>
      <c r="L197">
        <v>69.88</v>
      </c>
    </row>
    <row r="198" spans="1:12" x14ac:dyDescent="0.2">
      <c r="A198" s="4">
        <v>197</v>
      </c>
      <c r="B198" t="s">
        <v>177</v>
      </c>
      <c r="C198">
        <v>69.97</v>
      </c>
      <c r="D198">
        <v>11</v>
      </c>
      <c r="E198">
        <v>17</v>
      </c>
      <c r="F198">
        <v>74.040000000000006</v>
      </c>
      <c r="G198">
        <v>0</v>
      </c>
      <c r="H198">
        <v>0</v>
      </c>
      <c r="I198">
        <v>0</v>
      </c>
      <c r="J198">
        <v>2</v>
      </c>
      <c r="K198">
        <v>70.47</v>
      </c>
      <c r="L198">
        <v>69.150000000000006</v>
      </c>
    </row>
    <row r="199" spans="1:12" x14ac:dyDescent="0.2">
      <c r="A199" s="4">
        <v>198</v>
      </c>
      <c r="B199" t="s">
        <v>61</v>
      </c>
      <c r="C199">
        <v>69.930000000000007</v>
      </c>
      <c r="D199">
        <v>12</v>
      </c>
      <c r="E199">
        <v>16</v>
      </c>
      <c r="F199">
        <v>69.819999999999993</v>
      </c>
      <c r="G199">
        <v>0</v>
      </c>
      <c r="H199">
        <v>1</v>
      </c>
      <c r="I199">
        <v>0</v>
      </c>
      <c r="J199">
        <v>1</v>
      </c>
      <c r="K199">
        <v>66.95</v>
      </c>
      <c r="L199">
        <v>72.33</v>
      </c>
    </row>
    <row r="200" spans="1:12" x14ac:dyDescent="0.2">
      <c r="A200" s="4">
        <v>199</v>
      </c>
      <c r="B200" t="s">
        <v>191</v>
      </c>
      <c r="C200">
        <v>69.8</v>
      </c>
      <c r="D200">
        <v>10</v>
      </c>
      <c r="E200">
        <v>16</v>
      </c>
      <c r="F200">
        <v>72.319999999999993</v>
      </c>
      <c r="G200">
        <v>0</v>
      </c>
      <c r="H200">
        <v>1</v>
      </c>
      <c r="I200">
        <v>0</v>
      </c>
      <c r="J200">
        <v>1</v>
      </c>
      <c r="K200">
        <v>69.34</v>
      </c>
      <c r="L200">
        <v>69.95</v>
      </c>
    </row>
    <row r="201" spans="1:12" x14ac:dyDescent="0.2">
      <c r="A201" s="4">
        <v>200</v>
      </c>
      <c r="B201" t="s">
        <v>80</v>
      </c>
      <c r="C201">
        <v>69.760000000000005</v>
      </c>
      <c r="D201">
        <v>13</v>
      </c>
      <c r="E201">
        <v>17</v>
      </c>
      <c r="F201">
        <v>73.680000000000007</v>
      </c>
      <c r="G201">
        <v>0</v>
      </c>
      <c r="H201">
        <v>0</v>
      </c>
      <c r="I201">
        <v>0</v>
      </c>
      <c r="J201">
        <v>2</v>
      </c>
      <c r="K201">
        <v>72.25</v>
      </c>
      <c r="L201">
        <v>66.680000000000007</v>
      </c>
    </row>
    <row r="202" spans="1:12" x14ac:dyDescent="0.2">
      <c r="A202" s="4">
        <v>201</v>
      </c>
      <c r="B202" t="s">
        <v>188</v>
      </c>
      <c r="C202">
        <v>69.680000000000007</v>
      </c>
      <c r="D202">
        <v>9</v>
      </c>
      <c r="E202">
        <v>19</v>
      </c>
      <c r="F202">
        <v>74.900000000000006</v>
      </c>
      <c r="G202">
        <v>0</v>
      </c>
      <c r="H202">
        <v>1</v>
      </c>
      <c r="I202">
        <v>0</v>
      </c>
      <c r="J202">
        <v>2</v>
      </c>
      <c r="K202">
        <v>70.05</v>
      </c>
      <c r="L202">
        <v>69</v>
      </c>
    </row>
    <row r="203" spans="1:12" x14ac:dyDescent="0.2">
      <c r="A203" s="4">
        <v>202</v>
      </c>
      <c r="B203" t="s">
        <v>294</v>
      </c>
      <c r="C203">
        <v>69.650000000000006</v>
      </c>
      <c r="D203">
        <v>11</v>
      </c>
      <c r="E203">
        <v>15</v>
      </c>
      <c r="F203">
        <v>70.959999999999994</v>
      </c>
      <c r="G203">
        <v>0</v>
      </c>
      <c r="H203">
        <v>0</v>
      </c>
      <c r="I203">
        <v>0</v>
      </c>
      <c r="J203">
        <v>0</v>
      </c>
      <c r="K203">
        <v>68.959999999999994</v>
      </c>
      <c r="L203">
        <v>70.02</v>
      </c>
    </row>
    <row r="204" spans="1:12" x14ac:dyDescent="0.2">
      <c r="A204" s="4">
        <v>203</v>
      </c>
      <c r="B204" t="s">
        <v>201</v>
      </c>
      <c r="C204">
        <v>69.61</v>
      </c>
      <c r="D204">
        <v>7</v>
      </c>
      <c r="E204">
        <v>20</v>
      </c>
      <c r="F204">
        <v>76.48</v>
      </c>
      <c r="G204">
        <v>0</v>
      </c>
      <c r="H204">
        <v>1</v>
      </c>
      <c r="I204">
        <v>0</v>
      </c>
      <c r="J204">
        <v>4</v>
      </c>
      <c r="K204">
        <v>68.790000000000006</v>
      </c>
      <c r="L204">
        <v>70.11</v>
      </c>
    </row>
    <row r="205" spans="1:12" x14ac:dyDescent="0.2">
      <c r="A205" s="4">
        <v>204</v>
      </c>
      <c r="B205" t="s">
        <v>836</v>
      </c>
      <c r="C205">
        <v>69.599999999999994</v>
      </c>
      <c r="D205">
        <v>12</v>
      </c>
      <c r="E205">
        <v>15</v>
      </c>
      <c r="F205">
        <v>70.92</v>
      </c>
      <c r="G205">
        <v>0</v>
      </c>
      <c r="H205">
        <v>0</v>
      </c>
      <c r="I205">
        <v>0</v>
      </c>
      <c r="J205">
        <v>1</v>
      </c>
      <c r="K205">
        <v>69.91</v>
      </c>
      <c r="L205">
        <v>68.97</v>
      </c>
    </row>
    <row r="206" spans="1:12" x14ac:dyDescent="0.2">
      <c r="A206" s="4">
        <v>205</v>
      </c>
      <c r="B206" t="s">
        <v>209</v>
      </c>
      <c r="C206">
        <v>69.56</v>
      </c>
      <c r="D206">
        <v>21</v>
      </c>
      <c r="E206">
        <v>11</v>
      </c>
      <c r="F206">
        <v>65.08</v>
      </c>
      <c r="G206">
        <v>0</v>
      </c>
      <c r="H206">
        <v>0</v>
      </c>
      <c r="I206">
        <v>0</v>
      </c>
      <c r="J206">
        <v>2</v>
      </c>
      <c r="K206">
        <v>68.63</v>
      </c>
      <c r="L206">
        <v>70.150000000000006</v>
      </c>
    </row>
    <row r="207" spans="1:12" x14ac:dyDescent="0.2">
      <c r="A207" s="4">
        <v>206</v>
      </c>
      <c r="B207" t="s">
        <v>202</v>
      </c>
      <c r="C207">
        <v>69.430000000000007</v>
      </c>
      <c r="D207">
        <v>12</v>
      </c>
      <c r="E207">
        <v>14</v>
      </c>
      <c r="F207">
        <v>71.97</v>
      </c>
      <c r="G207">
        <v>0</v>
      </c>
      <c r="H207">
        <v>0</v>
      </c>
      <c r="I207">
        <v>0</v>
      </c>
      <c r="J207">
        <v>0</v>
      </c>
      <c r="K207">
        <v>71.34</v>
      </c>
      <c r="L207">
        <v>67.03</v>
      </c>
    </row>
    <row r="208" spans="1:12" x14ac:dyDescent="0.2">
      <c r="A208" s="4">
        <v>207</v>
      </c>
      <c r="B208" t="s">
        <v>898</v>
      </c>
      <c r="C208">
        <v>69.349999999999994</v>
      </c>
      <c r="D208">
        <v>19</v>
      </c>
      <c r="E208">
        <v>13</v>
      </c>
      <c r="F208">
        <v>68.38</v>
      </c>
      <c r="G208">
        <v>0</v>
      </c>
      <c r="H208">
        <v>3</v>
      </c>
      <c r="I208">
        <v>0</v>
      </c>
      <c r="J208">
        <v>3</v>
      </c>
      <c r="K208">
        <v>69.069999999999993</v>
      </c>
      <c r="L208">
        <v>69.33</v>
      </c>
    </row>
    <row r="209" spans="1:12" x14ac:dyDescent="0.2">
      <c r="A209" s="4">
        <v>208</v>
      </c>
      <c r="B209" t="s">
        <v>823</v>
      </c>
      <c r="C209">
        <v>69.27</v>
      </c>
      <c r="D209">
        <v>13</v>
      </c>
      <c r="E209">
        <v>14</v>
      </c>
      <c r="F209">
        <v>70.010000000000005</v>
      </c>
      <c r="G209">
        <v>0</v>
      </c>
      <c r="H209">
        <v>0</v>
      </c>
      <c r="I209">
        <v>0</v>
      </c>
      <c r="J209">
        <v>0</v>
      </c>
      <c r="K209">
        <v>69.23</v>
      </c>
      <c r="L209">
        <v>69.02</v>
      </c>
    </row>
    <row r="210" spans="1:12" x14ac:dyDescent="0.2">
      <c r="A210" s="4">
        <v>209</v>
      </c>
      <c r="B210" t="s">
        <v>223</v>
      </c>
      <c r="C210">
        <v>69.260000000000005</v>
      </c>
      <c r="D210">
        <v>14</v>
      </c>
      <c r="E210">
        <v>13</v>
      </c>
      <c r="F210">
        <v>69.59</v>
      </c>
      <c r="G210">
        <v>0</v>
      </c>
      <c r="H210">
        <v>0</v>
      </c>
      <c r="I210">
        <v>0</v>
      </c>
      <c r="J210">
        <v>2</v>
      </c>
      <c r="K210">
        <v>69.72</v>
      </c>
      <c r="L210">
        <v>68.489999999999995</v>
      </c>
    </row>
    <row r="211" spans="1:12" x14ac:dyDescent="0.2">
      <c r="A211" s="4">
        <v>210</v>
      </c>
      <c r="B211" t="s">
        <v>901</v>
      </c>
      <c r="C211">
        <v>69.260000000000005</v>
      </c>
      <c r="D211">
        <v>16</v>
      </c>
      <c r="E211">
        <v>13</v>
      </c>
      <c r="F211">
        <v>68.13</v>
      </c>
      <c r="G211">
        <v>0</v>
      </c>
      <c r="H211">
        <v>0</v>
      </c>
      <c r="I211">
        <v>0</v>
      </c>
      <c r="J211">
        <v>0</v>
      </c>
      <c r="K211">
        <v>67.959999999999994</v>
      </c>
      <c r="L211">
        <v>70.19</v>
      </c>
    </row>
    <row r="212" spans="1:12" x14ac:dyDescent="0.2">
      <c r="A212" s="4">
        <v>211</v>
      </c>
      <c r="B212" t="s">
        <v>139</v>
      </c>
      <c r="C212">
        <v>69.25</v>
      </c>
      <c r="D212">
        <v>14</v>
      </c>
      <c r="E212">
        <v>12</v>
      </c>
      <c r="F212">
        <v>67.25</v>
      </c>
      <c r="G212">
        <v>0</v>
      </c>
      <c r="H212">
        <v>0</v>
      </c>
      <c r="I212">
        <v>0</v>
      </c>
      <c r="J212">
        <v>0</v>
      </c>
      <c r="K212">
        <v>68.91</v>
      </c>
      <c r="L212">
        <v>69.28</v>
      </c>
    </row>
    <row r="213" spans="1:12" x14ac:dyDescent="0.2">
      <c r="A213" s="4">
        <v>212</v>
      </c>
      <c r="B213" t="s">
        <v>195</v>
      </c>
      <c r="C213">
        <v>69.2</v>
      </c>
      <c r="D213">
        <v>8</v>
      </c>
      <c r="E213">
        <v>20</v>
      </c>
      <c r="F213">
        <v>74.41</v>
      </c>
      <c r="G213">
        <v>0</v>
      </c>
      <c r="H213">
        <v>1</v>
      </c>
      <c r="I213">
        <v>0</v>
      </c>
      <c r="J213">
        <v>1</v>
      </c>
      <c r="K213">
        <v>68.709999999999994</v>
      </c>
      <c r="L213">
        <v>69.37</v>
      </c>
    </row>
    <row r="214" spans="1:12" x14ac:dyDescent="0.2">
      <c r="A214" s="4">
        <v>213</v>
      </c>
      <c r="B214" t="s">
        <v>300</v>
      </c>
      <c r="C214">
        <v>69.19</v>
      </c>
      <c r="D214">
        <v>10</v>
      </c>
      <c r="E214">
        <v>16</v>
      </c>
      <c r="F214">
        <v>72.78</v>
      </c>
      <c r="G214">
        <v>0</v>
      </c>
      <c r="H214">
        <v>2</v>
      </c>
      <c r="I214">
        <v>0</v>
      </c>
      <c r="J214">
        <v>3</v>
      </c>
      <c r="K214">
        <v>68.53</v>
      </c>
      <c r="L214">
        <v>69.53</v>
      </c>
    </row>
    <row r="215" spans="1:12" x14ac:dyDescent="0.2">
      <c r="A215" s="4">
        <v>214</v>
      </c>
      <c r="B215" t="s">
        <v>874</v>
      </c>
      <c r="C215">
        <v>69.150000000000006</v>
      </c>
      <c r="D215">
        <v>12</v>
      </c>
      <c r="E215">
        <v>15</v>
      </c>
      <c r="F215">
        <v>71.319999999999993</v>
      </c>
      <c r="G215">
        <v>0</v>
      </c>
      <c r="H215">
        <v>2</v>
      </c>
      <c r="I215">
        <v>0</v>
      </c>
      <c r="J215">
        <v>3</v>
      </c>
      <c r="K215">
        <v>68.52</v>
      </c>
      <c r="L215">
        <v>69.459999999999994</v>
      </c>
    </row>
    <row r="216" spans="1:12" x14ac:dyDescent="0.2">
      <c r="A216" s="4">
        <v>215</v>
      </c>
      <c r="B216" t="s">
        <v>830</v>
      </c>
      <c r="C216">
        <v>69.12</v>
      </c>
      <c r="D216">
        <v>11</v>
      </c>
      <c r="E216">
        <v>14</v>
      </c>
      <c r="F216">
        <v>70.98</v>
      </c>
      <c r="G216">
        <v>0</v>
      </c>
      <c r="H216">
        <v>0</v>
      </c>
      <c r="I216">
        <v>0</v>
      </c>
      <c r="J216">
        <v>1</v>
      </c>
      <c r="K216">
        <v>68.62</v>
      </c>
      <c r="L216">
        <v>69.31</v>
      </c>
    </row>
    <row r="217" spans="1:12" x14ac:dyDescent="0.2">
      <c r="A217" s="4">
        <v>216</v>
      </c>
      <c r="B217" t="s">
        <v>212</v>
      </c>
      <c r="C217">
        <v>69.099999999999994</v>
      </c>
      <c r="D217">
        <v>9</v>
      </c>
      <c r="E217">
        <v>20</v>
      </c>
      <c r="F217">
        <v>73.290000000000006</v>
      </c>
      <c r="G217">
        <v>0</v>
      </c>
      <c r="H217">
        <v>0</v>
      </c>
      <c r="I217">
        <v>0</v>
      </c>
      <c r="J217">
        <v>1</v>
      </c>
      <c r="K217">
        <v>68.22</v>
      </c>
      <c r="L217">
        <v>69.64</v>
      </c>
    </row>
    <row r="218" spans="1:12" x14ac:dyDescent="0.2">
      <c r="A218" s="4">
        <v>217</v>
      </c>
      <c r="B218" t="s">
        <v>552</v>
      </c>
      <c r="C218">
        <v>69.06</v>
      </c>
      <c r="D218">
        <v>13</v>
      </c>
      <c r="E218">
        <v>15</v>
      </c>
      <c r="F218">
        <v>70.260000000000005</v>
      </c>
      <c r="G218">
        <v>0</v>
      </c>
      <c r="H218">
        <v>1</v>
      </c>
      <c r="I218">
        <v>0</v>
      </c>
      <c r="J218">
        <v>1</v>
      </c>
      <c r="K218">
        <v>69.63</v>
      </c>
      <c r="L218">
        <v>68.17</v>
      </c>
    </row>
    <row r="219" spans="1:12" x14ac:dyDescent="0.2">
      <c r="A219" s="4">
        <v>218</v>
      </c>
      <c r="B219" t="s">
        <v>108</v>
      </c>
      <c r="C219">
        <v>69.040000000000006</v>
      </c>
      <c r="D219">
        <v>12</v>
      </c>
      <c r="E219">
        <v>16</v>
      </c>
      <c r="F219">
        <v>72.260000000000005</v>
      </c>
      <c r="G219">
        <v>0</v>
      </c>
      <c r="H219">
        <v>0</v>
      </c>
      <c r="I219">
        <v>0</v>
      </c>
      <c r="J219">
        <v>1</v>
      </c>
      <c r="K219">
        <v>70.2</v>
      </c>
      <c r="L219">
        <v>67.5</v>
      </c>
    </row>
    <row r="220" spans="1:12" x14ac:dyDescent="0.2">
      <c r="A220" s="4">
        <v>219</v>
      </c>
      <c r="B220" t="s">
        <v>150</v>
      </c>
      <c r="C220">
        <v>69.03</v>
      </c>
      <c r="D220">
        <v>9</v>
      </c>
      <c r="E220">
        <v>21</v>
      </c>
      <c r="F220">
        <v>74.459999999999994</v>
      </c>
      <c r="G220">
        <v>0</v>
      </c>
      <c r="H220">
        <v>0</v>
      </c>
      <c r="I220">
        <v>0</v>
      </c>
      <c r="J220">
        <v>3</v>
      </c>
      <c r="K220">
        <v>68.16</v>
      </c>
      <c r="L220">
        <v>69.56</v>
      </c>
    </row>
    <row r="221" spans="1:12" x14ac:dyDescent="0.2">
      <c r="A221" s="4">
        <v>220</v>
      </c>
      <c r="B221" t="s">
        <v>85</v>
      </c>
      <c r="C221">
        <v>68.98</v>
      </c>
      <c r="D221">
        <v>15</v>
      </c>
      <c r="E221">
        <v>13</v>
      </c>
      <c r="F221">
        <v>69.739999999999995</v>
      </c>
      <c r="G221">
        <v>0</v>
      </c>
      <c r="H221">
        <v>0</v>
      </c>
      <c r="I221">
        <v>0</v>
      </c>
      <c r="J221">
        <v>0</v>
      </c>
      <c r="K221">
        <v>71.14</v>
      </c>
      <c r="L221">
        <v>66.23</v>
      </c>
    </row>
    <row r="222" spans="1:12" x14ac:dyDescent="0.2">
      <c r="A222" s="4">
        <v>221</v>
      </c>
      <c r="B222" t="s">
        <v>891</v>
      </c>
      <c r="C222">
        <v>68.95</v>
      </c>
      <c r="D222">
        <v>11</v>
      </c>
      <c r="E222">
        <v>15</v>
      </c>
      <c r="F222">
        <v>71.03</v>
      </c>
      <c r="G222">
        <v>0</v>
      </c>
      <c r="H222">
        <v>1</v>
      </c>
      <c r="I222">
        <v>0</v>
      </c>
      <c r="J222">
        <v>1</v>
      </c>
      <c r="K222">
        <v>69.38</v>
      </c>
      <c r="L222">
        <v>68.2</v>
      </c>
    </row>
    <row r="223" spans="1:12" x14ac:dyDescent="0.2">
      <c r="A223" s="4">
        <v>222</v>
      </c>
      <c r="B223" t="s">
        <v>89</v>
      </c>
      <c r="C223">
        <v>68.94</v>
      </c>
      <c r="D223">
        <v>13</v>
      </c>
      <c r="E223">
        <v>17</v>
      </c>
      <c r="F223">
        <v>70.260000000000005</v>
      </c>
      <c r="G223">
        <v>0</v>
      </c>
      <c r="H223">
        <v>0</v>
      </c>
      <c r="I223">
        <v>0</v>
      </c>
      <c r="J223">
        <v>1</v>
      </c>
      <c r="K223">
        <v>66.61</v>
      </c>
      <c r="L223">
        <v>70.739999999999995</v>
      </c>
    </row>
    <row r="224" spans="1:12" x14ac:dyDescent="0.2">
      <c r="A224" s="4">
        <v>223</v>
      </c>
      <c r="B224" t="s">
        <v>894</v>
      </c>
      <c r="C224">
        <v>68.760000000000005</v>
      </c>
      <c r="D224">
        <v>12</v>
      </c>
      <c r="E224">
        <v>16</v>
      </c>
      <c r="F224">
        <v>70.87</v>
      </c>
      <c r="G224">
        <v>0</v>
      </c>
      <c r="H224">
        <v>1</v>
      </c>
      <c r="I224">
        <v>0</v>
      </c>
      <c r="J224">
        <v>2</v>
      </c>
      <c r="K224">
        <v>66.739999999999995</v>
      </c>
      <c r="L224">
        <v>70.3</v>
      </c>
    </row>
    <row r="225" spans="1:12" x14ac:dyDescent="0.2">
      <c r="A225" s="4">
        <v>224</v>
      </c>
      <c r="B225" t="s">
        <v>815</v>
      </c>
      <c r="C225">
        <v>68.72</v>
      </c>
      <c r="D225">
        <v>10</v>
      </c>
      <c r="E225">
        <v>18</v>
      </c>
      <c r="F225">
        <v>72.739999999999995</v>
      </c>
      <c r="G225">
        <v>0</v>
      </c>
      <c r="H225">
        <v>0</v>
      </c>
      <c r="I225">
        <v>0</v>
      </c>
      <c r="J225">
        <v>2</v>
      </c>
      <c r="K225">
        <v>68.83</v>
      </c>
      <c r="L225">
        <v>68.31</v>
      </c>
    </row>
    <row r="226" spans="1:12" x14ac:dyDescent="0.2">
      <c r="A226" s="4">
        <v>225</v>
      </c>
      <c r="B226" t="s">
        <v>110</v>
      </c>
      <c r="C226">
        <v>68.53</v>
      </c>
      <c r="D226">
        <v>11</v>
      </c>
      <c r="E226">
        <v>16</v>
      </c>
      <c r="F226">
        <v>72.83</v>
      </c>
      <c r="G226">
        <v>0</v>
      </c>
      <c r="H226">
        <v>3</v>
      </c>
      <c r="I226">
        <v>0</v>
      </c>
      <c r="J226">
        <v>3</v>
      </c>
      <c r="K226">
        <v>68.87</v>
      </c>
      <c r="L226">
        <v>67.87</v>
      </c>
    </row>
    <row r="227" spans="1:12" x14ac:dyDescent="0.2">
      <c r="A227" s="4">
        <v>226</v>
      </c>
      <c r="B227" t="s">
        <v>833</v>
      </c>
      <c r="C227">
        <v>68.52</v>
      </c>
      <c r="D227">
        <v>11</v>
      </c>
      <c r="E227">
        <v>14</v>
      </c>
      <c r="F227">
        <v>71.45</v>
      </c>
      <c r="G227">
        <v>0</v>
      </c>
      <c r="H227">
        <v>1</v>
      </c>
      <c r="I227">
        <v>0</v>
      </c>
      <c r="J227">
        <v>1</v>
      </c>
      <c r="K227">
        <v>69.52</v>
      </c>
      <c r="L227">
        <v>67.150000000000006</v>
      </c>
    </row>
    <row r="228" spans="1:12" x14ac:dyDescent="0.2">
      <c r="A228" s="4">
        <v>227</v>
      </c>
      <c r="B228" t="s">
        <v>199</v>
      </c>
      <c r="C228">
        <v>68.290000000000006</v>
      </c>
      <c r="D228">
        <v>13</v>
      </c>
      <c r="E228">
        <v>16</v>
      </c>
      <c r="F228">
        <v>70.66</v>
      </c>
      <c r="G228">
        <v>0</v>
      </c>
      <c r="H228">
        <v>0</v>
      </c>
      <c r="I228">
        <v>0</v>
      </c>
      <c r="J228">
        <v>1</v>
      </c>
      <c r="K228">
        <v>69.92</v>
      </c>
      <c r="L228">
        <v>66.17</v>
      </c>
    </row>
    <row r="229" spans="1:12" x14ac:dyDescent="0.2">
      <c r="A229" s="4">
        <v>228</v>
      </c>
      <c r="B229" t="s">
        <v>95</v>
      </c>
      <c r="C229">
        <v>68.209999999999994</v>
      </c>
      <c r="D229">
        <v>12</v>
      </c>
      <c r="E229">
        <v>13</v>
      </c>
      <c r="F229">
        <v>68.989999999999995</v>
      </c>
      <c r="G229">
        <v>0</v>
      </c>
      <c r="H229">
        <v>0</v>
      </c>
      <c r="I229">
        <v>0</v>
      </c>
      <c r="J229">
        <v>0</v>
      </c>
      <c r="K229">
        <v>68.78</v>
      </c>
      <c r="L229">
        <v>67.319999999999993</v>
      </c>
    </row>
    <row r="230" spans="1:12" x14ac:dyDescent="0.2">
      <c r="A230" s="4">
        <v>229</v>
      </c>
      <c r="B230" t="s">
        <v>149</v>
      </c>
      <c r="C230">
        <v>68.09</v>
      </c>
      <c r="D230">
        <v>10</v>
      </c>
      <c r="E230">
        <v>17</v>
      </c>
      <c r="F230">
        <v>72.98</v>
      </c>
      <c r="G230">
        <v>0</v>
      </c>
      <c r="H230">
        <v>2</v>
      </c>
      <c r="I230">
        <v>0</v>
      </c>
      <c r="J230">
        <v>2</v>
      </c>
      <c r="K230">
        <v>67.72</v>
      </c>
      <c r="L230">
        <v>68.16</v>
      </c>
    </row>
    <row r="231" spans="1:12" x14ac:dyDescent="0.2">
      <c r="A231" s="4">
        <v>230</v>
      </c>
      <c r="B231" t="s">
        <v>824</v>
      </c>
      <c r="C231">
        <v>68.09</v>
      </c>
      <c r="D231">
        <v>11</v>
      </c>
      <c r="E231">
        <v>19</v>
      </c>
      <c r="F231">
        <v>72.989999999999995</v>
      </c>
      <c r="G231">
        <v>0</v>
      </c>
      <c r="H231">
        <v>0</v>
      </c>
      <c r="I231">
        <v>0</v>
      </c>
      <c r="J231">
        <v>2</v>
      </c>
      <c r="K231">
        <v>68.260000000000005</v>
      </c>
      <c r="L231">
        <v>67.599999999999994</v>
      </c>
    </row>
    <row r="232" spans="1:12" x14ac:dyDescent="0.2">
      <c r="A232" s="4">
        <v>231</v>
      </c>
      <c r="B232" t="s">
        <v>181</v>
      </c>
      <c r="C232">
        <v>67.88</v>
      </c>
      <c r="D232">
        <v>12</v>
      </c>
      <c r="E232">
        <v>16</v>
      </c>
      <c r="F232">
        <v>71.23</v>
      </c>
      <c r="G232">
        <v>0</v>
      </c>
      <c r="H232">
        <v>1</v>
      </c>
      <c r="I232">
        <v>1</v>
      </c>
      <c r="J232">
        <v>2</v>
      </c>
      <c r="K232">
        <v>68.58</v>
      </c>
      <c r="L232">
        <v>66.84</v>
      </c>
    </row>
    <row r="233" spans="1:12" x14ac:dyDescent="0.2">
      <c r="A233" s="4">
        <v>232</v>
      </c>
      <c r="B233" t="s">
        <v>144</v>
      </c>
      <c r="C233">
        <v>67.86</v>
      </c>
      <c r="D233">
        <v>15</v>
      </c>
      <c r="E233">
        <v>14</v>
      </c>
      <c r="F233">
        <v>68.55</v>
      </c>
      <c r="G233">
        <v>0</v>
      </c>
      <c r="H233">
        <v>0</v>
      </c>
      <c r="I233">
        <v>0</v>
      </c>
      <c r="J233">
        <v>1</v>
      </c>
      <c r="K233">
        <v>68.05</v>
      </c>
      <c r="L233">
        <v>67.36</v>
      </c>
    </row>
    <row r="234" spans="1:12" x14ac:dyDescent="0.2">
      <c r="A234" s="4">
        <v>233</v>
      </c>
      <c r="B234" t="s">
        <v>166</v>
      </c>
      <c r="C234">
        <v>67.86</v>
      </c>
      <c r="D234">
        <v>12</v>
      </c>
      <c r="E234">
        <v>14</v>
      </c>
      <c r="F234">
        <v>68.33</v>
      </c>
      <c r="G234">
        <v>0</v>
      </c>
      <c r="H234">
        <v>1</v>
      </c>
      <c r="I234">
        <v>0</v>
      </c>
      <c r="J234">
        <v>1</v>
      </c>
      <c r="K234">
        <v>66.39</v>
      </c>
      <c r="L234">
        <v>68.91</v>
      </c>
    </row>
    <row r="235" spans="1:12" x14ac:dyDescent="0.2">
      <c r="A235" s="4">
        <v>234</v>
      </c>
      <c r="B235" t="s">
        <v>219</v>
      </c>
      <c r="C235">
        <v>67.83</v>
      </c>
      <c r="D235">
        <v>8</v>
      </c>
      <c r="E235">
        <v>19</v>
      </c>
      <c r="F235">
        <v>74.209999999999994</v>
      </c>
      <c r="G235">
        <v>0</v>
      </c>
      <c r="H235">
        <v>1</v>
      </c>
      <c r="I235">
        <v>0</v>
      </c>
      <c r="J235">
        <v>2</v>
      </c>
      <c r="K235">
        <v>67.989999999999995</v>
      </c>
      <c r="L235">
        <v>67.36</v>
      </c>
    </row>
    <row r="236" spans="1:12" x14ac:dyDescent="0.2">
      <c r="A236" s="4">
        <v>235</v>
      </c>
      <c r="B236" t="s">
        <v>297</v>
      </c>
      <c r="C236">
        <v>67.77</v>
      </c>
      <c r="D236">
        <v>13</v>
      </c>
      <c r="E236">
        <v>14</v>
      </c>
      <c r="F236">
        <v>68.67</v>
      </c>
      <c r="G236">
        <v>0</v>
      </c>
      <c r="H236">
        <v>0</v>
      </c>
      <c r="I236">
        <v>0</v>
      </c>
      <c r="J236">
        <v>1</v>
      </c>
      <c r="K236">
        <v>66.94</v>
      </c>
      <c r="L236">
        <v>68.27</v>
      </c>
    </row>
    <row r="237" spans="1:12" x14ac:dyDescent="0.2">
      <c r="A237" s="4">
        <v>236</v>
      </c>
      <c r="B237" t="s">
        <v>808</v>
      </c>
      <c r="C237">
        <v>67.69</v>
      </c>
      <c r="D237">
        <v>7</v>
      </c>
      <c r="E237">
        <v>22</v>
      </c>
      <c r="F237">
        <v>75.56</v>
      </c>
      <c r="G237">
        <v>0</v>
      </c>
      <c r="H237">
        <v>0</v>
      </c>
      <c r="I237">
        <v>0</v>
      </c>
      <c r="J237">
        <v>3</v>
      </c>
      <c r="K237">
        <v>67.849999999999994</v>
      </c>
      <c r="L237">
        <v>67.22</v>
      </c>
    </row>
    <row r="238" spans="1:12" x14ac:dyDescent="0.2">
      <c r="A238" s="4">
        <v>237</v>
      </c>
      <c r="B238" t="s">
        <v>258</v>
      </c>
      <c r="C238">
        <v>67.63</v>
      </c>
      <c r="D238">
        <v>8</v>
      </c>
      <c r="E238">
        <v>20</v>
      </c>
      <c r="F238">
        <v>73.62</v>
      </c>
      <c r="G238">
        <v>0</v>
      </c>
      <c r="H238">
        <v>0</v>
      </c>
      <c r="I238">
        <v>0</v>
      </c>
      <c r="J238">
        <v>2</v>
      </c>
      <c r="K238">
        <v>66.5</v>
      </c>
      <c r="L238">
        <v>68.39</v>
      </c>
    </row>
    <row r="239" spans="1:12" x14ac:dyDescent="0.2">
      <c r="A239" s="4">
        <v>238</v>
      </c>
      <c r="B239" t="s">
        <v>828</v>
      </c>
      <c r="C239">
        <v>67.62</v>
      </c>
      <c r="D239">
        <v>6</v>
      </c>
      <c r="E239">
        <v>25</v>
      </c>
      <c r="F239">
        <v>75.040000000000006</v>
      </c>
      <c r="G239">
        <v>0</v>
      </c>
      <c r="H239">
        <v>0</v>
      </c>
      <c r="I239">
        <v>0</v>
      </c>
      <c r="J239">
        <v>0</v>
      </c>
      <c r="K239">
        <v>65.8</v>
      </c>
      <c r="L239">
        <v>68.95</v>
      </c>
    </row>
    <row r="240" spans="1:12" x14ac:dyDescent="0.2">
      <c r="A240" s="4">
        <v>239</v>
      </c>
      <c r="B240" t="s">
        <v>295</v>
      </c>
      <c r="C240">
        <v>67.599999999999994</v>
      </c>
      <c r="D240">
        <v>12</v>
      </c>
      <c r="E240">
        <v>15</v>
      </c>
      <c r="F240">
        <v>69.61</v>
      </c>
      <c r="G240">
        <v>0</v>
      </c>
      <c r="H240">
        <v>0</v>
      </c>
      <c r="I240">
        <v>0</v>
      </c>
      <c r="J240">
        <v>1</v>
      </c>
      <c r="K240">
        <v>66.72</v>
      </c>
      <c r="L240">
        <v>68.14</v>
      </c>
    </row>
    <row r="241" spans="1:12" x14ac:dyDescent="0.2">
      <c r="A241" s="4">
        <v>240</v>
      </c>
      <c r="B241" t="s">
        <v>564</v>
      </c>
      <c r="C241">
        <v>67.569999999999993</v>
      </c>
      <c r="D241">
        <v>9</v>
      </c>
      <c r="E241">
        <v>17</v>
      </c>
      <c r="F241">
        <v>70.540000000000006</v>
      </c>
      <c r="G241">
        <v>0</v>
      </c>
      <c r="H241">
        <v>0</v>
      </c>
      <c r="I241">
        <v>0</v>
      </c>
      <c r="J241">
        <v>1</v>
      </c>
      <c r="K241">
        <v>66.22</v>
      </c>
      <c r="L241">
        <v>68.52</v>
      </c>
    </row>
    <row r="242" spans="1:12" x14ac:dyDescent="0.2">
      <c r="A242" s="4">
        <v>241</v>
      </c>
      <c r="B242" t="s">
        <v>226</v>
      </c>
      <c r="C242">
        <v>67.510000000000005</v>
      </c>
      <c r="D242">
        <v>10</v>
      </c>
      <c r="E242">
        <v>17</v>
      </c>
      <c r="F242">
        <v>71.11</v>
      </c>
      <c r="G242">
        <v>0</v>
      </c>
      <c r="H242">
        <v>0</v>
      </c>
      <c r="I242">
        <v>0</v>
      </c>
      <c r="J242">
        <v>1</v>
      </c>
      <c r="K242">
        <v>67.77</v>
      </c>
      <c r="L242">
        <v>66.930000000000007</v>
      </c>
    </row>
    <row r="243" spans="1:12" x14ac:dyDescent="0.2">
      <c r="A243" s="4">
        <v>242</v>
      </c>
      <c r="B243" t="s">
        <v>250</v>
      </c>
      <c r="C243">
        <v>67.489999999999995</v>
      </c>
      <c r="D243">
        <v>12</v>
      </c>
      <c r="E243">
        <v>17</v>
      </c>
      <c r="F243">
        <v>70.930000000000007</v>
      </c>
      <c r="G243">
        <v>0</v>
      </c>
      <c r="H243">
        <v>0</v>
      </c>
      <c r="I243">
        <v>0</v>
      </c>
      <c r="J243">
        <v>2</v>
      </c>
      <c r="K243">
        <v>67.09</v>
      </c>
      <c r="L243">
        <v>67.58</v>
      </c>
    </row>
    <row r="244" spans="1:12" x14ac:dyDescent="0.2">
      <c r="A244" s="4">
        <v>243</v>
      </c>
      <c r="B244" t="s">
        <v>124</v>
      </c>
      <c r="C244">
        <v>67.36</v>
      </c>
      <c r="D244">
        <v>12</v>
      </c>
      <c r="E244">
        <v>14</v>
      </c>
      <c r="F244">
        <v>70.53</v>
      </c>
      <c r="G244">
        <v>0</v>
      </c>
      <c r="H244">
        <v>0</v>
      </c>
      <c r="I244">
        <v>0</v>
      </c>
      <c r="J244">
        <v>0</v>
      </c>
      <c r="K244">
        <v>68.56</v>
      </c>
      <c r="L244">
        <v>65.72</v>
      </c>
    </row>
    <row r="245" spans="1:12" x14ac:dyDescent="0.2">
      <c r="A245" s="4">
        <v>244</v>
      </c>
      <c r="B245" t="s">
        <v>826</v>
      </c>
      <c r="C245">
        <v>67.319999999999993</v>
      </c>
      <c r="D245">
        <v>12</v>
      </c>
      <c r="E245">
        <v>16</v>
      </c>
      <c r="F245">
        <v>70.5</v>
      </c>
      <c r="G245">
        <v>0</v>
      </c>
      <c r="H245">
        <v>0</v>
      </c>
      <c r="I245">
        <v>0</v>
      </c>
      <c r="J245">
        <v>2</v>
      </c>
      <c r="K245">
        <v>68.680000000000007</v>
      </c>
      <c r="L245">
        <v>65.489999999999995</v>
      </c>
    </row>
    <row r="246" spans="1:12" x14ac:dyDescent="0.2">
      <c r="A246" s="4">
        <v>245</v>
      </c>
      <c r="B246" t="s">
        <v>816</v>
      </c>
      <c r="C246">
        <v>67.209999999999994</v>
      </c>
      <c r="D246">
        <v>8</v>
      </c>
      <c r="E246">
        <v>17</v>
      </c>
      <c r="F246">
        <v>71.94</v>
      </c>
      <c r="G246">
        <v>0</v>
      </c>
      <c r="H246">
        <v>0</v>
      </c>
      <c r="I246">
        <v>0</v>
      </c>
      <c r="J246">
        <v>0</v>
      </c>
      <c r="K246">
        <v>66.81</v>
      </c>
      <c r="L246">
        <v>67.31</v>
      </c>
    </row>
    <row r="247" spans="1:12" x14ac:dyDescent="0.2">
      <c r="A247" s="4">
        <v>246</v>
      </c>
      <c r="B247" t="s">
        <v>207</v>
      </c>
      <c r="C247">
        <v>67.14</v>
      </c>
      <c r="D247">
        <v>7</v>
      </c>
      <c r="E247">
        <v>21</v>
      </c>
      <c r="F247">
        <v>74.819999999999993</v>
      </c>
      <c r="G247">
        <v>0</v>
      </c>
      <c r="H247">
        <v>0</v>
      </c>
      <c r="I247">
        <v>0</v>
      </c>
      <c r="J247">
        <v>1</v>
      </c>
      <c r="K247">
        <v>67.599999999999994</v>
      </c>
      <c r="L247">
        <v>66.349999999999994</v>
      </c>
    </row>
    <row r="248" spans="1:12" x14ac:dyDescent="0.2">
      <c r="A248" s="4">
        <v>247</v>
      </c>
      <c r="B248" t="s">
        <v>869</v>
      </c>
      <c r="C248">
        <v>67.03</v>
      </c>
      <c r="D248">
        <v>14</v>
      </c>
      <c r="E248">
        <v>13</v>
      </c>
      <c r="F248">
        <v>66.69</v>
      </c>
      <c r="G248">
        <v>0</v>
      </c>
      <c r="H248">
        <v>0</v>
      </c>
      <c r="I248">
        <v>0</v>
      </c>
      <c r="J248">
        <v>0</v>
      </c>
      <c r="K248">
        <v>66.569999999999993</v>
      </c>
      <c r="L248">
        <v>67.17</v>
      </c>
    </row>
    <row r="249" spans="1:12" x14ac:dyDescent="0.2">
      <c r="A249" s="4">
        <v>248</v>
      </c>
      <c r="B249" t="s">
        <v>251</v>
      </c>
      <c r="C249">
        <v>66.95</v>
      </c>
      <c r="D249">
        <v>13</v>
      </c>
      <c r="E249">
        <v>14</v>
      </c>
      <c r="F249">
        <v>68.75</v>
      </c>
      <c r="G249">
        <v>0</v>
      </c>
      <c r="H249">
        <v>0</v>
      </c>
      <c r="I249">
        <v>0</v>
      </c>
      <c r="J249">
        <v>2</v>
      </c>
      <c r="K249">
        <v>66.97</v>
      </c>
      <c r="L249">
        <v>66.62</v>
      </c>
    </row>
    <row r="250" spans="1:12" x14ac:dyDescent="0.2">
      <c r="A250" s="4">
        <v>249</v>
      </c>
      <c r="B250" t="s">
        <v>68</v>
      </c>
      <c r="C250">
        <v>66.87</v>
      </c>
      <c r="D250">
        <v>8</v>
      </c>
      <c r="E250">
        <v>19</v>
      </c>
      <c r="F250">
        <v>72.94</v>
      </c>
      <c r="G250">
        <v>0</v>
      </c>
      <c r="H250">
        <v>0</v>
      </c>
      <c r="I250">
        <v>0</v>
      </c>
      <c r="J250">
        <v>2</v>
      </c>
      <c r="K250">
        <v>66.48</v>
      </c>
      <c r="L250">
        <v>66.95</v>
      </c>
    </row>
    <row r="251" spans="1:12" x14ac:dyDescent="0.2">
      <c r="A251" s="4">
        <v>250</v>
      </c>
      <c r="B251" t="s">
        <v>840</v>
      </c>
      <c r="C251">
        <v>66.790000000000006</v>
      </c>
      <c r="D251">
        <v>8</v>
      </c>
      <c r="E251">
        <v>18</v>
      </c>
      <c r="F251">
        <v>73.59</v>
      </c>
      <c r="G251">
        <v>0</v>
      </c>
      <c r="H251">
        <v>0</v>
      </c>
      <c r="I251">
        <v>0</v>
      </c>
      <c r="J251">
        <v>1</v>
      </c>
      <c r="K251">
        <v>67.900000000000006</v>
      </c>
      <c r="L251">
        <v>65.260000000000005</v>
      </c>
    </row>
    <row r="252" spans="1:12" x14ac:dyDescent="0.2">
      <c r="A252" s="4">
        <v>251</v>
      </c>
      <c r="B252" t="s">
        <v>268</v>
      </c>
      <c r="C252">
        <v>66.739999999999995</v>
      </c>
      <c r="D252">
        <v>10</v>
      </c>
      <c r="E252">
        <v>15</v>
      </c>
      <c r="F252">
        <v>70.400000000000006</v>
      </c>
      <c r="G252">
        <v>0</v>
      </c>
      <c r="H252">
        <v>0</v>
      </c>
      <c r="I252">
        <v>0</v>
      </c>
      <c r="J252">
        <v>0</v>
      </c>
      <c r="K252">
        <v>68.42</v>
      </c>
      <c r="L252">
        <v>64.47</v>
      </c>
    </row>
    <row r="253" spans="1:12" x14ac:dyDescent="0.2">
      <c r="A253" s="4">
        <v>252</v>
      </c>
      <c r="B253" t="s">
        <v>49</v>
      </c>
      <c r="C253">
        <v>66.569999999999993</v>
      </c>
      <c r="D253">
        <v>6</v>
      </c>
      <c r="E253">
        <v>24</v>
      </c>
      <c r="F253">
        <v>74.680000000000007</v>
      </c>
      <c r="G253">
        <v>0</v>
      </c>
      <c r="H253">
        <v>0</v>
      </c>
      <c r="I253">
        <v>0</v>
      </c>
      <c r="J253">
        <v>0</v>
      </c>
      <c r="K253">
        <v>64.930000000000007</v>
      </c>
      <c r="L253">
        <v>67.73</v>
      </c>
    </row>
    <row r="254" spans="1:12" x14ac:dyDescent="0.2">
      <c r="A254" s="4">
        <v>253</v>
      </c>
      <c r="B254" t="s">
        <v>213</v>
      </c>
      <c r="C254">
        <v>66.540000000000006</v>
      </c>
      <c r="D254">
        <v>13</v>
      </c>
      <c r="E254">
        <v>17</v>
      </c>
      <c r="F254">
        <v>69.08</v>
      </c>
      <c r="G254">
        <v>0</v>
      </c>
      <c r="H254">
        <v>0</v>
      </c>
      <c r="I254">
        <v>0</v>
      </c>
      <c r="J254">
        <v>0</v>
      </c>
      <c r="K254">
        <v>66.599999999999994</v>
      </c>
      <c r="L254">
        <v>66.17</v>
      </c>
    </row>
    <row r="255" spans="1:12" x14ac:dyDescent="0.2">
      <c r="A255" s="4">
        <v>254</v>
      </c>
      <c r="B255" t="s">
        <v>558</v>
      </c>
      <c r="C255">
        <v>66.37</v>
      </c>
      <c r="D255">
        <v>13</v>
      </c>
      <c r="E255">
        <v>14</v>
      </c>
      <c r="F255">
        <v>68.87</v>
      </c>
      <c r="G255">
        <v>0</v>
      </c>
      <c r="H255">
        <v>0</v>
      </c>
      <c r="I255">
        <v>0</v>
      </c>
      <c r="J255">
        <v>1</v>
      </c>
      <c r="K255">
        <v>67.709999999999994</v>
      </c>
      <c r="L255">
        <v>64.540000000000006</v>
      </c>
    </row>
    <row r="256" spans="1:12" x14ac:dyDescent="0.2">
      <c r="A256" s="4">
        <v>255</v>
      </c>
      <c r="B256" t="s">
        <v>248</v>
      </c>
      <c r="C256">
        <v>66.180000000000007</v>
      </c>
      <c r="D256">
        <v>10</v>
      </c>
      <c r="E256">
        <v>17</v>
      </c>
      <c r="F256">
        <v>70.89</v>
      </c>
      <c r="G256">
        <v>0</v>
      </c>
      <c r="H256">
        <v>0</v>
      </c>
      <c r="I256">
        <v>0</v>
      </c>
      <c r="J256">
        <v>0</v>
      </c>
      <c r="K256">
        <v>66.84</v>
      </c>
      <c r="L256">
        <v>65.17</v>
      </c>
    </row>
    <row r="257" spans="1:12" x14ac:dyDescent="0.2">
      <c r="A257" s="4">
        <v>256</v>
      </c>
      <c r="B257" t="s">
        <v>255</v>
      </c>
      <c r="C257">
        <v>66.069999999999993</v>
      </c>
      <c r="D257">
        <v>7</v>
      </c>
      <c r="E257">
        <v>21</v>
      </c>
      <c r="F257">
        <v>74.56</v>
      </c>
      <c r="G257">
        <v>0</v>
      </c>
      <c r="H257">
        <v>2</v>
      </c>
      <c r="I257">
        <v>0</v>
      </c>
      <c r="J257">
        <v>4</v>
      </c>
      <c r="K257">
        <v>66.28</v>
      </c>
      <c r="L257">
        <v>65.55</v>
      </c>
    </row>
    <row r="258" spans="1:12" x14ac:dyDescent="0.2">
      <c r="A258" s="4">
        <v>257</v>
      </c>
      <c r="B258" t="s">
        <v>850</v>
      </c>
      <c r="C258">
        <v>66.06</v>
      </c>
      <c r="D258">
        <v>8</v>
      </c>
      <c r="E258">
        <v>19</v>
      </c>
      <c r="F258">
        <v>72.16</v>
      </c>
      <c r="G258">
        <v>0</v>
      </c>
      <c r="H258">
        <v>0</v>
      </c>
      <c r="I258">
        <v>0</v>
      </c>
      <c r="J258">
        <v>0</v>
      </c>
      <c r="K258">
        <v>65.92</v>
      </c>
      <c r="L258">
        <v>65.88</v>
      </c>
    </row>
    <row r="259" spans="1:12" x14ac:dyDescent="0.2">
      <c r="A259" s="4">
        <v>258</v>
      </c>
      <c r="B259" t="s">
        <v>222</v>
      </c>
      <c r="C259">
        <v>65.92</v>
      </c>
      <c r="D259">
        <v>12</v>
      </c>
      <c r="E259">
        <v>15</v>
      </c>
      <c r="F259">
        <v>67.67</v>
      </c>
      <c r="G259">
        <v>0</v>
      </c>
      <c r="H259">
        <v>0</v>
      </c>
      <c r="I259">
        <v>0</v>
      </c>
      <c r="J259">
        <v>0</v>
      </c>
      <c r="K259">
        <v>65.06</v>
      </c>
      <c r="L259">
        <v>66.44</v>
      </c>
    </row>
    <row r="260" spans="1:12" x14ac:dyDescent="0.2">
      <c r="A260" s="4">
        <v>259</v>
      </c>
      <c r="B260" t="s">
        <v>123</v>
      </c>
      <c r="C260">
        <v>65.91</v>
      </c>
      <c r="D260">
        <v>7</v>
      </c>
      <c r="E260">
        <v>18</v>
      </c>
      <c r="F260">
        <v>72.33</v>
      </c>
      <c r="G260">
        <v>0</v>
      </c>
      <c r="H260">
        <v>0</v>
      </c>
      <c r="I260">
        <v>0</v>
      </c>
      <c r="J260">
        <v>2</v>
      </c>
      <c r="K260">
        <v>65.239999999999995</v>
      </c>
      <c r="L260">
        <v>66.239999999999995</v>
      </c>
    </row>
    <row r="261" spans="1:12" x14ac:dyDescent="0.2">
      <c r="A261" s="4">
        <v>260</v>
      </c>
      <c r="B261" t="s">
        <v>291</v>
      </c>
      <c r="C261">
        <v>65.89</v>
      </c>
      <c r="D261">
        <v>17</v>
      </c>
      <c r="E261">
        <v>12</v>
      </c>
      <c r="F261">
        <v>66.81</v>
      </c>
      <c r="G261">
        <v>0</v>
      </c>
      <c r="H261">
        <v>0</v>
      </c>
      <c r="I261">
        <v>0</v>
      </c>
      <c r="J261">
        <v>2</v>
      </c>
      <c r="K261">
        <v>67.91</v>
      </c>
      <c r="L261">
        <v>63.09</v>
      </c>
    </row>
    <row r="262" spans="1:12" x14ac:dyDescent="0.2">
      <c r="A262" s="4">
        <v>261</v>
      </c>
      <c r="B262" t="s">
        <v>831</v>
      </c>
      <c r="C262">
        <v>65.84</v>
      </c>
      <c r="D262">
        <v>6</v>
      </c>
      <c r="E262">
        <v>21</v>
      </c>
      <c r="F262">
        <v>72.77</v>
      </c>
      <c r="G262">
        <v>0</v>
      </c>
      <c r="H262">
        <v>0</v>
      </c>
      <c r="I262">
        <v>0</v>
      </c>
      <c r="J262">
        <v>0</v>
      </c>
      <c r="K262">
        <v>64.959999999999994</v>
      </c>
      <c r="L262">
        <v>66.37</v>
      </c>
    </row>
    <row r="263" spans="1:12" x14ac:dyDescent="0.2">
      <c r="A263" s="4">
        <v>262</v>
      </c>
      <c r="B263" t="s">
        <v>553</v>
      </c>
      <c r="C263">
        <v>65.790000000000006</v>
      </c>
      <c r="D263">
        <v>15</v>
      </c>
      <c r="E263">
        <v>13</v>
      </c>
      <c r="F263">
        <v>64.48</v>
      </c>
      <c r="G263">
        <v>0</v>
      </c>
      <c r="H263">
        <v>0</v>
      </c>
      <c r="I263">
        <v>0</v>
      </c>
      <c r="J263">
        <v>1</v>
      </c>
      <c r="K263">
        <v>64.709999999999994</v>
      </c>
      <c r="L263">
        <v>66.48</v>
      </c>
    </row>
    <row r="264" spans="1:12" x14ac:dyDescent="0.2">
      <c r="A264" s="4">
        <v>263</v>
      </c>
      <c r="B264" t="s">
        <v>878</v>
      </c>
      <c r="C264">
        <v>65.77</v>
      </c>
      <c r="D264">
        <v>9</v>
      </c>
      <c r="E264">
        <v>18</v>
      </c>
      <c r="F264">
        <v>70.62</v>
      </c>
      <c r="G264">
        <v>0</v>
      </c>
      <c r="H264">
        <v>0</v>
      </c>
      <c r="I264">
        <v>0</v>
      </c>
      <c r="J264">
        <v>0</v>
      </c>
      <c r="K264">
        <v>65.44</v>
      </c>
      <c r="L264">
        <v>65.790000000000006</v>
      </c>
    </row>
    <row r="265" spans="1:12" x14ac:dyDescent="0.2">
      <c r="A265" s="4">
        <v>264</v>
      </c>
      <c r="B265" t="s">
        <v>892</v>
      </c>
      <c r="C265">
        <v>65.760000000000005</v>
      </c>
      <c r="D265">
        <v>10</v>
      </c>
      <c r="E265">
        <v>17</v>
      </c>
      <c r="F265">
        <v>69.47</v>
      </c>
      <c r="G265">
        <v>0</v>
      </c>
      <c r="H265">
        <v>0</v>
      </c>
      <c r="I265">
        <v>0</v>
      </c>
      <c r="J265">
        <v>1</v>
      </c>
      <c r="K265">
        <v>64.83</v>
      </c>
      <c r="L265">
        <v>66.319999999999993</v>
      </c>
    </row>
    <row r="266" spans="1:12" x14ac:dyDescent="0.2">
      <c r="A266" s="4">
        <v>265</v>
      </c>
      <c r="B266" t="s">
        <v>164</v>
      </c>
      <c r="C266">
        <v>65.7</v>
      </c>
      <c r="D266">
        <v>9</v>
      </c>
      <c r="E266">
        <v>20</v>
      </c>
      <c r="F266">
        <v>70.37</v>
      </c>
      <c r="G266">
        <v>0</v>
      </c>
      <c r="H266">
        <v>0</v>
      </c>
      <c r="I266">
        <v>0</v>
      </c>
      <c r="J266">
        <v>0</v>
      </c>
      <c r="K266">
        <v>64.58</v>
      </c>
      <c r="L266">
        <v>66.430000000000007</v>
      </c>
    </row>
    <row r="267" spans="1:12" x14ac:dyDescent="0.2">
      <c r="A267" s="4">
        <v>266</v>
      </c>
      <c r="B267" t="s">
        <v>203</v>
      </c>
      <c r="C267">
        <v>65.7</v>
      </c>
      <c r="D267">
        <v>11</v>
      </c>
      <c r="E267">
        <v>16</v>
      </c>
      <c r="F267">
        <v>68.599999999999994</v>
      </c>
      <c r="G267">
        <v>0</v>
      </c>
      <c r="H267">
        <v>1</v>
      </c>
      <c r="I267">
        <v>0</v>
      </c>
      <c r="J267">
        <v>1</v>
      </c>
      <c r="K267">
        <v>64.97</v>
      </c>
      <c r="L267">
        <v>66.09</v>
      </c>
    </row>
    <row r="268" spans="1:12" x14ac:dyDescent="0.2">
      <c r="A268" s="4">
        <v>267</v>
      </c>
      <c r="B268" t="s">
        <v>246</v>
      </c>
      <c r="C268">
        <v>65.59</v>
      </c>
      <c r="D268">
        <v>11</v>
      </c>
      <c r="E268">
        <v>17</v>
      </c>
      <c r="F268">
        <v>68.73</v>
      </c>
      <c r="G268">
        <v>0</v>
      </c>
      <c r="H268">
        <v>0</v>
      </c>
      <c r="I268">
        <v>0</v>
      </c>
      <c r="J268">
        <v>1</v>
      </c>
      <c r="K268">
        <v>64.760000000000005</v>
      </c>
      <c r="L268">
        <v>66.069999999999993</v>
      </c>
    </row>
    <row r="269" spans="1:12" x14ac:dyDescent="0.2">
      <c r="A269" s="4">
        <v>268</v>
      </c>
      <c r="B269" t="s">
        <v>900</v>
      </c>
      <c r="C269">
        <v>65.48</v>
      </c>
      <c r="D269">
        <v>14</v>
      </c>
      <c r="E269">
        <v>16</v>
      </c>
      <c r="F269">
        <v>68.16</v>
      </c>
      <c r="G269">
        <v>0</v>
      </c>
      <c r="H269">
        <v>0</v>
      </c>
      <c r="I269">
        <v>0</v>
      </c>
      <c r="J269">
        <v>1</v>
      </c>
      <c r="K269">
        <v>67.010000000000005</v>
      </c>
      <c r="L269">
        <v>63.35</v>
      </c>
    </row>
    <row r="270" spans="1:12" x14ac:dyDescent="0.2">
      <c r="A270" s="4">
        <v>269</v>
      </c>
      <c r="B270" t="s">
        <v>238</v>
      </c>
      <c r="C270">
        <v>65.42</v>
      </c>
      <c r="D270">
        <v>7</v>
      </c>
      <c r="E270">
        <v>21</v>
      </c>
      <c r="F270">
        <v>72.45</v>
      </c>
      <c r="G270">
        <v>0</v>
      </c>
      <c r="H270">
        <v>0</v>
      </c>
      <c r="I270">
        <v>0</v>
      </c>
      <c r="J270">
        <v>0</v>
      </c>
      <c r="K270">
        <v>65.040000000000006</v>
      </c>
      <c r="L270">
        <v>65.5</v>
      </c>
    </row>
    <row r="271" spans="1:12" x14ac:dyDescent="0.2">
      <c r="A271" s="4">
        <v>270</v>
      </c>
      <c r="B271" t="s">
        <v>278</v>
      </c>
      <c r="C271">
        <v>65.39</v>
      </c>
      <c r="D271">
        <v>10</v>
      </c>
      <c r="E271">
        <v>19</v>
      </c>
      <c r="F271">
        <v>70.95</v>
      </c>
      <c r="G271">
        <v>0</v>
      </c>
      <c r="H271">
        <v>1</v>
      </c>
      <c r="I271">
        <v>0</v>
      </c>
      <c r="J271">
        <v>3</v>
      </c>
      <c r="K271">
        <v>66.400000000000006</v>
      </c>
      <c r="L271">
        <v>63.95</v>
      </c>
    </row>
    <row r="272" spans="1:12" x14ac:dyDescent="0.2">
      <c r="A272" s="4">
        <v>271</v>
      </c>
      <c r="B272" t="s">
        <v>148</v>
      </c>
      <c r="C272">
        <v>65.22</v>
      </c>
      <c r="D272">
        <v>15</v>
      </c>
      <c r="E272">
        <v>13</v>
      </c>
      <c r="F272">
        <v>64.78</v>
      </c>
      <c r="G272">
        <v>0</v>
      </c>
      <c r="H272">
        <v>0</v>
      </c>
      <c r="I272">
        <v>0</v>
      </c>
      <c r="J272">
        <v>0</v>
      </c>
      <c r="K272">
        <v>65.36</v>
      </c>
      <c r="L272">
        <v>64.77</v>
      </c>
    </row>
    <row r="273" spans="1:12" x14ac:dyDescent="0.2">
      <c r="A273" s="4">
        <v>272</v>
      </c>
      <c r="B273" t="s">
        <v>881</v>
      </c>
      <c r="C273">
        <v>65.150000000000006</v>
      </c>
      <c r="D273">
        <v>7</v>
      </c>
      <c r="E273">
        <v>20</v>
      </c>
      <c r="F273">
        <v>73.13</v>
      </c>
      <c r="G273">
        <v>0</v>
      </c>
      <c r="H273">
        <v>0</v>
      </c>
      <c r="I273">
        <v>0</v>
      </c>
      <c r="J273">
        <v>1</v>
      </c>
      <c r="K273">
        <v>65.47</v>
      </c>
      <c r="L273">
        <v>64.52</v>
      </c>
    </row>
    <row r="274" spans="1:12" x14ac:dyDescent="0.2">
      <c r="A274" s="4">
        <v>273</v>
      </c>
      <c r="B274" t="s">
        <v>785</v>
      </c>
      <c r="C274">
        <v>65.05</v>
      </c>
      <c r="D274">
        <v>10</v>
      </c>
      <c r="E274">
        <v>19</v>
      </c>
      <c r="F274">
        <v>69.25</v>
      </c>
      <c r="G274">
        <v>0</v>
      </c>
      <c r="H274">
        <v>0</v>
      </c>
      <c r="I274">
        <v>0</v>
      </c>
      <c r="J274">
        <v>1</v>
      </c>
      <c r="K274">
        <v>63.36</v>
      </c>
      <c r="L274">
        <v>66.209999999999994</v>
      </c>
    </row>
    <row r="275" spans="1:12" x14ac:dyDescent="0.2">
      <c r="A275" s="4">
        <v>274</v>
      </c>
      <c r="B275" t="s">
        <v>554</v>
      </c>
      <c r="C275">
        <v>64.95</v>
      </c>
      <c r="D275">
        <v>11</v>
      </c>
      <c r="E275">
        <v>16</v>
      </c>
      <c r="F275">
        <v>67.69</v>
      </c>
      <c r="G275">
        <v>0</v>
      </c>
      <c r="H275">
        <v>0</v>
      </c>
      <c r="I275">
        <v>0</v>
      </c>
      <c r="J275">
        <v>0</v>
      </c>
      <c r="K275">
        <v>64.739999999999995</v>
      </c>
      <c r="L275">
        <v>64.849999999999994</v>
      </c>
    </row>
    <row r="276" spans="1:12" x14ac:dyDescent="0.2">
      <c r="A276" s="4">
        <v>275</v>
      </c>
      <c r="B276" t="s">
        <v>832</v>
      </c>
      <c r="C276">
        <v>64.900000000000006</v>
      </c>
      <c r="D276">
        <v>12</v>
      </c>
      <c r="E276">
        <v>18</v>
      </c>
      <c r="F276">
        <v>70.14</v>
      </c>
      <c r="G276">
        <v>0</v>
      </c>
      <c r="H276">
        <v>2</v>
      </c>
      <c r="I276">
        <v>0</v>
      </c>
      <c r="J276">
        <v>3</v>
      </c>
      <c r="K276">
        <v>64.95</v>
      </c>
      <c r="L276">
        <v>64.55</v>
      </c>
    </row>
    <row r="277" spans="1:12" x14ac:dyDescent="0.2">
      <c r="A277" s="4">
        <v>276</v>
      </c>
      <c r="B277" t="s">
        <v>197</v>
      </c>
      <c r="C277">
        <v>64.78</v>
      </c>
      <c r="D277">
        <v>12</v>
      </c>
      <c r="E277">
        <v>17</v>
      </c>
      <c r="F277">
        <v>69.459999999999994</v>
      </c>
      <c r="G277">
        <v>0</v>
      </c>
      <c r="H277">
        <v>1</v>
      </c>
      <c r="I277">
        <v>0</v>
      </c>
      <c r="J277">
        <v>2</v>
      </c>
      <c r="K277">
        <v>64.819999999999993</v>
      </c>
      <c r="L277">
        <v>64.42</v>
      </c>
    </row>
    <row r="278" spans="1:12" x14ac:dyDescent="0.2">
      <c r="A278" s="4">
        <v>277</v>
      </c>
      <c r="B278" t="s">
        <v>182</v>
      </c>
      <c r="C278">
        <v>64.77</v>
      </c>
      <c r="D278">
        <v>8</v>
      </c>
      <c r="E278">
        <v>18</v>
      </c>
      <c r="F278">
        <v>73.02</v>
      </c>
      <c r="G278">
        <v>0</v>
      </c>
      <c r="H278">
        <v>0</v>
      </c>
      <c r="I278">
        <v>0</v>
      </c>
      <c r="J278">
        <v>2</v>
      </c>
      <c r="K278">
        <v>67.11</v>
      </c>
      <c r="L278">
        <v>61.3</v>
      </c>
    </row>
    <row r="279" spans="1:12" x14ac:dyDescent="0.2">
      <c r="A279" s="4">
        <v>278</v>
      </c>
      <c r="B279" t="s">
        <v>253</v>
      </c>
      <c r="C279">
        <v>64.739999999999995</v>
      </c>
      <c r="D279">
        <v>16</v>
      </c>
      <c r="E279">
        <v>16</v>
      </c>
      <c r="F279">
        <v>63.94</v>
      </c>
      <c r="G279">
        <v>0</v>
      </c>
      <c r="H279">
        <v>0</v>
      </c>
      <c r="I279">
        <v>0</v>
      </c>
      <c r="J279">
        <v>1</v>
      </c>
      <c r="K279">
        <v>64.52</v>
      </c>
      <c r="L279">
        <v>64.650000000000006</v>
      </c>
    </row>
    <row r="280" spans="1:12" x14ac:dyDescent="0.2">
      <c r="A280" s="4">
        <v>279</v>
      </c>
      <c r="B280" t="s">
        <v>260</v>
      </c>
      <c r="C280">
        <v>64.59</v>
      </c>
      <c r="D280">
        <v>11</v>
      </c>
      <c r="E280">
        <v>12</v>
      </c>
      <c r="F280">
        <v>65.2</v>
      </c>
      <c r="G280">
        <v>0</v>
      </c>
      <c r="H280">
        <v>0</v>
      </c>
      <c r="I280">
        <v>0</v>
      </c>
      <c r="J280">
        <v>1</v>
      </c>
      <c r="K280">
        <v>62.47</v>
      </c>
      <c r="L280">
        <v>66.040000000000006</v>
      </c>
    </row>
    <row r="281" spans="1:12" x14ac:dyDescent="0.2">
      <c r="A281" s="4">
        <v>280</v>
      </c>
      <c r="B281" t="s">
        <v>244</v>
      </c>
      <c r="C281">
        <v>64.260000000000005</v>
      </c>
      <c r="D281">
        <v>9</v>
      </c>
      <c r="E281">
        <v>17</v>
      </c>
      <c r="F281">
        <v>70.680000000000007</v>
      </c>
      <c r="G281">
        <v>0</v>
      </c>
      <c r="H281">
        <v>0</v>
      </c>
      <c r="I281">
        <v>0</v>
      </c>
      <c r="J281">
        <v>0</v>
      </c>
      <c r="K281">
        <v>65.33</v>
      </c>
      <c r="L281">
        <v>62.72</v>
      </c>
    </row>
    <row r="282" spans="1:12" x14ac:dyDescent="0.2">
      <c r="A282" s="4">
        <v>281</v>
      </c>
      <c r="B282" t="s">
        <v>890</v>
      </c>
      <c r="C282">
        <v>64.150000000000006</v>
      </c>
      <c r="D282">
        <v>7</v>
      </c>
      <c r="E282">
        <v>18</v>
      </c>
      <c r="F282">
        <v>73.11</v>
      </c>
      <c r="G282">
        <v>0</v>
      </c>
      <c r="H282">
        <v>1</v>
      </c>
      <c r="I282">
        <v>0</v>
      </c>
      <c r="J282">
        <v>2</v>
      </c>
      <c r="K282">
        <v>65.81</v>
      </c>
      <c r="L282">
        <v>61.75</v>
      </c>
    </row>
    <row r="283" spans="1:12" x14ac:dyDescent="0.2">
      <c r="A283" s="4">
        <v>282</v>
      </c>
      <c r="B283" t="s">
        <v>838</v>
      </c>
      <c r="C283">
        <v>64.12</v>
      </c>
      <c r="D283">
        <v>14</v>
      </c>
      <c r="E283">
        <v>17</v>
      </c>
      <c r="F283">
        <v>66.599999999999994</v>
      </c>
      <c r="G283">
        <v>0</v>
      </c>
      <c r="H283">
        <v>1</v>
      </c>
      <c r="I283">
        <v>0</v>
      </c>
      <c r="J283">
        <v>1</v>
      </c>
      <c r="K283">
        <v>63.61</v>
      </c>
      <c r="L283">
        <v>64.31</v>
      </c>
    </row>
    <row r="284" spans="1:12" x14ac:dyDescent="0.2">
      <c r="A284" s="4">
        <v>283</v>
      </c>
      <c r="B284" t="s">
        <v>557</v>
      </c>
      <c r="C284">
        <v>63.99</v>
      </c>
      <c r="D284">
        <v>8</v>
      </c>
      <c r="E284">
        <v>18</v>
      </c>
      <c r="F284">
        <v>71.790000000000006</v>
      </c>
      <c r="G284">
        <v>0</v>
      </c>
      <c r="H284">
        <v>0</v>
      </c>
      <c r="I284">
        <v>0</v>
      </c>
      <c r="J284">
        <v>0</v>
      </c>
      <c r="K284">
        <v>64.84</v>
      </c>
      <c r="L284">
        <v>62.74</v>
      </c>
    </row>
    <row r="285" spans="1:12" x14ac:dyDescent="0.2">
      <c r="A285" s="4">
        <v>284</v>
      </c>
      <c r="B285" t="s">
        <v>859</v>
      </c>
      <c r="C285">
        <v>63.92</v>
      </c>
      <c r="D285">
        <v>8</v>
      </c>
      <c r="E285">
        <v>20</v>
      </c>
      <c r="F285">
        <v>72.510000000000005</v>
      </c>
      <c r="G285">
        <v>0</v>
      </c>
      <c r="H285">
        <v>1</v>
      </c>
      <c r="I285">
        <v>0</v>
      </c>
      <c r="J285">
        <v>2</v>
      </c>
      <c r="K285">
        <v>64.52</v>
      </c>
      <c r="L285">
        <v>62.96</v>
      </c>
    </row>
    <row r="286" spans="1:12" x14ac:dyDescent="0.2">
      <c r="A286" s="4">
        <v>285</v>
      </c>
      <c r="B286" t="s">
        <v>275</v>
      </c>
      <c r="C286">
        <v>63.89</v>
      </c>
      <c r="D286">
        <v>6</v>
      </c>
      <c r="E286">
        <v>20</v>
      </c>
      <c r="F286">
        <v>71.959999999999994</v>
      </c>
      <c r="G286">
        <v>0</v>
      </c>
      <c r="H286">
        <v>1</v>
      </c>
      <c r="I286">
        <v>0</v>
      </c>
      <c r="J286">
        <v>1</v>
      </c>
      <c r="K286">
        <v>62.74</v>
      </c>
      <c r="L286">
        <v>64.62</v>
      </c>
    </row>
    <row r="287" spans="1:12" x14ac:dyDescent="0.2">
      <c r="A287" s="4">
        <v>286</v>
      </c>
      <c r="B287" t="s">
        <v>895</v>
      </c>
      <c r="C287">
        <v>63.84</v>
      </c>
      <c r="D287">
        <v>15</v>
      </c>
      <c r="E287">
        <v>15</v>
      </c>
      <c r="F287">
        <v>65.98</v>
      </c>
      <c r="G287">
        <v>0</v>
      </c>
      <c r="H287">
        <v>1</v>
      </c>
      <c r="I287">
        <v>0</v>
      </c>
      <c r="J287">
        <v>1</v>
      </c>
      <c r="K287">
        <v>65.19</v>
      </c>
      <c r="L287">
        <v>61.9</v>
      </c>
    </row>
    <row r="288" spans="1:12" x14ac:dyDescent="0.2">
      <c r="A288" s="4">
        <v>287</v>
      </c>
      <c r="B288" t="s">
        <v>264</v>
      </c>
      <c r="C288">
        <v>63.79</v>
      </c>
      <c r="D288">
        <v>10</v>
      </c>
      <c r="E288">
        <v>16</v>
      </c>
      <c r="F288">
        <v>67.89</v>
      </c>
      <c r="G288">
        <v>0</v>
      </c>
      <c r="H288">
        <v>0</v>
      </c>
      <c r="I288">
        <v>0</v>
      </c>
      <c r="J288">
        <v>0</v>
      </c>
      <c r="K288">
        <v>64.23</v>
      </c>
      <c r="L288">
        <v>63.02</v>
      </c>
    </row>
    <row r="289" spans="1:12" x14ac:dyDescent="0.2">
      <c r="A289" s="4">
        <v>288</v>
      </c>
      <c r="B289" t="s">
        <v>140</v>
      </c>
      <c r="C289">
        <v>63.76</v>
      </c>
      <c r="D289">
        <v>9</v>
      </c>
      <c r="E289">
        <v>19</v>
      </c>
      <c r="F289">
        <v>69.349999999999994</v>
      </c>
      <c r="G289">
        <v>0</v>
      </c>
      <c r="H289">
        <v>1</v>
      </c>
      <c r="I289">
        <v>0</v>
      </c>
      <c r="J289">
        <v>2</v>
      </c>
      <c r="K289">
        <v>62.54</v>
      </c>
      <c r="L289">
        <v>64.540000000000006</v>
      </c>
    </row>
    <row r="290" spans="1:12" x14ac:dyDescent="0.2">
      <c r="A290" s="4">
        <v>289</v>
      </c>
      <c r="B290" t="s">
        <v>247</v>
      </c>
      <c r="C290">
        <v>63.74</v>
      </c>
      <c r="D290">
        <v>13</v>
      </c>
      <c r="E290">
        <v>17</v>
      </c>
      <c r="F290">
        <v>68.52</v>
      </c>
      <c r="G290">
        <v>0</v>
      </c>
      <c r="H290">
        <v>1</v>
      </c>
      <c r="I290">
        <v>0</v>
      </c>
      <c r="J290">
        <v>2</v>
      </c>
      <c r="K290">
        <v>65.17</v>
      </c>
      <c r="L290">
        <v>61.67</v>
      </c>
    </row>
    <row r="291" spans="1:12" x14ac:dyDescent="0.2">
      <c r="A291" s="4">
        <v>290</v>
      </c>
      <c r="B291" t="s">
        <v>843</v>
      </c>
      <c r="C291">
        <v>63.62</v>
      </c>
      <c r="D291">
        <v>13</v>
      </c>
      <c r="E291">
        <v>18</v>
      </c>
      <c r="F291">
        <v>67.8</v>
      </c>
      <c r="G291">
        <v>0</v>
      </c>
      <c r="H291">
        <v>0</v>
      </c>
      <c r="I291">
        <v>0</v>
      </c>
      <c r="J291">
        <v>2</v>
      </c>
      <c r="K291">
        <v>64.540000000000006</v>
      </c>
      <c r="L291">
        <v>62.26</v>
      </c>
    </row>
    <row r="292" spans="1:12" x14ac:dyDescent="0.2">
      <c r="A292" s="4">
        <v>291</v>
      </c>
      <c r="B292" t="s">
        <v>267</v>
      </c>
      <c r="C292">
        <v>63.59</v>
      </c>
      <c r="D292">
        <v>10</v>
      </c>
      <c r="E292">
        <v>16</v>
      </c>
      <c r="F292">
        <v>68.23</v>
      </c>
      <c r="G292">
        <v>0</v>
      </c>
      <c r="H292">
        <v>0</v>
      </c>
      <c r="I292">
        <v>0</v>
      </c>
      <c r="J292">
        <v>1</v>
      </c>
      <c r="K292">
        <v>63.51</v>
      </c>
      <c r="L292">
        <v>63.37</v>
      </c>
    </row>
    <row r="293" spans="1:12" x14ac:dyDescent="0.2">
      <c r="A293" s="4">
        <v>292</v>
      </c>
      <c r="B293" t="s">
        <v>298</v>
      </c>
      <c r="C293">
        <v>63.37</v>
      </c>
      <c r="D293">
        <v>10</v>
      </c>
      <c r="E293">
        <v>17</v>
      </c>
      <c r="F293">
        <v>68.19</v>
      </c>
      <c r="G293">
        <v>0</v>
      </c>
      <c r="H293">
        <v>0</v>
      </c>
      <c r="I293">
        <v>0</v>
      </c>
      <c r="J293">
        <v>0</v>
      </c>
      <c r="K293">
        <v>64.069999999999993</v>
      </c>
      <c r="L293">
        <v>62.28</v>
      </c>
    </row>
    <row r="294" spans="1:12" x14ac:dyDescent="0.2">
      <c r="A294" s="4">
        <v>293</v>
      </c>
      <c r="B294" t="s">
        <v>233</v>
      </c>
      <c r="C294">
        <v>62.98</v>
      </c>
      <c r="D294">
        <v>14</v>
      </c>
      <c r="E294">
        <v>18</v>
      </c>
      <c r="F294">
        <v>65.489999999999995</v>
      </c>
      <c r="G294">
        <v>0</v>
      </c>
      <c r="H294">
        <v>1</v>
      </c>
      <c r="I294">
        <v>0</v>
      </c>
      <c r="J294">
        <v>2</v>
      </c>
      <c r="K294">
        <v>62.31</v>
      </c>
      <c r="L294">
        <v>63.3</v>
      </c>
    </row>
    <row r="295" spans="1:12" x14ac:dyDescent="0.2">
      <c r="A295" s="4">
        <v>294</v>
      </c>
      <c r="B295" t="s">
        <v>301</v>
      </c>
      <c r="C295">
        <v>62.7</v>
      </c>
      <c r="D295">
        <v>7</v>
      </c>
      <c r="E295">
        <v>20</v>
      </c>
      <c r="F295">
        <v>71.05</v>
      </c>
      <c r="G295">
        <v>0</v>
      </c>
      <c r="H295">
        <v>0</v>
      </c>
      <c r="I295">
        <v>0</v>
      </c>
      <c r="J295">
        <v>0</v>
      </c>
      <c r="K295">
        <v>63.41</v>
      </c>
      <c r="L295">
        <v>61.59</v>
      </c>
    </row>
    <row r="296" spans="1:12" x14ac:dyDescent="0.2">
      <c r="A296" s="4">
        <v>295</v>
      </c>
      <c r="B296" t="s">
        <v>283</v>
      </c>
      <c r="C296">
        <v>62.53</v>
      </c>
      <c r="D296">
        <v>8</v>
      </c>
      <c r="E296">
        <v>18</v>
      </c>
      <c r="F296">
        <v>68.739999999999995</v>
      </c>
      <c r="G296">
        <v>0</v>
      </c>
      <c r="H296">
        <v>1</v>
      </c>
      <c r="I296">
        <v>0</v>
      </c>
      <c r="J296">
        <v>1</v>
      </c>
      <c r="K296">
        <v>61.91</v>
      </c>
      <c r="L296">
        <v>62.81</v>
      </c>
    </row>
    <row r="297" spans="1:12" x14ac:dyDescent="0.2">
      <c r="A297" s="4">
        <v>296</v>
      </c>
      <c r="B297" t="s">
        <v>174</v>
      </c>
      <c r="C297">
        <v>62.32</v>
      </c>
      <c r="D297">
        <v>5</v>
      </c>
      <c r="E297">
        <v>23</v>
      </c>
      <c r="F297">
        <v>74.349999999999994</v>
      </c>
      <c r="G297">
        <v>0</v>
      </c>
      <c r="H297">
        <v>1</v>
      </c>
      <c r="I297">
        <v>0</v>
      </c>
      <c r="J297">
        <v>3</v>
      </c>
      <c r="K297">
        <v>63.39</v>
      </c>
      <c r="L297">
        <v>60.72</v>
      </c>
    </row>
    <row r="298" spans="1:12" x14ac:dyDescent="0.2">
      <c r="A298" s="4">
        <v>297</v>
      </c>
      <c r="B298" t="s">
        <v>270</v>
      </c>
      <c r="C298">
        <v>62.25</v>
      </c>
      <c r="D298">
        <v>11</v>
      </c>
      <c r="E298">
        <v>16</v>
      </c>
      <c r="F298">
        <v>64.83</v>
      </c>
      <c r="G298">
        <v>0</v>
      </c>
      <c r="H298">
        <v>0</v>
      </c>
      <c r="I298">
        <v>0</v>
      </c>
      <c r="J298">
        <v>0</v>
      </c>
      <c r="K298">
        <v>61.04</v>
      </c>
      <c r="L298">
        <v>63.01</v>
      </c>
    </row>
    <row r="299" spans="1:12" x14ac:dyDescent="0.2">
      <c r="A299" s="4">
        <v>298</v>
      </c>
      <c r="B299" t="s">
        <v>834</v>
      </c>
      <c r="C299">
        <v>62.18</v>
      </c>
      <c r="D299">
        <v>12</v>
      </c>
      <c r="E299">
        <v>18</v>
      </c>
      <c r="F299">
        <v>66.95</v>
      </c>
      <c r="G299">
        <v>0</v>
      </c>
      <c r="H299">
        <v>1</v>
      </c>
      <c r="I299">
        <v>0</v>
      </c>
      <c r="J299">
        <v>1</v>
      </c>
      <c r="K299">
        <v>62.33</v>
      </c>
      <c r="L299">
        <v>61.73</v>
      </c>
    </row>
    <row r="300" spans="1:12" x14ac:dyDescent="0.2">
      <c r="A300" s="4">
        <v>299</v>
      </c>
      <c r="B300" t="s">
        <v>257</v>
      </c>
      <c r="C300">
        <v>62.16</v>
      </c>
      <c r="D300">
        <v>3</v>
      </c>
      <c r="E300">
        <v>25</v>
      </c>
      <c r="F300">
        <v>75.63</v>
      </c>
      <c r="G300">
        <v>0</v>
      </c>
      <c r="H300">
        <v>0</v>
      </c>
      <c r="I300">
        <v>0</v>
      </c>
      <c r="J300">
        <v>2</v>
      </c>
      <c r="K300">
        <v>61.23</v>
      </c>
      <c r="L300">
        <v>62.69</v>
      </c>
    </row>
    <row r="301" spans="1:12" x14ac:dyDescent="0.2">
      <c r="A301" s="4">
        <v>300</v>
      </c>
      <c r="B301" t="s">
        <v>867</v>
      </c>
      <c r="C301">
        <v>61.85</v>
      </c>
      <c r="D301">
        <v>12</v>
      </c>
      <c r="E301">
        <v>13</v>
      </c>
      <c r="F301">
        <v>64.790000000000006</v>
      </c>
      <c r="G301">
        <v>0</v>
      </c>
      <c r="H301">
        <v>0</v>
      </c>
      <c r="I301">
        <v>0</v>
      </c>
      <c r="J301">
        <v>0</v>
      </c>
      <c r="K301">
        <v>62.52</v>
      </c>
      <c r="L301">
        <v>60.8</v>
      </c>
    </row>
    <row r="302" spans="1:12" x14ac:dyDescent="0.2">
      <c r="A302" s="4">
        <v>301</v>
      </c>
      <c r="B302" t="s">
        <v>889</v>
      </c>
      <c r="C302">
        <v>61.79</v>
      </c>
      <c r="D302">
        <v>5</v>
      </c>
      <c r="E302">
        <v>20</v>
      </c>
      <c r="F302">
        <v>69.95</v>
      </c>
      <c r="G302">
        <v>0</v>
      </c>
      <c r="H302">
        <v>1</v>
      </c>
      <c r="I302">
        <v>0</v>
      </c>
      <c r="J302">
        <v>1</v>
      </c>
      <c r="K302">
        <v>61.28</v>
      </c>
      <c r="L302">
        <v>61.97</v>
      </c>
    </row>
    <row r="303" spans="1:12" x14ac:dyDescent="0.2">
      <c r="A303" s="4">
        <v>302</v>
      </c>
      <c r="B303" t="s">
        <v>845</v>
      </c>
      <c r="C303">
        <v>61.78</v>
      </c>
      <c r="D303">
        <v>8</v>
      </c>
      <c r="E303">
        <v>18</v>
      </c>
      <c r="F303">
        <v>70.25</v>
      </c>
      <c r="G303">
        <v>0</v>
      </c>
      <c r="H303">
        <v>1</v>
      </c>
      <c r="I303">
        <v>0</v>
      </c>
      <c r="J303">
        <v>1</v>
      </c>
      <c r="K303">
        <v>63.77</v>
      </c>
      <c r="L303">
        <v>58.57</v>
      </c>
    </row>
    <row r="304" spans="1:12" x14ac:dyDescent="0.2">
      <c r="A304" s="4">
        <v>303</v>
      </c>
      <c r="B304" t="s">
        <v>173</v>
      </c>
      <c r="C304">
        <v>61.76</v>
      </c>
      <c r="D304">
        <v>6</v>
      </c>
      <c r="E304">
        <v>21</v>
      </c>
      <c r="F304">
        <v>69.38</v>
      </c>
      <c r="G304">
        <v>0</v>
      </c>
      <c r="H304">
        <v>0</v>
      </c>
      <c r="I304">
        <v>0</v>
      </c>
      <c r="J304">
        <v>1</v>
      </c>
      <c r="K304">
        <v>60</v>
      </c>
      <c r="L304">
        <v>62.89</v>
      </c>
    </row>
    <row r="305" spans="1:12" x14ac:dyDescent="0.2">
      <c r="A305" s="4">
        <v>304</v>
      </c>
      <c r="B305" t="s">
        <v>189</v>
      </c>
      <c r="C305">
        <v>61.68</v>
      </c>
      <c r="D305">
        <v>10</v>
      </c>
      <c r="E305">
        <v>18</v>
      </c>
      <c r="F305">
        <v>65.12</v>
      </c>
      <c r="G305">
        <v>0</v>
      </c>
      <c r="H305">
        <v>0</v>
      </c>
      <c r="I305">
        <v>0</v>
      </c>
      <c r="J305">
        <v>0</v>
      </c>
      <c r="K305">
        <v>60.2</v>
      </c>
      <c r="L305">
        <v>62.62</v>
      </c>
    </row>
    <row r="306" spans="1:12" x14ac:dyDescent="0.2">
      <c r="A306" s="4">
        <v>305</v>
      </c>
      <c r="B306" t="s">
        <v>243</v>
      </c>
      <c r="C306">
        <v>61.55</v>
      </c>
      <c r="D306">
        <v>3</v>
      </c>
      <c r="E306">
        <v>24</v>
      </c>
      <c r="F306">
        <v>73.62</v>
      </c>
      <c r="G306">
        <v>0</v>
      </c>
      <c r="H306">
        <v>0</v>
      </c>
      <c r="I306">
        <v>0</v>
      </c>
      <c r="J306">
        <v>0</v>
      </c>
      <c r="K306">
        <v>60.78</v>
      </c>
      <c r="L306">
        <v>61.95</v>
      </c>
    </row>
    <row r="307" spans="1:12" x14ac:dyDescent="0.2">
      <c r="A307" s="4">
        <v>306</v>
      </c>
      <c r="B307" t="s">
        <v>271</v>
      </c>
      <c r="C307">
        <v>61.3</v>
      </c>
      <c r="D307">
        <v>6</v>
      </c>
      <c r="E307">
        <v>21</v>
      </c>
      <c r="F307">
        <v>70.09</v>
      </c>
      <c r="G307">
        <v>0</v>
      </c>
      <c r="H307">
        <v>0</v>
      </c>
      <c r="I307">
        <v>0</v>
      </c>
      <c r="J307">
        <v>0</v>
      </c>
      <c r="K307">
        <v>62.41</v>
      </c>
      <c r="L307">
        <v>59.62</v>
      </c>
    </row>
    <row r="308" spans="1:12" x14ac:dyDescent="0.2">
      <c r="A308" s="4">
        <v>307</v>
      </c>
      <c r="B308" t="s">
        <v>865</v>
      </c>
      <c r="C308">
        <v>61.27</v>
      </c>
      <c r="D308">
        <v>11</v>
      </c>
      <c r="E308">
        <v>15</v>
      </c>
      <c r="F308">
        <v>65.55</v>
      </c>
      <c r="G308">
        <v>0</v>
      </c>
      <c r="H308">
        <v>0</v>
      </c>
      <c r="I308">
        <v>0</v>
      </c>
      <c r="J308">
        <v>1</v>
      </c>
      <c r="K308">
        <v>62.45</v>
      </c>
      <c r="L308">
        <v>59.51</v>
      </c>
    </row>
    <row r="309" spans="1:12" x14ac:dyDescent="0.2">
      <c r="A309" s="4">
        <v>308</v>
      </c>
      <c r="B309" t="s">
        <v>206</v>
      </c>
      <c r="C309">
        <v>61.19</v>
      </c>
      <c r="D309">
        <v>5</v>
      </c>
      <c r="E309">
        <v>21</v>
      </c>
      <c r="F309">
        <v>70.650000000000006</v>
      </c>
      <c r="G309">
        <v>0</v>
      </c>
      <c r="H309">
        <v>0</v>
      </c>
      <c r="I309">
        <v>0</v>
      </c>
      <c r="J309">
        <v>2</v>
      </c>
      <c r="K309">
        <v>59.7</v>
      </c>
      <c r="L309">
        <v>62.12</v>
      </c>
    </row>
    <row r="310" spans="1:12" x14ac:dyDescent="0.2">
      <c r="A310" s="4">
        <v>309</v>
      </c>
      <c r="B310" t="s">
        <v>205</v>
      </c>
      <c r="C310">
        <v>61.08</v>
      </c>
      <c r="D310">
        <v>3</v>
      </c>
      <c r="E310">
        <v>24</v>
      </c>
      <c r="F310">
        <v>74.25</v>
      </c>
      <c r="G310">
        <v>0</v>
      </c>
      <c r="H310">
        <v>0</v>
      </c>
      <c r="I310">
        <v>0</v>
      </c>
      <c r="J310">
        <v>4</v>
      </c>
      <c r="K310">
        <v>59.25</v>
      </c>
      <c r="L310">
        <v>62.24</v>
      </c>
    </row>
    <row r="311" spans="1:12" x14ac:dyDescent="0.2">
      <c r="A311" s="4">
        <v>310</v>
      </c>
      <c r="B311" t="s">
        <v>168</v>
      </c>
      <c r="C311">
        <v>60.91</v>
      </c>
      <c r="D311">
        <v>5</v>
      </c>
      <c r="E311">
        <v>22</v>
      </c>
      <c r="F311">
        <v>71.680000000000007</v>
      </c>
      <c r="G311">
        <v>0</v>
      </c>
      <c r="H311">
        <v>0</v>
      </c>
      <c r="I311">
        <v>0</v>
      </c>
      <c r="J311">
        <v>0</v>
      </c>
      <c r="K311">
        <v>61.97</v>
      </c>
      <c r="L311">
        <v>59.3</v>
      </c>
    </row>
    <row r="312" spans="1:12" x14ac:dyDescent="0.2">
      <c r="A312" s="4">
        <v>311</v>
      </c>
      <c r="B312" t="s">
        <v>170</v>
      </c>
      <c r="C312">
        <v>60.65</v>
      </c>
      <c r="D312">
        <v>8</v>
      </c>
      <c r="E312">
        <v>20</v>
      </c>
      <c r="F312">
        <v>68.27</v>
      </c>
      <c r="G312">
        <v>0</v>
      </c>
      <c r="H312">
        <v>1</v>
      </c>
      <c r="I312">
        <v>0</v>
      </c>
      <c r="J312">
        <v>1</v>
      </c>
      <c r="K312">
        <v>61.03</v>
      </c>
      <c r="L312">
        <v>59.93</v>
      </c>
    </row>
    <row r="313" spans="1:12" x14ac:dyDescent="0.2">
      <c r="A313" s="4">
        <v>312</v>
      </c>
      <c r="B313" t="s">
        <v>842</v>
      </c>
      <c r="C313">
        <v>60.29</v>
      </c>
      <c r="D313">
        <v>8</v>
      </c>
      <c r="E313">
        <v>20</v>
      </c>
      <c r="F313">
        <v>67.64</v>
      </c>
      <c r="G313">
        <v>0</v>
      </c>
      <c r="H313">
        <v>0</v>
      </c>
      <c r="I313">
        <v>0</v>
      </c>
      <c r="J313">
        <v>0</v>
      </c>
      <c r="K313">
        <v>59.17</v>
      </c>
      <c r="L313">
        <v>60.95</v>
      </c>
    </row>
    <row r="314" spans="1:12" x14ac:dyDescent="0.2">
      <c r="A314" s="4">
        <v>313</v>
      </c>
      <c r="B314" t="s">
        <v>907</v>
      </c>
      <c r="C314">
        <v>59.96</v>
      </c>
      <c r="D314">
        <v>4</v>
      </c>
      <c r="E314">
        <v>24</v>
      </c>
      <c r="F314">
        <v>72.09</v>
      </c>
      <c r="G314">
        <v>0</v>
      </c>
      <c r="H314">
        <v>2</v>
      </c>
      <c r="I314">
        <v>0</v>
      </c>
      <c r="J314">
        <v>4</v>
      </c>
      <c r="K314">
        <v>57.49</v>
      </c>
      <c r="L314">
        <v>61.44</v>
      </c>
    </row>
    <row r="315" spans="1:12" x14ac:dyDescent="0.2">
      <c r="A315" s="4">
        <v>314</v>
      </c>
      <c r="B315" t="s">
        <v>293</v>
      </c>
      <c r="C315">
        <v>59.41</v>
      </c>
      <c r="D315">
        <v>3</v>
      </c>
      <c r="E315">
        <v>24</v>
      </c>
      <c r="F315">
        <v>71.78</v>
      </c>
      <c r="G315">
        <v>0</v>
      </c>
      <c r="H315">
        <v>0</v>
      </c>
      <c r="I315">
        <v>0</v>
      </c>
      <c r="J315">
        <v>1</v>
      </c>
      <c r="K315">
        <v>56.7</v>
      </c>
      <c r="L315">
        <v>60.98</v>
      </c>
    </row>
    <row r="316" spans="1:12" x14ac:dyDescent="0.2">
      <c r="A316" s="4">
        <v>315</v>
      </c>
      <c r="B316" t="s">
        <v>137</v>
      </c>
      <c r="C316">
        <v>59.22</v>
      </c>
      <c r="D316">
        <v>4</v>
      </c>
      <c r="E316">
        <v>23</v>
      </c>
      <c r="F316">
        <v>71.23</v>
      </c>
      <c r="G316">
        <v>0</v>
      </c>
      <c r="H316">
        <v>0</v>
      </c>
      <c r="I316">
        <v>0</v>
      </c>
      <c r="J316">
        <v>1</v>
      </c>
      <c r="K316">
        <v>60.09</v>
      </c>
      <c r="L316">
        <v>57.86</v>
      </c>
    </row>
    <row r="317" spans="1:12" x14ac:dyDescent="0.2">
      <c r="A317" s="4">
        <v>316</v>
      </c>
      <c r="B317" t="s">
        <v>563</v>
      </c>
      <c r="C317">
        <v>59.09</v>
      </c>
      <c r="D317">
        <v>3</v>
      </c>
      <c r="E317">
        <v>23</v>
      </c>
      <c r="F317">
        <v>70.78</v>
      </c>
      <c r="G317">
        <v>0</v>
      </c>
      <c r="H317">
        <v>0</v>
      </c>
      <c r="I317">
        <v>0</v>
      </c>
      <c r="J317">
        <v>0</v>
      </c>
      <c r="K317">
        <v>58.16</v>
      </c>
      <c r="L317">
        <v>59.6</v>
      </c>
    </row>
    <row r="318" spans="1:12" x14ac:dyDescent="0.2">
      <c r="A318" s="4">
        <v>317</v>
      </c>
      <c r="B318" t="s">
        <v>885</v>
      </c>
      <c r="C318">
        <v>59.06</v>
      </c>
      <c r="D318">
        <v>9</v>
      </c>
      <c r="E318">
        <v>18</v>
      </c>
      <c r="F318">
        <v>66.31</v>
      </c>
      <c r="G318">
        <v>0</v>
      </c>
      <c r="H318">
        <v>0</v>
      </c>
      <c r="I318">
        <v>0</v>
      </c>
      <c r="J318">
        <v>0</v>
      </c>
      <c r="K318">
        <v>59.63</v>
      </c>
      <c r="L318">
        <v>58.1</v>
      </c>
    </row>
    <row r="319" spans="1:12" x14ac:dyDescent="0.2">
      <c r="A319" s="4">
        <v>318</v>
      </c>
      <c r="B319" t="s">
        <v>224</v>
      </c>
      <c r="C319">
        <v>58.96</v>
      </c>
      <c r="D319">
        <v>7</v>
      </c>
      <c r="E319">
        <v>22</v>
      </c>
      <c r="F319">
        <v>66.27</v>
      </c>
      <c r="G319">
        <v>0</v>
      </c>
      <c r="H319">
        <v>0</v>
      </c>
      <c r="I319">
        <v>0</v>
      </c>
      <c r="J319">
        <v>0</v>
      </c>
      <c r="K319">
        <v>58.3</v>
      </c>
      <c r="L319">
        <v>59.26</v>
      </c>
    </row>
    <row r="320" spans="1:12" x14ac:dyDescent="0.2">
      <c r="A320" s="4">
        <v>319</v>
      </c>
      <c r="B320" t="s">
        <v>279</v>
      </c>
      <c r="C320">
        <v>58.74</v>
      </c>
      <c r="D320">
        <v>4</v>
      </c>
      <c r="E320">
        <v>20</v>
      </c>
      <c r="F320">
        <v>70.010000000000005</v>
      </c>
      <c r="G320">
        <v>0</v>
      </c>
      <c r="H320">
        <v>0</v>
      </c>
      <c r="I320">
        <v>0</v>
      </c>
      <c r="J320">
        <v>1</v>
      </c>
      <c r="K320">
        <v>59.31</v>
      </c>
      <c r="L320">
        <v>57.77</v>
      </c>
    </row>
    <row r="321" spans="1:12" x14ac:dyDescent="0.2">
      <c r="A321" s="4">
        <v>320</v>
      </c>
      <c r="B321" t="s">
        <v>229</v>
      </c>
      <c r="C321">
        <v>57.96</v>
      </c>
      <c r="D321">
        <v>6</v>
      </c>
      <c r="E321">
        <v>23</v>
      </c>
      <c r="F321">
        <v>67.7</v>
      </c>
      <c r="G321">
        <v>0</v>
      </c>
      <c r="H321">
        <v>0</v>
      </c>
      <c r="I321">
        <v>0</v>
      </c>
      <c r="J321">
        <v>0</v>
      </c>
      <c r="K321">
        <v>57.98</v>
      </c>
      <c r="L321">
        <v>57.64</v>
      </c>
    </row>
    <row r="322" spans="1:12" x14ac:dyDescent="0.2">
      <c r="A322" s="4">
        <v>321</v>
      </c>
      <c r="B322" t="s">
        <v>893</v>
      </c>
      <c r="C322">
        <v>57.65</v>
      </c>
      <c r="D322">
        <v>3</v>
      </c>
      <c r="E322">
        <v>24</v>
      </c>
      <c r="F322">
        <v>69.81</v>
      </c>
      <c r="G322">
        <v>0</v>
      </c>
      <c r="H322">
        <v>0</v>
      </c>
      <c r="I322">
        <v>0</v>
      </c>
      <c r="J322">
        <v>1</v>
      </c>
      <c r="K322">
        <v>56.75</v>
      </c>
      <c r="L322">
        <v>58.14</v>
      </c>
    </row>
    <row r="323" spans="1:12" x14ac:dyDescent="0.2">
      <c r="A323" s="4">
        <v>322</v>
      </c>
      <c r="B323" t="s">
        <v>198</v>
      </c>
      <c r="C323">
        <v>57.52</v>
      </c>
      <c r="D323">
        <v>6</v>
      </c>
      <c r="E323">
        <v>21</v>
      </c>
      <c r="F323">
        <v>67.73</v>
      </c>
      <c r="G323">
        <v>0</v>
      </c>
      <c r="H323">
        <v>0</v>
      </c>
      <c r="I323">
        <v>0</v>
      </c>
      <c r="J323">
        <v>1</v>
      </c>
      <c r="K323">
        <v>59.82</v>
      </c>
      <c r="L323">
        <v>52.52</v>
      </c>
    </row>
    <row r="324" spans="1:12" x14ac:dyDescent="0.2">
      <c r="A324" s="4">
        <v>323</v>
      </c>
      <c r="B324" t="s">
        <v>886</v>
      </c>
      <c r="C324">
        <v>57.51</v>
      </c>
      <c r="D324">
        <v>7</v>
      </c>
      <c r="E324">
        <v>22</v>
      </c>
      <c r="F324">
        <v>66.75</v>
      </c>
      <c r="G324">
        <v>0</v>
      </c>
      <c r="H324">
        <v>0</v>
      </c>
      <c r="I324">
        <v>0</v>
      </c>
      <c r="J324">
        <v>2</v>
      </c>
      <c r="K324">
        <v>58.5</v>
      </c>
      <c r="L324">
        <v>55.93</v>
      </c>
    </row>
    <row r="325" spans="1:12" x14ac:dyDescent="0.2">
      <c r="A325" s="4">
        <v>324</v>
      </c>
      <c r="B325" t="s">
        <v>282</v>
      </c>
      <c r="C325">
        <v>57.47</v>
      </c>
      <c r="D325">
        <v>9</v>
      </c>
      <c r="E325">
        <v>19</v>
      </c>
      <c r="F325">
        <v>63.84</v>
      </c>
      <c r="G325">
        <v>0</v>
      </c>
      <c r="H325">
        <v>0</v>
      </c>
      <c r="I325">
        <v>0</v>
      </c>
      <c r="J325">
        <v>0</v>
      </c>
      <c r="K325">
        <v>57.2</v>
      </c>
      <c r="L325">
        <v>57.42</v>
      </c>
    </row>
    <row r="326" spans="1:12" x14ac:dyDescent="0.2">
      <c r="A326" s="4">
        <v>325</v>
      </c>
      <c r="B326" t="s">
        <v>299</v>
      </c>
      <c r="C326">
        <v>57.07</v>
      </c>
      <c r="D326">
        <v>6</v>
      </c>
      <c r="E326">
        <v>22</v>
      </c>
      <c r="F326">
        <v>69.22</v>
      </c>
      <c r="G326">
        <v>0</v>
      </c>
      <c r="H326">
        <v>2</v>
      </c>
      <c r="I326">
        <v>0</v>
      </c>
      <c r="J326">
        <v>4</v>
      </c>
      <c r="K326">
        <v>56.03</v>
      </c>
      <c r="L326">
        <v>57.66</v>
      </c>
    </row>
    <row r="327" spans="1:12" x14ac:dyDescent="0.2">
      <c r="A327" s="4">
        <v>326</v>
      </c>
      <c r="B327" t="s">
        <v>861</v>
      </c>
      <c r="C327">
        <v>56.73</v>
      </c>
      <c r="D327">
        <v>2</v>
      </c>
      <c r="E327">
        <v>22</v>
      </c>
      <c r="F327">
        <v>70.959999999999994</v>
      </c>
      <c r="G327">
        <v>0</v>
      </c>
      <c r="H327">
        <v>1</v>
      </c>
      <c r="I327">
        <v>0</v>
      </c>
      <c r="J327">
        <v>2</v>
      </c>
      <c r="K327">
        <v>54.2</v>
      </c>
      <c r="L327">
        <v>58.12</v>
      </c>
    </row>
    <row r="328" spans="1:12" x14ac:dyDescent="0.2">
      <c r="A328" s="4">
        <v>327</v>
      </c>
      <c r="B328" t="s">
        <v>820</v>
      </c>
      <c r="C328">
        <v>56.51</v>
      </c>
      <c r="D328">
        <v>3</v>
      </c>
      <c r="E328">
        <v>23</v>
      </c>
      <c r="F328">
        <v>70.7</v>
      </c>
      <c r="G328">
        <v>0</v>
      </c>
      <c r="H328">
        <v>1</v>
      </c>
      <c r="I328">
        <v>0</v>
      </c>
      <c r="J328">
        <v>1</v>
      </c>
      <c r="K328">
        <v>57.49</v>
      </c>
      <c r="L328">
        <v>54.91</v>
      </c>
    </row>
    <row r="329" spans="1:12" x14ac:dyDescent="0.2">
      <c r="A329" s="4">
        <v>328</v>
      </c>
      <c r="B329" t="s">
        <v>897</v>
      </c>
      <c r="C329">
        <v>55.63</v>
      </c>
      <c r="D329">
        <v>3</v>
      </c>
      <c r="E329">
        <v>24</v>
      </c>
      <c r="F329">
        <v>71.790000000000006</v>
      </c>
      <c r="G329">
        <v>0</v>
      </c>
      <c r="H329">
        <v>2</v>
      </c>
      <c r="I329">
        <v>0</v>
      </c>
      <c r="J329">
        <v>4</v>
      </c>
      <c r="K329">
        <v>53.82</v>
      </c>
      <c r="L329">
        <v>56.66</v>
      </c>
    </row>
    <row r="330" spans="1:12" x14ac:dyDescent="0.2">
      <c r="A330" s="4">
        <v>329</v>
      </c>
      <c r="B330" t="s">
        <v>549</v>
      </c>
      <c r="C330">
        <v>54.56</v>
      </c>
      <c r="D330">
        <v>3</v>
      </c>
      <c r="E330">
        <v>22</v>
      </c>
      <c r="F330">
        <v>69.62</v>
      </c>
      <c r="G330">
        <v>0</v>
      </c>
      <c r="H330">
        <v>1</v>
      </c>
      <c r="I330">
        <v>0</v>
      </c>
      <c r="J330">
        <v>1</v>
      </c>
      <c r="K330">
        <v>54.63</v>
      </c>
      <c r="L330">
        <v>54.19</v>
      </c>
    </row>
    <row r="331" spans="1:12" x14ac:dyDescent="0.2">
      <c r="A331" s="4">
        <v>330</v>
      </c>
      <c r="B331" t="s">
        <v>880</v>
      </c>
      <c r="C331">
        <v>54.42</v>
      </c>
      <c r="D331">
        <v>4</v>
      </c>
      <c r="E331">
        <v>22</v>
      </c>
      <c r="F331">
        <v>63.81</v>
      </c>
      <c r="G331">
        <v>0</v>
      </c>
      <c r="H331">
        <v>0</v>
      </c>
      <c r="I331">
        <v>0</v>
      </c>
      <c r="J331">
        <v>0</v>
      </c>
      <c r="K331">
        <v>50.92</v>
      </c>
      <c r="L331">
        <v>56.05</v>
      </c>
    </row>
    <row r="332" spans="1:12" x14ac:dyDescent="0.2">
      <c r="A332" s="4">
        <v>331</v>
      </c>
      <c r="B332" t="s">
        <v>841</v>
      </c>
      <c r="C332">
        <v>53.29</v>
      </c>
      <c r="D332">
        <v>4</v>
      </c>
      <c r="E332">
        <v>26</v>
      </c>
      <c r="F332">
        <v>68.489999999999995</v>
      </c>
      <c r="G332">
        <v>0</v>
      </c>
      <c r="H332">
        <v>1</v>
      </c>
      <c r="I332">
        <v>0</v>
      </c>
      <c r="J332">
        <v>3</v>
      </c>
      <c r="K332">
        <v>54.92</v>
      </c>
      <c r="L332">
        <v>49.96</v>
      </c>
    </row>
    <row r="333" spans="1:12" x14ac:dyDescent="0.2">
      <c r="A333" s="4">
        <v>332</v>
      </c>
      <c r="B333" t="s">
        <v>296</v>
      </c>
      <c r="C333">
        <v>52.37</v>
      </c>
      <c r="D333">
        <v>1</v>
      </c>
      <c r="E333">
        <v>26</v>
      </c>
      <c r="F333">
        <v>67.53</v>
      </c>
      <c r="G333">
        <v>0</v>
      </c>
      <c r="H333">
        <v>1</v>
      </c>
      <c r="I333">
        <v>0</v>
      </c>
      <c r="J333">
        <v>1</v>
      </c>
      <c r="K333">
        <v>45.27</v>
      </c>
      <c r="L333">
        <v>54.39</v>
      </c>
    </row>
    <row r="334" spans="1:12" x14ac:dyDescent="0.2">
      <c r="A334" s="4">
        <v>333</v>
      </c>
      <c r="B334" t="s">
        <v>235</v>
      </c>
      <c r="C334">
        <v>51.97</v>
      </c>
      <c r="D334">
        <v>3</v>
      </c>
      <c r="E334">
        <v>24</v>
      </c>
      <c r="F334">
        <v>66.22</v>
      </c>
      <c r="G334">
        <v>0</v>
      </c>
      <c r="H334">
        <v>1</v>
      </c>
      <c r="I334">
        <v>0</v>
      </c>
      <c r="J334">
        <v>1</v>
      </c>
      <c r="K334">
        <v>50.67</v>
      </c>
      <c r="L334">
        <v>52.66</v>
      </c>
    </row>
    <row r="335" spans="1:12" x14ac:dyDescent="0.2">
      <c r="A335" s="4">
        <v>334</v>
      </c>
      <c r="B335" t="s">
        <v>844</v>
      </c>
      <c r="C335">
        <v>45.51</v>
      </c>
      <c r="D335">
        <v>1</v>
      </c>
      <c r="E335">
        <v>26</v>
      </c>
      <c r="F335">
        <v>70.58</v>
      </c>
      <c r="G335">
        <v>0</v>
      </c>
      <c r="H335">
        <v>2</v>
      </c>
      <c r="I335">
        <v>0</v>
      </c>
      <c r="J335">
        <v>2</v>
      </c>
      <c r="K335">
        <v>46.77</v>
      </c>
      <c r="L335">
        <v>42.6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80D5-4AC3-4FED-AB46-3E00B2929A05}">
  <dimension ref="A1:L333"/>
  <sheetViews>
    <sheetView topLeftCell="A42" workbookViewId="0">
      <selection activeCell="B62" sqref="B62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858</v>
      </c>
      <c r="H1" t="s">
        <v>857</v>
      </c>
      <c r="I1" t="s">
        <v>856</v>
      </c>
      <c r="J1" t="s">
        <v>855</v>
      </c>
      <c r="K1" t="s">
        <v>854</v>
      </c>
      <c r="L1" t="s">
        <v>28</v>
      </c>
    </row>
    <row r="2" spans="1:12" x14ac:dyDescent="0.2">
      <c r="A2" s="3">
        <v>1</v>
      </c>
      <c r="B2" t="s">
        <v>36</v>
      </c>
      <c r="C2">
        <v>97.64</v>
      </c>
      <c r="D2">
        <v>33</v>
      </c>
      <c r="E2">
        <v>4</v>
      </c>
      <c r="F2">
        <v>81.36</v>
      </c>
      <c r="G2">
        <v>4</v>
      </c>
      <c r="H2">
        <v>2</v>
      </c>
      <c r="I2">
        <v>10</v>
      </c>
      <c r="J2">
        <v>3</v>
      </c>
      <c r="K2">
        <v>97.29</v>
      </c>
      <c r="L2">
        <v>97.81</v>
      </c>
    </row>
    <row r="3" spans="1:12" x14ac:dyDescent="0.2">
      <c r="A3" s="3">
        <v>2</v>
      </c>
      <c r="B3" t="s">
        <v>34</v>
      </c>
      <c r="C3">
        <v>94.91</v>
      </c>
      <c r="D3">
        <v>37</v>
      </c>
      <c r="E3">
        <v>2</v>
      </c>
      <c r="F3">
        <v>78.819999999999993</v>
      </c>
      <c r="G3">
        <v>4</v>
      </c>
      <c r="H3">
        <v>1</v>
      </c>
      <c r="I3">
        <v>10</v>
      </c>
      <c r="J3">
        <v>1</v>
      </c>
      <c r="K3">
        <v>98.38</v>
      </c>
      <c r="L3">
        <v>93.05</v>
      </c>
    </row>
    <row r="4" spans="1:12" x14ac:dyDescent="0.2">
      <c r="A4" s="3">
        <v>3</v>
      </c>
      <c r="B4" t="s">
        <v>104</v>
      </c>
      <c r="C4">
        <v>92.43</v>
      </c>
      <c r="D4">
        <v>31</v>
      </c>
      <c r="E4">
        <v>5</v>
      </c>
      <c r="F4">
        <v>77.84</v>
      </c>
      <c r="G4">
        <v>1</v>
      </c>
      <c r="H4">
        <v>2</v>
      </c>
      <c r="I4">
        <v>6</v>
      </c>
      <c r="J4">
        <v>2</v>
      </c>
      <c r="K4">
        <v>92.26</v>
      </c>
      <c r="L4">
        <v>92.4</v>
      </c>
    </row>
    <row r="5" spans="1:12" x14ac:dyDescent="0.2">
      <c r="A5" s="3">
        <v>4</v>
      </c>
      <c r="B5" t="s">
        <v>9</v>
      </c>
      <c r="C5">
        <v>91.97</v>
      </c>
      <c r="D5">
        <v>27</v>
      </c>
      <c r="E5">
        <v>6</v>
      </c>
      <c r="F5">
        <v>81.260000000000005</v>
      </c>
      <c r="G5">
        <v>3</v>
      </c>
      <c r="H5">
        <v>3</v>
      </c>
      <c r="I5">
        <v>10</v>
      </c>
      <c r="J5">
        <v>3</v>
      </c>
      <c r="K5">
        <v>91.27</v>
      </c>
      <c r="L5">
        <v>92.59</v>
      </c>
    </row>
    <row r="6" spans="1:12" x14ac:dyDescent="0.2">
      <c r="A6" s="3">
        <v>5</v>
      </c>
      <c r="B6" t="s">
        <v>794</v>
      </c>
      <c r="C6">
        <v>91.02</v>
      </c>
      <c r="D6">
        <v>26</v>
      </c>
      <c r="E6">
        <v>7</v>
      </c>
      <c r="F6">
        <v>78.86</v>
      </c>
      <c r="G6">
        <v>2</v>
      </c>
      <c r="H6">
        <v>3</v>
      </c>
      <c r="I6">
        <v>3</v>
      </c>
      <c r="J6">
        <v>4</v>
      </c>
      <c r="K6">
        <v>91.17</v>
      </c>
      <c r="L6">
        <v>90.66</v>
      </c>
    </row>
    <row r="7" spans="1:12" x14ac:dyDescent="0.2">
      <c r="A7" s="3">
        <v>6</v>
      </c>
      <c r="B7" t="s">
        <v>53</v>
      </c>
      <c r="C7">
        <v>90.93</v>
      </c>
      <c r="D7">
        <v>27</v>
      </c>
      <c r="E7">
        <v>6</v>
      </c>
      <c r="F7">
        <v>80.47</v>
      </c>
      <c r="G7">
        <v>3</v>
      </c>
      <c r="H7">
        <v>2</v>
      </c>
      <c r="I7">
        <v>7</v>
      </c>
      <c r="J7">
        <v>5</v>
      </c>
      <c r="K7">
        <v>91.09</v>
      </c>
      <c r="L7">
        <v>90.57</v>
      </c>
    </row>
    <row r="8" spans="1:12" x14ac:dyDescent="0.2">
      <c r="A8" s="3">
        <v>7</v>
      </c>
      <c r="B8" t="s">
        <v>111</v>
      </c>
      <c r="C8">
        <v>90.53</v>
      </c>
      <c r="D8">
        <v>28</v>
      </c>
      <c r="E8">
        <v>6</v>
      </c>
      <c r="F8">
        <v>79.7</v>
      </c>
      <c r="G8">
        <v>2</v>
      </c>
      <c r="H8">
        <v>2</v>
      </c>
      <c r="I8">
        <v>7</v>
      </c>
      <c r="J8">
        <v>3</v>
      </c>
      <c r="K8">
        <v>90.74</v>
      </c>
      <c r="L8">
        <v>90.13</v>
      </c>
    </row>
    <row r="9" spans="1:12" x14ac:dyDescent="0.2">
      <c r="A9" s="3">
        <v>8</v>
      </c>
      <c r="B9" t="s">
        <v>6</v>
      </c>
      <c r="C9">
        <v>90.45</v>
      </c>
      <c r="D9">
        <v>30</v>
      </c>
      <c r="E9">
        <v>7</v>
      </c>
      <c r="F9">
        <v>79.72</v>
      </c>
      <c r="G9">
        <v>2</v>
      </c>
      <c r="H9">
        <v>4</v>
      </c>
      <c r="I9">
        <v>4</v>
      </c>
      <c r="J9">
        <v>4</v>
      </c>
      <c r="K9">
        <v>90.5</v>
      </c>
      <c r="L9">
        <v>90.2</v>
      </c>
    </row>
    <row r="10" spans="1:12" x14ac:dyDescent="0.2">
      <c r="A10" s="3">
        <v>9</v>
      </c>
      <c r="B10" t="s">
        <v>15</v>
      </c>
      <c r="C10">
        <v>90.45</v>
      </c>
      <c r="D10">
        <v>28</v>
      </c>
      <c r="E10">
        <v>6</v>
      </c>
      <c r="F10">
        <v>79.22</v>
      </c>
      <c r="G10">
        <v>1</v>
      </c>
      <c r="H10">
        <v>2</v>
      </c>
      <c r="I10">
        <v>6</v>
      </c>
      <c r="J10">
        <v>5</v>
      </c>
      <c r="K10">
        <v>91.05</v>
      </c>
      <c r="L10">
        <v>89.71</v>
      </c>
    </row>
    <row r="11" spans="1:12" x14ac:dyDescent="0.2">
      <c r="A11" s="3">
        <v>10</v>
      </c>
      <c r="B11" t="s">
        <v>790</v>
      </c>
      <c r="C11">
        <v>89.66</v>
      </c>
      <c r="D11">
        <v>25</v>
      </c>
      <c r="E11">
        <v>7</v>
      </c>
      <c r="F11">
        <v>80.55</v>
      </c>
      <c r="G11">
        <v>0</v>
      </c>
      <c r="H11">
        <v>1</v>
      </c>
      <c r="I11">
        <v>7</v>
      </c>
      <c r="J11">
        <v>4</v>
      </c>
      <c r="K11">
        <v>88.44</v>
      </c>
      <c r="L11">
        <v>91.1</v>
      </c>
    </row>
    <row r="12" spans="1:12" x14ac:dyDescent="0.2">
      <c r="A12" s="4">
        <v>11</v>
      </c>
      <c r="B12" t="s">
        <v>2</v>
      </c>
      <c r="C12">
        <v>88.43</v>
      </c>
      <c r="D12">
        <v>23</v>
      </c>
      <c r="E12">
        <v>7</v>
      </c>
      <c r="F12">
        <v>81.37</v>
      </c>
      <c r="G12">
        <v>2</v>
      </c>
      <c r="H12">
        <v>1</v>
      </c>
      <c r="I12">
        <v>5</v>
      </c>
      <c r="J12">
        <v>4</v>
      </c>
      <c r="K12">
        <v>87.5</v>
      </c>
      <c r="L12">
        <v>89.37</v>
      </c>
    </row>
    <row r="13" spans="1:12" x14ac:dyDescent="0.2">
      <c r="A13" s="4">
        <v>12</v>
      </c>
      <c r="B13" t="s">
        <v>11</v>
      </c>
      <c r="C13">
        <v>88.43</v>
      </c>
      <c r="D13">
        <v>24</v>
      </c>
      <c r="E13">
        <v>8</v>
      </c>
      <c r="F13">
        <v>79.55</v>
      </c>
      <c r="G13">
        <v>0</v>
      </c>
      <c r="H13">
        <v>1</v>
      </c>
      <c r="I13">
        <v>4</v>
      </c>
      <c r="J13">
        <v>5</v>
      </c>
      <c r="K13">
        <v>87.61</v>
      </c>
      <c r="L13">
        <v>89.2</v>
      </c>
    </row>
    <row r="14" spans="1:12" x14ac:dyDescent="0.2">
      <c r="A14" s="4">
        <v>13</v>
      </c>
      <c r="B14" t="s">
        <v>45</v>
      </c>
      <c r="C14">
        <v>88.01</v>
      </c>
      <c r="D14">
        <v>25</v>
      </c>
      <c r="E14">
        <v>8</v>
      </c>
      <c r="F14">
        <v>78.5</v>
      </c>
      <c r="G14">
        <v>1</v>
      </c>
      <c r="H14">
        <v>3</v>
      </c>
      <c r="I14">
        <v>4</v>
      </c>
      <c r="J14">
        <v>6</v>
      </c>
      <c r="K14">
        <v>86.74</v>
      </c>
      <c r="L14">
        <v>89.5</v>
      </c>
    </row>
    <row r="15" spans="1:12" x14ac:dyDescent="0.2">
      <c r="A15" s="4">
        <v>14</v>
      </c>
      <c r="B15" t="s">
        <v>43</v>
      </c>
      <c r="C15">
        <v>88</v>
      </c>
      <c r="D15">
        <v>25</v>
      </c>
      <c r="E15">
        <v>9</v>
      </c>
      <c r="F15">
        <v>80.739999999999995</v>
      </c>
      <c r="G15">
        <v>1</v>
      </c>
      <c r="H15">
        <v>5</v>
      </c>
      <c r="I15">
        <v>4</v>
      </c>
      <c r="J15">
        <v>5</v>
      </c>
      <c r="K15">
        <v>88.7</v>
      </c>
      <c r="L15">
        <v>87.18</v>
      </c>
    </row>
    <row r="16" spans="1:12" x14ac:dyDescent="0.2">
      <c r="A16" s="4">
        <v>15</v>
      </c>
      <c r="B16" t="s">
        <v>60</v>
      </c>
      <c r="C16">
        <v>87.79</v>
      </c>
      <c r="D16">
        <v>24</v>
      </c>
      <c r="E16">
        <v>8</v>
      </c>
      <c r="F16">
        <v>78.8</v>
      </c>
      <c r="G16">
        <v>2</v>
      </c>
      <c r="H16">
        <v>2</v>
      </c>
      <c r="I16">
        <v>5</v>
      </c>
      <c r="J16">
        <v>4</v>
      </c>
      <c r="K16">
        <v>86.69</v>
      </c>
      <c r="L16">
        <v>88.96</v>
      </c>
    </row>
    <row r="17" spans="1:12" x14ac:dyDescent="0.2">
      <c r="A17" s="4">
        <v>16</v>
      </c>
      <c r="B17" t="s">
        <v>37</v>
      </c>
      <c r="C17">
        <v>87.58</v>
      </c>
      <c r="D17">
        <v>23</v>
      </c>
      <c r="E17">
        <v>8</v>
      </c>
      <c r="F17">
        <v>78.89</v>
      </c>
      <c r="G17">
        <v>0</v>
      </c>
      <c r="H17">
        <v>1</v>
      </c>
      <c r="I17">
        <v>4</v>
      </c>
      <c r="J17">
        <v>5</v>
      </c>
      <c r="K17">
        <v>86.41</v>
      </c>
      <c r="L17">
        <v>88.87</v>
      </c>
    </row>
    <row r="18" spans="1:12" x14ac:dyDescent="0.2">
      <c r="A18" s="4">
        <v>17</v>
      </c>
      <c r="B18" t="s">
        <v>122</v>
      </c>
      <c r="C18">
        <v>87.37</v>
      </c>
      <c r="D18">
        <v>25</v>
      </c>
      <c r="E18">
        <v>5</v>
      </c>
      <c r="F18">
        <v>78.05</v>
      </c>
      <c r="G18">
        <v>0</v>
      </c>
      <c r="H18">
        <v>0</v>
      </c>
      <c r="I18">
        <v>5</v>
      </c>
      <c r="J18">
        <v>3</v>
      </c>
      <c r="K18">
        <v>88.51</v>
      </c>
      <c r="L18">
        <v>86.23</v>
      </c>
    </row>
    <row r="19" spans="1:12" x14ac:dyDescent="0.2">
      <c r="A19" s="4">
        <v>18</v>
      </c>
      <c r="B19" t="s">
        <v>73</v>
      </c>
      <c r="C19">
        <v>86.97</v>
      </c>
      <c r="D19">
        <v>27</v>
      </c>
      <c r="E19">
        <v>7</v>
      </c>
      <c r="F19">
        <v>77.38</v>
      </c>
      <c r="G19">
        <v>0</v>
      </c>
      <c r="H19">
        <v>1</v>
      </c>
      <c r="I19">
        <v>5</v>
      </c>
      <c r="J19">
        <v>4</v>
      </c>
      <c r="K19">
        <v>86.75</v>
      </c>
      <c r="L19">
        <v>86.97</v>
      </c>
    </row>
    <row r="20" spans="1:12" x14ac:dyDescent="0.2">
      <c r="A20" s="4">
        <v>19</v>
      </c>
      <c r="B20" t="s">
        <v>42</v>
      </c>
      <c r="C20">
        <v>86.86</v>
      </c>
      <c r="D20">
        <v>23</v>
      </c>
      <c r="E20">
        <v>8</v>
      </c>
      <c r="F20">
        <v>78.58</v>
      </c>
      <c r="G20">
        <v>0</v>
      </c>
      <c r="H20">
        <v>2</v>
      </c>
      <c r="I20">
        <v>2</v>
      </c>
      <c r="J20">
        <v>6</v>
      </c>
      <c r="K20">
        <v>86.29</v>
      </c>
      <c r="L20">
        <v>87.29</v>
      </c>
    </row>
    <row r="21" spans="1:12" x14ac:dyDescent="0.2">
      <c r="A21" s="4">
        <v>20</v>
      </c>
      <c r="B21" t="s">
        <v>130</v>
      </c>
      <c r="C21">
        <v>86.74</v>
      </c>
      <c r="D21">
        <v>20</v>
      </c>
      <c r="E21">
        <v>12</v>
      </c>
      <c r="F21">
        <v>80.760000000000005</v>
      </c>
      <c r="G21">
        <v>2</v>
      </c>
      <c r="H21">
        <v>6</v>
      </c>
      <c r="I21">
        <v>2</v>
      </c>
      <c r="J21">
        <v>10</v>
      </c>
      <c r="K21">
        <v>85.73</v>
      </c>
      <c r="L21">
        <v>87.77</v>
      </c>
    </row>
    <row r="22" spans="1:12" x14ac:dyDescent="0.2">
      <c r="A22" s="4">
        <v>21</v>
      </c>
      <c r="B22" t="s">
        <v>99</v>
      </c>
      <c r="C22">
        <v>86.49</v>
      </c>
      <c r="D22">
        <v>25</v>
      </c>
      <c r="E22">
        <v>8</v>
      </c>
      <c r="F22">
        <v>77.040000000000006</v>
      </c>
      <c r="G22">
        <v>0</v>
      </c>
      <c r="H22">
        <v>5</v>
      </c>
      <c r="I22">
        <v>0</v>
      </c>
      <c r="J22">
        <v>5</v>
      </c>
      <c r="K22">
        <v>85.93</v>
      </c>
      <c r="L22">
        <v>86.9</v>
      </c>
    </row>
    <row r="23" spans="1:12" x14ac:dyDescent="0.2">
      <c r="A23" s="4">
        <v>22</v>
      </c>
      <c r="B23" t="s">
        <v>113</v>
      </c>
      <c r="C23">
        <v>86.37</v>
      </c>
      <c r="D23">
        <v>27</v>
      </c>
      <c r="E23">
        <v>6</v>
      </c>
      <c r="F23">
        <v>75.95</v>
      </c>
      <c r="G23">
        <v>0</v>
      </c>
      <c r="H23">
        <v>3</v>
      </c>
      <c r="I23">
        <v>1</v>
      </c>
      <c r="J23">
        <v>3</v>
      </c>
      <c r="K23">
        <v>87.48</v>
      </c>
      <c r="L23">
        <v>85.24</v>
      </c>
    </row>
    <row r="24" spans="1:12" x14ac:dyDescent="0.2">
      <c r="A24" s="4">
        <v>23</v>
      </c>
      <c r="B24" t="s">
        <v>31</v>
      </c>
      <c r="C24">
        <v>86.07</v>
      </c>
      <c r="D24">
        <v>22</v>
      </c>
      <c r="E24">
        <v>11</v>
      </c>
      <c r="F24">
        <v>79.040000000000006</v>
      </c>
      <c r="G24">
        <v>0</v>
      </c>
      <c r="H24">
        <v>3</v>
      </c>
      <c r="I24">
        <v>4</v>
      </c>
      <c r="J24">
        <v>5</v>
      </c>
      <c r="K24">
        <v>85.77</v>
      </c>
      <c r="L24">
        <v>86.16</v>
      </c>
    </row>
    <row r="25" spans="1:12" x14ac:dyDescent="0.2">
      <c r="A25" s="4">
        <v>24</v>
      </c>
      <c r="B25" t="s">
        <v>0</v>
      </c>
      <c r="C25">
        <v>85.9</v>
      </c>
      <c r="D25">
        <v>26</v>
      </c>
      <c r="E25">
        <v>5</v>
      </c>
      <c r="F25">
        <v>76.61</v>
      </c>
      <c r="G25">
        <v>2</v>
      </c>
      <c r="H25">
        <v>1</v>
      </c>
      <c r="I25">
        <v>3</v>
      </c>
      <c r="J25">
        <v>2</v>
      </c>
      <c r="K25">
        <v>87.8</v>
      </c>
      <c r="L25">
        <v>84.27</v>
      </c>
    </row>
    <row r="26" spans="1:12" x14ac:dyDescent="0.2">
      <c r="A26" s="4">
        <v>25</v>
      </c>
      <c r="B26" t="s">
        <v>72</v>
      </c>
      <c r="C26">
        <v>85.69</v>
      </c>
      <c r="D26">
        <v>24</v>
      </c>
      <c r="E26">
        <v>11</v>
      </c>
      <c r="F26">
        <v>79.11</v>
      </c>
      <c r="G26">
        <v>1</v>
      </c>
      <c r="H26">
        <v>1</v>
      </c>
      <c r="I26">
        <v>5</v>
      </c>
      <c r="J26">
        <v>7</v>
      </c>
      <c r="K26">
        <v>87.08</v>
      </c>
      <c r="L26">
        <v>84.36</v>
      </c>
    </row>
    <row r="27" spans="1:12" x14ac:dyDescent="0.2">
      <c r="A27" s="4">
        <v>26</v>
      </c>
      <c r="B27" t="s">
        <v>870</v>
      </c>
      <c r="C27">
        <v>85.69</v>
      </c>
      <c r="D27">
        <v>21</v>
      </c>
      <c r="E27">
        <v>14</v>
      </c>
      <c r="F27">
        <v>80.319999999999993</v>
      </c>
      <c r="G27">
        <v>1</v>
      </c>
      <c r="H27">
        <v>7</v>
      </c>
      <c r="I27">
        <v>4</v>
      </c>
      <c r="J27">
        <v>9</v>
      </c>
      <c r="K27">
        <v>84.89</v>
      </c>
      <c r="L27">
        <v>86.38</v>
      </c>
    </row>
    <row r="28" spans="1:12" x14ac:dyDescent="0.2">
      <c r="A28" s="4">
        <v>27</v>
      </c>
      <c r="B28" t="s">
        <v>249</v>
      </c>
      <c r="C28">
        <v>85.51</v>
      </c>
      <c r="D28">
        <v>25</v>
      </c>
      <c r="E28">
        <v>6</v>
      </c>
      <c r="F28">
        <v>74.569999999999993</v>
      </c>
      <c r="G28">
        <v>0</v>
      </c>
      <c r="H28">
        <v>1</v>
      </c>
      <c r="I28">
        <v>2</v>
      </c>
      <c r="J28">
        <v>3</v>
      </c>
      <c r="K28">
        <v>86.81</v>
      </c>
      <c r="L28">
        <v>84.23</v>
      </c>
    </row>
    <row r="29" spans="1:12" x14ac:dyDescent="0.2">
      <c r="A29" s="4">
        <v>28</v>
      </c>
      <c r="B29" t="s">
        <v>136</v>
      </c>
      <c r="C29">
        <v>84.89</v>
      </c>
      <c r="D29">
        <v>26</v>
      </c>
      <c r="E29">
        <v>8</v>
      </c>
      <c r="F29">
        <v>77.849999999999994</v>
      </c>
      <c r="G29">
        <v>0</v>
      </c>
      <c r="H29">
        <v>1</v>
      </c>
      <c r="I29">
        <v>0</v>
      </c>
      <c r="J29">
        <v>1</v>
      </c>
      <c r="K29">
        <v>84.73</v>
      </c>
      <c r="L29">
        <v>84.84</v>
      </c>
    </row>
    <row r="30" spans="1:12" x14ac:dyDescent="0.2">
      <c r="A30" s="4">
        <v>29</v>
      </c>
      <c r="B30" t="s">
        <v>218</v>
      </c>
      <c r="C30">
        <v>84.81</v>
      </c>
      <c r="D30">
        <v>27</v>
      </c>
      <c r="E30">
        <v>4</v>
      </c>
      <c r="F30">
        <v>74.489999999999995</v>
      </c>
      <c r="G30">
        <v>0</v>
      </c>
      <c r="H30">
        <v>1</v>
      </c>
      <c r="I30">
        <v>0</v>
      </c>
      <c r="J30">
        <v>2</v>
      </c>
      <c r="K30">
        <v>87.45</v>
      </c>
      <c r="L30">
        <v>82.76</v>
      </c>
    </row>
    <row r="31" spans="1:12" x14ac:dyDescent="0.2">
      <c r="A31" s="4">
        <v>30</v>
      </c>
      <c r="B31" t="s">
        <v>791</v>
      </c>
      <c r="C31">
        <v>84.64</v>
      </c>
      <c r="D31">
        <v>23</v>
      </c>
      <c r="E31">
        <v>11</v>
      </c>
      <c r="F31">
        <v>78.209999999999994</v>
      </c>
      <c r="G31">
        <v>0</v>
      </c>
      <c r="H31">
        <v>3</v>
      </c>
      <c r="I31">
        <v>1</v>
      </c>
      <c r="J31">
        <v>7</v>
      </c>
      <c r="K31">
        <v>84.23</v>
      </c>
      <c r="L31">
        <v>84.86</v>
      </c>
    </row>
    <row r="32" spans="1:12" x14ac:dyDescent="0.2">
      <c r="A32" s="4">
        <v>31</v>
      </c>
      <c r="B32" t="s">
        <v>153</v>
      </c>
      <c r="C32">
        <v>84.34</v>
      </c>
      <c r="D32">
        <v>20</v>
      </c>
      <c r="E32">
        <v>9</v>
      </c>
      <c r="F32">
        <v>77.239999999999995</v>
      </c>
      <c r="G32">
        <v>0</v>
      </c>
      <c r="H32">
        <v>0</v>
      </c>
      <c r="I32">
        <v>4</v>
      </c>
      <c r="J32">
        <v>6</v>
      </c>
      <c r="K32">
        <v>84.03</v>
      </c>
      <c r="L32">
        <v>84.45</v>
      </c>
    </row>
    <row r="33" spans="1:12" x14ac:dyDescent="0.2">
      <c r="A33" s="4">
        <v>32</v>
      </c>
      <c r="B33" t="s">
        <v>32</v>
      </c>
      <c r="C33">
        <v>84.2</v>
      </c>
      <c r="D33">
        <v>21</v>
      </c>
      <c r="E33">
        <v>12</v>
      </c>
      <c r="F33">
        <v>79.61</v>
      </c>
      <c r="G33">
        <v>2</v>
      </c>
      <c r="H33">
        <v>4</v>
      </c>
      <c r="I33">
        <v>3</v>
      </c>
      <c r="J33">
        <v>7</v>
      </c>
      <c r="K33">
        <v>83.87</v>
      </c>
      <c r="L33">
        <v>84.34</v>
      </c>
    </row>
    <row r="34" spans="1:12" x14ac:dyDescent="0.2">
      <c r="A34" s="4">
        <v>33</v>
      </c>
      <c r="B34" t="s">
        <v>75</v>
      </c>
      <c r="C34">
        <v>84.18</v>
      </c>
      <c r="D34">
        <v>19</v>
      </c>
      <c r="E34">
        <v>13</v>
      </c>
      <c r="F34">
        <v>79.17</v>
      </c>
      <c r="G34">
        <v>2</v>
      </c>
      <c r="H34">
        <v>3</v>
      </c>
      <c r="I34">
        <v>3</v>
      </c>
      <c r="J34">
        <v>6</v>
      </c>
      <c r="K34">
        <v>82.73</v>
      </c>
      <c r="L34">
        <v>85.8</v>
      </c>
    </row>
    <row r="35" spans="1:12" x14ac:dyDescent="0.2">
      <c r="A35" s="4">
        <v>34</v>
      </c>
      <c r="B35" t="s">
        <v>38</v>
      </c>
      <c r="C35">
        <v>84.04</v>
      </c>
      <c r="D35">
        <v>19</v>
      </c>
      <c r="E35">
        <v>11</v>
      </c>
      <c r="F35">
        <v>78.2</v>
      </c>
      <c r="G35">
        <v>2</v>
      </c>
      <c r="H35">
        <v>1</v>
      </c>
      <c r="I35">
        <v>3</v>
      </c>
      <c r="J35">
        <v>5</v>
      </c>
      <c r="K35">
        <v>82.37</v>
      </c>
      <c r="L35">
        <v>86.03</v>
      </c>
    </row>
    <row r="36" spans="1:12" x14ac:dyDescent="0.2">
      <c r="A36" s="4">
        <v>35</v>
      </c>
      <c r="B36" t="s">
        <v>273</v>
      </c>
      <c r="C36">
        <v>83.72</v>
      </c>
      <c r="D36">
        <v>20</v>
      </c>
      <c r="E36">
        <v>10</v>
      </c>
      <c r="F36">
        <v>79.22</v>
      </c>
      <c r="G36">
        <v>0</v>
      </c>
      <c r="H36">
        <v>2</v>
      </c>
      <c r="I36">
        <v>4</v>
      </c>
      <c r="J36">
        <v>5</v>
      </c>
      <c r="K36">
        <v>83.37</v>
      </c>
      <c r="L36">
        <v>83.87</v>
      </c>
    </row>
    <row r="37" spans="1:12" x14ac:dyDescent="0.2">
      <c r="A37" s="4">
        <v>36</v>
      </c>
      <c r="B37" t="s">
        <v>89</v>
      </c>
      <c r="C37">
        <v>83.55</v>
      </c>
      <c r="D37">
        <v>25</v>
      </c>
      <c r="E37">
        <v>7</v>
      </c>
      <c r="F37">
        <v>73.41</v>
      </c>
      <c r="G37">
        <v>0</v>
      </c>
      <c r="H37">
        <v>2</v>
      </c>
      <c r="I37">
        <v>1</v>
      </c>
      <c r="J37">
        <v>3</v>
      </c>
      <c r="K37">
        <v>83.69</v>
      </c>
      <c r="L37">
        <v>83.2</v>
      </c>
    </row>
    <row r="38" spans="1:12" x14ac:dyDescent="0.2">
      <c r="A38" s="4">
        <v>37</v>
      </c>
      <c r="B38" t="s">
        <v>57</v>
      </c>
      <c r="C38">
        <v>83.55</v>
      </c>
      <c r="D38">
        <v>19</v>
      </c>
      <c r="E38">
        <v>10</v>
      </c>
      <c r="F38">
        <v>75.739999999999995</v>
      </c>
      <c r="G38">
        <v>0</v>
      </c>
      <c r="H38">
        <v>2</v>
      </c>
      <c r="I38">
        <v>1</v>
      </c>
      <c r="J38">
        <v>6</v>
      </c>
      <c r="K38">
        <v>82.27</v>
      </c>
      <c r="L38">
        <v>84.88</v>
      </c>
    </row>
    <row r="39" spans="1:12" x14ac:dyDescent="0.2">
      <c r="A39" s="4">
        <v>38</v>
      </c>
      <c r="B39" t="s">
        <v>119</v>
      </c>
      <c r="C39">
        <v>83.45</v>
      </c>
      <c r="D39">
        <v>24</v>
      </c>
      <c r="E39">
        <v>7</v>
      </c>
      <c r="F39">
        <v>75.11</v>
      </c>
      <c r="G39">
        <v>0</v>
      </c>
      <c r="H39">
        <v>1</v>
      </c>
      <c r="I39">
        <v>0</v>
      </c>
      <c r="J39">
        <v>3</v>
      </c>
      <c r="K39">
        <v>83.87</v>
      </c>
      <c r="L39">
        <v>82.85</v>
      </c>
    </row>
    <row r="40" spans="1:12" x14ac:dyDescent="0.2">
      <c r="A40" s="4">
        <v>39</v>
      </c>
      <c r="B40" t="s">
        <v>809</v>
      </c>
      <c r="C40">
        <v>83.2</v>
      </c>
      <c r="D40">
        <v>20</v>
      </c>
      <c r="E40">
        <v>12</v>
      </c>
      <c r="F40">
        <v>77.69</v>
      </c>
      <c r="G40">
        <v>1</v>
      </c>
      <c r="H40">
        <v>2</v>
      </c>
      <c r="I40">
        <v>2</v>
      </c>
      <c r="J40">
        <v>5</v>
      </c>
      <c r="K40">
        <v>82.68</v>
      </c>
      <c r="L40">
        <v>83.54</v>
      </c>
    </row>
    <row r="41" spans="1:12" x14ac:dyDescent="0.2">
      <c r="A41" s="4">
        <v>40</v>
      </c>
      <c r="B41" t="s">
        <v>96</v>
      </c>
      <c r="C41">
        <v>82.95</v>
      </c>
      <c r="D41">
        <v>20</v>
      </c>
      <c r="E41">
        <v>13</v>
      </c>
      <c r="F41">
        <v>78.599999999999994</v>
      </c>
      <c r="G41">
        <v>1</v>
      </c>
      <c r="H41">
        <v>1</v>
      </c>
      <c r="I41">
        <v>1</v>
      </c>
      <c r="J41">
        <v>6</v>
      </c>
      <c r="K41">
        <v>83.04</v>
      </c>
      <c r="L41">
        <v>82.64</v>
      </c>
    </row>
    <row r="42" spans="1:12" x14ac:dyDescent="0.2">
      <c r="A42" s="4">
        <v>41</v>
      </c>
      <c r="B42" t="s">
        <v>76</v>
      </c>
      <c r="C42">
        <v>82.76</v>
      </c>
      <c r="D42">
        <v>20</v>
      </c>
      <c r="E42">
        <v>14</v>
      </c>
      <c r="F42">
        <v>78.52</v>
      </c>
      <c r="G42">
        <v>0</v>
      </c>
      <c r="H42">
        <v>2</v>
      </c>
      <c r="I42">
        <v>1</v>
      </c>
      <c r="J42">
        <v>7</v>
      </c>
      <c r="K42">
        <v>81.64</v>
      </c>
      <c r="L42">
        <v>83.85</v>
      </c>
    </row>
    <row r="43" spans="1:12" x14ac:dyDescent="0.2">
      <c r="A43" s="4">
        <v>42</v>
      </c>
      <c r="B43" t="s">
        <v>187</v>
      </c>
      <c r="C43">
        <v>82.72</v>
      </c>
      <c r="D43">
        <v>22</v>
      </c>
      <c r="E43">
        <v>8</v>
      </c>
      <c r="F43">
        <v>74.650000000000006</v>
      </c>
      <c r="G43">
        <v>1</v>
      </c>
      <c r="H43">
        <v>1</v>
      </c>
      <c r="I43">
        <v>1</v>
      </c>
      <c r="J43">
        <v>3</v>
      </c>
      <c r="K43">
        <v>81.680000000000007</v>
      </c>
      <c r="L43">
        <v>83.7</v>
      </c>
    </row>
    <row r="44" spans="1:12" x14ac:dyDescent="0.2">
      <c r="A44" s="4">
        <v>43</v>
      </c>
      <c r="B44" t="s">
        <v>796</v>
      </c>
      <c r="C44">
        <v>82.64</v>
      </c>
      <c r="D44">
        <v>24</v>
      </c>
      <c r="E44">
        <v>8</v>
      </c>
      <c r="F44">
        <v>72.66</v>
      </c>
      <c r="G44">
        <v>0</v>
      </c>
      <c r="H44">
        <v>1</v>
      </c>
      <c r="I44">
        <v>2</v>
      </c>
      <c r="J44">
        <v>3</v>
      </c>
      <c r="K44">
        <v>80.53</v>
      </c>
      <c r="L44">
        <v>85.33</v>
      </c>
    </row>
    <row r="45" spans="1:12" x14ac:dyDescent="0.2">
      <c r="A45" s="4">
        <v>44</v>
      </c>
      <c r="B45" t="s">
        <v>276</v>
      </c>
      <c r="C45">
        <v>82.61</v>
      </c>
      <c r="D45">
        <v>25</v>
      </c>
      <c r="E45">
        <v>7</v>
      </c>
      <c r="F45">
        <v>72.709999999999994</v>
      </c>
      <c r="G45">
        <v>0</v>
      </c>
      <c r="H45">
        <v>1</v>
      </c>
      <c r="I45">
        <v>2</v>
      </c>
      <c r="J45">
        <v>3</v>
      </c>
      <c r="K45">
        <v>82.73</v>
      </c>
      <c r="L45">
        <v>82.27</v>
      </c>
    </row>
    <row r="46" spans="1:12" x14ac:dyDescent="0.2">
      <c r="A46" s="4">
        <v>45</v>
      </c>
      <c r="B46" t="s">
        <v>66</v>
      </c>
      <c r="C46">
        <v>82.59</v>
      </c>
      <c r="D46">
        <v>22</v>
      </c>
      <c r="E46">
        <v>11</v>
      </c>
      <c r="F46">
        <v>77.14</v>
      </c>
      <c r="G46">
        <v>0</v>
      </c>
      <c r="H46">
        <v>4</v>
      </c>
      <c r="I46">
        <v>0</v>
      </c>
      <c r="J46">
        <v>5</v>
      </c>
      <c r="K46">
        <v>82.29</v>
      </c>
      <c r="L46">
        <v>82.67</v>
      </c>
    </row>
    <row r="47" spans="1:12" x14ac:dyDescent="0.2">
      <c r="A47" s="4">
        <v>46</v>
      </c>
      <c r="B47" t="s">
        <v>783</v>
      </c>
      <c r="C47">
        <v>82.36</v>
      </c>
      <c r="D47">
        <v>24</v>
      </c>
      <c r="E47">
        <v>12</v>
      </c>
      <c r="F47">
        <v>76.37</v>
      </c>
      <c r="G47">
        <v>0</v>
      </c>
      <c r="H47">
        <v>0</v>
      </c>
      <c r="I47">
        <v>0</v>
      </c>
      <c r="J47">
        <v>2</v>
      </c>
      <c r="K47">
        <v>82.31</v>
      </c>
      <c r="L47">
        <v>82.21</v>
      </c>
    </row>
    <row r="48" spans="1:12" x14ac:dyDescent="0.2">
      <c r="A48" s="4">
        <v>47</v>
      </c>
      <c r="B48" t="s">
        <v>103</v>
      </c>
      <c r="C48">
        <v>82.22</v>
      </c>
      <c r="D48">
        <v>21</v>
      </c>
      <c r="E48">
        <v>11</v>
      </c>
      <c r="F48">
        <v>78.040000000000006</v>
      </c>
      <c r="G48">
        <v>0</v>
      </c>
      <c r="H48">
        <v>4</v>
      </c>
      <c r="I48">
        <v>1</v>
      </c>
      <c r="J48">
        <v>6</v>
      </c>
      <c r="K48">
        <v>82.56</v>
      </c>
      <c r="L48">
        <v>81.680000000000007</v>
      </c>
    </row>
    <row r="49" spans="1:12" x14ac:dyDescent="0.2">
      <c r="A49" s="4">
        <v>48</v>
      </c>
      <c r="B49" t="s">
        <v>52</v>
      </c>
      <c r="C49">
        <v>82.07</v>
      </c>
      <c r="D49">
        <v>23</v>
      </c>
      <c r="E49">
        <v>11</v>
      </c>
      <c r="F49">
        <v>76.31</v>
      </c>
      <c r="G49">
        <v>0</v>
      </c>
      <c r="H49">
        <v>0</v>
      </c>
      <c r="I49">
        <v>0</v>
      </c>
      <c r="J49">
        <v>3</v>
      </c>
      <c r="K49">
        <v>81.5</v>
      </c>
      <c r="L49">
        <v>82.46</v>
      </c>
    </row>
    <row r="50" spans="1:12" x14ac:dyDescent="0.2">
      <c r="A50" s="4">
        <v>49</v>
      </c>
      <c r="B50" t="s">
        <v>285</v>
      </c>
      <c r="C50">
        <v>82.05</v>
      </c>
      <c r="D50">
        <v>21</v>
      </c>
      <c r="E50">
        <v>8</v>
      </c>
      <c r="F50">
        <v>76.42</v>
      </c>
      <c r="G50">
        <v>0</v>
      </c>
      <c r="H50">
        <v>1</v>
      </c>
      <c r="I50">
        <v>1</v>
      </c>
      <c r="J50">
        <v>4</v>
      </c>
      <c r="K50">
        <v>82.66</v>
      </c>
      <c r="L50">
        <v>81.28</v>
      </c>
    </row>
    <row r="51" spans="1:12" x14ac:dyDescent="0.2">
      <c r="A51" s="4">
        <v>50</v>
      </c>
      <c r="B51" t="s">
        <v>795</v>
      </c>
      <c r="C51">
        <v>82.02</v>
      </c>
      <c r="D51">
        <v>19</v>
      </c>
      <c r="E51">
        <v>12</v>
      </c>
      <c r="F51">
        <v>78.430000000000007</v>
      </c>
      <c r="G51">
        <v>0</v>
      </c>
      <c r="H51">
        <v>2</v>
      </c>
      <c r="I51">
        <v>3</v>
      </c>
      <c r="J51">
        <v>4</v>
      </c>
      <c r="K51">
        <v>82.97</v>
      </c>
      <c r="L51">
        <v>80.959999999999994</v>
      </c>
    </row>
    <row r="52" spans="1:12" x14ac:dyDescent="0.2">
      <c r="A52" s="4">
        <v>51</v>
      </c>
      <c r="B52" t="s">
        <v>280</v>
      </c>
      <c r="C52">
        <v>81.91</v>
      </c>
      <c r="D52">
        <v>27</v>
      </c>
      <c r="E52">
        <v>6</v>
      </c>
      <c r="F52">
        <v>71.61</v>
      </c>
      <c r="G52">
        <v>0</v>
      </c>
      <c r="H52">
        <v>1</v>
      </c>
      <c r="I52">
        <v>0</v>
      </c>
      <c r="J52">
        <v>1</v>
      </c>
      <c r="K52">
        <v>82.36</v>
      </c>
      <c r="L52">
        <v>81.27</v>
      </c>
    </row>
    <row r="53" spans="1:12" x14ac:dyDescent="0.2">
      <c r="A53" s="4">
        <v>52</v>
      </c>
      <c r="B53" t="s">
        <v>102</v>
      </c>
      <c r="C53">
        <v>81.88</v>
      </c>
      <c r="D53">
        <v>20</v>
      </c>
      <c r="E53">
        <v>11</v>
      </c>
      <c r="F53">
        <v>77.17</v>
      </c>
      <c r="G53">
        <v>0</v>
      </c>
      <c r="H53">
        <v>0</v>
      </c>
      <c r="I53">
        <v>1</v>
      </c>
      <c r="J53">
        <v>3</v>
      </c>
      <c r="K53">
        <v>81.150000000000006</v>
      </c>
      <c r="L53">
        <v>82.45</v>
      </c>
    </row>
    <row r="54" spans="1:12" x14ac:dyDescent="0.2">
      <c r="A54" s="4">
        <v>53</v>
      </c>
      <c r="B54" t="s">
        <v>801</v>
      </c>
      <c r="C54">
        <v>81.81</v>
      </c>
      <c r="D54">
        <v>22</v>
      </c>
      <c r="E54">
        <v>10</v>
      </c>
      <c r="F54">
        <v>76.84</v>
      </c>
      <c r="G54">
        <v>0</v>
      </c>
      <c r="H54">
        <v>0</v>
      </c>
      <c r="I54">
        <v>1</v>
      </c>
      <c r="J54">
        <v>1</v>
      </c>
      <c r="K54">
        <v>81.53</v>
      </c>
      <c r="L54">
        <v>81.88</v>
      </c>
    </row>
    <row r="55" spans="1:12" x14ac:dyDescent="0.2">
      <c r="A55" s="4">
        <v>54</v>
      </c>
      <c r="B55" t="s">
        <v>147</v>
      </c>
      <c r="C55">
        <v>81.709999999999994</v>
      </c>
      <c r="D55">
        <v>19</v>
      </c>
      <c r="E55">
        <v>13</v>
      </c>
      <c r="F55">
        <v>77.92</v>
      </c>
      <c r="G55">
        <v>0</v>
      </c>
      <c r="H55">
        <v>1</v>
      </c>
      <c r="I55">
        <v>2</v>
      </c>
      <c r="J55">
        <v>7</v>
      </c>
      <c r="K55">
        <v>81.650000000000006</v>
      </c>
      <c r="L55">
        <v>81.56</v>
      </c>
    </row>
    <row r="56" spans="1:12" x14ac:dyDescent="0.2">
      <c r="A56" s="4">
        <v>55</v>
      </c>
      <c r="B56" t="s">
        <v>35</v>
      </c>
      <c r="C56">
        <v>81.540000000000006</v>
      </c>
      <c r="D56">
        <v>18</v>
      </c>
      <c r="E56">
        <v>12</v>
      </c>
      <c r="F56">
        <v>75.64</v>
      </c>
      <c r="G56">
        <v>0</v>
      </c>
      <c r="H56">
        <v>2</v>
      </c>
      <c r="I56">
        <v>0</v>
      </c>
      <c r="J56">
        <v>7</v>
      </c>
      <c r="K56">
        <v>80.17</v>
      </c>
      <c r="L56">
        <v>82.94</v>
      </c>
    </row>
    <row r="57" spans="1:12" x14ac:dyDescent="0.2">
      <c r="A57" s="4">
        <v>56</v>
      </c>
      <c r="B57" t="s">
        <v>263</v>
      </c>
      <c r="C57">
        <v>81.510000000000005</v>
      </c>
      <c r="D57">
        <v>25</v>
      </c>
      <c r="E57">
        <v>7</v>
      </c>
      <c r="F57">
        <v>71.36</v>
      </c>
      <c r="G57">
        <v>0</v>
      </c>
      <c r="H57">
        <v>0</v>
      </c>
      <c r="I57">
        <v>0</v>
      </c>
      <c r="J57">
        <v>1</v>
      </c>
      <c r="K57">
        <v>81.59</v>
      </c>
      <c r="L57">
        <v>81.22</v>
      </c>
    </row>
    <row r="58" spans="1:12" x14ac:dyDescent="0.2">
      <c r="A58" s="4">
        <v>57</v>
      </c>
      <c r="B58" t="s">
        <v>40</v>
      </c>
      <c r="C58">
        <v>81.42</v>
      </c>
      <c r="D58">
        <v>22</v>
      </c>
      <c r="E58">
        <v>16</v>
      </c>
      <c r="F58">
        <v>76.56</v>
      </c>
      <c r="G58">
        <v>1</v>
      </c>
      <c r="H58">
        <v>2</v>
      </c>
      <c r="I58">
        <v>1</v>
      </c>
      <c r="J58">
        <v>4</v>
      </c>
      <c r="K58">
        <v>79.819999999999993</v>
      </c>
      <c r="L58">
        <v>83.15</v>
      </c>
    </row>
    <row r="59" spans="1:12" x14ac:dyDescent="0.2">
      <c r="A59" s="4">
        <v>58</v>
      </c>
      <c r="B59" t="s">
        <v>872</v>
      </c>
      <c r="C59">
        <v>81.28</v>
      </c>
      <c r="D59">
        <v>16</v>
      </c>
      <c r="E59">
        <v>13</v>
      </c>
      <c r="F59">
        <v>79.180000000000007</v>
      </c>
      <c r="G59">
        <v>0</v>
      </c>
      <c r="H59">
        <v>5</v>
      </c>
      <c r="I59">
        <v>2</v>
      </c>
      <c r="J59">
        <v>7</v>
      </c>
      <c r="K59">
        <v>80.77</v>
      </c>
      <c r="L59">
        <v>81.61</v>
      </c>
    </row>
    <row r="60" spans="1:12" x14ac:dyDescent="0.2">
      <c r="A60" s="4">
        <v>59</v>
      </c>
      <c r="B60" t="s">
        <v>78</v>
      </c>
      <c r="C60">
        <v>81.209999999999994</v>
      </c>
      <c r="D60">
        <v>16</v>
      </c>
      <c r="E60">
        <v>16</v>
      </c>
      <c r="F60">
        <v>80.41</v>
      </c>
      <c r="G60">
        <v>0</v>
      </c>
      <c r="H60">
        <v>5</v>
      </c>
      <c r="I60">
        <v>0</v>
      </c>
      <c r="J60">
        <v>9</v>
      </c>
      <c r="K60">
        <v>80.64</v>
      </c>
      <c r="L60">
        <v>81.59</v>
      </c>
    </row>
    <row r="61" spans="1:12" x14ac:dyDescent="0.2">
      <c r="A61" s="4">
        <v>60</v>
      </c>
      <c r="B61" t="s">
        <v>98</v>
      </c>
      <c r="C61">
        <v>81.2</v>
      </c>
      <c r="D61">
        <v>18</v>
      </c>
      <c r="E61">
        <v>13</v>
      </c>
      <c r="F61">
        <v>79.989999999999995</v>
      </c>
      <c r="G61">
        <v>2</v>
      </c>
      <c r="H61">
        <v>5</v>
      </c>
      <c r="I61">
        <v>2</v>
      </c>
      <c r="J61">
        <v>6</v>
      </c>
      <c r="K61">
        <v>82.46</v>
      </c>
      <c r="L61">
        <v>79.89</v>
      </c>
    </row>
    <row r="62" spans="1:12" x14ac:dyDescent="0.2">
      <c r="A62" s="4">
        <v>61</v>
      </c>
      <c r="B62" t="s">
        <v>163</v>
      </c>
      <c r="C62">
        <v>81.180000000000007</v>
      </c>
      <c r="D62">
        <v>25</v>
      </c>
      <c r="E62">
        <v>8</v>
      </c>
      <c r="F62">
        <v>73.34</v>
      </c>
      <c r="G62">
        <v>0</v>
      </c>
      <c r="H62">
        <v>0</v>
      </c>
      <c r="I62">
        <v>0</v>
      </c>
      <c r="J62">
        <v>4</v>
      </c>
      <c r="K62">
        <v>81.55</v>
      </c>
      <c r="L62">
        <v>80.62</v>
      </c>
    </row>
    <row r="63" spans="1:12" x14ac:dyDescent="0.2">
      <c r="A63" s="4">
        <v>62</v>
      </c>
      <c r="B63" t="s">
        <v>30</v>
      </c>
      <c r="C63">
        <v>81.02</v>
      </c>
      <c r="D63">
        <v>18</v>
      </c>
      <c r="E63">
        <v>11</v>
      </c>
      <c r="F63">
        <v>79.03</v>
      </c>
      <c r="G63">
        <v>1</v>
      </c>
      <c r="H63">
        <v>4</v>
      </c>
      <c r="I63">
        <v>1</v>
      </c>
      <c r="J63">
        <v>6</v>
      </c>
      <c r="K63">
        <v>82.95</v>
      </c>
      <c r="L63">
        <v>79.209999999999994</v>
      </c>
    </row>
    <row r="64" spans="1:12" x14ac:dyDescent="0.2">
      <c r="A64" s="4">
        <v>63</v>
      </c>
      <c r="B64" t="s">
        <v>875</v>
      </c>
      <c r="C64">
        <v>80.88</v>
      </c>
      <c r="D64">
        <v>23</v>
      </c>
      <c r="E64">
        <v>9</v>
      </c>
      <c r="F64">
        <v>75.77</v>
      </c>
      <c r="G64">
        <v>0</v>
      </c>
      <c r="H64">
        <v>0</v>
      </c>
      <c r="I64">
        <v>1</v>
      </c>
      <c r="J64">
        <v>4</v>
      </c>
      <c r="K64">
        <v>82.02</v>
      </c>
      <c r="L64">
        <v>79.650000000000006</v>
      </c>
    </row>
    <row r="65" spans="1:12" x14ac:dyDescent="0.2">
      <c r="A65" s="4">
        <v>64</v>
      </c>
      <c r="B65" t="s">
        <v>97</v>
      </c>
      <c r="C65">
        <v>80.78</v>
      </c>
      <c r="D65">
        <v>20</v>
      </c>
      <c r="E65">
        <v>11</v>
      </c>
      <c r="F65">
        <v>76.53</v>
      </c>
      <c r="G65">
        <v>0</v>
      </c>
      <c r="H65">
        <v>1</v>
      </c>
      <c r="I65">
        <v>1</v>
      </c>
      <c r="J65">
        <v>2</v>
      </c>
      <c r="K65">
        <v>80.66</v>
      </c>
      <c r="L65">
        <v>80.680000000000007</v>
      </c>
    </row>
    <row r="66" spans="1:12" x14ac:dyDescent="0.2">
      <c r="A66" s="4">
        <v>65</v>
      </c>
      <c r="B66" t="s">
        <v>860</v>
      </c>
      <c r="C66">
        <v>80.77</v>
      </c>
      <c r="D66">
        <v>19</v>
      </c>
      <c r="E66">
        <v>13</v>
      </c>
      <c r="F66">
        <v>76.930000000000007</v>
      </c>
      <c r="G66">
        <v>0</v>
      </c>
      <c r="H66">
        <v>0</v>
      </c>
      <c r="I66">
        <v>2</v>
      </c>
      <c r="J66">
        <v>2</v>
      </c>
      <c r="K66">
        <v>79.319999999999993</v>
      </c>
      <c r="L66">
        <v>82.25</v>
      </c>
    </row>
    <row r="67" spans="1:12" x14ac:dyDescent="0.2">
      <c r="A67" s="4">
        <v>66</v>
      </c>
      <c r="B67" t="s">
        <v>54</v>
      </c>
      <c r="C67">
        <v>80.56</v>
      </c>
      <c r="D67">
        <v>17</v>
      </c>
      <c r="E67">
        <v>12</v>
      </c>
      <c r="F67">
        <v>77.34</v>
      </c>
      <c r="G67">
        <v>0</v>
      </c>
      <c r="H67">
        <v>0</v>
      </c>
      <c r="I67">
        <v>4</v>
      </c>
      <c r="J67">
        <v>4</v>
      </c>
      <c r="K67">
        <v>80.42</v>
      </c>
      <c r="L67">
        <v>80.47</v>
      </c>
    </row>
    <row r="68" spans="1:12" x14ac:dyDescent="0.2">
      <c r="A68" s="4">
        <v>67</v>
      </c>
      <c r="B68" t="s">
        <v>46</v>
      </c>
      <c r="C68">
        <v>80.44</v>
      </c>
      <c r="D68">
        <v>15</v>
      </c>
      <c r="E68">
        <v>14</v>
      </c>
      <c r="F68">
        <v>80.37</v>
      </c>
      <c r="G68">
        <v>1</v>
      </c>
      <c r="H68">
        <v>3</v>
      </c>
      <c r="I68">
        <v>2</v>
      </c>
      <c r="J68">
        <v>5</v>
      </c>
      <c r="K68">
        <v>80</v>
      </c>
      <c r="L68">
        <v>80.69</v>
      </c>
    </row>
    <row r="69" spans="1:12" x14ac:dyDescent="0.2">
      <c r="A69" s="4">
        <v>68</v>
      </c>
      <c r="B69" t="s">
        <v>811</v>
      </c>
      <c r="C69">
        <v>79.98</v>
      </c>
      <c r="D69">
        <v>18</v>
      </c>
      <c r="E69">
        <v>14</v>
      </c>
      <c r="F69">
        <v>77.45</v>
      </c>
      <c r="G69">
        <v>0</v>
      </c>
      <c r="H69">
        <v>5</v>
      </c>
      <c r="I69">
        <v>0</v>
      </c>
      <c r="J69">
        <v>5</v>
      </c>
      <c r="K69">
        <v>80.03</v>
      </c>
      <c r="L69">
        <v>79.72</v>
      </c>
    </row>
    <row r="70" spans="1:12" x14ac:dyDescent="0.2">
      <c r="A70" s="4">
        <v>69</v>
      </c>
      <c r="B70" t="s">
        <v>287</v>
      </c>
      <c r="C70">
        <v>79.97</v>
      </c>
      <c r="D70">
        <v>20</v>
      </c>
      <c r="E70">
        <v>9</v>
      </c>
      <c r="F70">
        <v>73.78</v>
      </c>
      <c r="G70">
        <v>0</v>
      </c>
      <c r="H70">
        <v>0</v>
      </c>
      <c r="I70">
        <v>0</v>
      </c>
      <c r="J70">
        <v>3</v>
      </c>
      <c r="K70">
        <v>78.989999999999995</v>
      </c>
      <c r="L70">
        <v>80.819999999999993</v>
      </c>
    </row>
    <row r="71" spans="1:12" x14ac:dyDescent="0.2">
      <c r="A71" s="4">
        <v>70</v>
      </c>
      <c r="B71" t="s">
        <v>802</v>
      </c>
      <c r="C71">
        <v>79.89</v>
      </c>
      <c r="D71">
        <v>16</v>
      </c>
      <c r="E71">
        <v>12</v>
      </c>
      <c r="F71">
        <v>77.09</v>
      </c>
      <c r="G71">
        <v>0</v>
      </c>
      <c r="H71">
        <v>1</v>
      </c>
      <c r="I71">
        <v>0</v>
      </c>
      <c r="J71">
        <v>6</v>
      </c>
      <c r="K71">
        <v>79.98</v>
      </c>
      <c r="L71">
        <v>79.59</v>
      </c>
    </row>
    <row r="72" spans="1:12" x14ac:dyDescent="0.2">
      <c r="A72" s="4">
        <v>71</v>
      </c>
      <c r="B72" t="s">
        <v>551</v>
      </c>
      <c r="C72">
        <v>79.760000000000005</v>
      </c>
      <c r="D72">
        <v>19</v>
      </c>
      <c r="E72">
        <v>11</v>
      </c>
      <c r="F72">
        <v>76.02</v>
      </c>
      <c r="G72">
        <v>0</v>
      </c>
      <c r="H72">
        <v>1</v>
      </c>
      <c r="I72">
        <v>1</v>
      </c>
      <c r="J72">
        <v>3</v>
      </c>
      <c r="K72">
        <v>79.31</v>
      </c>
      <c r="L72">
        <v>80.010000000000005</v>
      </c>
    </row>
    <row r="73" spans="1:12" x14ac:dyDescent="0.2">
      <c r="A73" s="4">
        <v>72</v>
      </c>
      <c r="B73" t="s">
        <v>70</v>
      </c>
      <c r="C73">
        <v>79.709999999999994</v>
      </c>
      <c r="D73">
        <v>14</v>
      </c>
      <c r="E73">
        <v>15</v>
      </c>
      <c r="F73">
        <v>81.69</v>
      </c>
      <c r="G73">
        <v>1</v>
      </c>
      <c r="H73">
        <v>6</v>
      </c>
      <c r="I73">
        <v>2</v>
      </c>
      <c r="J73">
        <v>8</v>
      </c>
      <c r="K73">
        <v>80.97</v>
      </c>
      <c r="L73">
        <v>78.37</v>
      </c>
    </row>
    <row r="74" spans="1:12" x14ac:dyDescent="0.2">
      <c r="A74" s="4">
        <v>73</v>
      </c>
      <c r="B74" t="s">
        <v>44</v>
      </c>
      <c r="C74">
        <v>79.64</v>
      </c>
      <c r="D74">
        <v>13</v>
      </c>
      <c r="E74">
        <v>17</v>
      </c>
      <c r="F74">
        <v>80.25</v>
      </c>
      <c r="G74">
        <v>0</v>
      </c>
      <c r="H74">
        <v>1</v>
      </c>
      <c r="I74">
        <v>0</v>
      </c>
      <c r="J74">
        <v>12</v>
      </c>
      <c r="K74">
        <v>78.61</v>
      </c>
      <c r="L74">
        <v>80.56</v>
      </c>
    </row>
    <row r="75" spans="1:12" x14ac:dyDescent="0.2">
      <c r="A75" s="4">
        <v>74</v>
      </c>
      <c r="B75" t="s">
        <v>49</v>
      </c>
      <c r="C75">
        <v>79.56</v>
      </c>
      <c r="D75">
        <v>20</v>
      </c>
      <c r="E75">
        <v>14</v>
      </c>
      <c r="F75">
        <v>76.239999999999995</v>
      </c>
      <c r="G75">
        <v>0</v>
      </c>
      <c r="H75">
        <v>2</v>
      </c>
      <c r="I75">
        <v>1</v>
      </c>
      <c r="J75">
        <v>4</v>
      </c>
      <c r="K75">
        <v>80.84</v>
      </c>
      <c r="L75">
        <v>78.2</v>
      </c>
    </row>
    <row r="76" spans="1:12" x14ac:dyDescent="0.2">
      <c r="A76" s="4">
        <v>75</v>
      </c>
      <c r="B76" t="s">
        <v>245</v>
      </c>
      <c r="C76">
        <v>79.55</v>
      </c>
      <c r="D76">
        <v>19</v>
      </c>
      <c r="E76">
        <v>13</v>
      </c>
      <c r="F76">
        <v>75.7</v>
      </c>
      <c r="G76">
        <v>0</v>
      </c>
      <c r="H76">
        <v>0</v>
      </c>
      <c r="I76">
        <v>0</v>
      </c>
      <c r="J76">
        <v>0</v>
      </c>
      <c r="K76">
        <v>78.59</v>
      </c>
      <c r="L76">
        <v>80.39</v>
      </c>
    </row>
    <row r="77" spans="1:12" x14ac:dyDescent="0.2">
      <c r="A77" s="4">
        <v>76</v>
      </c>
      <c r="B77" t="s">
        <v>873</v>
      </c>
      <c r="C77">
        <v>79.5</v>
      </c>
      <c r="D77">
        <v>18</v>
      </c>
      <c r="E77">
        <v>11</v>
      </c>
      <c r="F77">
        <v>76.84</v>
      </c>
      <c r="G77">
        <v>0</v>
      </c>
      <c r="H77">
        <v>0</v>
      </c>
      <c r="I77">
        <v>0</v>
      </c>
      <c r="J77">
        <v>1</v>
      </c>
      <c r="K77">
        <v>79.36</v>
      </c>
      <c r="L77">
        <v>79.44</v>
      </c>
    </row>
    <row r="78" spans="1:12" x14ac:dyDescent="0.2">
      <c r="A78" s="4">
        <v>77</v>
      </c>
      <c r="B78" t="s">
        <v>116</v>
      </c>
      <c r="C78">
        <v>79.42</v>
      </c>
      <c r="D78">
        <v>23</v>
      </c>
      <c r="E78">
        <v>10</v>
      </c>
      <c r="F78">
        <v>75.73</v>
      </c>
      <c r="G78">
        <v>0</v>
      </c>
      <c r="H78">
        <v>0</v>
      </c>
      <c r="I78">
        <v>0</v>
      </c>
      <c r="J78">
        <v>1</v>
      </c>
      <c r="K78">
        <v>80.45</v>
      </c>
      <c r="L78">
        <v>78.25</v>
      </c>
    </row>
    <row r="79" spans="1:12" x14ac:dyDescent="0.2">
      <c r="A79" s="4">
        <v>78</v>
      </c>
      <c r="B79" t="s">
        <v>13</v>
      </c>
      <c r="C79">
        <v>79.36</v>
      </c>
      <c r="D79">
        <v>14</v>
      </c>
      <c r="E79">
        <v>17</v>
      </c>
      <c r="F79">
        <v>79.42</v>
      </c>
      <c r="G79">
        <v>0</v>
      </c>
      <c r="H79">
        <v>5</v>
      </c>
      <c r="I79">
        <v>2</v>
      </c>
      <c r="J79">
        <v>7</v>
      </c>
      <c r="K79">
        <v>78.599999999999994</v>
      </c>
      <c r="L79">
        <v>79.959999999999994</v>
      </c>
    </row>
    <row r="80" spans="1:12" x14ac:dyDescent="0.2">
      <c r="A80" s="4">
        <v>79</v>
      </c>
      <c r="B80" t="s">
        <v>786</v>
      </c>
      <c r="C80">
        <v>79.34</v>
      </c>
      <c r="D80">
        <v>21</v>
      </c>
      <c r="E80">
        <v>11</v>
      </c>
      <c r="F80">
        <v>75.13</v>
      </c>
      <c r="G80">
        <v>0</v>
      </c>
      <c r="H80">
        <v>0</v>
      </c>
      <c r="I80">
        <v>0</v>
      </c>
      <c r="J80">
        <v>1</v>
      </c>
      <c r="K80">
        <v>79.27</v>
      </c>
      <c r="L80">
        <v>79.2</v>
      </c>
    </row>
    <row r="81" spans="1:12" x14ac:dyDescent="0.2">
      <c r="A81" s="4">
        <v>80</v>
      </c>
      <c r="B81" t="s">
        <v>121</v>
      </c>
      <c r="C81">
        <v>79.27</v>
      </c>
      <c r="D81">
        <v>21</v>
      </c>
      <c r="E81">
        <v>9</v>
      </c>
      <c r="F81">
        <v>73.62</v>
      </c>
      <c r="G81">
        <v>0</v>
      </c>
      <c r="H81">
        <v>0</v>
      </c>
      <c r="I81">
        <v>0</v>
      </c>
      <c r="J81">
        <v>0</v>
      </c>
      <c r="K81">
        <v>78.66</v>
      </c>
      <c r="L81">
        <v>79.7</v>
      </c>
    </row>
    <row r="82" spans="1:12" x14ac:dyDescent="0.2">
      <c r="A82" s="4">
        <v>81</v>
      </c>
      <c r="B82" t="s">
        <v>64</v>
      </c>
      <c r="C82">
        <v>79.239999999999995</v>
      </c>
      <c r="D82">
        <v>20</v>
      </c>
      <c r="E82">
        <v>9</v>
      </c>
      <c r="F82">
        <v>74.31</v>
      </c>
      <c r="G82">
        <v>0</v>
      </c>
      <c r="H82">
        <v>1</v>
      </c>
      <c r="I82">
        <v>0</v>
      </c>
      <c r="J82">
        <v>1</v>
      </c>
      <c r="K82">
        <v>80.739999999999995</v>
      </c>
      <c r="L82">
        <v>77.69</v>
      </c>
    </row>
    <row r="83" spans="1:12" x14ac:dyDescent="0.2">
      <c r="A83" s="4">
        <v>82</v>
      </c>
      <c r="B83" t="s">
        <v>120</v>
      </c>
      <c r="C83">
        <v>79.16</v>
      </c>
      <c r="D83">
        <v>14</v>
      </c>
      <c r="E83">
        <v>14</v>
      </c>
      <c r="F83">
        <v>76.78</v>
      </c>
      <c r="G83">
        <v>1</v>
      </c>
      <c r="H83">
        <v>0</v>
      </c>
      <c r="I83">
        <v>1</v>
      </c>
      <c r="J83">
        <v>4</v>
      </c>
      <c r="K83">
        <v>78.34</v>
      </c>
      <c r="L83">
        <v>79.81</v>
      </c>
    </row>
    <row r="84" spans="1:12" x14ac:dyDescent="0.2">
      <c r="A84" s="4">
        <v>83</v>
      </c>
      <c r="B84" t="s">
        <v>115</v>
      </c>
      <c r="C84">
        <v>79.099999999999994</v>
      </c>
      <c r="D84">
        <v>16</v>
      </c>
      <c r="E84">
        <v>14</v>
      </c>
      <c r="F84">
        <v>77.56</v>
      </c>
      <c r="G84">
        <v>0</v>
      </c>
      <c r="H84">
        <v>1</v>
      </c>
      <c r="I84">
        <v>0</v>
      </c>
      <c r="J84">
        <v>4</v>
      </c>
      <c r="K84">
        <v>79.150000000000006</v>
      </c>
      <c r="L84">
        <v>78.84</v>
      </c>
    </row>
    <row r="85" spans="1:12" x14ac:dyDescent="0.2">
      <c r="A85" s="4">
        <v>84</v>
      </c>
      <c r="B85" t="s">
        <v>216</v>
      </c>
      <c r="C85">
        <v>79.010000000000005</v>
      </c>
      <c r="D85">
        <v>17</v>
      </c>
      <c r="E85">
        <v>12</v>
      </c>
      <c r="F85">
        <v>75.05</v>
      </c>
      <c r="G85">
        <v>0</v>
      </c>
      <c r="H85">
        <v>0</v>
      </c>
      <c r="I85">
        <v>0</v>
      </c>
      <c r="J85">
        <v>4</v>
      </c>
      <c r="K85">
        <v>78.459999999999994</v>
      </c>
      <c r="L85">
        <v>79.38</v>
      </c>
    </row>
    <row r="86" spans="1:12" x14ac:dyDescent="0.2">
      <c r="A86" s="4">
        <v>85</v>
      </c>
      <c r="B86" t="s">
        <v>160</v>
      </c>
      <c r="C86">
        <v>78.91</v>
      </c>
      <c r="D86">
        <v>24</v>
      </c>
      <c r="E86">
        <v>8</v>
      </c>
      <c r="F86">
        <v>71.84</v>
      </c>
      <c r="G86">
        <v>0</v>
      </c>
      <c r="H86">
        <v>0</v>
      </c>
      <c r="I86">
        <v>0</v>
      </c>
      <c r="J86">
        <v>0</v>
      </c>
      <c r="K86">
        <v>78.849999999999994</v>
      </c>
      <c r="L86">
        <v>78.760000000000005</v>
      </c>
    </row>
    <row r="87" spans="1:12" x14ac:dyDescent="0.2">
      <c r="A87" s="4">
        <v>86</v>
      </c>
      <c r="B87" t="s">
        <v>252</v>
      </c>
      <c r="C87">
        <v>78.900000000000006</v>
      </c>
      <c r="D87">
        <v>23</v>
      </c>
      <c r="E87">
        <v>10</v>
      </c>
      <c r="F87">
        <v>72.77</v>
      </c>
      <c r="G87">
        <v>0</v>
      </c>
      <c r="H87">
        <v>0</v>
      </c>
      <c r="I87">
        <v>1</v>
      </c>
      <c r="J87">
        <v>2</v>
      </c>
      <c r="K87">
        <v>80.41</v>
      </c>
      <c r="L87">
        <v>77.349999999999994</v>
      </c>
    </row>
    <row r="88" spans="1:12" x14ac:dyDescent="0.2">
      <c r="A88" s="4">
        <v>87</v>
      </c>
      <c r="B88" t="s">
        <v>41</v>
      </c>
      <c r="C88">
        <v>78.900000000000006</v>
      </c>
      <c r="D88">
        <v>16</v>
      </c>
      <c r="E88">
        <v>14</v>
      </c>
      <c r="F88">
        <v>77.72</v>
      </c>
      <c r="G88">
        <v>1</v>
      </c>
      <c r="H88">
        <v>3</v>
      </c>
      <c r="I88">
        <v>3</v>
      </c>
      <c r="J88">
        <v>6</v>
      </c>
      <c r="K88">
        <v>80.13</v>
      </c>
      <c r="L88">
        <v>77.56</v>
      </c>
    </row>
    <row r="89" spans="1:12" x14ac:dyDescent="0.2">
      <c r="A89" s="4">
        <v>88</v>
      </c>
      <c r="B89" t="s">
        <v>59</v>
      </c>
      <c r="C89">
        <v>78.849999999999994</v>
      </c>
      <c r="D89">
        <v>14</v>
      </c>
      <c r="E89">
        <v>13</v>
      </c>
      <c r="F89">
        <v>78.84</v>
      </c>
      <c r="G89">
        <v>0</v>
      </c>
      <c r="H89">
        <v>5</v>
      </c>
      <c r="I89">
        <v>0</v>
      </c>
      <c r="J89">
        <v>5</v>
      </c>
      <c r="K89">
        <v>80.23</v>
      </c>
      <c r="L89">
        <v>77.400000000000006</v>
      </c>
    </row>
    <row r="90" spans="1:12" x14ac:dyDescent="0.2">
      <c r="A90" s="4">
        <v>89</v>
      </c>
      <c r="B90" t="s">
        <v>133</v>
      </c>
      <c r="C90">
        <v>78.849999999999994</v>
      </c>
      <c r="D90">
        <v>18</v>
      </c>
      <c r="E90">
        <v>10</v>
      </c>
      <c r="F90">
        <v>75</v>
      </c>
      <c r="G90">
        <v>0</v>
      </c>
      <c r="H90">
        <v>0</v>
      </c>
      <c r="I90">
        <v>0</v>
      </c>
      <c r="J90">
        <v>0</v>
      </c>
      <c r="K90">
        <v>78.86</v>
      </c>
      <c r="L90">
        <v>78.62</v>
      </c>
    </row>
    <row r="91" spans="1:12" x14ac:dyDescent="0.2">
      <c r="A91" s="4">
        <v>90</v>
      </c>
      <c r="B91" t="s">
        <v>803</v>
      </c>
      <c r="C91">
        <v>78.73</v>
      </c>
      <c r="D91">
        <v>18</v>
      </c>
      <c r="E91">
        <v>13</v>
      </c>
      <c r="F91">
        <v>76.47</v>
      </c>
      <c r="G91">
        <v>0</v>
      </c>
      <c r="H91">
        <v>0</v>
      </c>
      <c r="I91">
        <v>0</v>
      </c>
      <c r="J91">
        <v>2</v>
      </c>
      <c r="K91">
        <v>78.790000000000006</v>
      </c>
      <c r="L91">
        <v>78.45</v>
      </c>
    </row>
    <row r="92" spans="1:12" x14ac:dyDescent="0.2">
      <c r="A92" s="4">
        <v>91</v>
      </c>
      <c r="B92" t="s">
        <v>112</v>
      </c>
      <c r="C92">
        <v>78.59</v>
      </c>
      <c r="D92">
        <v>16</v>
      </c>
      <c r="E92">
        <v>14</v>
      </c>
      <c r="F92">
        <v>77.23</v>
      </c>
      <c r="G92">
        <v>0</v>
      </c>
      <c r="H92">
        <v>2</v>
      </c>
      <c r="I92">
        <v>1</v>
      </c>
      <c r="J92">
        <v>3</v>
      </c>
      <c r="K92">
        <v>78.040000000000006</v>
      </c>
      <c r="L92">
        <v>78.959999999999994</v>
      </c>
    </row>
    <row r="93" spans="1:12" x14ac:dyDescent="0.2">
      <c r="A93" s="4">
        <v>92</v>
      </c>
      <c r="B93" t="s">
        <v>807</v>
      </c>
      <c r="C93">
        <v>78.53</v>
      </c>
      <c r="D93">
        <v>12</v>
      </c>
      <c r="E93">
        <v>16</v>
      </c>
      <c r="F93">
        <v>80.040000000000006</v>
      </c>
      <c r="G93">
        <v>1</v>
      </c>
      <c r="H93">
        <v>4</v>
      </c>
      <c r="I93">
        <v>1</v>
      </c>
      <c r="J93">
        <v>5</v>
      </c>
      <c r="K93">
        <v>78.849999999999994</v>
      </c>
      <c r="L93">
        <v>78.010000000000005</v>
      </c>
    </row>
    <row r="94" spans="1:12" x14ac:dyDescent="0.2">
      <c r="A94" s="4">
        <v>93</v>
      </c>
      <c r="B94" t="s">
        <v>117</v>
      </c>
      <c r="C94">
        <v>78.52</v>
      </c>
      <c r="D94">
        <v>16</v>
      </c>
      <c r="E94">
        <v>17</v>
      </c>
      <c r="F94">
        <v>79.41</v>
      </c>
      <c r="G94">
        <v>0</v>
      </c>
      <c r="H94">
        <v>2</v>
      </c>
      <c r="I94">
        <v>3</v>
      </c>
      <c r="J94">
        <v>5</v>
      </c>
      <c r="K94">
        <v>78.56</v>
      </c>
      <c r="L94">
        <v>78.260000000000005</v>
      </c>
    </row>
    <row r="95" spans="1:12" x14ac:dyDescent="0.2">
      <c r="A95" s="4">
        <v>94</v>
      </c>
      <c r="B95" t="s">
        <v>51</v>
      </c>
      <c r="C95">
        <v>78.069999999999993</v>
      </c>
      <c r="D95">
        <v>17</v>
      </c>
      <c r="E95">
        <v>12</v>
      </c>
      <c r="F95">
        <v>74.33</v>
      </c>
      <c r="G95">
        <v>0</v>
      </c>
      <c r="H95">
        <v>0</v>
      </c>
      <c r="I95">
        <v>0</v>
      </c>
      <c r="J95">
        <v>2</v>
      </c>
      <c r="K95">
        <v>77.14</v>
      </c>
      <c r="L95">
        <v>78.849999999999994</v>
      </c>
    </row>
    <row r="96" spans="1:12" x14ac:dyDescent="0.2">
      <c r="A96" s="4">
        <v>95</v>
      </c>
      <c r="B96" t="s">
        <v>241</v>
      </c>
      <c r="C96">
        <v>78</v>
      </c>
      <c r="D96">
        <v>20</v>
      </c>
      <c r="E96">
        <v>11</v>
      </c>
      <c r="F96">
        <v>73.099999999999994</v>
      </c>
      <c r="G96">
        <v>0</v>
      </c>
      <c r="H96">
        <v>0</v>
      </c>
      <c r="I96">
        <v>0</v>
      </c>
      <c r="J96">
        <v>0</v>
      </c>
      <c r="K96">
        <v>77.13</v>
      </c>
      <c r="L96">
        <v>78.7</v>
      </c>
    </row>
    <row r="97" spans="1:12" x14ac:dyDescent="0.2">
      <c r="A97" s="4">
        <v>96</v>
      </c>
      <c r="B97" t="s">
        <v>65</v>
      </c>
      <c r="C97">
        <v>78</v>
      </c>
      <c r="D97">
        <v>19</v>
      </c>
      <c r="E97">
        <v>12</v>
      </c>
      <c r="F97">
        <v>75.510000000000005</v>
      </c>
      <c r="G97">
        <v>0</v>
      </c>
      <c r="H97">
        <v>3</v>
      </c>
      <c r="I97">
        <v>1</v>
      </c>
      <c r="J97">
        <v>4</v>
      </c>
      <c r="K97">
        <v>78.36</v>
      </c>
      <c r="L97">
        <v>77.430000000000007</v>
      </c>
    </row>
    <row r="98" spans="1:12" x14ac:dyDescent="0.2">
      <c r="A98" s="4">
        <v>97</v>
      </c>
      <c r="B98" t="s">
        <v>793</v>
      </c>
      <c r="C98">
        <v>77.900000000000006</v>
      </c>
      <c r="D98">
        <v>11</v>
      </c>
      <c r="E98">
        <v>19</v>
      </c>
      <c r="F98">
        <v>80.61</v>
      </c>
      <c r="G98">
        <v>1</v>
      </c>
      <c r="H98">
        <v>4</v>
      </c>
      <c r="I98">
        <v>3</v>
      </c>
      <c r="J98">
        <v>7</v>
      </c>
      <c r="K98">
        <v>77.319999999999993</v>
      </c>
      <c r="L98">
        <v>78.290000000000006</v>
      </c>
    </row>
    <row r="99" spans="1:12" x14ac:dyDescent="0.2">
      <c r="A99" s="4">
        <v>98</v>
      </c>
      <c r="B99" t="s">
        <v>142</v>
      </c>
      <c r="C99">
        <v>77.83</v>
      </c>
      <c r="D99">
        <v>21</v>
      </c>
      <c r="E99">
        <v>9</v>
      </c>
      <c r="F99">
        <v>72.3</v>
      </c>
      <c r="G99">
        <v>0</v>
      </c>
      <c r="H99">
        <v>0</v>
      </c>
      <c r="I99">
        <v>0</v>
      </c>
      <c r="J99">
        <v>1</v>
      </c>
      <c r="K99">
        <v>77.849999999999994</v>
      </c>
      <c r="L99">
        <v>77.59</v>
      </c>
    </row>
    <row r="100" spans="1:12" x14ac:dyDescent="0.2">
      <c r="A100" s="4">
        <v>99</v>
      </c>
      <c r="B100" t="s">
        <v>169</v>
      </c>
      <c r="C100">
        <v>77.709999999999994</v>
      </c>
      <c r="D100">
        <v>20</v>
      </c>
      <c r="E100">
        <v>11</v>
      </c>
      <c r="F100">
        <v>73.62</v>
      </c>
      <c r="G100">
        <v>0</v>
      </c>
      <c r="H100">
        <v>0</v>
      </c>
      <c r="I100">
        <v>0</v>
      </c>
      <c r="J100">
        <v>2</v>
      </c>
      <c r="K100">
        <v>78.64</v>
      </c>
      <c r="L100">
        <v>76.63</v>
      </c>
    </row>
    <row r="101" spans="1:12" x14ac:dyDescent="0.2">
      <c r="A101" s="4">
        <v>100</v>
      </c>
      <c r="B101" t="s">
        <v>894</v>
      </c>
      <c r="C101">
        <v>77.7</v>
      </c>
      <c r="D101">
        <v>20</v>
      </c>
      <c r="E101">
        <v>9</v>
      </c>
      <c r="F101">
        <v>72.11</v>
      </c>
      <c r="G101">
        <v>0</v>
      </c>
      <c r="H101">
        <v>0</v>
      </c>
      <c r="I101">
        <v>0</v>
      </c>
      <c r="J101">
        <v>1</v>
      </c>
      <c r="K101">
        <v>77.13</v>
      </c>
      <c r="L101">
        <v>78.069999999999993</v>
      </c>
    </row>
    <row r="102" spans="1:12" x14ac:dyDescent="0.2">
      <c r="A102" s="4">
        <v>101</v>
      </c>
      <c r="B102" t="s">
        <v>93</v>
      </c>
      <c r="C102">
        <v>77.66</v>
      </c>
      <c r="D102">
        <v>15</v>
      </c>
      <c r="E102">
        <v>13</v>
      </c>
      <c r="F102">
        <v>76.680000000000007</v>
      </c>
      <c r="G102">
        <v>0</v>
      </c>
      <c r="H102">
        <v>1</v>
      </c>
      <c r="I102">
        <v>0</v>
      </c>
      <c r="J102">
        <v>1</v>
      </c>
      <c r="K102">
        <v>77.27</v>
      </c>
      <c r="L102">
        <v>77.849999999999994</v>
      </c>
    </row>
    <row r="103" spans="1:12" x14ac:dyDescent="0.2">
      <c r="A103" s="4">
        <v>102</v>
      </c>
      <c r="B103" t="s">
        <v>4</v>
      </c>
      <c r="C103">
        <v>77.66</v>
      </c>
      <c r="D103">
        <v>18</v>
      </c>
      <c r="E103">
        <v>14</v>
      </c>
      <c r="F103">
        <v>76.69</v>
      </c>
      <c r="G103">
        <v>1</v>
      </c>
      <c r="H103">
        <v>1</v>
      </c>
      <c r="I103">
        <v>1</v>
      </c>
      <c r="J103">
        <v>2</v>
      </c>
      <c r="K103">
        <v>78.790000000000006</v>
      </c>
      <c r="L103">
        <v>76.39</v>
      </c>
    </row>
    <row r="104" spans="1:12" x14ac:dyDescent="0.2">
      <c r="A104" s="4">
        <v>103</v>
      </c>
      <c r="B104" t="s">
        <v>100</v>
      </c>
      <c r="C104">
        <v>77.61</v>
      </c>
      <c r="D104">
        <v>14</v>
      </c>
      <c r="E104">
        <v>17</v>
      </c>
      <c r="F104">
        <v>77.650000000000006</v>
      </c>
      <c r="G104">
        <v>0</v>
      </c>
      <c r="H104">
        <v>1</v>
      </c>
      <c r="I104">
        <v>0</v>
      </c>
      <c r="J104">
        <v>7</v>
      </c>
      <c r="K104">
        <v>76.84</v>
      </c>
      <c r="L104">
        <v>78.2</v>
      </c>
    </row>
    <row r="105" spans="1:12" x14ac:dyDescent="0.2">
      <c r="A105" s="4">
        <v>104</v>
      </c>
      <c r="B105" t="s">
        <v>818</v>
      </c>
      <c r="C105">
        <v>77.59</v>
      </c>
      <c r="D105">
        <v>16</v>
      </c>
      <c r="E105">
        <v>13</v>
      </c>
      <c r="F105">
        <v>75.959999999999994</v>
      </c>
      <c r="G105">
        <v>0</v>
      </c>
      <c r="H105">
        <v>0</v>
      </c>
      <c r="I105">
        <v>0</v>
      </c>
      <c r="J105">
        <v>2</v>
      </c>
      <c r="K105">
        <v>77.7</v>
      </c>
      <c r="L105">
        <v>77.27</v>
      </c>
    </row>
    <row r="106" spans="1:12" x14ac:dyDescent="0.2">
      <c r="A106" s="4">
        <v>105</v>
      </c>
      <c r="B106" t="s">
        <v>300</v>
      </c>
      <c r="C106">
        <v>77.45</v>
      </c>
      <c r="D106">
        <v>17</v>
      </c>
      <c r="E106">
        <v>12</v>
      </c>
      <c r="F106">
        <v>75.569999999999993</v>
      </c>
      <c r="G106">
        <v>0</v>
      </c>
      <c r="H106">
        <v>0</v>
      </c>
      <c r="I106">
        <v>0</v>
      </c>
      <c r="J106">
        <v>2</v>
      </c>
      <c r="K106">
        <v>77.56</v>
      </c>
      <c r="L106">
        <v>77.12</v>
      </c>
    </row>
    <row r="107" spans="1:12" x14ac:dyDescent="0.2">
      <c r="A107" s="4">
        <v>106</v>
      </c>
      <c r="B107" t="s">
        <v>69</v>
      </c>
      <c r="C107">
        <v>77.23</v>
      </c>
      <c r="D107">
        <v>14</v>
      </c>
      <c r="E107">
        <v>16</v>
      </c>
      <c r="F107">
        <v>79</v>
      </c>
      <c r="G107">
        <v>0</v>
      </c>
      <c r="H107">
        <v>2</v>
      </c>
      <c r="I107">
        <v>0</v>
      </c>
      <c r="J107">
        <v>7</v>
      </c>
      <c r="K107">
        <v>78.28</v>
      </c>
      <c r="L107">
        <v>76.03</v>
      </c>
    </row>
    <row r="108" spans="1:12" x14ac:dyDescent="0.2">
      <c r="A108" s="4">
        <v>107</v>
      </c>
      <c r="B108" t="s">
        <v>155</v>
      </c>
      <c r="C108">
        <v>77.08</v>
      </c>
      <c r="D108">
        <v>24</v>
      </c>
      <c r="E108">
        <v>6</v>
      </c>
      <c r="F108">
        <v>69.41</v>
      </c>
      <c r="G108">
        <v>0</v>
      </c>
      <c r="H108">
        <v>0</v>
      </c>
      <c r="I108">
        <v>0</v>
      </c>
      <c r="J108">
        <v>1</v>
      </c>
      <c r="K108">
        <v>79.010000000000005</v>
      </c>
      <c r="L108">
        <v>75.12</v>
      </c>
    </row>
    <row r="109" spans="1:12" x14ac:dyDescent="0.2">
      <c r="A109" s="4">
        <v>108</v>
      </c>
      <c r="B109" t="s">
        <v>79</v>
      </c>
      <c r="C109">
        <v>77.05</v>
      </c>
      <c r="D109">
        <v>15</v>
      </c>
      <c r="E109">
        <v>16</v>
      </c>
      <c r="F109">
        <v>78.349999999999994</v>
      </c>
      <c r="G109">
        <v>0</v>
      </c>
      <c r="H109">
        <v>5</v>
      </c>
      <c r="I109">
        <v>0</v>
      </c>
      <c r="J109">
        <v>6</v>
      </c>
      <c r="K109">
        <v>77.42</v>
      </c>
      <c r="L109">
        <v>76.48</v>
      </c>
    </row>
    <row r="110" spans="1:12" x14ac:dyDescent="0.2">
      <c r="A110" s="4">
        <v>109</v>
      </c>
      <c r="B110" t="s">
        <v>812</v>
      </c>
      <c r="C110">
        <v>77.010000000000005</v>
      </c>
      <c r="D110">
        <v>17</v>
      </c>
      <c r="E110">
        <v>15</v>
      </c>
      <c r="F110">
        <v>77.17</v>
      </c>
      <c r="G110">
        <v>1</v>
      </c>
      <c r="H110">
        <v>4</v>
      </c>
      <c r="I110">
        <v>1</v>
      </c>
      <c r="J110">
        <v>4</v>
      </c>
      <c r="K110">
        <v>78.56</v>
      </c>
      <c r="L110">
        <v>75.36</v>
      </c>
    </row>
    <row r="111" spans="1:12" x14ac:dyDescent="0.2">
      <c r="A111" s="4">
        <v>110</v>
      </c>
      <c r="B111" t="s">
        <v>47</v>
      </c>
      <c r="C111">
        <v>76.81</v>
      </c>
      <c r="D111">
        <v>17</v>
      </c>
      <c r="E111">
        <v>14</v>
      </c>
      <c r="F111">
        <v>76.14</v>
      </c>
      <c r="G111">
        <v>0</v>
      </c>
      <c r="H111">
        <v>0</v>
      </c>
      <c r="I111">
        <v>2</v>
      </c>
      <c r="J111">
        <v>2</v>
      </c>
      <c r="K111">
        <v>77.7</v>
      </c>
      <c r="L111">
        <v>75.739999999999995</v>
      </c>
    </row>
    <row r="112" spans="1:12" x14ac:dyDescent="0.2">
      <c r="A112" s="4">
        <v>111</v>
      </c>
      <c r="B112" t="s">
        <v>92</v>
      </c>
      <c r="C112">
        <v>76.790000000000006</v>
      </c>
      <c r="D112">
        <v>15</v>
      </c>
      <c r="E112">
        <v>13</v>
      </c>
      <c r="F112">
        <v>76.099999999999994</v>
      </c>
      <c r="G112">
        <v>0</v>
      </c>
      <c r="H112">
        <v>1</v>
      </c>
      <c r="I112">
        <v>0</v>
      </c>
      <c r="J112">
        <v>4</v>
      </c>
      <c r="K112">
        <v>77.44</v>
      </c>
      <c r="L112">
        <v>75.94</v>
      </c>
    </row>
    <row r="113" spans="1:12" x14ac:dyDescent="0.2">
      <c r="A113" s="4">
        <v>112</v>
      </c>
      <c r="B113" t="s">
        <v>813</v>
      </c>
      <c r="C113">
        <v>76.75</v>
      </c>
      <c r="D113">
        <v>14</v>
      </c>
      <c r="E113">
        <v>13</v>
      </c>
      <c r="F113">
        <v>76.41</v>
      </c>
      <c r="G113">
        <v>0</v>
      </c>
      <c r="H113">
        <v>1</v>
      </c>
      <c r="I113">
        <v>0</v>
      </c>
      <c r="J113">
        <v>1</v>
      </c>
      <c r="K113">
        <v>76.55</v>
      </c>
      <c r="L113">
        <v>76.739999999999995</v>
      </c>
    </row>
    <row r="114" spans="1:12" x14ac:dyDescent="0.2">
      <c r="A114" s="4">
        <v>113</v>
      </c>
      <c r="B114" t="s">
        <v>162</v>
      </c>
      <c r="C114">
        <v>76.66</v>
      </c>
      <c r="D114">
        <v>17</v>
      </c>
      <c r="E114">
        <v>12</v>
      </c>
      <c r="F114">
        <v>73.53</v>
      </c>
      <c r="G114">
        <v>0</v>
      </c>
      <c r="H114">
        <v>0</v>
      </c>
      <c r="I114">
        <v>0</v>
      </c>
      <c r="J114">
        <v>1</v>
      </c>
      <c r="K114">
        <v>75.930000000000007</v>
      </c>
      <c r="L114">
        <v>77.19</v>
      </c>
    </row>
    <row r="115" spans="1:12" x14ac:dyDescent="0.2">
      <c r="A115" s="4">
        <v>114</v>
      </c>
      <c r="B115" t="s">
        <v>248</v>
      </c>
      <c r="C115">
        <v>76.61</v>
      </c>
      <c r="D115">
        <v>17</v>
      </c>
      <c r="E115">
        <v>13</v>
      </c>
      <c r="F115">
        <v>73.91</v>
      </c>
      <c r="G115">
        <v>0</v>
      </c>
      <c r="H115">
        <v>0</v>
      </c>
      <c r="I115">
        <v>0</v>
      </c>
      <c r="J115">
        <v>4</v>
      </c>
      <c r="K115">
        <v>75.52</v>
      </c>
      <c r="L115">
        <v>77.55</v>
      </c>
    </row>
    <row r="116" spans="1:12" x14ac:dyDescent="0.2">
      <c r="A116" s="4">
        <v>115</v>
      </c>
      <c r="B116" t="s">
        <v>39</v>
      </c>
      <c r="C116">
        <v>76.599999999999994</v>
      </c>
      <c r="D116">
        <v>13</v>
      </c>
      <c r="E116">
        <v>18</v>
      </c>
      <c r="F116">
        <v>78.099999999999994</v>
      </c>
      <c r="G116">
        <v>0</v>
      </c>
      <c r="H116">
        <v>4</v>
      </c>
      <c r="I116">
        <v>0</v>
      </c>
      <c r="J116">
        <v>7</v>
      </c>
      <c r="K116">
        <v>75.39</v>
      </c>
      <c r="L116">
        <v>77.66</v>
      </c>
    </row>
    <row r="117" spans="1:12" x14ac:dyDescent="0.2">
      <c r="A117" s="4">
        <v>116</v>
      </c>
      <c r="B117" t="s">
        <v>194</v>
      </c>
      <c r="C117">
        <v>76.489999999999995</v>
      </c>
      <c r="D117">
        <v>21</v>
      </c>
      <c r="E117">
        <v>10</v>
      </c>
      <c r="F117">
        <v>72.73</v>
      </c>
      <c r="G117">
        <v>0</v>
      </c>
      <c r="H117">
        <v>0</v>
      </c>
      <c r="I117">
        <v>0</v>
      </c>
      <c r="J117">
        <v>1</v>
      </c>
      <c r="K117">
        <v>77.099999999999994</v>
      </c>
      <c r="L117">
        <v>75.680000000000007</v>
      </c>
    </row>
    <row r="118" spans="1:12" x14ac:dyDescent="0.2">
      <c r="A118" s="4">
        <v>117</v>
      </c>
      <c r="B118" t="s">
        <v>207</v>
      </c>
      <c r="C118">
        <v>76.459999999999994</v>
      </c>
      <c r="D118">
        <v>17</v>
      </c>
      <c r="E118">
        <v>11</v>
      </c>
      <c r="F118">
        <v>74.98</v>
      </c>
      <c r="G118">
        <v>0</v>
      </c>
      <c r="H118">
        <v>0</v>
      </c>
      <c r="I118">
        <v>0</v>
      </c>
      <c r="J118">
        <v>0</v>
      </c>
      <c r="K118">
        <v>77.739999999999995</v>
      </c>
      <c r="L118">
        <v>75.03</v>
      </c>
    </row>
    <row r="119" spans="1:12" x14ac:dyDescent="0.2">
      <c r="A119" s="4">
        <v>118</v>
      </c>
      <c r="B119" t="s">
        <v>48</v>
      </c>
      <c r="C119">
        <v>76.45</v>
      </c>
      <c r="D119">
        <v>12</v>
      </c>
      <c r="E119">
        <v>16</v>
      </c>
      <c r="F119">
        <v>78.099999999999994</v>
      </c>
      <c r="G119">
        <v>0</v>
      </c>
      <c r="H119">
        <v>0</v>
      </c>
      <c r="I119">
        <v>1</v>
      </c>
      <c r="J119">
        <v>7</v>
      </c>
      <c r="K119">
        <v>76.03</v>
      </c>
      <c r="L119">
        <v>76.66</v>
      </c>
    </row>
    <row r="120" spans="1:12" x14ac:dyDescent="0.2">
      <c r="A120" s="4">
        <v>119</v>
      </c>
      <c r="B120" t="s">
        <v>877</v>
      </c>
      <c r="C120">
        <v>76.28</v>
      </c>
      <c r="D120">
        <v>12</v>
      </c>
      <c r="E120">
        <v>17</v>
      </c>
      <c r="F120">
        <v>79.22</v>
      </c>
      <c r="G120">
        <v>0</v>
      </c>
      <c r="H120">
        <v>5</v>
      </c>
      <c r="I120">
        <v>0</v>
      </c>
      <c r="J120">
        <v>5</v>
      </c>
      <c r="K120">
        <v>77.209999999999994</v>
      </c>
      <c r="L120">
        <v>75.17</v>
      </c>
    </row>
    <row r="121" spans="1:12" x14ac:dyDescent="0.2">
      <c r="A121" s="4">
        <v>120</v>
      </c>
      <c r="B121" t="s">
        <v>62</v>
      </c>
      <c r="C121">
        <v>76.260000000000005</v>
      </c>
      <c r="D121">
        <v>18</v>
      </c>
      <c r="E121">
        <v>11</v>
      </c>
      <c r="F121">
        <v>73.19</v>
      </c>
      <c r="G121">
        <v>0</v>
      </c>
      <c r="H121">
        <v>0</v>
      </c>
      <c r="I121">
        <v>0</v>
      </c>
      <c r="J121">
        <v>1</v>
      </c>
      <c r="K121">
        <v>76.59</v>
      </c>
      <c r="L121">
        <v>75.709999999999994</v>
      </c>
    </row>
    <row r="122" spans="1:12" x14ac:dyDescent="0.2">
      <c r="A122" s="4">
        <v>121</v>
      </c>
      <c r="B122" t="s">
        <v>784</v>
      </c>
      <c r="C122">
        <v>76.14</v>
      </c>
      <c r="D122">
        <v>19</v>
      </c>
      <c r="E122">
        <v>13</v>
      </c>
      <c r="F122">
        <v>73.13</v>
      </c>
      <c r="G122">
        <v>0</v>
      </c>
      <c r="H122">
        <v>1</v>
      </c>
      <c r="I122">
        <v>0</v>
      </c>
      <c r="J122">
        <v>1</v>
      </c>
      <c r="K122">
        <v>75.03</v>
      </c>
      <c r="L122">
        <v>77.099999999999994</v>
      </c>
    </row>
    <row r="123" spans="1:12" x14ac:dyDescent="0.2">
      <c r="A123" s="4">
        <v>122</v>
      </c>
      <c r="B123" t="s">
        <v>88</v>
      </c>
      <c r="C123">
        <v>76.11</v>
      </c>
      <c r="D123">
        <v>14</v>
      </c>
      <c r="E123">
        <v>16</v>
      </c>
      <c r="F123">
        <v>75.900000000000006</v>
      </c>
      <c r="G123">
        <v>1</v>
      </c>
      <c r="H123">
        <v>0</v>
      </c>
      <c r="I123">
        <v>1</v>
      </c>
      <c r="J123">
        <v>3</v>
      </c>
      <c r="K123">
        <v>75.400000000000006</v>
      </c>
      <c r="L123">
        <v>76.63</v>
      </c>
    </row>
    <row r="124" spans="1:12" x14ac:dyDescent="0.2">
      <c r="A124" s="4">
        <v>123</v>
      </c>
      <c r="B124" t="s">
        <v>552</v>
      </c>
      <c r="C124">
        <v>76.010000000000005</v>
      </c>
      <c r="D124">
        <v>15</v>
      </c>
      <c r="E124">
        <v>10</v>
      </c>
      <c r="F124">
        <v>75.09</v>
      </c>
      <c r="G124">
        <v>0</v>
      </c>
      <c r="H124">
        <v>1</v>
      </c>
      <c r="I124">
        <v>1</v>
      </c>
      <c r="J124">
        <v>3</v>
      </c>
      <c r="K124">
        <v>78.150000000000006</v>
      </c>
      <c r="L124">
        <v>73.819999999999993</v>
      </c>
    </row>
    <row r="125" spans="1:12" x14ac:dyDescent="0.2">
      <c r="A125" s="4">
        <v>124</v>
      </c>
      <c r="B125" t="s">
        <v>128</v>
      </c>
      <c r="C125">
        <v>75.930000000000007</v>
      </c>
      <c r="D125">
        <v>17</v>
      </c>
      <c r="E125">
        <v>12</v>
      </c>
      <c r="F125">
        <v>72.94</v>
      </c>
      <c r="G125">
        <v>0</v>
      </c>
      <c r="H125">
        <v>0</v>
      </c>
      <c r="I125">
        <v>0</v>
      </c>
      <c r="J125">
        <v>1</v>
      </c>
      <c r="K125">
        <v>74.930000000000007</v>
      </c>
      <c r="L125">
        <v>76.760000000000005</v>
      </c>
    </row>
    <row r="126" spans="1:12" x14ac:dyDescent="0.2">
      <c r="A126" s="4">
        <v>125</v>
      </c>
      <c r="B126" t="s">
        <v>302</v>
      </c>
      <c r="C126">
        <v>75.92</v>
      </c>
      <c r="D126">
        <v>14</v>
      </c>
      <c r="E126">
        <v>13</v>
      </c>
      <c r="F126">
        <v>75.849999999999994</v>
      </c>
      <c r="G126">
        <v>0</v>
      </c>
      <c r="H126">
        <v>1</v>
      </c>
      <c r="I126">
        <v>0</v>
      </c>
      <c r="J126">
        <v>4</v>
      </c>
      <c r="K126">
        <v>76.61</v>
      </c>
      <c r="L126">
        <v>75.03</v>
      </c>
    </row>
    <row r="127" spans="1:12" x14ac:dyDescent="0.2">
      <c r="A127" s="4">
        <v>126</v>
      </c>
      <c r="B127" t="s">
        <v>201</v>
      </c>
      <c r="C127">
        <v>75.91</v>
      </c>
      <c r="D127">
        <v>16</v>
      </c>
      <c r="E127">
        <v>14</v>
      </c>
      <c r="F127">
        <v>75.45</v>
      </c>
      <c r="G127">
        <v>0</v>
      </c>
      <c r="H127">
        <v>0</v>
      </c>
      <c r="I127">
        <v>1</v>
      </c>
      <c r="J127">
        <v>2</v>
      </c>
      <c r="K127">
        <v>76.59</v>
      </c>
      <c r="L127">
        <v>75.03</v>
      </c>
    </row>
    <row r="128" spans="1:12" x14ac:dyDescent="0.2">
      <c r="A128" s="4">
        <v>127</v>
      </c>
      <c r="B128" t="s">
        <v>55</v>
      </c>
      <c r="C128">
        <v>75.84</v>
      </c>
      <c r="D128">
        <v>9</v>
      </c>
      <c r="E128">
        <v>18</v>
      </c>
      <c r="F128">
        <v>79.19</v>
      </c>
      <c r="G128">
        <v>0</v>
      </c>
      <c r="H128">
        <v>1</v>
      </c>
      <c r="I128">
        <v>1</v>
      </c>
      <c r="J128">
        <v>8</v>
      </c>
      <c r="K128">
        <v>74.66</v>
      </c>
      <c r="L128">
        <v>76.849999999999994</v>
      </c>
    </row>
    <row r="129" spans="1:12" x14ac:dyDescent="0.2">
      <c r="A129" s="4">
        <v>128</v>
      </c>
      <c r="B129" t="s">
        <v>131</v>
      </c>
      <c r="C129">
        <v>75.78</v>
      </c>
      <c r="D129">
        <v>13</v>
      </c>
      <c r="E129">
        <v>16</v>
      </c>
      <c r="F129">
        <v>77.89</v>
      </c>
      <c r="G129">
        <v>0</v>
      </c>
      <c r="H129">
        <v>5</v>
      </c>
      <c r="I129">
        <v>0</v>
      </c>
      <c r="J129">
        <v>5</v>
      </c>
      <c r="K129">
        <v>77.319999999999993</v>
      </c>
      <c r="L129">
        <v>74.099999999999994</v>
      </c>
    </row>
    <row r="130" spans="1:12" x14ac:dyDescent="0.2">
      <c r="A130" s="4">
        <v>129</v>
      </c>
      <c r="B130" t="s">
        <v>33</v>
      </c>
      <c r="C130">
        <v>75.77</v>
      </c>
      <c r="D130">
        <v>14</v>
      </c>
      <c r="E130">
        <v>17</v>
      </c>
      <c r="F130">
        <v>78.150000000000006</v>
      </c>
      <c r="G130">
        <v>0</v>
      </c>
      <c r="H130">
        <v>1</v>
      </c>
      <c r="I130">
        <v>1</v>
      </c>
      <c r="J130">
        <v>5</v>
      </c>
      <c r="K130">
        <v>76.81</v>
      </c>
      <c r="L130">
        <v>74.55</v>
      </c>
    </row>
    <row r="131" spans="1:12" x14ac:dyDescent="0.2">
      <c r="A131" s="4">
        <v>130</v>
      </c>
      <c r="B131" t="s">
        <v>114</v>
      </c>
      <c r="C131">
        <v>75.760000000000005</v>
      </c>
      <c r="D131">
        <v>13</v>
      </c>
      <c r="E131">
        <v>15</v>
      </c>
      <c r="F131">
        <v>77.14</v>
      </c>
      <c r="G131">
        <v>0</v>
      </c>
      <c r="H131">
        <v>0</v>
      </c>
      <c r="I131">
        <v>0</v>
      </c>
      <c r="J131">
        <v>2</v>
      </c>
      <c r="K131">
        <v>75.87</v>
      </c>
      <c r="L131">
        <v>75.430000000000007</v>
      </c>
    </row>
    <row r="132" spans="1:12" x14ac:dyDescent="0.2">
      <c r="A132" s="4">
        <v>131</v>
      </c>
      <c r="B132" t="s">
        <v>556</v>
      </c>
      <c r="C132">
        <v>75.7</v>
      </c>
      <c r="D132">
        <v>16</v>
      </c>
      <c r="E132">
        <v>13</v>
      </c>
      <c r="F132">
        <v>73.81</v>
      </c>
      <c r="G132">
        <v>0</v>
      </c>
      <c r="H132">
        <v>0</v>
      </c>
      <c r="I132">
        <v>1</v>
      </c>
      <c r="J132">
        <v>1</v>
      </c>
      <c r="K132">
        <v>75.66</v>
      </c>
      <c r="L132">
        <v>75.52</v>
      </c>
    </row>
    <row r="133" spans="1:12" x14ac:dyDescent="0.2">
      <c r="A133" s="4">
        <v>132</v>
      </c>
      <c r="B133" t="s">
        <v>180</v>
      </c>
      <c r="C133">
        <v>75.650000000000006</v>
      </c>
      <c r="D133">
        <v>20</v>
      </c>
      <c r="E133">
        <v>10</v>
      </c>
      <c r="F133">
        <v>71.27</v>
      </c>
      <c r="G133">
        <v>0</v>
      </c>
      <c r="H133">
        <v>0</v>
      </c>
      <c r="I133">
        <v>0</v>
      </c>
      <c r="J133">
        <v>1</v>
      </c>
      <c r="K133">
        <v>74.58</v>
      </c>
      <c r="L133">
        <v>76.540000000000006</v>
      </c>
    </row>
    <row r="134" spans="1:12" x14ac:dyDescent="0.2">
      <c r="A134" s="4">
        <v>133</v>
      </c>
      <c r="B134" t="s">
        <v>71</v>
      </c>
      <c r="C134">
        <v>75.48</v>
      </c>
      <c r="D134">
        <v>9</v>
      </c>
      <c r="E134">
        <v>19</v>
      </c>
      <c r="F134">
        <v>80.16</v>
      </c>
      <c r="G134">
        <v>0</v>
      </c>
      <c r="H134">
        <v>0</v>
      </c>
      <c r="I134">
        <v>0</v>
      </c>
      <c r="J134">
        <v>9</v>
      </c>
      <c r="K134">
        <v>75.62</v>
      </c>
      <c r="L134">
        <v>75.14</v>
      </c>
    </row>
    <row r="135" spans="1:12" x14ac:dyDescent="0.2">
      <c r="A135" s="4">
        <v>134</v>
      </c>
      <c r="B135" t="s">
        <v>91</v>
      </c>
      <c r="C135">
        <v>75.48</v>
      </c>
      <c r="D135">
        <v>13</v>
      </c>
      <c r="E135">
        <v>16</v>
      </c>
      <c r="F135">
        <v>76.89</v>
      </c>
      <c r="G135">
        <v>0</v>
      </c>
      <c r="H135">
        <v>0</v>
      </c>
      <c r="I135">
        <v>0</v>
      </c>
      <c r="J135">
        <v>2</v>
      </c>
      <c r="K135">
        <v>75.47</v>
      </c>
      <c r="L135">
        <v>75.27</v>
      </c>
    </row>
    <row r="136" spans="1:12" x14ac:dyDescent="0.2">
      <c r="A136" s="4">
        <v>135</v>
      </c>
      <c r="B136" t="s">
        <v>61</v>
      </c>
      <c r="C136">
        <v>75.319999999999993</v>
      </c>
      <c r="D136">
        <v>13</v>
      </c>
      <c r="E136">
        <v>14</v>
      </c>
      <c r="F136">
        <v>74.650000000000006</v>
      </c>
      <c r="G136">
        <v>0</v>
      </c>
      <c r="H136">
        <v>1</v>
      </c>
      <c r="I136">
        <v>0</v>
      </c>
      <c r="J136">
        <v>2</v>
      </c>
      <c r="K136">
        <v>74.59</v>
      </c>
      <c r="L136">
        <v>75.849999999999994</v>
      </c>
    </row>
    <row r="137" spans="1:12" x14ac:dyDescent="0.2">
      <c r="A137" s="4">
        <v>136</v>
      </c>
      <c r="B137" t="s">
        <v>177</v>
      </c>
      <c r="C137">
        <v>75.25</v>
      </c>
      <c r="D137">
        <v>14</v>
      </c>
      <c r="E137">
        <v>15</v>
      </c>
      <c r="F137">
        <v>74.95</v>
      </c>
      <c r="G137">
        <v>0</v>
      </c>
      <c r="H137">
        <v>0</v>
      </c>
      <c r="I137">
        <v>0</v>
      </c>
      <c r="J137">
        <v>2</v>
      </c>
      <c r="K137">
        <v>75.33</v>
      </c>
      <c r="L137">
        <v>74.95</v>
      </c>
    </row>
    <row r="138" spans="1:12" x14ac:dyDescent="0.2">
      <c r="A138" s="4">
        <v>137</v>
      </c>
      <c r="B138" t="s">
        <v>80</v>
      </c>
      <c r="C138">
        <v>75.010000000000005</v>
      </c>
      <c r="D138">
        <v>14</v>
      </c>
      <c r="E138">
        <v>15</v>
      </c>
      <c r="F138">
        <v>76.349999999999994</v>
      </c>
      <c r="G138">
        <v>0</v>
      </c>
      <c r="H138">
        <v>2</v>
      </c>
      <c r="I138">
        <v>0</v>
      </c>
      <c r="J138">
        <v>2</v>
      </c>
      <c r="K138">
        <v>75.56</v>
      </c>
      <c r="L138">
        <v>74.260000000000005</v>
      </c>
    </row>
    <row r="139" spans="1:12" x14ac:dyDescent="0.2">
      <c r="A139" s="4">
        <v>138</v>
      </c>
      <c r="B139" t="s">
        <v>227</v>
      </c>
      <c r="C139">
        <v>74.930000000000007</v>
      </c>
      <c r="D139">
        <v>19</v>
      </c>
      <c r="E139">
        <v>9</v>
      </c>
      <c r="F139">
        <v>70.17</v>
      </c>
      <c r="G139">
        <v>0</v>
      </c>
      <c r="H139">
        <v>1</v>
      </c>
      <c r="I139">
        <v>0</v>
      </c>
      <c r="J139">
        <v>1</v>
      </c>
      <c r="K139">
        <v>74.63</v>
      </c>
      <c r="L139">
        <v>75</v>
      </c>
    </row>
    <row r="140" spans="1:12" x14ac:dyDescent="0.2">
      <c r="A140" s="4">
        <v>139</v>
      </c>
      <c r="B140" t="s">
        <v>154</v>
      </c>
      <c r="C140">
        <v>74.91</v>
      </c>
      <c r="D140">
        <v>19</v>
      </c>
      <c r="E140">
        <v>10</v>
      </c>
      <c r="F140">
        <v>71.92</v>
      </c>
      <c r="G140">
        <v>0</v>
      </c>
      <c r="H140">
        <v>1</v>
      </c>
      <c r="I140">
        <v>0</v>
      </c>
      <c r="J140">
        <v>1</v>
      </c>
      <c r="K140">
        <v>75.72</v>
      </c>
      <c r="L140">
        <v>73.900000000000006</v>
      </c>
    </row>
    <row r="141" spans="1:12" x14ac:dyDescent="0.2">
      <c r="A141" s="4">
        <v>140</v>
      </c>
      <c r="B141" t="s">
        <v>85</v>
      </c>
      <c r="C141">
        <v>74.900000000000006</v>
      </c>
      <c r="D141">
        <v>17</v>
      </c>
      <c r="E141">
        <v>11</v>
      </c>
      <c r="F141">
        <v>72.27</v>
      </c>
      <c r="G141">
        <v>0</v>
      </c>
      <c r="H141">
        <v>1</v>
      </c>
      <c r="I141">
        <v>0</v>
      </c>
      <c r="J141">
        <v>1</v>
      </c>
      <c r="K141">
        <v>75.489999999999995</v>
      </c>
      <c r="L141">
        <v>74.11</v>
      </c>
    </row>
    <row r="142" spans="1:12" x14ac:dyDescent="0.2">
      <c r="A142" s="4">
        <v>141</v>
      </c>
      <c r="B142" t="s">
        <v>183</v>
      </c>
      <c r="C142">
        <v>74.87</v>
      </c>
      <c r="D142">
        <v>13</v>
      </c>
      <c r="E142">
        <v>16</v>
      </c>
      <c r="F142">
        <v>74.94</v>
      </c>
      <c r="G142">
        <v>0</v>
      </c>
      <c r="H142">
        <v>1</v>
      </c>
      <c r="I142">
        <v>1</v>
      </c>
      <c r="J142">
        <v>2</v>
      </c>
      <c r="K142">
        <v>74.19</v>
      </c>
      <c r="L142">
        <v>75.36</v>
      </c>
    </row>
    <row r="143" spans="1:12" x14ac:dyDescent="0.2">
      <c r="A143" s="4">
        <v>142</v>
      </c>
      <c r="B143" t="s">
        <v>221</v>
      </c>
      <c r="C143">
        <v>74.83</v>
      </c>
      <c r="D143">
        <v>14</v>
      </c>
      <c r="E143">
        <v>13</v>
      </c>
      <c r="F143">
        <v>74.510000000000005</v>
      </c>
      <c r="G143">
        <v>0</v>
      </c>
      <c r="H143">
        <v>1</v>
      </c>
      <c r="I143">
        <v>0</v>
      </c>
      <c r="J143">
        <v>4</v>
      </c>
      <c r="K143">
        <v>74.84</v>
      </c>
      <c r="L143">
        <v>74.61</v>
      </c>
    </row>
    <row r="144" spans="1:12" x14ac:dyDescent="0.2">
      <c r="A144" s="4">
        <v>143</v>
      </c>
      <c r="B144" t="s">
        <v>199</v>
      </c>
      <c r="C144">
        <v>74.73</v>
      </c>
      <c r="D144">
        <v>19</v>
      </c>
      <c r="E144">
        <v>9</v>
      </c>
      <c r="F144">
        <v>70.38</v>
      </c>
      <c r="G144">
        <v>0</v>
      </c>
      <c r="H144">
        <v>2</v>
      </c>
      <c r="I144">
        <v>0</v>
      </c>
      <c r="J144">
        <v>3</v>
      </c>
      <c r="K144">
        <v>75.56</v>
      </c>
      <c r="L144">
        <v>73.7</v>
      </c>
    </row>
    <row r="145" spans="1:12" x14ac:dyDescent="0.2">
      <c r="A145" s="4">
        <v>144</v>
      </c>
      <c r="B145" t="s">
        <v>236</v>
      </c>
      <c r="C145">
        <v>74.67</v>
      </c>
      <c r="D145">
        <v>11</v>
      </c>
      <c r="E145">
        <v>17</v>
      </c>
      <c r="F145">
        <v>76.099999999999994</v>
      </c>
      <c r="G145">
        <v>0</v>
      </c>
      <c r="H145">
        <v>0</v>
      </c>
      <c r="I145">
        <v>0</v>
      </c>
      <c r="J145">
        <v>0</v>
      </c>
      <c r="K145">
        <v>73.739999999999995</v>
      </c>
      <c r="L145">
        <v>75.41</v>
      </c>
    </row>
    <row r="146" spans="1:12" x14ac:dyDescent="0.2">
      <c r="A146" s="4">
        <v>145</v>
      </c>
      <c r="B146" t="s">
        <v>124</v>
      </c>
      <c r="C146">
        <v>74.66</v>
      </c>
      <c r="D146">
        <v>14</v>
      </c>
      <c r="E146">
        <v>13</v>
      </c>
      <c r="F146">
        <v>74</v>
      </c>
      <c r="G146">
        <v>0</v>
      </c>
      <c r="H146">
        <v>1</v>
      </c>
      <c r="I146">
        <v>0</v>
      </c>
      <c r="J146">
        <v>2</v>
      </c>
      <c r="K146">
        <v>74.16</v>
      </c>
      <c r="L146">
        <v>74.95</v>
      </c>
    </row>
    <row r="147" spans="1:12" x14ac:dyDescent="0.2">
      <c r="A147" s="4">
        <v>146</v>
      </c>
      <c r="B147" t="s">
        <v>165</v>
      </c>
      <c r="C147">
        <v>74.64</v>
      </c>
      <c r="D147">
        <v>16</v>
      </c>
      <c r="E147">
        <v>12</v>
      </c>
      <c r="F147">
        <v>74.11</v>
      </c>
      <c r="G147">
        <v>0</v>
      </c>
      <c r="H147">
        <v>0</v>
      </c>
      <c r="I147">
        <v>1</v>
      </c>
      <c r="J147">
        <v>2</v>
      </c>
      <c r="K147">
        <v>76.08</v>
      </c>
      <c r="L147">
        <v>73.040000000000006</v>
      </c>
    </row>
    <row r="148" spans="1:12" x14ac:dyDescent="0.2">
      <c r="A148" s="4">
        <v>147</v>
      </c>
      <c r="B148" t="s">
        <v>798</v>
      </c>
      <c r="C148">
        <v>74.62</v>
      </c>
      <c r="D148">
        <v>15</v>
      </c>
      <c r="E148">
        <v>11</v>
      </c>
      <c r="F148">
        <v>71.81</v>
      </c>
      <c r="G148">
        <v>0</v>
      </c>
      <c r="H148">
        <v>0</v>
      </c>
      <c r="I148">
        <v>0</v>
      </c>
      <c r="J148">
        <v>1</v>
      </c>
      <c r="K148">
        <v>73.3</v>
      </c>
      <c r="L148">
        <v>75.77</v>
      </c>
    </row>
    <row r="149" spans="1:12" x14ac:dyDescent="0.2">
      <c r="A149" s="4">
        <v>148</v>
      </c>
      <c r="B149" t="s">
        <v>157</v>
      </c>
      <c r="C149">
        <v>74.349999999999994</v>
      </c>
      <c r="D149">
        <v>18</v>
      </c>
      <c r="E149">
        <v>10</v>
      </c>
      <c r="F149">
        <v>70.180000000000007</v>
      </c>
      <c r="G149">
        <v>0</v>
      </c>
      <c r="H149">
        <v>0</v>
      </c>
      <c r="I149">
        <v>0</v>
      </c>
      <c r="J149">
        <v>0</v>
      </c>
      <c r="K149">
        <v>74.33</v>
      </c>
      <c r="L149">
        <v>74.150000000000006</v>
      </c>
    </row>
    <row r="150" spans="1:12" x14ac:dyDescent="0.2">
      <c r="A150" s="4">
        <v>149</v>
      </c>
      <c r="B150" t="s">
        <v>259</v>
      </c>
      <c r="C150">
        <v>74.239999999999995</v>
      </c>
      <c r="D150">
        <v>17</v>
      </c>
      <c r="E150">
        <v>11</v>
      </c>
      <c r="F150">
        <v>73.17</v>
      </c>
      <c r="G150">
        <v>0</v>
      </c>
      <c r="H150">
        <v>1</v>
      </c>
      <c r="I150">
        <v>1</v>
      </c>
      <c r="J150">
        <v>3</v>
      </c>
      <c r="K150">
        <v>75.569999999999993</v>
      </c>
      <c r="L150">
        <v>72.72</v>
      </c>
    </row>
    <row r="151" spans="1:12" x14ac:dyDescent="0.2">
      <c r="A151" s="4">
        <v>150</v>
      </c>
      <c r="B151" t="s">
        <v>16</v>
      </c>
      <c r="C151">
        <v>74.150000000000006</v>
      </c>
      <c r="D151">
        <v>7</v>
      </c>
      <c r="E151">
        <v>21</v>
      </c>
      <c r="F151">
        <v>81.14</v>
      </c>
      <c r="G151">
        <v>0</v>
      </c>
      <c r="H151">
        <v>4</v>
      </c>
      <c r="I151">
        <v>0</v>
      </c>
      <c r="J151">
        <v>10</v>
      </c>
      <c r="K151">
        <v>72.63</v>
      </c>
      <c r="L151">
        <v>75.48</v>
      </c>
    </row>
    <row r="152" spans="1:12" x14ac:dyDescent="0.2">
      <c r="A152" s="4">
        <v>151</v>
      </c>
      <c r="B152" t="s">
        <v>815</v>
      </c>
      <c r="C152">
        <v>74.099999999999994</v>
      </c>
      <c r="D152">
        <v>14</v>
      </c>
      <c r="E152">
        <v>13</v>
      </c>
      <c r="F152">
        <v>72.52</v>
      </c>
      <c r="G152">
        <v>0</v>
      </c>
      <c r="H152">
        <v>0</v>
      </c>
      <c r="I152">
        <v>0</v>
      </c>
      <c r="J152">
        <v>0</v>
      </c>
      <c r="K152">
        <v>73.739999999999995</v>
      </c>
      <c r="L152">
        <v>74.25</v>
      </c>
    </row>
    <row r="153" spans="1:12" x14ac:dyDescent="0.2">
      <c r="A153" s="4">
        <v>152</v>
      </c>
      <c r="B153" t="s">
        <v>814</v>
      </c>
      <c r="C153">
        <v>74.099999999999994</v>
      </c>
      <c r="D153">
        <v>15</v>
      </c>
      <c r="E153">
        <v>15</v>
      </c>
      <c r="F153">
        <v>73.930000000000007</v>
      </c>
      <c r="G153">
        <v>0</v>
      </c>
      <c r="H153">
        <v>1</v>
      </c>
      <c r="I153">
        <v>0</v>
      </c>
      <c r="J153">
        <v>4</v>
      </c>
      <c r="K153">
        <v>73.39</v>
      </c>
      <c r="L153">
        <v>74.599999999999994</v>
      </c>
    </row>
    <row r="154" spans="1:12" x14ac:dyDescent="0.2">
      <c r="A154" s="4">
        <v>153</v>
      </c>
      <c r="B154" t="s">
        <v>550</v>
      </c>
      <c r="C154">
        <v>74.09</v>
      </c>
      <c r="D154">
        <v>13</v>
      </c>
      <c r="E154">
        <v>16</v>
      </c>
      <c r="F154">
        <v>74.94</v>
      </c>
      <c r="G154">
        <v>0</v>
      </c>
      <c r="H154">
        <v>0</v>
      </c>
      <c r="I154">
        <v>1</v>
      </c>
      <c r="J154">
        <v>3</v>
      </c>
      <c r="K154">
        <v>73.34</v>
      </c>
      <c r="L154">
        <v>74.63</v>
      </c>
    </row>
    <row r="155" spans="1:12" x14ac:dyDescent="0.2">
      <c r="A155" s="4">
        <v>154</v>
      </c>
      <c r="B155" t="s">
        <v>195</v>
      </c>
      <c r="C155">
        <v>73.95</v>
      </c>
      <c r="D155">
        <v>19</v>
      </c>
      <c r="E155">
        <v>11</v>
      </c>
      <c r="F155">
        <v>70.599999999999994</v>
      </c>
      <c r="G155">
        <v>0</v>
      </c>
      <c r="H155">
        <v>0</v>
      </c>
      <c r="I155">
        <v>0</v>
      </c>
      <c r="J155">
        <v>0</v>
      </c>
      <c r="K155">
        <v>72.89</v>
      </c>
      <c r="L155">
        <v>74.819999999999993</v>
      </c>
    </row>
    <row r="156" spans="1:12" x14ac:dyDescent="0.2">
      <c r="A156" s="4">
        <v>155</v>
      </c>
      <c r="B156" t="s">
        <v>118</v>
      </c>
      <c r="C156">
        <v>73.86</v>
      </c>
      <c r="D156">
        <v>16</v>
      </c>
      <c r="E156">
        <v>13</v>
      </c>
      <c r="F156">
        <v>71.989999999999995</v>
      </c>
      <c r="G156">
        <v>0</v>
      </c>
      <c r="H156">
        <v>1</v>
      </c>
      <c r="I156">
        <v>0</v>
      </c>
      <c r="J156">
        <v>1</v>
      </c>
      <c r="K156">
        <v>72.67</v>
      </c>
      <c r="L156">
        <v>74.849999999999994</v>
      </c>
    </row>
    <row r="157" spans="1:12" x14ac:dyDescent="0.2">
      <c r="A157" s="4">
        <v>156</v>
      </c>
      <c r="B157" t="s">
        <v>887</v>
      </c>
      <c r="C157">
        <v>73.819999999999993</v>
      </c>
      <c r="D157">
        <v>16</v>
      </c>
      <c r="E157">
        <v>8</v>
      </c>
      <c r="F157">
        <v>68.25</v>
      </c>
      <c r="G157">
        <v>0</v>
      </c>
      <c r="H157">
        <v>1</v>
      </c>
      <c r="I157">
        <v>0</v>
      </c>
      <c r="J157">
        <v>2</v>
      </c>
      <c r="K157">
        <v>75.150000000000006</v>
      </c>
      <c r="L157">
        <v>72.290000000000006</v>
      </c>
    </row>
    <row r="158" spans="1:12" x14ac:dyDescent="0.2">
      <c r="A158" s="4">
        <v>157</v>
      </c>
      <c r="B158" t="s">
        <v>804</v>
      </c>
      <c r="C158">
        <v>73.81</v>
      </c>
      <c r="D158">
        <v>15</v>
      </c>
      <c r="E158">
        <v>14</v>
      </c>
      <c r="F158">
        <v>73.25</v>
      </c>
      <c r="G158">
        <v>0</v>
      </c>
      <c r="H158">
        <v>0</v>
      </c>
      <c r="I158">
        <v>0</v>
      </c>
      <c r="J158">
        <v>1</v>
      </c>
      <c r="K158">
        <v>74.709999999999994</v>
      </c>
      <c r="L158">
        <v>72.709999999999994</v>
      </c>
    </row>
    <row r="159" spans="1:12" x14ac:dyDescent="0.2">
      <c r="A159" s="4">
        <v>158</v>
      </c>
      <c r="B159" t="s">
        <v>234</v>
      </c>
      <c r="C159">
        <v>73.739999999999995</v>
      </c>
      <c r="D159">
        <v>11</v>
      </c>
      <c r="E159">
        <v>17</v>
      </c>
      <c r="F159">
        <v>75.650000000000006</v>
      </c>
      <c r="G159">
        <v>0</v>
      </c>
      <c r="H159">
        <v>0</v>
      </c>
      <c r="I159">
        <v>0</v>
      </c>
      <c r="J159">
        <v>2</v>
      </c>
      <c r="K159">
        <v>72.78</v>
      </c>
      <c r="L159">
        <v>74.5</v>
      </c>
    </row>
    <row r="160" spans="1:12" x14ac:dyDescent="0.2">
      <c r="A160" s="4">
        <v>159</v>
      </c>
      <c r="B160" t="s">
        <v>101</v>
      </c>
      <c r="C160">
        <v>73.62</v>
      </c>
      <c r="D160">
        <v>14</v>
      </c>
      <c r="E160">
        <v>15</v>
      </c>
      <c r="F160">
        <v>74.55</v>
      </c>
      <c r="G160">
        <v>0</v>
      </c>
      <c r="H160">
        <v>0</v>
      </c>
      <c r="I160">
        <v>0</v>
      </c>
      <c r="J160">
        <v>0</v>
      </c>
      <c r="K160">
        <v>74</v>
      </c>
      <c r="L160">
        <v>73.03</v>
      </c>
    </row>
    <row r="161" spans="1:12" x14ac:dyDescent="0.2">
      <c r="A161" s="4">
        <v>160</v>
      </c>
      <c r="B161" t="s">
        <v>172</v>
      </c>
      <c r="C161">
        <v>73.599999999999994</v>
      </c>
      <c r="D161">
        <v>11</v>
      </c>
      <c r="E161">
        <v>17</v>
      </c>
      <c r="F161">
        <v>76.2</v>
      </c>
      <c r="G161">
        <v>0</v>
      </c>
      <c r="H161">
        <v>1</v>
      </c>
      <c r="I161">
        <v>0</v>
      </c>
      <c r="J161">
        <v>3</v>
      </c>
      <c r="K161">
        <v>73.19</v>
      </c>
      <c r="L161">
        <v>73.8</v>
      </c>
    </row>
    <row r="162" spans="1:12" x14ac:dyDescent="0.2">
      <c r="A162" s="4">
        <v>161</v>
      </c>
      <c r="B162" t="s">
        <v>272</v>
      </c>
      <c r="C162">
        <v>73.55</v>
      </c>
      <c r="D162">
        <v>14</v>
      </c>
      <c r="E162">
        <v>13</v>
      </c>
      <c r="F162">
        <v>72.67</v>
      </c>
      <c r="G162">
        <v>0</v>
      </c>
      <c r="H162">
        <v>1</v>
      </c>
      <c r="I162">
        <v>0</v>
      </c>
      <c r="J162">
        <v>1</v>
      </c>
      <c r="K162">
        <v>72.95</v>
      </c>
      <c r="L162">
        <v>73.94</v>
      </c>
    </row>
    <row r="163" spans="1:12" x14ac:dyDescent="0.2">
      <c r="A163" s="4">
        <v>162</v>
      </c>
      <c r="B163" t="s">
        <v>821</v>
      </c>
      <c r="C163">
        <v>73.53</v>
      </c>
      <c r="D163">
        <v>11</v>
      </c>
      <c r="E163">
        <v>20</v>
      </c>
      <c r="F163">
        <v>77.08</v>
      </c>
      <c r="G163">
        <v>0</v>
      </c>
      <c r="H163">
        <v>0</v>
      </c>
      <c r="I163">
        <v>0</v>
      </c>
      <c r="J163">
        <v>3</v>
      </c>
      <c r="K163">
        <v>73.180000000000007</v>
      </c>
      <c r="L163">
        <v>73.66</v>
      </c>
    </row>
    <row r="164" spans="1:12" x14ac:dyDescent="0.2">
      <c r="A164" s="4">
        <v>163</v>
      </c>
      <c r="B164" t="s">
        <v>250</v>
      </c>
      <c r="C164">
        <v>73.3</v>
      </c>
      <c r="D164">
        <v>16</v>
      </c>
      <c r="E164">
        <v>12</v>
      </c>
      <c r="F164">
        <v>71.650000000000006</v>
      </c>
      <c r="G164">
        <v>0</v>
      </c>
      <c r="H164">
        <v>0</v>
      </c>
      <c r="I164">
        <v>0</v>
      </c>
      <c r="J164">
        <v>0</v>
      </c>
      <c r="K164">
        <v>73.58</v>
      </c>
      <c r="L164">
        <v>72.81</v>
      </c>
    </row>
    <row r="165" spans="1:12" x14ac:dyDescent="0.2">
      <c r="A165" s="4">
        <v>164</v>
      </c>
      <c r="B165" t="s">
        <v>868</v>
      </c>
      <c r="C165">
        <v>73.22</v>
      </c>
      <c r="D165">
        <v>17</v>
      </c>
      <c r="E165">
        <v>12</v>
      </c>
      <c r="F165">
        <v>71.78</v>
      </c>
      <c r="G165">
        <v>0</v>
      </c>
      <c r="H165">
        <v>2</v>
      </c>
      <c r="I165">
        <v>0</v>
      </c>
      <c r="J165">
        <v>3</v>
      </c>
      <c r="K165">
        <v>73.11</v>
      </c>
      <c r="L165">
        <v>73.13</v>
      </c>
    </row>
    <row r="166" spans="1:12" x14ac:dyDescent="0.2">
      <c r="A166" s="4">
        <v>165</v>
      </c>
      <c r="B166" t="s">
        <v>805</v>
      </c>
      <c r="C166">
        <v>73.2</v>
      </c>
      <c r="D166">
        <v>10</v>
      </c>
      <c r="E166">
        <v>18</v>
      </c>
      <c r="F166">
        <v>76.92</v>
      </c>
      <c r="G166">
        <v>0</v>
      </c>
      <c r="H166">
        <v>1</v>
      </c>
      <c r="I166">
        <v>0</v>
      </c>
      <c r="J166">
        <v>3</v>
      </c>
      <c r="K166">
        <v>72.989999999999995</v>
      </c>
      <c r="L166">
        <v>73.209999999999994</v>
      </c>
    </row>
    <row r="167" spans="1:12" x14ac:dyDescent="0.2">
      <c r="A167" s="4">
        <v>166</v>
      </c>
      <c r="B167" t="s">
        <v>106</v>
      </c>
      <c r="C167">
        <v>73.13</v>
      </c>
      <c r="D167">
        <v>12</v>
      </c>
      <c r="E167">
        <v>15</v>
      </c>
      <c r="F167">
        <v>72.69</v>
      </c>
      <c r="G167">
        <v>0</v>
      </c>
      <c r="H167">
        <v>0</v>
      </c>
      <c r="I167">
        <v>0</v>
      </c>
      <c r="J167">
        <v>2</v>
      </c>
      <c r="K167">
        <v>71.45</v>
      </c>
      <c r="L167">
        <v>74.599999999999994</v>
      </c>
    </row>
    <row r="168" spans="1:12" x14ac:dyDescent="0.2">
      <c r="A168" s="4">
        <v>167</v>
      </c>
      <c r="B168" t="s">
        <v>810</v>
      </c>
      <c r="C168">
        <v>73.09</v>
      </c>
      <c r="D168">
        <v>9</v>
      </c>
      <c r="E168">
        <v>17</v>
      </c>
      <c r="F168">
        <v>75.8</v>
      </c>
      <c r="G168">
        <v>0</v>
      </c>
      <c r="H168">
        <v>0</v>
      </c>
      <c r="I168">
        <v>0</v>
      </c>
      <c r="J168">
        <v>3</v>
      </c>
      <c r="K168">
        <v>71.819999999999993</v>
      </c>
      <c r="L168">
        <v>74.150000000000006</v>
      </c>
    </row>
    <row r="169" spans="1:12" x14ac:dyDescent="0.2">
      <c r="A169" s="4">
        <v>168</v>
      </c>
      <c r="B169" t="s">
        <v>134</v>
      </c>
      <c r="C169">
        <v>73.09</v>
      </c>
      <c r="D169">
        <v>15</v>
      </c>
      <c r="E169">
        <v>13</v>
      </c>
      <c r="F169">
        <v>72.56</v>
      </c>
      <c r="G169">
        <v>0</v>
      </c>
      <c r="H169">
        <v>0</v>
      </c>
      <c r="I169">
        <v>0</v>
      </c>
      <c r="J169">
        <v>2</v>
      </c>
      <c r="K169">
        <v>73.319999999999993</v>
      </c>
      <c r="L169">
        <v>72.64</v>
      </c>
    </row>
    <row r="170" spans="1:12" x14ac:dyDescent="0.2">
      <c r="A170" s="4">
        <v>169</v>
      </c>
      <c r="B170" t="s">
        <v>788</v>
      </c>
      <c r="C170">
        <v>72.959999999999994</v>
      </c>
      <c r="D170">
        <v>22</v>
      </c>
      <c r="E170">
        <v>9</v>
      </c>
      <c r="F170">
        <v>68.510000000000005</v>
      </c>
      <c r="G170">
        <v>0</v>
      </c>
      <c r="H170">
        <v>0</v>
      </c>
      <c r="I170">
        <v>0</v>
      </c>
      <c r="J170">
        <v>1</v>
      </c>
      <c r="K170">
        <v>74.989999999999995</v>
      </c>
      <c r="L170">
        <v>70.7</v>
      </c>
    </row>
    <row r="171" spans="1:12" x14ac:dyDescent="0.2">
      <c r="A171" s="4">
        <v>170</v>
      </c>
      <c r="B171" t="s">
        <v>50</v>
      </c>
      <c r="C171">
        <v>72.760000000000005</v>
      </c>
      <c r="D171">
        <v>12</v>
      </c>
      <c r="E171">
        <v>17</v>
      </c>
      <c r="F171">
        <v>75.209999999999994</v>
      </c>
      <c r="G171">
        <v>0</v>
      </c>
      <c r="H171">
        <v>1</v>
      </c>
      <c r="I171">
        <v>0</v>
      </c>
      <c r="J171">
        <v>4</v>
      </c>
      <c r="K171">
        <v>72.489999999999995</v>
      </c>
      <c r="L171">
        <v>72.819999999999993</v>
      </c>
    </row>
    <row r="172" spans="1:12" x14ac:dyDescent="0.2">
      <c r="A172" s="4">
        <v>171</v>
      </c>
      <c r="B172" t="s">
        <v>200</v>
      </c>
      <c r="C172">
        <v>72.62</v>
      </c>
      <c r="D172">
        <v>14</v>
      </c>
      <c r="E172">
        <v>13</v>
      </c>
      <c r="F172">
        <v>70.75</v>
      </c>
      <c r="G172">
        <v>0</v>
      </c>
      <c r="H172">
        <v>0</v>
      </c>
      <c r="I172">
        <v>0</v>
      </c>
      <c r="J172">
        <v>1</v>
      </c>
      <c r="K172">
        <v>72.739999999999995</v>
      </c>
      <c r="L172">
        <v>72.290000000000006</v>
      </c>
    </row>
    <row r="173" spans="1:12" x14ac:dyDescent="0.2">
      <c r="A173" s="4">
        <v>172</v>
      </c>
      <c r="B173" t="s">
        <v>220</v>
      </c>
      <c r="C173">
        <v>72.55</v>
      </c>
      <c r="D173">
        <v>15</v>
      </c>
      <c r="E173">
        <v>11</v>
      </c>
      <c r="F173">
        <v>70.88</v>
      </c>
      <c r="G173">
        <v>0</v>
      </c>
      <c r="H173">
        <v>1</v>
      </c>
      <c r="I173">
        <v>0</v>
      </c>
      <c r="J173">
        <v>1</v>
      </c>
      <c r="K173">
        <v>72.14</v>
      </c>
      <c r="L173">
        <v>72.75</v>
      </c>
    </row>
    <row r="174" spans="1:12" x14ac:dyDescent="0.2">
      <c r="A174" s="4">
        <v>173</v>
      </c>
      <c r="B174" t="s">
        <v>214</v>
      </c>
      <c r="C174">
        <v>72.430000000000007</v>
      </c>
      <c r="D174">
        <v>15</v>
      </c>
      <c r="E174">
        <v>14</v>
      </c>
      <c r="F174">
        <v>71.44</v>
      </c>
      <c r="G174">
        <v>0</v>
      </c>
      <c r="H174">
        <v>1</v>
      </c>
      <c r="I174">
        <v>0</v>
      </c>
      <c r="J174">
        <v>3</v>
      </c>
      <c r="K174">
        <v>70.2</v>
      </c>
      <c r="L174">
        <v>74.38</v>
      </c>
    </row>
    <row r="175" spans="1:12" x14ac:dyDescent="0.2">
      <c r="A175" s="4">
        <v>174</v>
      </c>
      <c r="B175" t="s">
        <v>288</v>
      </c>
      <c r="C175">
        <v>72.36</v>
      </c>
      <c r="D175">
        <v>13</v>
      </c>
      <c r="E175">
        <v>16</v>
      </c>
      <c r="F175">
        <v>73.709999999999994</v>
      </c>
      <c r="G175">
        <v>0</v>
      </c>
      <c r="H175">
        <v>0</v>
      </c>
      <c r="I175">
        <v>0</v>
      </c>
      <c r="J175">
        <v>1</v>
      </c>
      <c r="K175">
        <v>71.77</v>
      </c>
      <c r="L175">
        <v>72.73</v>
      </c>
    </row>
    <row r="176" spans="1:12" x14ac:dyDescent="0.2">
      <c r="A176" s="4">
        <v>175</v>
      </c>
      <c r="B176" t="s">
        <v>74</v>
      </c>
      <c r="C176">
        <v>72.260000000000005</v>
      </c>
      <c r="D176">
        <v>9</v>
      </c>
      <c r="E176">
        <v>21</v>
      </c>
      <c r="F176">
        <v>77.319999999999993</v>
      </c>
      <c r="G176">
        <v>0</v>
      </c>
      <c r="H176">
        <v>1</v>
      </c>
      <c r="I176">
        <v>0</v>
      </c>
      <c r="J176">
        <v>5</v>
      </c>
      <c r="K176">
        <v>71.48</v>
      </c>
      <c r="L176">
        <v>72.819999999999993</v>
      </c>
    </row>
    <row r="177" spans="1:12" x14ac:dyDescent="0.2">
      <c r="A177" s="4">
        <v>176</v>
      </c>
      <c r="B177" t="s">
        <v>192</v>
      </c>
      <c r="C177">
        <v>72.25</v>
      </c>
      <c r="D177">
        <v>16</v>
      </c>
      <c r="E177">
        <v>13</v>
      </c>
      <c r="F177">
        <v>71.66</v>
      </c>
      <c r="G177">
        <v>0</v>
      </c>
      <c r="H177">
        <v>1</v>
      </c>
      <c r="I177">
        <v>0</v>
      </c>
      <c r="J177">
        <v>2</v>
      </c>
      <c r="K177">
        <v>72.209999999999994</v>
      </c>
      <c r="L177">
        <v>72.09</v>
      </c>
    </row>
    <row r="178" spans="1:12" x14ac:dyDescent="0.2">
      <c r="A178" s="4">
        <v>177</v>
      </c>
      <c r="B178" t="s">
        <v>826</v>
      </c>
      <c r="C178">
        <v>72.209999999999994</v>
      </c>
      <c r="D178">
        <v>15</v>
      </c>
      <c r="E178">
        <v>12</v>
      </c>
      <c r="F178">
        <v>70.56</v>
      </c>
      <c r="G178">
        <v>0</v>
      </c>
      <c r="H178">
        <v>0</v>
      </c>
      <c r="I178">
        <v>0</v>
      </c>
      <c r="J178">
        <v>0</v>
      </c>
      <c r="K178">
        <v>72.97</v>
      </c>
      <c r="L178">
        <v>71.22</v>
      </c>
    </row>
    <row r="179" spans="1:12" x14ac:dyDescent="0.2">
      <c r="A179" s="4">
        <v>178</v>
      </c>
      <c r="B179" t="s">
        <v>127</v>
      </c>
      <c r="C179">
        <v>72.16</v>
      </c>
      <c r="D179">
        <v>15</v>
      </c>
      <c r="E179">
        <v>13</v>
      </c>
      <c r="F179">
        <v>71.069999999999993</v>
      </c>
      <c r="G179">
        <v>0</v>
      </c>
      <c r="H179">
        <v>0</v>
      </c>
      <c r="I179">
        <v>0</v>
      </c>
      <c r="J179">
        <v>1</v>
      </c>
      <c r="K179">
        <v>70.87</v>
      </c>
      <c r="L179">
        <v>73.22</v>
      </c>
    </row>
    <row r="180" spans="1:12" x14ac:dyDescent="0.2">
      <c r="A180" s="4">
        <v>179</v>
      </c>
      <c r="B180" t="s">
        <v>262</v>
      </c>
      <c r="C180">
        <v>72.16</v>
      </c>
      <c r="D180">
        <v>14</v>
      </c>
      <c r="E180">
        <v>11</v>
      </c>
      <c r="F180">
        <v>70.290000000000006</v>
      </c>
      <c r="G180">
        <v>0</v>
      </c>
      <c r="H180">
        <v>0</v>
      </c>
      <c r="I180">
        <v>0</v>
      </c>
      <c r="J180">
        <v>0</v>
      </c>
      <c r="K180">
        <v>71.739999999999995</v>
      </c>
      <c r="L180">
        <v>72.36</v>
      </c>
    </row>
    <row r="181" spans="1:12" x14ac:dyDescent="0.2">
      <c r="A181" s="4">
        <v>180</v>
      </c>
      <c r="B181" t="s">
        <v>837</v>
      </c>
      <c r="C181">
        <v>72.14</v>
      </c>
      <c r="D181">
        <v>14</v>
      </c>
      <c r="E181">
        <v>12</v>
      </c>
      <c r="F181">
        <v>71.08</v>
      </c>
      <c r="G181">
        <v>0</v>
      </c>
      <c r="H181">
        <v>1</v>
      </c>
      <c r="I181">
        <v>0</v>
      </c>
      <c r="J181">
        <v>2</v>
      </c>
      <c r="K181">
        <v>71.150000000000006</v>
      </c>
      <c r="L181">
        <v>72.900000000000006</v>
      </c>
    </row>
    <row r="182" spans="1:12" x14ac:dyDescent="0.2">
      <c r="A182" s="4">
        <v>181</v>
      </c>
      <c r="B182" t="s">
        <v>878</v>
      </c>
      <c r="C182">
        <v>72.12</v>
      </c>
      <c r="D182">
        <v>13</v>
      </c>
      <c r="E182">
        <v>19</v>
      </c>
      <c r="F182">
        <v>74.87</v>
      </c>
      <c r="G182">
        <v>0</v>
      </c>
      <c r="H182">
        <v>3</v>
      </c>
      <c r="I182">
        <v>0</v>
      </c>
      <c r="J182">
        <v>3</v>
      </c>
      <c r="K182">
        <v>71.569999999999993</v>
      </c>
      <c r="L182">
        <v>72.45</v>
      </c>
    </row>
    <row r="183" spans="1:12" x14ac:dyDescent="0.2">
      <c r="A183" s="4">
        <v>182</v>
      </c>
      <c r="B183" t="s">
        <v>188</v>
      </c>
      <c r="C183">
        <v>72.040000000000006</v>
      </c>
      <c r="D183">
        <v>15</v>
      </c>
      <c r="E183">
        <v>15</v>
      </c>
      <c r="F183">
        <v>71.72</v>
      </c>
      <c r="G183">
        <v>0</v>
      </c>
      <c r="H183">
        <v>0</v>
      </c>
      <c r="I183">
        <v>0</v>
      </c>
      <c r="J183">
        <v>1</v>
      </c>
      <c r="K183">
        <v>70.459999999999994</v>
      </c>
      <c r="L183">
        <v>73.37</v>
      </c>
    </row>
    <row r="184" spans="1:12" x14ac:dyDescent="0.2">
      <c r="A184" s="4">
        <v>183</v>
      </c>
      <c r="B184" t="s">
        <v>558</v>
      </c>
      <c r="C184">
        <v>71.92</v>
      </c>
      <c r="D184">
        <v>16</v>
      </c>
      <c r="E184">
        <v>12</v>
      </c>
      <c r="F184">
        <v>70.760000000000005</v>
      </c>
      <c r="G184">
        <v>0</v>
      </c>
      <c r="H184">
        <v>0</v>
      </c>
      <c r="I184">
        <v>0</v>
      </c>
      <c r="J184">
        <v>1</v>
      </c>
      <c r="K184">
        <v>73.099999999999994</v>
      </c>
      <c r="L184">
        <v>70.5</v>
      </c>
    </row>
    <row r="185" spans="1:12" x14ac:dyDescent="0.2">
      <c r="A185" s="4">
        <v>184</v>
      </c>
      <c r="B185" t="s">
        <v>889</v>
      </c>
      <c r="C185">
        <v>71.86</v>
      </c>
      <c r="D185">
        <v>12</v>
      </c>
      <c r="E185">
        <v>14</v>
      </c>
      <c r="F185">
        <v>71.69</v>
      </c>
      <c r="G185">
        <v>0</v>
      </c>
      <c r="H185">
        <v>0</v>
      </c>
      <c r="I185">
        <v>0</v>
      </c>
      <c r="J185">
        <v>1</v>
      </c>
      <c r="K185">
        <v>70.739999999999995</v>
      </c>
      <c r="L185">
        <v>72.73</v>
      </c>
    </row>
    <row r="186" spans="1:12" x14ac:dyDescent="0.2">
      <c r="A186" s="4">
        <v>185</v>
      </c>
      <c r="B186" t="s">
        <v>219</v>
      </c>
      <c r="C186">
        <v>71.69</v>
      </c>
      <c r="D186">
        <v>12</v>
      </c>
      <c r="E186">
        <v>17</v>
      </c>
      <c r="F186">
        <v>74.42</v>
      </c>
      <c r="G186">
        <v>0</v>
      </c>
      <c r="H186">
        <v>0</v>
      </c>
      <c r="I186">
        <v>0</v>
      </c>
      <c r="J186">
        <v>3</v>
      </c>
      <c r="K186">
        <v>71.61</v>
      </c>
      <c r="L186">
        <v>71.55</v>
      </c>
    </row>
    <row r="187" spans="1:12" x14ac:dyDescent="0.2">
      <c r="A187" s="4">
        <v>186</v>
      </c>
      <c r="B187" t="s">
        <v>278</v>
      </c>
      <c r="C187">
        <v>71.67</v>
      </c>
      <c r="D187">
        <v>15</v>
      </c>
      <c r="E187">
        <v>12</v>
      </c>
      <c r="F187">
        <v>73.010000000000005</v>
      </c>
      <c r="G187">
        <v>0</v>
      </c>
      <c r="H187">
        <v>1</v>
      </c>
      <c r="I187">
        <v>0</v>
      </c>
      <c r="J187">
        <v>2</v>
      </c>
      <c r="K187">
        <v>74.45</v>
      </c>
      <c r="L187">
        <v>68.489999999999995</v>
      </c>
    </row>
    <row r="188" spans="1:12" x14ac:dyDescent="0.2">
      <c r="A188" s="4">
        <v>187</v>
      </c>
      <c r="B188" t="s">
        <v>881</v>
      </c>
      <c r="C188">
        <v>71.64</v>
      </c>
      <c r="D188">
        <v>12</v>
      </c>
      <c r="E188">
        <v>17</v>
      </c>
      <c r="F188">
        <v>74.44</v>
      </c>
      <c r="G188">
        <v>0</v>
      </c>
      <c r="H188">
        <v>0</v>
      </c>
      <c r="I188">
        <v>0</v>
      </c>
      <c r="J188">
        <v>1</v>
      </c>
      <c r="K188">
        <v>72.25</v>
      </c>
      <c r="L188">
        <v>70.81</v>
      </c>
    </row>
    <row r="189" spans="1:12" x14ac:dyDescent="0.2">
      <c r="A189" s="4">
        <v>188</v>
      </c>
      <c r="B189" t="s">
        <v>275</v>
      </c>
      <c r="C189">
        <v>71.47</v>
      </c>
      <c r="D189">
        <v>7</v>
      </c>
      <c r="E189">
        <v>19</v>
      </c>
      <c r="F189">
        <v>78.41</v>
      </c>
      <c r="G189">
        <v>0</v>
      </c>
      <c r="H189">
        <v>1</v>
      </c>
      <c r="I189">
        <v>0</v>
      </c>
      <c r="J189">
        <v>3</v>
      </c>
      <c r="K189">
        <v>72.06</v>
      </c>
      <c r="L189">
        <v>70.67</v>
      </c>
    </row>
    <row r="190" spans="1:12" x14ac:dyDescent="0.2">
      <c r="A190" s="4">
        <v>189</v>
      </c>
      <c r="B190" t="s">
        <v>58</v>
      </c>
      <c r="C190">
        <v>71.44</v>
      </c>
      <c r="D190">
        <v>7</v>
      </c>
      <c r="E190">
        <v>21</v>
      </c>
      <c r="F190">
        <v>78.48</v>
      </c>
      <c r="G190">
        <v>0</v>
      </c>
      <c r="H190">
        <v>1</v>
      </c>
      <c r="I190">
        <v>0</v>
      </c>
      <c r="J190">
        <v>4</v>
      </c>
      <c r="K190">
        <v>71.25</v>
      </c>
      <c r="L190">
        <v>71.430000000000007</v>
      </c>
    </row>
    <row r="191" spans="1:12" x14ac:dyDescent="0.2">
      <c r="A191" s="4">
        <v>190</v>
      </c>
      <c r="B191" t="s">
        <v>825</v>
      </c>
      <c r="C191">
        <v>71.38</v>
      </c>
      <c r="D191">
        <v>17</v>
      </c>
      <c r="E191">
        <v>9</v>
      </c>
      <c r="F191">
        <v>67.62</v>
      </c>
      <c r="G191">
        <v>0</v>
      </c>
      <c r="H191">
        <v>0</v>
      </c>
      <c r="I191">
        <v>0</v>
      </c>
      <c r="J191">
        <v>1</v>
      </c>
      <c r="K191">
        <v>71.790000000000006</v>
      </c>
      <c r="L191">
        <v>70.75</v>
      </c>
    </row>
    <row r="192" spans="1:12" x14ac:dyDescent="0.2">
      <c r="A192" s="4">
        <v>191</v>
      </c>
      <c r="B192" t="s">
        <v>548</v>
      </c>
      <c r="C192">
        <v>71.19</v>
      </c>
      <c r="D192">
        <v>15</v>
      </c>
      <c r="E192">
        <v>16</v>
      </c>
      <c r="F192">
        <v>71.42</v>
      </c>
      <c r="G192">
        <v>0</v>
      </c>
      <c r="H192">
        <v>0</v>
      </c>
      <c r="I192">
        <v>0</v>
      </c>
      <c r="J192">
        <v>0</v>
      </c>
      <c r="K192">
        <v>69.58</v>
      </c>
      <c r="L192">
        <v>72.510000000000005</v>
      </c>
    </row>
    <row r="193" spans="1:12" x14ac:dyDescent="0.2">
      <c r="A193" s="4">
        <v>192</v>
      </c>
      <c r="B193" t="s">
        <v>149</v>
      </c>
      <c r="C193">
        <v>71.17</v>
      </c>
      <c r="D193">
        <v>9</v>
      </c>
      <c r="E193">
        <v>20</v>
      </c>
      <c r="F193">
        <v>73.900000000000006</v>
      </c>
      <c r="G193">
        <v>0</v>
      </c>
      <c r="H193">
        <v>0</v>
      </c>
      <c r="I193">
        <v>0</v>
      </c>
      <c r="J193">
        <v>1</v>
      </c>
      <c r="K193">
        <v>68.75</v>
      </c>
      <c r="L193">
        <v>73.23</v>
      </c>
    </row>
    <row r="194" spans="1:12" x14ac:dyDescent="0.2">
      <c r="A194" s="4">
        <v>193</v>
      </c>
      <c r="B194" t="s">
        <v>836</v>
      </c>
      <c r="C194">
        <v>71.16</v>
      </c>
      <c r="D194">
        <v>12</v>
      </c>
      <c r="E194">
        <v>17</v>
      </c>
      <c r="F194">
        <v>73.91</v>
      </c>
      <c r="G194">
        <v>0</v>
      </c>
      <c r="H194">
        <v>1</v>
      </c>
      <c r="I194">
        <v>0</v>
      </c>
      <c r="J194">
        <v>3</v>
      </c>
      <c r="K194">
        <v>70.260000000000005</v>
      </c>
      <c r="L194">
        <v>71.819999999999993</v>
      </c>
    </row>
    <row r="195" spans="1:12" x14ac:dyDescent="0.2">
      <c r="A195" s="4">
        <v>194</v>
      </c>
      <c r="B195" t="s">
        <v>903</v>
      </c>
      <c r="C195">
        <v>71.150000000000006</v>
      </c>
      <c r="D195">
        <v>13</v>
      </c>
      <c r="E195">
        <v>15</v>
      </c>
      <c r="F195">
        <v>71.14</v>
      </c>
      <c r="G195">
        <v>0</v>
      </c>
      <c r="H195">
        <v>0</v>
      </c>
      <c r="I195">
        <v>0</v>
      </c>
      <c r="J195">
        <v>2</v>
      </c>
      <c r="K195">
        <v>69.13</v>
      </c>
      <c r="L195">
        <v>72.849999999999994</v>
      </c>
    </row>
    <row r="196" spans="1:12" x14ac:dyDescent="0.2">
      <c r="A196" s="4">
        <v>195</v>
      </c>
      <c r="B196" t="s">
        <v>286</v>
      </c>
      <c r="C196">
        <v>71.13</v>
      </c>
      <c r="D196">
        <v>8</v>
      </c>
      <c r="E196">
        <v>20</v>
      </c>
      <c r="F196">
        <v>77.8</v>
      </c>
      <c r="G196">
        <v>0</v>
      </c>
      <c r="H196">
        <v>2</v>
      </c>
      <c r="I196">
        <v>0</v>
      </c>
      <c r="J196">
        <v>8</v>
      </c>
      <c r="K196">
        <v>71.849999999999994</v>
      </c>
      <c r="L196">
        <v>70.19</v>
      </c>
    </row>
    <row r="197" spans="1:12" x14ac:dyDescent="0.2">
      <c r="A197" s="4">
        <v>196</v>
      </c>
      <c r="B197" t="s">
        <v>266</v>
      </c>
      <c r="C197">
        <v>71.08</v>
      </c>
      <c r="D197">
        <v>19</v>
      </c>
      <c r="E197">
        <v>13</v>
      </c>
      <c r="F197">
        <v>69.02</v>
      </c>
      <c r="G197">
        <v>0</v>
      </c>
      <c r="H197">
        <v>1</v>
      </c>
      <c r="I197">
        <v>0</v>
      </c>
      <c r="J197">
        <v>1</v>
      </c>
      <c r="K197">
        <v>71</v>
      </c>
      <c r="L197">
        <v>70.94</v>
      </c>
    </row>
    <row r="198" spans="1:12" x14ac:dyDescent="0.2">
      <c r="A198" s="4">
        <v>197</v>
      </c>
      <c r="B198" t="s">
        <v>284</v>
      </c>
      <c r="C198">
        <v>71.06</v>
      </c>
      <c r="D198">
        <v>15</v>
      </c>
      <c r="E198">
        <v>16</v>
      </c>
      <c r="F198">
        <v>73.25</v>
      </c>
      <c r="G198">
        <v>0</v>
      </c>
      <c r="H198">
        <v>2</v>
      </c>
      <c r="I198">
        <v>1</v>
      </c>
      <c r="J198">
        <v>3</v>
      </c>
      <c r="K198">
        <v>72.540000000000006</v>
      </c>
      <c r="L198">
        <v>69.3</v>
      </c>
    </row>
    <row r="199" spans="1:12" x14ac:dyDescent="0.2">
      <c r="A199" s="4">
        <v>198</v>
      </c>
      <c r="B199" t="s">
        <v>95</v>
      </c>
      <c r="C199">
        <v>71.010000000000005</v>
      </c>
      <c r="D199">
        <v>12</v>
      </c>
      <c r="E199">
        <v>13</v>
      </c>
      <c r="F199">
        <v>72.260000000000005</v>
      </c>
      <c r="G199">
        <v>0</v>
      </c>
      <c r="H199">
        <v>0</v>
      </c>
      <c r="I199">
        <v>0</v>
      </c>
      <c r="J199">
        <v>1</v>
      </c>
      <c r="K199">
        <v>72.28</v>
      </c>
      <c r="L199">
        <v>69.47</v>
      </c>
    </row>
    <row r="200" spans="1:12" x14ac:dyDescent="0.2">
      <c r="A200" s="4">
        <v>199</v>
      </c>
      <c r="B200" t="s">
        <v>291</v>
      </c>
      <c r="C200">
        <v>70.97</v>
      </c>
      <c r="D200">
        <v>16</v>
      </c>
      <c r="E200">
        <v>12</v>
      </c>
      <c r="F200">
        <v>69.430000000000007</v>
      </c>
      <c r="G200">
        <v>0</v>
      </c>
      <c r="H200">
        <v>0</v>
      </c>
      <c r="I200">
        <v>0</v>
      </c>
      <c r="J200">
        <v>0</v>
      </c>
      <c r="K200">
        <v>72.67</v>
      </c>
      <c r="L200">
        <v>68.95</v>
      </c>
    </row>
    <row r="201" spans="1:12" x14ac:dyDescent="0.2">
      <c r="A201" s="4">
        <v>200</v>
      </c>
      <c r="B201" t="s">
        <v>238</v>
      </c>
      <c r="C201">
        <v>70.95</v>
      </c>
      <c r="D201">
        <v>11</v>
      </c>
      <c r="E201">
        <v>18</v>
      </c>
      <c r="F201">
        <v>73.64</v>
      </c>
      <c r="G201">
        <v>0</v>
      </c>
      <c r="H201">
        <v>0</v>
      </c>
      <c r="I201">
        <v>0</v>
      </c>
      <c r="J201">
        <v>0</v>
      </c>
      <c r="K201">
        <v>70.569999999999993</v>
      </c>
      <c r="L201">
        <v>71.11</v>
      </c>
    </row>
    <row r="202" spans="1:12" x14ac:dyDescent="0.2">
      <c r="A202" s="4">
        <v>201</v>
      </c>
      <c r="B202" t="s">
        <v>83</v>
      </c>
      <c r="C202">
        <v>70.95</v>
      </c>
      <c r="D202">
        <v>12</v>
      </c>
      <c r="E202">
        <v>14</v>
      </c>
      <c r="F202">
        <v>73</v>
      </c>
      <c r="G202">
        <v>0</v>
      </c>
      <c r="H202">
        <v>0</v>
      </c>
      <c r="I202">
        <v>0</v>
      </c>
      <c r="J202">
        <v>1</v>
      </c>
      <c r="K202">
        <v>71.73</v>
      </c>
      <c r="L202">
        <v>69.930000000000007</v>
      </c>
    </row>
    <row r="203" spans="1:12" x14ac:dyDescent="0.2">
      <c r="A203" s="4">
        <v>202</v>
      </c>
      <c r="B203" t="s">
        <v>797</v>
      </c>
      <c r="C203">
        <v>70.900000000000006</v>
      </c>
      <c r="D203">
        <v>15</v>
      </c>
      <c r="E203">
        <v>18</v>
      </c>
      <c r="F203">
        <v>72.989999999999995</v>
      </c>
      <c r="G203">
        <v>0</v>
      </c>
      <c r="H203">
        <v>0</v>
      </c>
      <c r="I203">
        <v>0</v>
      </c>
      <c r="J203">
        <v>0</v>
      </c>
      <c r="K203">
        <v>71.709999999999994</v>
      </c>
      <c r="L203">
        <v>69.86</v>
      </c>
    </row>
    <row r="204" spans="1:12" x14ac:dyDescent="0.2">
      <c r="A204" s="4">
        <v>203</v>
      </c>
      <c r="B204" t="s">
        <v>123</v>
      </c>
      <c r="C204">
        <v>70.599999999999994</v>
      </c>
      <c r="D204">
        <v>10</v>
      </c>
      <c r="E204">
        <v>14</v>
      </c>
      <c r="F204">
        <v>72.599999999999994</v>
      </c>
      <c r="G204">
        <v>0</v>
      </c>
      <c r="H204">
        <v>0</v>
      </c>
      <c r="I204">
        <v>0</v>
      </c>
      <c r="J204">
        <v>0</v>
      </c>
      <c r="K204">
        <v>70.790000000000006</v>
      </c>
      <c r="L204">
        <v>70.209999999999994</v>
      </c>
    </row>
    <row r="205" spans="1:12" x14ac:dyDescent="0.2">
      <c r="A205" s="4">
        <v>204</v>
      </c>
      <c r="B205" t="s">
        <v>901</v>
      </c>
      <c r="C205">
        <v>70.599999999999994</v>
      </c>
      <c r="D205">
        <v>12</v>
      </c>
      <c r="E205">
        <v>17</v>
      </c>
      <c r="F205">
        <v>72.81</v>
      </c>
      <c r="G205">
        <v>0</v>
      </c>
      <c r="H205">
        <v>0</v>
      </c>
      <c r="I205">
        <v>0</v>
      </c>
      <c r="J205">
        <v>1</v>
      </c>
      <c r="K205">
        <v>70.010000000000005</v>
      </c>
      <c r="L205">
        <v>70.959999999999994</v>
      </c>
    </row>
    <row r="206" spans="1:12" x14ac:dyDescent="0.2">
      <c r="A206" s="4">
        <v>205</v>
      </c>
      <c r="B206" t="s">
        <v>143</v>
      </c>
      <c r="C206">
        <v>70.55</v>
      </c>
      <c r="D206">
        <v>11</v>
      </c>
      <c r="E206">
        <v>18</v>
      </c>
      <c r="F206">
        <v>74.05</v>
      </c>
      <c r="G206">
        <v>0</v>
      </c>
      <c r="H206">
        <v>0</v>
      </c>
      <c r="I206">
        <v>0</v>
      </c>
      <c r="J206">
        <v>3</v>
      </c>
      <c r="K206">
        <v>70.37</v>
      </c>
      <c r="L206">
        <v>70.52</v>
      </c>
    </row>
    <row r="207" spans="1:12" x14ac:dyDescent="0.2">
      <c r="A207" s="4">
        <v>206</v>
      </c>
      <c r="B207" t="s">
        <v>178</v>
      </c>
      <c r="C207">
        <v>70.5</v>
      </c>
      <c r="D207">
        <v>10</v>
      </c>
      <c r="E207">
        <v>19</v>
      </c>
      <c r="F207">
        <v>75.02</v>
      </c>
      <c r="G207">
        <v>0</v>
      </c>
      <c r="H207">
        <v>0</v>
      </c>
      <c r="I207">
        <v>0</v>
      </c>
      <c r="J207">
        <v>2</v>
      </c>
      <c r="K207">
        <v>70.290000000000006</v>
      </c>
      <c r="L207">
        <v>70.489999999999995</v>
      </c>
    </row>
    <row r="208" spans="1:12" x14ac:dyDescent="0.2">
      <c r="A208" s="4">
        <v>207</v>
      </c>
      <c r="B208" t="s">
        <v>564</v>
      </c>
      <c r="C208">
        <v>70.459999999999994</v>
      </c>
      <c r="D208">
        <v>12</v>
      </c>
      <c r="E208">
        <v>13</v>
      </c>
      <c r="F208">
        <v>70.86</v>
      </c>
      <c r="G208">
        <v>0</v>
      </c>
      <c r="H208">
        <v>0</v>
      </c>
      <c r="I208">
        <v>0</v>
      </c>
      <c r="J208">
        <v>0</v>
      </c>
      <c r="K208">
        <v>69.510000000000005</v>
      </c>
      <c r="L208">
        <v>71.17</v>
      </c>
    </row>
    <row r="209" spans="1:12" x14ac:dyDescent="0.2">
      <c r="A209" s="4">
        <v>208</v>
      </c>
      <c r="B209" t="s">
        <v>228</v>
      </c>
      <c r="C209">
        <v>70.45</v>
      </c>
      <c r="D209">
        <v>13</v>
      </c>
      <c r="E209">
        <v>19</v>
      </c>
      <c r="F209">
        <v>73.03</v>
      </c>
      <c r="G209">
        <v>0</v>
      </c>
      <c r="H209">
        <v>1</v>
      </c>
      <c r="I209">
        <v>0</v>
      </c>
      <c r="J209">
        <v>1</v>
      </c>
      <c r="K209">
        <v>70.040000000000006</v>
      </c>
      <c r="L209">
        <v>70.63</v>
      </c>
    </row>
    <row r="210" spans="1:12" x14ac:dyDescent="0.2">
      <c r="A210" s="4">
        <v>209</v>
      </c>
      <c r="B210" t="s">
        <v>289</v>
      </c>
      <c r="C210">
        <v>70.39</v>
      </c>
      <c r="D210">
        <v>13</v>
      </c>
      <c r="E210">
        <v>13</v>
      </c>
      <c r="F210">
        <v>70.260000000000005</v>
      </c>
      <c r="G210">
        <v>0</v>
      </c>
      <c r="H210">
        <v>0</v>
      </c>
      <c r="I210">
        <v>0</v>
      </c>
      <c r="J210">
        <v>0</v>
      </c>
      <c r="K210">
        <v>70.05</v>
      </c>
      <c r="L210">
        <v>70.52</v>
      </c>
    </row>
    <row r="211" spans="1:12" x14ac:dyDescent="0.2">
      <c r="A211" s="4">
        <v>210</v>
      </c>
      <c r="B211" t="s">
        <v>835</v>
      </c>
      <c r="C211">
        <v>70.08</v>
      </c>
      <c r="D211">
        <v>19</v>
      </c>
      <c r="E211">
        <v>14</v>
      </c>
      <c r="F211">
        <v>69.72</v>
      </c>
      <c r="G211">
        <v>0</v>
      </c>
      <c r="H211">
        <v>3</v>
      </c>
      <c r="I211">
        <v>0</v>
      </c>
      <c r="J211">
        <v>3</v>
      </c>
      <c r="K211">
        <v>71.260000000000005</v>
      </c>
      <c r="L211">
        <v>68.63</v>
      </c>
    </row>
    <row r="212" spans="1:12" x14ac:dyDescent="0.2">
      <c r="A212" s="4">
        <v>211</v>
      </c>
      <c r="B212" t="s">
        <v>297</v>
      </c>
      <c r="C212">
        <v>69.92</v>
      </c>
      <c r="D212">
        <v>12</v>
      </c>
      <c r="E212">
        <v>15</v>
      </c>
      <c r="F212">
        <v>71.540000000000006</v>
      </c>
      <c r="G212">
        <v>0</v>
      </c>
      <c r="H212">
        <v>0</v>
      </c>
      <c r="I212">
        <v>0</v>
      </c>
      <c r="J212">
        <v>0</v>
      </c>
      <c r="K212">
        <v>70.22</v>
      </c>
      <c r="L212">
        <v>69.400000000000006</v>
      </c>
    </row>
    <row r="213" spans="1:12" x14ac:dyDescent="0.2">
      <c r="A213" s="4">
        <v>212</v>
      </c>
      <c r="B213" t="s">
        <v>817</v>
      </c>
      <c r="C213">
        <v>69.849999999999994</v>
      </c>
      <c r="D213">
        <v>6</v>
      </c>
      <c r="E213">
        <v>23</v>
      </c>
      <c r="F213">
        <v>78.87</v>
      </c>
      <c r="G213">
        <v>0</v>
      </c>
      <c r="H213">
        <v>4</v>
      </c>
      <c r="I213">
        <v>0</v>
      </c>
      <c r="J213">
        <v>5</v>
      </c>
      <c r="K213">
        <v>69.09</v>
      </c>
      <c r="L213">
        <v>70.37</v>
      </c>
    </row>
    <row r="214" spans="1:12" x14ac:dyDescent="0.2">
      <c r="A214" s="4">
        <v>213</v>
      </c>
      <c r="B214" t="s">
        <v>827</v>
      </c>
      <c r="C214">
        <v>69.83</v>
      </c>
      <c r="D214">
        <v>19</v>
      </c>
      <c r="E214">
        <v>12</v>
      </c>
      <c r="F214">
        <v>65.67</v>
      </c>
      <c r="G214">
        <v>0</v>
      </c>
      <c r="H214">
        <v>0</v>
      </c>
      <c r="I214">
        <v>0</v>
      </c>
      <c r="J214">
        <v>0</v>
      </c>
      <c r="K214">
        <v>69.12</v>
      </c>
      <c r="L214">
        <v>70.3</v>
      </c>
    </row>
    <row r="215" spans="1:12" x14ac:dyDescent="0.2">
      <c r="A215" s="4">
        <v>214</v>
      </c>
      <c r="B215" t="s">
        <v>181</v>
      </c>
      <c r="C215">
        <v>69.739999999999995</v>
      </c>
      <c r="D215">
        <v>6</v>
      </c>
      <c r="E215">
        <v>22</v>
      </c>
      <c r="F215">
        <v>77.3</v>
      </c>
      <c r="G215">
        <v>0</v>
      </c>
      <c r="H215">
        <v>0</v>
      </c>
      <c r="I215">
        <v>1</v>
      </c>
      <c r="J215">
        <v>0</v>
      </c>
      <c r="K215">
        <v>69.489999999999995</v>
      </c>
      <c r="L215">
        <v>69.760000000000005</v>
      </c>
    </row>
    <row r="216" spans="1:12" x14ac:dyDescent="0.2">
      <c r="A216" s="4">
        <v>215</v>
      </c>
      <c r="B216" t="s">
        <v>87</v>
      </c>
      <c r="C216">
        <v>69.69</v>
      </c>
      <c r="D216">
        <v>14</v>
      </c>
      <c r="E216">
        <v>16</v>
      </c>
      <c r="F216">
        <v>69.86</v>
      </c>
      <c r="G216">
        <v>0</v>
      </c>
      <c r="H216">
        <v>0</v>
      </c>
      <c r="I216">
        <v>0</v>
      </c>
      <c r="J216">
        <v>0</v>
      </c>
      <c r="K216">
        <v>70.19</v>
      </c>
      <c r="L216">
        <v>68.95</v>
      </c>
    </row>
    <row r="217" spans="1:12" x14ac:dyDescent="0.2">
      <c r="A217" s="4">
        <v>216</v>
      </c>
      <c r="B217" t="s">
        <v>808</v>
      </c>
      <c r="C217">
        <v>69.63</v>
      </c>
      <c r="D217">
        <v>13</v>
      </c>
      <c r="E217">
        <v>15</v>
      </c>
      <c r="F217">
        <v>71.62</v>
      </c>
      <c r="G217">
        <v>0</v>
      </c>
      <c r="H217">
        <v>1</v>
      </c>
      <c r="I217">
        <v>0</v>
      </c>
      <c r="J217">
        <v>2</v>
      </c>
      <c r="K217">
        <v>71.12</v>
      </c>
      <c r="L217">
        <v>67.790000000000006</v>
      </c>
    </row>
    <row r="218" spans="1:12" x14ac:dyDescent="0.2">
      <c r="A218" s="4">
        <v>217</v>
      </c>
      <c r="B218" t="s">
        <v>267</v>
      </c>
      <c r="C218">
        <v>69.45</v>
      </c>
      <c r="D218">
        <v>13</v>
      </c>
      <c r="E218">
        <v>15</v>
      </c>
      <c r="F218">
        <v>71.94</v>
      </c>
      <c r="G218">
        <v>0</v>
      </c>
      <c r="H218">
        <v>0</v>
      </c>
      <c r="I218">
        <v>0</v>
      </c>
      <c r="J218">
        <v>1</v>
      </c>
      <c r="K218">
        <v>70.39</v>
      </c>
      <c r="L218">
        <v>68.239999999999995</v>
      </c>
    </row>
    <row r="219" spans="1:12" x14ac:dyDescent="0.2">
      <c r="A219" s="4">
        <v>218</v>
      </c>
      <c r="B219" t="s">
        <v>144</v>
      </c>
      <c r="C219">
        <v>69.37</v>
      </c>
      <c r="D219">
        <v>11</v>
      </c>
      <c r="E219">
        <v>16</v>
      </c>
      <c r="F219">
        <v>72.989999999999995</v>
      </c>
      <c r="G219">
        <v>0</v>
      </c>
      <c r="H219">
        <v>1</v>
      </c>
      <c r="I219">
        <v>0</v>
      </c>
      <c r="J219">
        <v>2</v>
      </c>
      <c r="K219">
        <v>69.59</v>
      </c>
      <c r="L219">
        <v>68.930000000000007</v>
      </c>
    </row>
    <row r="220" spans="1:12" x14ac:dyDescent="0.2">
      <c r="A220" s="4">
        <v>219</v>
      </c>
      <c r="B220" t="s">
        <v>161</v>
      </c>
      <c r="C220">
        <v>69.31</v>
      </c>
      <c r="D220">
        <v>16</v>
      </c>
      <c r="E220">
        <v>13</v>
      </c>
      <c r="F220">
        <v>68.83</v>
      </c>
      <c r="G220">
        <v>0</v>
      </c>
      <c r="H220">
        <v>0</v>
      </c>
      <c r="I220">
        <v>0</v>
      </c>
      <c r="J220">
        <v>1</v>
      </c>
      <c r="K220">
        <v>69.349999999999994</v>
      </c>
      <c r="L220">
        <v>69.06</v>
      </c>
    </row>
    <row r="221" spans="1:12" x14ac:dyDescent="0.2">
      <c r="A221" s="4">
        <v>220</v>
      </c>
      <c r="B221" t="s">
        <v>150</v>
      </c>
      <c r="C221">
        <v>69.239999999999995</v>
      </c>
      <c r="D221">
        <v>11</v>
      </c>
      <c r="E221">
        <v>20</v>
      </c>
      <c r="F221">
        <v>72.47</v>
      </c>
      <c r="G221">
        <v>0</v>
      </c>
      <c r="H221">
        <v>0</v>
      </c>
      <c r="I221">
        <v>0</v>
      </c>
      <c r="J221">
        <v>0</v>
      </c>
      <c r="K221">
        <v>67.55</v>
      </c>
      <c r="L221">
        <v>70.569999999999993</v>
      </c>
    </row>
    <row r="222" spans="1:12" x14ac:dyDescent="0.2">
      <c r="A222" s="4">
        <v>221</v>
      </c>
      <c r="B222" t="s">
        <v>255</v>
      </c>
      <c r="C222">
        <v>69.12</v>
      </c>
      <c r="D222">
        <v>8</v>
      </c>
      <c r="E222">
        <v>17</v>
      </c>
      <c r="F222">
        <v>74.84</v>
      </c>
      <c r="G222">
        <v>0</v>
      </c>
      <c r="H222">
        <v>1</v>
      </c>
      <c r="I222">
        <v>0</v>
      </c>
      <c r="J222">
        <v>2</v>
      </c>
      <c r="K222">
        <v>69.95</v>
      </c>
      <c r="L222">
        <v>68.040000000000006</v>
      </c>
    </row>
    <row r="223" spans="1:12" x14ac:dyDescent="0.2">
      <c r="A223" s="4">
        <v>222</v>
      </c>
      <c r="B223" t="s">
        <v>237</v>
      </c>
      <c r="C223">
        <v>69.06</v>
      </c>
      <c r="D223">
        <v>13</v>
      </c>
      <c r="E223">
        <v>15</v>
      </c>
      <c r="F223">
        <v>69.67</v>
      </c>
      <c r="G223">
        <v>0</v>
      </c>
      <c r="H223">
        <v>0</v>
      </c>
      <c r="I223">
        <v>0</v>
      </c>
      <c r="J223">
        <v>0</v>
      </c>
      <c r="K223">
        <v>68.22</v>
      </c>
      <c r="L223">
        <v>69.66</v>
      </c>
    </row>
    <row r="224" spans="1:12" x14ac:dyDescent="0.2">
      <c r="A224" s="4">
        <v>223</v>
      </c>
      <c r="B224" t="s">
        <v>896</v>
      </c>
      <c r="C224">
        <v>69.03</v>
      </c>
      <c r="D224">
        <v>15</v>
      </c>
      <c r="E224">
        <v>14</v>
      </c>
      <c r="F224">
        <v>68.8</v>
      </c>
      <c r="G224">
        <v>0</v>
      </c>
      <c r="H224">
        <v>0</v>
      </c>
      <c r="I224">
        <v>0</v>
      </c>
      <c r="J224">
        <v>1</v>
      </c>
      <c r="K224">
        <v>69.180000000000007</v>
      </c>
      <c r="L224">
        <v>68.67</v>
      </c>
    </row>
    <row r="225" spans="1:12" x14ac:dyDescent="0.2">
      <c r="A225" s="4">
        <v>224</v>
      </c>
      <c r="B225" t="s">
        <v>298</v>
      </c>
      <c r="C225">
        <v>69.03</v>
      </c>
      <c r="D225">
        <v>12</v>
      </c>
      <c r="E225">
        <v>16</v>
      </c>
      <c r="F225">
        <v>70.930000000000007</v>
      </c>
      <c r="G225">
        <v>0</v>
      </c>
      <c r="H225">
        <v>0</v>
      </c>
      <c r="I225">
        <v>0</v>
      </c>
      <c r="J225">
        <v>0</v>
      </c>
      <c r="K225">
        <v>69.02</v>
      </c>
      <c r="L225">
        <v>68.819999999999993</v>
      </c>
    </row>
    <row r="226" spans="1:12" x14ac:dyDescent="0.2">
      <c r="A226" s="4">
        <v>225</v>
      </c>
      <c r="B226" t="s">
        <v>243</v>
      </c>
      <c r="C226">
        <v>68.930000000000007</v>
      </c>
      <c r="D226">
        <v>8</v>
      </c>
      <c r="E226">
        <v>18</v>
      </c>
      <c r="F226">
        <v>75.989999999999995</v>
      </c>
      <c r="G226">
        <v>0</v>
      </c>
      <c r="H226">
        <v>0</v>
      </c>
      <c r="I226">
        <v>0</v>
      </c>
      <c r="J226">
        <v>0</v>
      </c>
      <c r="K226">
        <v>70.8</v>
      </c>
      <c r="L226">
        <v>66.61</v>
      </c>
    </row>
    <row r="227" spans="1:12" x14ac:dyDescent="0.2">
      <c r="A227" s="4">
        <v>226</v>
      </c>
      <c r="B227" t="s">
        <v>206</v>
      </c>
      <c r="C227">
        <v>68.83</v>
      </c>
      <c r="D227">
        <v>9</v>
      </c>
      <c r="E227">
        <v>17</v>
      </c>
      <c r="F227">
        <v>72.87</v>
      </c>
      <c r="G227">
        <v>0</v>
      </c>
      <c r="H227">
        <v>0</v>
      </c>
      <c r="I227">
        <v>0</v>
      </c>
      <c r="J227">
        <v>0</v>
      </c>
      <c r="K227">
        <v>68.53</v>
      </c>
      <c r="L227">
        <v>68.91</v>
      </c>
    </row>
    <row r="228" spans="1:12" x14ac:dyDescent="0.2">
      <c r="A228" s="4">
        <v>227</v>
      </c>
      <c r="B228" t="s">
        <v>8</v>
      </c>
      <c r="C228">
        <v>68.8</v>
      </c>
      <c r="D228">
        <v>8</v>
      </c>
      <c r="E228">
        <v>19</v>
      </c>
      <c r="F228">
        <v>74.91</v>
      </c>
      <c r="G228">
        <v>0</v>
      </c>
      <c r="H228">
        <v>2</v>
      </c>
      <c r="I228">
        <v>0</v>
      </c>
      <c r="J228">
        <v>7</v>
      </c>
      <c r="K228">
        <v>68.33</v>
      </c>
      <c r="L228">
        <v>69.05</v>
      </c>
    </row>
    <row r="229" spans="1:12" x14ac:dyDescent="0.2">
      <c r="A229" s="4">
        <v>228</v>
      </c>
      <c r="B229" t="s">
        <v>295</v>
      </c>
      <c r="C229">
        <v>68.77</v>
      </c>
      <c r="D229">
        <v>12</v>
      </c>
      <c r="E229">
        <v>14</v>
      </c>
      <c r="F229">
        <v>71.06</v>
      </c>
      <c r="G229">
        <v>0</v>
      </c>
      <c r="H229">
        <v>0</v>
      </c>
      <c r="I229">
        <v>0</v>
      </c>
      <c r="J229">
        <v>1</v>
      </c>
      <c r="K229">
        <v>69.459999999999994</v>
      </c>
      <c r="L229">
        <v>67.83</v>
      </c>
    </row>
    <row r="230" spans="1:12" x14ac:dyDescent="0.2">
      <c r="A230" s="4">
        <v>229</v>
      </c>
      <c r="B230" t="s">
        <v>110</v>
      </c>
      <c r="C230">
        <v>68.75</v>
      </c>
      <c r="D230">
        <v>9</v>
      </c>
      <c r="E230">
        <v>18</v>
      </c>
      <c r="F230">
        <v>73.84</v>
      </c>
      <c r="G230">
        <v>0</v>
      </c>
      <c r="H230">
        <v>1</v>
      </c>
      <c r="I230">
        <v>0</v>
      </c>
      <c r="J230">
        <v>2</v>
      </c>
      <c r="K230">
        <v>70.08</v>
      </c>
      <c r="L230">
        <v>67.08</v>
      </c>
    </row>
    <row r="231" spans="1:12" x14ac:dyDescent="0.2">
      <c r="A231" s="4">
        <v>230</v>
      </c>
      <c r="B231" t="s">
        <v>158</v>
      </c>
      <c r="C231">
        <v>68.55</v>
      </c>
      <c r="D231">
        <v>7</v>
      </c>
      <c r="E231">
        <v>18</v>
      </c>
      <c r="F231">
        <v>74.739999999999995</v>
      </c>
      <c r="G231">
        <v>0</v>
      </c>
      <c r="H231">
        <v>0</v>
      </c>
      <c r="I231">
        <v>0</v>
      </c>
      <c r="J231">
        <v>1</v>
      </c>
      <c r="K231">
        <v>68.25</v>
      </c>
      <c r="L231">
        <v>68.63</v>
      </c>
    </row>
    <row r="232" spans="1:12" x14ac:dyDescent="0.2">
      <c r="A232" s="4">
        <v>231</v>
      </c>
      <c r="B232" t="s">
        <v>816</v>
      </c>
      <c r="C232">
        <v>68.53</v>
      </c>
      <c r="D232">
        <v>13</v>
      </c>
      <c r="E232">
        <v>16</v>
      </c>
      <c r="F232">
        <v>70.14</v>
      </c>
      <c r="G232">
        <v>0</v>
      </c>
      <c r="H232">
        <v>0</v>
      </c>
      <c r="I232">
        <v>0</v>
      </c>
      <c r="J232">
        <v>1</v>
      </c>
      <c r="K232">
        <v>68.510000000000005</v>
      </c>
      <c r="L232">
        <v>68.319999999999993</v>
      </c>
    </row>
    <row r="233" spans="1:12" x14ac:dyDescent="0.2">
      <c r="A233" s="4">
        <v>232</v>
      </c>
      <c r="B233" t="s">
        <v>869</v>
      </c>
      <c r="C233">
        <v>68.489999999999995</v>
      </c>
      <c r="D233">
        <v>14</v>
      </c>
      <c r="E233">
        <v>12</v>
      </c>
      <c r="F233">
        <v>67.77</v>
      </c>
      <c r="G233">
        <v>0</v>
      </c>
      <c r="H233">
        <v>0</v>
      </c>
      <c r="I233">
        <v>0</v>
      </c>
      <c r="J233">
        <v>0</v>
      </c>
      <c r="K233">
        <v>69.05</v>
      </c>
      <c r="L233">
        <v>67.7</v>
      </c>
    </row>
    <row r="234" spans="1:12" x14ac:dyDescent="0.2">
      <c r="A234" s="4">
        <v>233</v>
      </c>
      <c r="B234" t="s">
        <v>839</v>
      </c>
      <c r="C234">
        <v>68.430000000000007</v>
      </c>
      <c r="D234">
        <v>10</v>
      </c>
      <c r="E234">
        <v>20</v>
      </c>
      <c r="F234">
        <v>73.92</v>
      </c>
      <c r="G234">
        <v>0</v>
      </c>
      <c r="H234">
        <v>0</v>
      </c>
      <c r="I234">
        <v>0</v>
      </c>
      <c r="J234">
        <v>2</v>
      </c>
      <c r="K234">
        <v>68.92</v>
      </c>
      <c r="L234">
        <v>67.709999999999994</v>
      </c>
    </row>
    <row r="235" spans="1:12" x14ac:dyDescent="0.2">
      <c r="A235" s="4">
        <v>234</v>
      </c>
      <c r="B235" t="s">
        <v>282</v>
      </c>
      <c r="C235">
        <v>68.38</v>
      </c>
      <c r="D235">
        <v>14</v>
      </c>
      <c r="E235">
        <v>12</v>
      </c>
      <c r="F235">
        <v>67.5</v>
      </c>
      <c r="G235">
        <v>0</v>
      </c>
      <c r="H235">
        <v>0</v>
      </c>
      <c r="I235">
        <v>0</v>
      </c>
      <c r="J235">
        <v>0</v>
      </c>
      <c r="K235">
        <v>70.58</v>
      </c>
      <c r="L235">
        <v>65.56</v>
      </c>
    </row>
    <row r="236" spans="1:12" x14ac:dyDescent="0.2">
      <c r="A236" s="4">
        <v>235</v>
      </c>
      <c r="B236" t="s">
        <v>824</v>
      </c>
      <c r="C236">
        <v>68.319999999999993</v>
      </c>
      <c r="D236">
        <v>9</v>
      </c>
      <c r="E236">
        <v>19</v>
      </c>
      <c r="F236">
        <v>73.67</v>
      </c>
      <c r="G236">
        <v>0</v>
      </c>
      <c r="H236">
        <v>1</v>
      </c>
      <c r="I236">
        <v>0</v>
      </c>
      <c r="J236">
        <v>1</v>
      </c>
      <c r="K236">
        <v>68.260000000000005</v>
      </c>
      <c r="L236">
        <v>68.16</v>
      </c>
    </row>
    <row r="237" spans="1:12" x14ac:dyDescent="0.2">
      <c r="A237" s="4">
        <v>236</v>
      </c>
      <c r="B237" t="s">
        <v>832</v>
      </c>
      <c r="C237">
        <v>68.260000000000005</v>
      </c>
      <c r="D237">
        <v>14</v>
      </c>
      <c r="E237">
        <v>15</v>
      </c>
      <c r="F237">
        <v>70.75</v>
      </c>
      <c r="G237">
        <v>0</v>
      </c>
      <c r="H237">
        <v>1</v>
      </c>
      <c r="I237">
        <v>0</v>
      </c>
      <c r="J237">
        <v>4</v>
      </c>
      <c r="K237">
        <v>69.02</v>
      </c>
      <c r="L237">
        <v>67.25</v>
      </c>
    </row>
    <row r="238" spans="1:12" x14ac:dyDescent="0.2">
      <c r="A238" s="4">
        <v>237</v>
      </c>
      <c r="B238" t="s">
        <v>840</v>
      </c>
      <c r="C238">
        <v>68.180000000000007</v>
      </c>
      <c r="D238">
        <v>7</v>
      </c>
      <c r="E238">
        <v>17</v>
      </c>
      <c r="F238">
        <v>74.91</v>
      </c>
      <c r="G238">
        <v>0</v>
      </c>
      <c r="H238">
        <v>1</v>
      </c>
      <c r="I238">
        <v>0</v>
      </c>
      <c r="J238">
        <v>3</v>
      </c>
      <c r="K238">
        <v>68.52</v>
      </c>
      <c r="L238">
        <v>67.62</v>
      </c>
    </row>
    <row r="239" spans="1:12" x14ac:dyDescent="0.2">
      <c r="A239" s="4">
        <v>238</v>
      </c>
      <c r="B239" t="s">
        <v>253</v>
      </c>
      <c r="C239">
        <v>68.16</v>
      </c>
      <c r="D239">
        <v>17</v>
      </c>
      <c r="E239">
        <v>13</v>
      </c>
      <c r="F239">
        <v>66.77</v>
      </c>
      <c r="G239">
        <v>0</v>
      </c>
      <c r="H239">
        <v>0</v>
      </c>
      <c r="I239">
        <v>0</v>
      </c>
      <c r="J239">
        <v>0</v>
      </c>
      <c r="K239">
        <v>69.28</v>
      </c>
      <c r="L239">
        <v>66.739999999999995</v>
      </c>
    </row>
    <row r="240" spans="1:12" x14ac:dyDescent="0.2">
      <c r="A240" s="4">
        <v>239</v>
      </c>
      <c r="B240" t="s">
        <v>166</v>
      </c>
      <c r="C240">
        <v>68.05</v>
      </c>
      <c r="D240">
        <v>13</v>
      </c>
      <c r="E240">
        <v>17</v>
      </c>
      <c r="F240">
        <v>69.53</v>
      </c>
      <c r="G240">
        <v>0</v>
      </c>
      <c r="H240">
        <v>0</v>
      </c>
      <c r="I240">
        <v>0</v>
      </c>
      <c r="J240">
        <v>0</v>
      </c>
      <c r="K240">
        <v>67.14</v>
      </c>
      <c r="L240">
        <v>68.7</v>
      </c>
    </row>
    <row r="241" spans="1:12" x14ac:dyDescent="0.2">
      <c r="A241" s="4">
        <v>240</v>
      </c>
      <c r="B241" t="s">
        <v>823</v>
      </c>
      <c r="C241">
        <v>68.040000000000006</v>
      </c>
      <c r="D241">
        <v>12</v>
      </c>
      <c r="E241">
        <v>14</v>
      </c>
      <c r="F241">
        <v>69.41</v>
      </c>
      <c r="G241">
        <v>0</v>
      </c>
      <c r="H241">
        <v>0</v>
      </c>
      <c r="I241">
        <v>0</v>
      </c>
      <c r="J241">
        <v>0</v>
      </c>
      <c r="K241">
        <v>68.45</v>
      </c>
      <c r="L241">
        <v>67.41</v>
      </c>
    </row>
    <row r="242" spans="1:12" x14ac:dyDescent="0.2">
      <c r="A242" s="4">
        <v>241</v>
      </c>
      <c r="B242" t="s">
        <v>257</v>
      </c>
      <c r="C242">
        <v>67.95</v>
      </c>
      <c r="D242">
        <v>7</v>
      </c>
      <c r="E242">
        <v>21</v>
      </c>
      <c r="F242">
        <v>73.739999999999995</v>
      </c>
      <c r="G242">
        <v>0</v>
      </c>
      <c r="H242">
        <v>0</v>
      </c>
      <c r="I242">
        <v>0</v>
      </c>
      <c r="J242">
        <v>3</v>
      </c>
      <c r="K242">
        <v>66.52</v>
      </c>
      <c r="L242">
        <v>69.040000000000006</v>
      </c>
    </row>
    <row r="243" spans="1:12" x14ac:dyDescent="0.2">
      <c r="A243" s="4">
        <v>242</v>
      </c>
      <c r="B243" t="s">
        <v>140</v>
      </c>
      <c r="C243">
        <v>67.900000000000006</v>
      </c>
      <c r="D243">
        <v>10</v>
      </c>
      <c r="E243">
        <v>16</v>
      </c>
      <c r="F243">
        <v>71.41</v>
      </c>
      <c r="G243">
        <v>0</v>
      </c>
      <c r="H243">
        <v>0</v>
      </c>
      <c r="I243">
        <v>0</v>
      </c>
      <c r="J243">
        <v>1</v>
      </c>
      <c r="K243">
        <v>67.760000000000005</v>
      </c>
      <c r="L243">
        <v>67.83</v>
      </c>
    </row>
    <row r="244" spans="1:12" x14ac:dyDescent="0.2">
      <c r="A244" s="4">
        <v>243</v>
      </c>
      <c r="B244" t="s">
        <v>164</v>
      </c>
      <c r="C244">
        <v>67.81</v>
      </c>
      <c r="D244">
        <v>11</v>
      </c>
      <c r="E244">
        <v>15</v>
      </c>
      <c r="F244">
        <v>71.28</v>
      </c>
      <c r="G244">
        <v>0</v>
      </c>
      <c r="H244">
        <v>0</v>
      </c>
      <c r="I244">
        <v>0</v>
      </c>
      <c r="J244">
        <v>1</v>
      </c>
      <c r="K244">
        <v>69.260000000000005</v>
      </c>
      <c r="L244">
        <v>65.95</v>
      </c>
    </row>
    <row r="245" spans="1:12" x14ac:dyDescent="0.2">
      <c r="A245" s="4">
        <v>244</v>
      </c>
      <c r="B245" t="s">
        <v>893</v>
      </c>
      <c r="C245">
        <v>67.78</v>
      </c>
      <c r="D245">
        <v>14</v>
      </c>
      <c r="E245">
        <v>13</v>
      </c>
      <c r="F245">
        <v>68.7</v>
      </c>
      <c r="G245">
        <v>0</v>
      </c>
      <c r="H245">
        <v>0</v>
      </c>
      <c r="I245">
        <v>0</v>
      </c>
      <c r="J245">
        <v>0</v>
      </c>
      <c r="K245">
        <v>68.489999999999995</v>
      </c>
      <c r="L245">
        <v>66.81</v>
      </c>
    </row>
    <row r="246" spans="1:12" x14ac:dyDescent="0.2">
      <c r="A246" s="4">
        <v>245</v>
      </c>
      <c r="B246" t="s">
        <v>271</v>
      </c>
      <c r="C246">
        <v>67.77</v>
      </c>
      <c r="D246">
        <v>11</v>
      </c>
      <c r="E246">
        <v>16</v>
      </c>
      <c r="F246">
        <v>71.86</v>
      </c>
      <c r="G246">
        <v>0</v>
      </c>
      <c r="H246">
        <v>0</v>
      </c>
      <c r="I246">
        <v>0</v>
      </c>
      <c r="J246">
        <v>0</v>
      </c>
      <c r="K246">
        <v>68.77</v>
      </c>
      <c r="L246">
        <v>66.48</v>
      </c>
    </row>
    <row r="247" spans="1:12" x14ac:dyDescent="0.2">
      <c r="A247" s="4">
        <v>246</v>
      </c>
      <c r="B247" t="s">
        <v>907</v>
      </c>
      <c r="C247">
        <v>67.7</v>
      </c>
      <c r="D247">
        <v>12</v>
      </c>
      <c r="E247">
        <v>17</v>
      </c>
      <c r="F247">
        <v>71.09</v>
      </c>
      <c r="G247">
        <v>0</v>
      </c>
      <c r="H247">
        <v>0</v>
      </c>
      <c r="I247">
        <v>0</v>
      </c>
      <c r="J247">
        <v>1</v>
      </c>
      <c r="K247">
        <v>68.27</v>
      </c>
      <c r="L247">
        <v>66.89</v>
      </c>
    </row>
    <row r="248" spans="1:12" x14ac:dyDescent="0.2">
      <c r="A248" s="4">
        <v>247</v>
      </c>
      <c r="B248" t="s">
        <v>190</v>
      </c>
      <c r="C248">
        <v>67.7</v>
      </c>
      <c r="D248">
        <v>11</v>
      </c>
      <c r="E248">
        <v>17</v>
      </c>
      <c r="F248">
        <v>70.67</v>
      </c>
      <c r="G248">
        <v>0</v>
      </c>
      <c r="H248">
        <v>0</v>
      </c>
      <c r="I248">
        <v>0</v>
      </c>
      <c r="J248">
        <v>0</v>
      </c>
      <c r="K248">
        <v>66.290000000000006</v>
      </c>
      <c r="L248">
        <v>68.75</v>
      </c>
    </row>
    <row r="249" spans="1:12" x14ac:dyDescent="0.2">
      <c r="A249" s="4">
        <v>248</v>
      </c>
      <c r="B249" t="s">
        <v>833</v>
      </c>
      <c r="C249">
        <v>67.69</v>
      </c>
      <c r="D249">
        <v>9</v>
      </c>
      <c r="E249">
        <v>15</v>
      </c>
      <c r="F249">
        <v>71.17</v>
      </c>
      <c r="G249">
        <v>0</v>
      </c>
      <c r="H249">
        <v>0</v>
      </c>
      <c r="I249">
        <v>0</v>
      </c>
      <c r="J249">
        <v>0</v>
      </c>
      <c r="K249">
        <v>67.180000000000007</v>
      </c>
      <c r="L249">
        <v>67.97</v>
      </c>
    </row>
    <row r="250" spans="1:12" x14ac:dyDescent="0.2">
      <c r="A250" s="4">
        <v>249</v>
      </c>
      <c r="B250" t="s">
        <v>211</v>
      </c>
      <c r="C250">
        <v>67.69</v>
      </c>
      <c r="D250">
        <v>11</v>
      </c>
      <c r="E250">
        <v>17</v>
      </c>
      <c r="F250">
        <v>69.23</v>
      </c>
      <c r="G250">
        <v>0</v>
      </c>
      <c r="H250">
        <v>0</v>
      </c>
      <c r="I250">
        <v>0</v>
      </c>
      <c r="J250">
        <v>2</v>
      </c>
      <c r="K250">
        <v>65.62</v>
      </c>
      <c r="L250">
        <v>69.260000000000005</v>
      </c>
    </row>
    <row r="251" spans="1:12" x14ac:dyDescent="0.2">
      <c r="A251" s="4">
        <v>250</v>
      </c>
      <c r="B251" t="s">
        <v>205</v>
      </c>
      <c r="C251">
        <v>67.66</v>
      </c>
      <c r="D251">
        <v>8</v>
      </c>
      <c r="E251">
        <v>22</v>
      </c>
      <c r="F251">
        <v>74.69</v>
      </c>
      <c r="G251">
        <v>0</v>
      </c>
      <c r="H251">
        <v>0</v>
      </c>
      <c r="I251">
        <v>0</v>
      </c>
      <c r="J251">
        <v>2</v>
      </c>
      <c r="K251">
        <v>66.91</v>
      </c>
      <c r="L251">
        <v>68.150000000000006</v>
      </c>
    </row>
    <row r="252" spans="1:12" x14ac:dyDescent="0.2">
      <c r="A252" s="4">
        <v>251</v>
      </c>
      <c r="B252" t="s">
        <v>254</v>
      </c>
      <c r="C252">
        <v>67.52</v>
      </c>
      <c r="D252">
        <v>9</v>
      </c>
      <c r="E252">
        <v>17</v>
      </c>
      <c r="F252">
        <v>70.010000000000005</v>
      </c>
      <c r="G252">
        <v>0</v>
      </c>
      <c r="H252">
        <v>0</v>
      </c>
      <c r="I252">
        <v>0</v>
      </c>
      <c r="J252">
        <v>1</v>
      </c>
      <c r="K252">
        <v>65.42</v>
      </c>
      <c r="L252">
        <v>69.12</v>
      </c>
    </row>
    <row r="253" spans="1:12" x14ac:dyDescent="0.2">
      <c r="A253" s="4">
        <v>252</v>
      </c>
      <c r="B253" t="s">
        <v>301</v>
      </c>
      <c r="C253">
        <v>67.31</v>
      </c>
      <c r="D253">
        <v>10</v>
      </c>
      <c r="E253">
        <v>17</v>
      </c>
      <c r="F253">
        <v>71.78</v>
      </c>
      <c r="G253">
        <v>0</v>
      </c>
      <c r="H253">
        <v>0</v>
      </c>
      <c r="I253">
        <v>0</v>
      </c>
      <c r="J253">
        <v>2</v>
      </c>
      <c r="K253">
        <v>67.62</v>
      </c>
      <c r="L253">
        <v>66.78</v>
      </c>
    </row>
    <row r="254" spans="1:12" x14ac:dyDescent="0.2">
      <c r="A254" s="4">
        <v>253</v>
      </c>
      <c r="B254" t="s">
        <v>892</v>
      </c>
      <c r="C254">
        <v>67.3</v>
      </c>
      <c r="D254">
        <v>13</v>
      </c>
      <c r="E254">
        <v>15</v>
      </c>
      <c r="F254">
        <v>67.8</v>
      </c>
      <c r="G254">
        <v>0</v>
      </c>
      <c r="H254">
        <v>0</v>
      </c>
      <c r="I254">
        <v>0</v>
      </c>
      <c r="J254">
        <v>0</v>
      </c>
      <c r="K254">
        <v>66.59</v>
      </c>
      <c r="L254">
        <v>67.760000000000005</v>
      </c>
    </row>
    <row r="255" spans="1:12" x14ac:dyDescent="0.2">
      <c r="A255" s="4">
        <v>254</v>
      </c>
      <c r="B255" t="s">
        <v>129</v>
      </c>
      <c r="C255">
        <v>67.3</v>
      </c>
      <c r="D255">
        <v>6</v>
      </c>
      <c r="E255">
        <v>22</v>
      </c>
      <c r="F255">
        <v>74.16</v>
      </c>
      <c r="G255">
        <v>0</v>
      </c>
      <c r="H255">
        <v>0</v>
      </c>
      <c r="I255">
        <v>0</v>
      </c>
      <c r="J255">
        <v>0</v>
      </c>
      <c r="K255">
        <v>65.53</v>
      </c>
      <c r="L255">
        <v>68.63</v>
      </c>
    </row>
    <row r="256" spans="1:12" x14ac:dyDescent="0.2">
      <c r="A256" s="4">
        <v>255</v>
      </c>
      <c r="B256" t="s">
        <v>209</v>
      </c>
      <c r="C256">
        <v>67.290000000000006</v>
      </c>
      <c r="D256">
        <v>14</v>
      </c>
      <c r="E256">
        <v>12</v>
      </c>
      <c r="F256">
        <v>66.69</v>
      </c>
      <c r="G256">
        <v>0</v>
      </c>
      <c r="H256">
        <v>0</v>
      </c>
      <c r="I256">
        <v>0</v>
      </c>
      <c r="J256">
        <v>0</v>
      </c>
      <c r="K256">
        <v>69.91</v>
      </c>
      <c r="L256">
        <v>63.69</v>
      </c>
    </row>
    <row r="257" spans="1:12" x14ac:dyDescent="0.2">
      <c r="A257" s="4">
        <v>256</v>
      </c>
      <c r="B257" t="s">
        <v>264</v>
      </c>
      <c r="C257">
        <v>67.27</v>
      </c>
      <c r="D257">
        <v>12</v>
      </c>
      <c r="E257">
        <v>15</v>
      </c>
      <c r="F257">
        <v>68.78</v>
      </c>
      <c r="G257">
        <v>0</v>
      </c>
      <c r="H257">
        <v>0</v>
      </c>
      <c r="I257">
        <v>0</v>
      </c>
      <c r="J257">
        <v>1</v>
      </c>
      <c r="K257">
        <v>67.19</v>
      </c>
      <c r="L257">
        <v>67.14</v>
      </c>
    </row>
    <row r="258" spans="1:12" x14ac:dyDescent="0.2">
      <c r="A258" s="4">
        <v>257</v>
      </c>
      <c r="B258" t="s">
        <v>148</v>
      </c>
      <c r="C258">
        <v>67.260000000000005</v>
      </c>
      <c r="D258">
        <v>10</v>
      </c>
      <c r="E258">
        <v>17</v>
      </c>
      <c r="F258">
        <v>70.430000000000007</v>
      </c>
      <c r="G258">
        <v>0</v>
      </c>
      <c r="H258">
        <v>0</v>
      </c>
      <c r="I258">
        <v>0</v>
      </c>
      <c r="J258">
        <v>1</v>
      </c>
      <c r="K258">
        <v>67.650000000000006</v>
      </c>
      <c r="L258">
        <v>66.64</v>
      </c>
    </row>
    <row r="259" spans="1:12" x14ac:dyDescent="0.2">
      <c r="A259" s="4">
        <v>258</v>
      </c>
      <c r="B259" t="s">
        <v>294</v>
      </c>
      <c r="C259">
        <v>67.19</v>
      </c>
      <c r="D259">
        <v>11</v>
      </c>
      <c r="E259">
        <v>18</v>
      </c>
      <c r="F259">
        <v>70.64</v>
      </c>
      <c r="G259">
        <v>0</v>
      </c>
      <c r="H259">
        <v>0</v>
      </c>
      <c r="I259">
        <v>0</v>
      </c>
      <c r="J259">
        <v>0</v>
      </c>
      <c r="K259">
        <v>68.650000000000006</v>
      </c>
      <c r="L259">
        <v>65.3</v>
      </c>
    </row>
    <row r="260" spans="1:12" x14ac:dyDescent="0.2">
      <c r="A260" s="4">
        <v>259</v>
      </c>
      <c r="B260" t="s">
        <v>296</v>
      </c>
      <c r="C260">
        <v>67.16</v>
      </c>
      <c r="D260">
        <v>14</v>
      </c>
      <c r="E260">
        <v>13</v>
      </c>
      <c r="F260">
        <v>67.44</v>
      </c>
      <c r="G260">
        <v>0</v>
      </c>
      <c r="H260">
        <v>0</v>
      </c>
      <c r="I260">
        <v>0</v>
      </c>
      <c r="J260">
        <v>1</v>
      </c>
      <c r="K260">
        <v>70.209999999999994</v>
      </c>
      <c r="L260">
        <v>62.76</v>
      </c>
    </row>
    <row r="261" spans="1:12" x14ac:dyDescent="0.2">
      <c r="A261" s="4">
        <v>260</v>
      </c>
      <c r="B261" t="s">
        <v>168</v>
      </c>
      <c r="C261">
        <v>67.06</v>
      </c>
      <c r="D261">
        <v>8</v>
      </c>
      <c r="E261">
        <v>19</v>
      </c>
      <c r="F261">
        <v>72.92</v>
      </c>
      <c r="G261">
        <v>0</v>
      </c>
      <c r="H261">
        <v>0</v>
      </c>
      <c r="I261">
        <v>0</v>
      </c>
      <c r="J261">
        <v>2</v>
      </c>
      <c r="K261">
        <v>66.78</v>
      </c>
      <c r="L261">
        <v>67.13</v>
      </c>
    </row>
    <row r="262" spans="1:12" x14ac:dyDescent="0.2">
      <c r="A262" s="4">
        <v>261</v>
      </c>
      <c r="B262" t="s">
        <v>787</v>
      </c>
      <c r="C262">
        <v>66.97</v>
      </c>
      <c r="D262">
        <v>12</v>
      </c>
      <c r="E262">
        <v>16</v>
      </c>
      <c r="F262">
        <v>68.63</v>
      </c>
      <c r="G262">
        <v>0</v>
      </c>
      <c r="H262">
        <v>0</v>
      </c>
      <c r="I262">
        <v>0</v>
      </c>
      <c r="J262">
        <v>1</v>
      </c>
      <c r="K262">
        <v>65.88</v>
      </c>
      <c r="L262">
        <v>67.75</v>
      </c>
    </row>
    <row r="263" spans="1:12" x14ac:dyDescent="0.2">
      <c r="A263" s="4">
        <v>262</v>
      </c>
      <c r="B263" t="s">
        <v>212</v>
      </c>
      <c r="C263">
        <v>66.84</v>
      </c>
      <c r="D263">
        <v>11</v>
      </c>
      <c r="E263">
        <v>18</v>
      </c>
      <c r="F263">
        <v>69.98</v>
      </c>
      <c r="G263">
        <v>0</v>
      </c>
      <c r="H263">
        <v>0</v>
      </c>
      <c r="I263">
        <v>0</v>
      </c>
      <c r="J263">
        <v>0</v>
      </c>
      <c r="K263">
        <v>65.97</v>
      </c>
      <c r="L263">
        <v>67.44</v>
      </c>
    </row>
    <row r="264" spans="1:12" x14ac:dyDescent="0.2">
      <c r="A264" s="4">
        <v>263</v>
      </c>
      <c r="B264" t="s">
        <v>553</v>
      </c>
      <c r="C264">
        <v>66.63</v>
      </c>
      <c r="D264">
        <v>7</v>
      </c>
      <c r="E264">
        <v>19</v>
      </c>
      <c r="F264">
        <v>72.64</v>
      </c>
      <c r="G264">
        <v>0</v>
      </c>
      <c r="H264">
        <v>0</v>
      </c>
      <c r="I264">
        <v>0</v>
      </c>
      <c r="J264">
        <v>1</v>
      </c>
      <c r="K264">
        <v>66.5</v>
      </c>
      <c r="L264">
        <v>66.540000000000006</v>
      </c>
    </row>
    <row r="265" spans="1:12" x14ac:dyDescent="0.2">
      <c r="A265" s="4">
        <v>264</v>
      </c>
      <c r="B265" t="s">
        <v>861</v>
      </c>
      <c r="C265">
        <v>66.55</v>
      </c>
      <c r="D265">
        <v>10</v>
      </c>
      <c r="E265">
        <v>14</v>
      </c>
      <c r="F265">
        <v>69.75</v>
      </c>
      <c r="G265">
        <v>0</v>
      </c>
      <c r="H265">
        <v>0</v>
      </c>
      <c r="I265">
        <v>0</v>
      </c>
      <c r="J265">
        <v>0</v>
      </c>
      <c r="K265">
        <v>66.3</v>
      </c>
      <c r="L265">
        <v>66.58</v>
      </c>
    </row>
    <row r="266" spans="1:12" x14ac:dyDescent="0.2">
      <c r="A266" s="4">
        <v>265</v>
      </c>
      <c r="B266" t="s">
        <v>251</v>
      </c>
      <c r="C266">
        <v>66.53</v>
      </c>
      <c r="D266">
        <v>13</v>
      </c>
      <c r="E266">
        <v>15</v>
      </c>
      <c r="F266">
        <v>69.260000000000005</v>
      </c>
      <c r="G266">
        <v>0</v>
      </c>
      <c r="H266">
        <v>0</v>
      </c>
      <c r="I266">
        <v>0</v>
      </c>
      <c r="J266">
        <v>0</v>
      </c>
      <c r="K266">
        <v>67.09</v>
      </c>
      <c r="L266">
        <v>65.73</v>
      </c>
    </row>
    <row r="267" spans="1:12" x14ac:dyDescent="0.2">
      <c r="A267" s="4">
        <v>266</v>
      </c>
      <c r="B267" t="s">
        <v>268</v>
      </c>
      <c r="C267">
        <v>66.489999999999995</v>
      </c>
      <c r="D267">
        <v>12</v>
      </c>
      <c r="E267">
        <v>16</v>
      </c>
      <c r="F267">
        <v>70.22</v>
      </c>
      <c r="G267">
        <v>0</v>
      </c>
      <c r="H267">
        <v>0</v>
      </c>
      <c r="I267">
        <v>0</v>
      </c>
      <c r="J267">
        <v>1</v>
      </c>
      <c r="K267">
        <v>67.58</v>
      </c>
      <c r="L267">
        <v>65.06</v>
      </c>
    </row>
    <row r="268" spans="1:12" x14ac:dyDescent="0.2">
      <c r="A268" s="4">
        <v>267</v>
      </c>
      <c r="B268" t="s">
        <v>182</v>
      </c>
      <c r="C268">
        <v>66.47</v>
      </c>
      <c r="D268">
        <v>9</v>
      </c>
      <c r="E268">
        <v>17</v>
      </c>
      <c r="F268">
        <v>71.959999999999994</v>
      </c>
      <c r="G268">
        <v>0</v>
      </c>
      <c r="H268">
        <v>1</v>
      </c>
      <c r="I268">
        <v>0</v>
      </c>
      <c r="J268">
        <v>2</v>
      </c>
      <c r="K268">
        <v>65.930000000000007</v>
      </c>
      <c r="L268">
        <v>66.77</v>
      </c>
    </row>
    <row r="269" spans="1:12" x14ac:dyDescent="0.2">
      <c r="A269" s="4">
        <v>268</v>
      </c>
      <c r="B269" t="s">
        <v>191</v>
      </c>
      <c r="C269">
        <v>66.42</v>
      </c>
      <c r="D269">
        <v>9</v>
      </c>
      <c r="E269">
        <v>15</v>
      </c>
      <c r="F269">
        <v>70.819999999999993</v>
      </c>
      <c r="G269">
        <v>0</v>
      </c>
      <c r="H269">
        <v>0</v>
      </c>
      <c r="I269">
        <v>0</v>
      </c>
      <c r="J269">
        <v>0</v>
      </c>
      <c r="K269">
        <v>66.319999999999993</v>
      </c>
      <c r="L269">
        <v>66.3</v>
      </c>
    </row>
    <row r="270" spans="1:12" x14ac:dyDescent="0.2">
      <c r="A270" s="4">
        <v>269</v>
      </c>
      <c r="B270" t="s">
        <v>137</v>
      </c>
      <c r="C270">
        <v>66.38</v>
      </c>
      <c r="D270">
        <v>12</v>
      </c>
      <c r="E270">
        <v>15</v>
      </c>
      <c r="F270">
        <v>70.599999999999994</v>
      </c>
      <c r="G270">
        <v>0</v>
      </c>
      <c r="H270">
        <v>0</v>
      </c>
      <c r="I270">
        <v>0</v>
      </c>
      <c r="J270">
        <v>1</v>
      </c>
      <c r="K270">
        <v>68.27</v>
      </c>
      <c r="L270">
        <v>63.86</v>
      </c>
    </row>
    <row r="271" spans="1:12" x14ac:dyDescent="0.2">
      <c r="A271" s="4">
        <v>270</v>
      </c>
      <c r="B271" t="s">
        <v>173</v>
      </c>
      <c r="C271">
        <v>66.37</v>
      </c>
      <c r="D271">
        <v>9</v>
      </c>
      <c r="E271">
        <v>17</v>
      </c>
      <c r="F271">
        <v>71.819999999999993</v>
      </c>
      <c r="G271">
        <v>0</v>
      </c>
      <c r="H271">
        <v>0</v>
      </c>
      <c r="I271">
        <v>0</v>
      </c>
      <c r="J271">
        <v>0</v>
      </c>
      <c r="K271">
        <v>67.2</v>
      </c>
      <c r="L271">
        <v>65.260000000000005</v>
      </c>
    </row>
    <row r="272" spans="1:12" x14ac:dyDescent="0.2">
      <c r="A272" s="4">
        <v>271</v>
      </c>
      <c r="B272" t="s">
        <v>822</v>
      </c>
      <c r="C272">
        <v>66.27</v>
      </c>
      <c r="D272">
        <v>10</v>
      </c>
      <c r="E272">
        <v>16</v>
      </c>
      <c r="F272">
        <v>70.27</v>
      </c>
      <c r="G272">
        <v>0</v>
      </c>
      <c r="H272">
        <v>0</v>
      </c>
      <c r="I272">
        <v>0</v>
      </c>
      <c r="J272">
        <v>0</v>
      </c>
      <c r="K272">
        <v>67.09</v>
      </c>
      <c r="L272">
        <v>65.16</v>
      </c>
    </row>
    <row r="273" spans="1:12" x14ac:dyDescent="0.2">
      <c r="A273" s="4">
        <v>272</v>
      </c>
      <c r="B273" t="s">
        <v>197</v>
      </c>
      <c r="C273">
        <v>66.25</v>
      </c>
      <c r="D273">
        <v>8</v>
      </c>
      <c r="E273">
        <v>19</v>
      </c>
      <c r="F273">
        <v>72.42</v>
      </c>
      <c r="G273">
        <v>0</v>
      </c>
      <c r="H273">
        <v>0</v>
      </c>
      <c r="I273">
        <v>0</v>
      </c>
      <c r="J273">
        <v>2</v>
      </c>
      <c r="K273">
        <v>65.900000000000006</v>
      </c>
      <c r="L273">
        <v>66.38</v>
      </c>
    </row>
    <row r="274" spans="1:12" x14ac:dyDescent="0.2">
      <c r="A274" s="4">
        <v>273</v>
      </c>
      <c r="B274" t="s">
        <v>184</v>
      </c>
      <c r="C274">
        <v>66.06</v>
      </c>
      <c r="D274">
        <v>7</v>
      </c>
      <c r="E274">
        <v>20</v>
      </c>
      <c r="F274">
        <v>73.400000000000006</v>
      </c>
      <c r="G274">
        <v>0</v>
      </c>
      <c r="H274">
        <v>2</v>
      </c>
      <c r="I274">
        <v>0</v>
      </c>
      <c r="J274">
        <v>3</v>
      </c>
      <c r="K274">
        <v>65.180000000000007</v>
      </c>
      <c r="L274">
        <v>66.66</v>
      </c>
    </row>
    <row r="275" spans="1:12" x14ac:dyDescent="0.2">
      <c r="A275" s="4">
        <v>274</v>
      </c>
      <c r="B275" t="s">
        <v>828</v>
      </c>
      <c r="C275">
        <v>65.95</v>
      </c>
      <c r="D275">
        <v>6</v>
      </c>
      <c r="E275">
        <v>23</v>
      </c>
      <c r="F275">
        <v>75.22</v>
      </c>
      <c r="G275">
        <v>0</v>
      </c>
      <c r="H275">
        <v>0</v>
      </c>
      <c r="I275">
        <v>0</v>
      </c>
      <c r="J275">
        <v>1</v>
      </c>
      <c r="K275">
        <v>66.97</v>
      </c>
      <c r="L275">
        <v>64.599999999999994</v>
      </c>
    </row>
    <row r="276" spans="1:12" x14ac:dyDescent="0.2">
      <c r="A276" s="4">
        <v>275</v>
      </c>
      <c r="B276" t="s">
        <v>233</v>
      </c>
      <c r="C276">
        <v>65.78</v>
      </c>
      <c r="D276">
        <v>9</v>
      </c>
      <c r="E276">
        <v>17</v>
      </c>
      <c r="F276">
        <v>70.959999999999994</v>
      </c>
      <c r="G276">
        <v>0</v>
      </c>
      <c r="H276">
        <v>0</v>
      </c>
      <c r="I276">
        <v>0</v>
      </c>
      <c r="J276">
        <v>1</v>
      </c>
      <c r="K276">
        <v>67.75</v>
      </c>
      <c r="L276">
        <v>63.09</v>
      </c>
    </row>
    <row r="277" spans="1:12" x14ac:dyDescent="0.2">
      <c r="A277" s="4">
        <v>276</v>
      </c>
      <c r="B277" t="s">
        <v>202</v>
      </c>
      <c r="C277">
        <v>65.66</v>
      </c>
      <c r="D277">
        <v>7</v>
      </c>
      <c r="E277">
        <v>22</v>
      </c>
      <c r="F277">
        <v>73.41</v>
      </c>
      <c r="G277">
        <v>0</v>
      </c>
      <c r="H277">
        <v>1</v>
      </c>
      <c r="I277">
        <v>0</v>
      </c>
      <c r="J277">
        <v>2</v>
      </c>
      <c r="K277">
        <v>66.489999999999995</v>
      </c>
      <c r="L277">
        <v>64.540000000000006</v>
      </c>
    </row>
    <row r="278" spans="1:12" x14ac:dyDescent="0.2">
      <c r="A278" s="4">
        <v>277</v>
      </c>
      <c r="B278" t="s">
        <v>244</v>
      </c>
      <c r="C278">
        <v>65.63</v>
      </c>
      <c r="D278">
        <v>8</v>
      </c>
      <c r="E278">
        <v>19</v>
      </c>
      <c r="F278">
        <v>72.88</v>
      </c>
      <c r="G278">
        <v>0</v>
      </c>
      <c r="H278">
        <v>1</v>
      </c>
      <c r="I278">
        <v>0</v>
      </c>
      <c r="J278">
        <v>2</v>
      </c>
      <c r="K278">
        <v>65.930000000000007</v>
      </c>
      <c r="L278">
        <v>65.11</v>
      </c>
    </row>
    <row r="279" spans="1:12" x14ac:dyDescent="0.2">
      <c r="A279" s="4">
        <v>278</v>
      </c>
      <c r="B279" t="s">
        <v>785</v>
      </c>
      <c r="C279">
        <v>65.53</v>
      </c>
      <c r="D279">
        <v>10</v>
      </c>
      <c r="E279">
        <v>18</v>
      </c>
      <c r="F279">
        <v>70.52</v>
      </c>
      <c r="G279">
        <v>0</v>
      </c>
      <c r="H279">
        <v>0</v>
      </c>
      <c r="I279">
        <v>0</v>
      </c>
      <c r="J279">
        <v>1</v>
      </c>
      <c r="K279">
        <v>65.510000000000005</v>
      </c>
      <c r="L279">
        <v>65.33</v>
      </c>
    </row>
    <row r="280" spans="1:12" x14ac:dyDescent="0.2">
      <c r="A280" s="4">
        <v>279</v>
      </c>
      <c r="B280" t="s">
        <v>159</v>
      </c>
      <c r="C280">
        <v>65.510000000000005</v>
      </c>
      <c r="D280">
        <v>8</v>
      </c>
      <c r="E280">
        <v>18</v>
      </c>
      <c r="F280">
        <v>70.48</v>
      </c>
      <c r="G280">
        <v>0</v>
      </c>
      <c r="H280">
        <v>0</v>
      </c>
      <c r="I280">
        <v>0</v>
      </c>
      <c r="J280">
        <v>0</v>
      </c>
      <c r="K280">
        <v>65.03</v>
      </c>
      <c r="L280">
        <v>65.75</v>
      </c>
    </row>
    <row r="281" spans="1:12" x14ac:dyDescent="0.2">
      <c r="A281" s="4">
        <v>280</v>
      </c>
      <c r="B281" t="s">
        <v>554</v>
      </c>
      <c r="C281">
        <v>65.28</v>
      </c>
      <c r="D281">
        <v>13</v>
      </c>
      <c r="E281">
        <v>15</v>
      </c>
      <c r="F281">
        <v>68.430000000000007</v>
      </c>
      <c r="G281">
        <v>0</v>
      </c>
      <c r="H281">
        <v>0</v>
      </c>
      <c r="I281">
        <v>0</v>
      </c>
      <c r="J281">
        <v>1</v>
      </c>
      <c r="K281">
        <v>66.66</v>
      </c>
      <c r="L281">
        <v>63.43</v>
      </c>
    </row>
    <row r="282" spans="1:12" x14ac:dyDescent="0.2">
      <c r="A282" s="4">
        <v>281</v>
      </c>
      <c r="B282" t="s">
        <v>859</v>
      </c>
      <c r="C282">
        <v>65.19</v>
      </c>
      <c r="D282">
        <v>3</v>
      </c>
      <c r="E282">
        <v>13</v>
      </c>
      <c r="F282">
        <v>75.739999999999995</v>
      </c>
      <c r="G282">
        <v>0</v>
      </c>
      <c r="H282">
        <v>0</v>
      </c>
      <c r="I282">
        <v>0</v>
      </c>
      <c r="J282">
        <v>1</v>
      </c>
      <c r="K282">
        <v>64.91</v>
      </c>
      <c r="L282">
        <v>65.25</v>
      </c>
    </row>
    <row r="283" spans="1:12" x14ac:dyDescent="0.2">
      <c r="A283" s="4">
        <v>282</v>
      </c>
      <c r="B283" t="s">
        <v>843</v>
      </c>
      <c r="C283">
        <v>65.180000000000007</v>
      </c>
      <c r="D283">
        <v>13</v>
      </c>
      <c r="E283">
        <v>14</v>
      </c>
      <c r="F283">
        <v>65.47</v>
      </c>
      <c r="G283">
        <v>0</v>
      </c>
      <c r="H283">
        <v>0</v>
      </c>
      <c r="I283">
        <v>0</v>
      </c>
      <c r="J283">
        <v>0</v>
      </c>
      <c r="K283">
        <v>65.290000000000006</v>
      </c>
      <c r="L283">
        <v>64.86</v>
      </c>
    </row>
    <row r="284" spans="1:12" x14ac:dyDescent="0.2">
      <c r="A284" s="4">
        <v>283</v>
      </c>
      <c r="B284" t="s">
        <v>139</v>
      </c>
      <c r="C284">
        <v>65.150000000000006</v>
      </c>
      <c r="D284">
        <v>9</v>
      </c>
      <c r="E284">
        <v>15</v>
      </c>
      <c r="F284">
        <v>67.930000000000007</v>
      </c>
      <c r="G284">
        <v>0</v>
      </c>
      <c r="H284">
        <v>0</v>
      </c>
      <c r="I284">
        <v>0</v>
      </c>
      <c r="J284">
        <v>0</v>
      </c>
      <c r="K284">
        <v>63.96</v>
      </c>
      <c r="L284">
        <v>65.989999999999995</v>
      </c>
    </row>
    <row r="285" spans="1:12" x14ac:dyDescent="0.2">
      <c r="A285" s="4">
        <v>284</v>
      </c>
      <c r="B285" t="s">
        <v>223</v>
      </c>
      <c r="C285">
        <v>65.05</v>
      </c>
      <c r="D285">
        <v>10</v>
      </c>
      <c r="E285">
        <v>16</v>
      </c>
      <c r="F285">
        <v>68.900000000000006</v>
      </c>
      <c r="G285">
        <v>0</v>
      </c>
      <c r="H285">
        <v>0</v>
      </c>
      <c r="I285">
        <v>0</v>
      </c>
      <c r="J285">
        <v>1</v>
      </c>
      <c r="K285">
        <v>65.11</v>
      </c>
      <c r="L285">
        <v>64.78</v>
      </c>
    </row>
    <row r="286" spans="1:12" x14ac:dyDescent="0.2">
      <c r="A286" s="4">
        <v>285</v>
      </c>
      <c r="B286" t="s">
        <v>897</v>
      </c>
      <c r="C286">
        <v>64.75</v>
      </c>
      <c r="D286">
        <v>8</v>
      </c>
      <c r="E286">
        <v>16</v>
      </c>
      <c r="F286">
        <v>71.48</v>
      </c>
      <c r="G286">
        <v>0</v>
      </c>
      <c r="H286">
        <v>0</v>
      </c>
      <c r="I286">
        <v>0</v>
      </c>
      <c r="J286">
        <v>1</v>
      </c>
      <c r="K286">
        <v>65.349999999999994</v>
      </c>
      <c r="L286">
        <v>63.89</v>
      </c>
    </row>
    <row r="287" spans="1:12" x14ac:dyDescent="0.2">
      <c r="A287" s="4">
        <v>286</v>
      </c>
      <c r="B287" t="s">
        <v>819</v>
      </c>
      <c r="C287">
        <v>64.69</v>
      </c>
      <c r="D287">
        <v>4</v>
      </c>
      <c r="E287">
        <v>24</v>
      </c>
      <c r="F287">
        <v>74.78</v>
      </c>
      <c r="G287">
        <v>0</v>
      </c>
      <c r="H287">
        <v>0</v>
      </c>
      <c r="I287">
        <v>0</v>
      </c>
      <c r="J287">
        <v>0</v>
      </c>
      <c r="K287">
        <v>63.69</v>
      </c>
      <c r="L287">
        <v>65.37</v>
      </c>
    </row>
    <row r="288" spans="1:12" x14ac:dyDescent="0.2">
      <c r="A288" s="4">
        <v>287</v>
      </c>
      <c r="B288" t="s">
        <v>841</v>
      </c>
      <c r="C288">
        <v>64.66</v>
      </c>
      <c r="D288">
        <v>14</v>
      </c>
      <c r="E288">
        <v>16</v>
      </c>
      <c r="F288">
        <v>66.209999999999994</v>
      </c>
      <c r="G288">
        <v>0</v>
      </c>
      <c r="H288">
        <v>0</v>
      </c>
      <c r="I288">
        <v>0</v>
      </c>
      <c r="J288">
        <v>0</v>
      </c>
      <c r="K288">
        <v>65.099999999999994</v>
      </c>
      <c r="L288">
        <v>63.98</v>
      </c>
    </row>
    <row r="289" spans="1:12" x14ac:dyDescent="0.2">
      <c r="A289" s="4">
        <v>288</v>
      </c>
      <c r="B289" t="s">
        <v>198</v>
      </c>
      <c r="C289">
        <v>64.400000000000006</v>
      </c>
      <c r="D289">
        <v>8</v>
      </c>
      <c r="E289">
        <v>16</v>
      </c>
      <c r="F289">
        <v>69.67</v>
      </c>
      <c r="G289">
        <v>0</v>
      </c>
      <c r="H289">
        <v>0</v>
      </c>
      <c r="I289">
        <v>0</v>
      </c>
      <c r="J289">
        <v>0</v>
      </c>
      <c r="K289">
        <v>65.540000000000006</v>
      </c>
      <c r="L289">
        <v>62.84</v>
      </c>
    </row>
    <row r="290" spans="1:12" x14ac:dyDescent="0.2">
      <c r="A290" s="4">
        <v>289</v>
      </c>
      <c r="B290" t="s">
        <v>247</v>
      </c>
      <c r="C290">
        <v>64.290000000000006</v>
      </c>
      <c r="D290">
        <v>14</v>
      </c>
      <c r="E290">
        <v>15</v>
      </c>
      <c r="F290">
        <v>67.680000000000007</v>
      </c>
      <c r="G290">
        <v>0</v>
      </c>
      <c r="H290">
        <v>2</v>
      </c>
      <c r="I290">
        <v>0</v>
      </c>
      <c r="J290">
        <v>5</v>
      </c>
      <c r="K290">
        <v>66.03</v>
      </c>
      <c r="L290">
        <v>61.84</v>
      </c>
    </row>
    <row r="291" spans="1:12" x14ac:dyDescent="0.2">
      <c r="A291" s="4">
        <v>290</v>
      </c>
      <c r="B291" t="s">
        <v>283</v>
      </c>
      <c r="C291">
        <v>64.06</v>
      </c>
      <c r="D291">
        <v>8</v>
      </c>
      <c r="E291">
        <v>18</v>
      </c>
      <c r="F291">
        <v>69.66</v>
      </c>
      <c r="G291">
        <v>0</v>
      </c>
      <c r="H291">
        <v>0</v>
      </c>
      <c r="I291">
        <v>0</v>
      </c>
      <c r="J291">
        <v>0</v>
      </c>
      <c r="K291">
        <v>63.27</v>
      </c>
      <c r="L291">
        <v>64.569999999999993</v>
      </c>
    </row>
    <row r="292" spans="1:12" x14ac:dyDescent="0.2">
      <c r="A292" s="4">
        <v>291</v>
      </c>
      <c r="B292" t="s">
        <v>258</v>
      </c>
      <c r="C292">
        <v>64.02</v>
      </c>
      <c r="D292">
        <v>8</v>
      </c>
      <c r="E292">
        <v>21</v>
      </c>
      <c r="F292">
        <v>72.150000000000006</v>
      </c>
      <c r="G292">
        <v>0</v>
      </c>
      <c r="H292">
        <v>2</v>
      </c>
      <c r="I292">
        <v>0</v>
      </c>
      <c r="J292">
        <v>2</v>
      </c>
      <c r="K292">
        <v>63.38</v>
      </c>
      <c r="L292">
        <v>64.400000000000006</v>
      </c>
    </row>
    <row r="293" spans="1:12" x14ac:dyDescent="0.2">
      <c r="A293" s="4">
        <v>292</v>
      </c>
      <c r="B293" t="s">
        <v>260</v>
      </c>
      <c r="C293">
        <v>63.77</v>
      </c>
      <c r="D293">
        <v>16</v>
      </c>
      <c r="E293">
        <v>14</v>
      </c>
      <c r="F293">
        <v>63.88</v>
      </c>
      <c r="G293">
        <v>0</v>
      </c>
      <c r="H293">
        <v>0</v>
      </c>
      <c r="I293">
        <v>0</v>
      </c>
      <c r="J293">
        <v>0</v>
      </c>
      <c r="K293">
        <v>64.27</v>
      </c>
      <c r="L293">
        <v>63.02</v>
      </c>
    </row>
    <row r="294" spans="1:12" x14ac:dyDescent="0.2">
      <c r="A294" s="4">
        <v>293</v>
      </c>
      <c r="B294" t="s">
        <v>885</v>
      </c>
      <c r="C294">
        <v>63.74</v>
      </c>
      <c r="D294">
        <v>13</v>
      </c>
      <c r="E294">
        <v>15</v>
      </c>
      <c r="F294">
        <v>64.75</v>
      </c>
      <c r="G294">
        <v>0</v>
      </c>
      <c r="H294">
        <v>0</v>
      </c>
      <c r="I294">
        <v>0</v>
      </c>
      <c r="J294">
        <v>0</v>
      </c>
      <c r="K294">
        <v>63.51</v>
      </c>
      <c r="L294">
        <v>63.76</v>
      </c>
    </row>
    <row r="295" spans="1:12" x14ac:dyDescent="0.2">
      <c r="A295" s="4">
        <v>294</v>
      </c>
      <c r="B295" t="s">
        <v>820</v>
      </c>
      <c r="C295">
        <v>63.69</v>
      </c>
      <c r="D295">
        <v>8</v>
      </c>
      <c r="E295">
        <v>16</v>
      </c>
      <c r="F295">
        <v>71.099999999999994</v>
      </c>
      <c r="G295">
        <v>0</v>
      </c>
      <c r="H295">
        <v>2</v>
      </c>
      <c r="I295">
        <v>0</v>
      </c>
      <c r="J295">
        <v>2</v>
      </c>
      <c r="K295">
        <v>64.569999999999993</v>
      </c>
      <c r="L295">
        <v>62.48</v>
      </c>
    </row>
    <row r="296" spans="1:12" x14ac:dyDescent="0.2">
      <c r="A296" s="4">
        <v>295</v>
      </c>
      <c r="B296" t="s">
        <v>196</v>
      </c>
      <c r="C296">
        <v>63.62</v>
      </c>
      <c r="D296">
        <v>6</v>
      </c>
      <c r="E296">
        <v>24</v>
      </c>
      <c r="F296">
        <v>72.28</v>
      </c>
      <c r="G296">
        <v>0</v>
      </c>
      <c r="H296">
        <v>0</v>
      </c>
      <c r="I296">
        <v>0</v>
      </c>
      <c r="J296">
        <v>1</v>
      </c>
      <c r="K296">
        <v>62.95</v>
      </c>
      <c r="L296">
        <v>64.03</v>
      </c>
    </row>
    <row r="297" spans="1:12" x14ac:dyDescent="0.2">
      <c r="A297" s="4">
        <v>296</v>
      </c>
      <c r="B297" t="s">
        <v>108</v>
      </c>
      <c r="C297">
        <v>63.35</v>
      </c>
      <c r="D297">
        <v>5</v>
      </c>
      <c r="E297">
        <v>24</v>
      </c>
      <c r="F297">
        <v>72.010000000000005</v>
      </c>
      <c r="G297">
        <v>0</v>
      </c>
      <c r="H297">
        <v>0</v>
      </c>
      <c r="I297">
        <v>0</v>
      </c>
      <c r="J297">
        <v>0</v>
      </c>
      <c r="K297">
        <v>61.01</v>
      </c>
      <c r="L297">
        <v>64.91</v>
      </c>
    </row>
    <row r="298" spans="1:12" x14ac:dyDescent="0.2">
      <c r="A298" s="4">
        <v>297</v>
      </c>
      <c r="B298" t="s">
        <v>203</v>
      </c>
      <c r="C298">
        <v>63.1</v>
      </c>
      <c r="D298">
        <v>9</v>
      </c>
      <c r="E298">
        <v>17</v>
      </c>
      <c r="F298">
        <v>67.92</v>
      </c>
      <c r="G298">
        <v>0</v>
      </c>
      <c r="H298">
        <v>0</v>
      </c>
      <c r="I298">
        <v>0</v>
      </c>
      <c r="J298">
        <v>1</v>
      </c>
      <c r="K298">
        <v>62.74</v>
      </c>
      <c r="L298">
        <v>63.23</v>
      </c>
    </row>
    <row r="299" spans="1:12" x14ac:dyDescent="0.2">
      <c r="A299" s="4">
        <v>298</v>
      </c>
      <c r="B299" t="s">
        <v>226</v>
      </c>
      <c r="C299">
        <v>62.82</v>
      </c>
      <c r="D299">
        <v>5</v>
      </c>
      <c r="E299">
        <v>22</v>
      </c>
      <c r="F299">
        <v>73.33</v>
      </c>
      <c r="G299">
        <v>0</v>
      </c>
      <c r="H299">
        <v>0</v>
      </c>
      <c r="I299">
        <v>0</v>
      </c>
      <c r="J299">
        <v>2</v>
      </c>
      <c r="K299">
        <v>63.44</v>
      </c>
      <c r="L299">
        <v>61.93</v>
      </c>
    </row>
    <row r="300" spans="1:12" x14ac:dyDescent="0.2">
      <c r="A300" s="4">
        <v>299</v>
      </c>
      <c r="B300" t="s">
        <v>830</v>
      </c>
      <c r="C300">
        <v>62.77</v>
      </c>
      <c r="D300">
        <v>7</v>
      </c>
      <c r="E300">
        <v>18</v>
      </c>
      <c r="F300">
        <v>69.599999999999994</v>
      </c>
      <c r="G300">
        <v>0</v>
      </c>
      <c r="H300">
        <v>0</v>
      </c>
      <c r="I300">
        <v>0</v>
      </c>
      <c r="J300">
        <v>0</v>
      </c>
      <c r="K300">
        <v>64.010000000000005</v>
      </c>
      <c r="L300">
        <v>61.04</v>
      </c>
    </row>
    <row r="301" spans="1:12" x14ac:dyDescent="0.2">
      <c r="A301" s="4">
        <v>300</v>
      </c>
      <c r="B301" t="s">
        <v>222</v>
      </c>
      <c r="C301">
        <v>62.73</v>
      </c>
      <c r="D301">
        <v>8</v>
      </c>
      <c r="E301">
        <v>20</v>
      </c>
      <c r="F301">
        <v>70.900000000000006</v>
      </c>
      <c r="G301">
        <v>0</v>
      </c>
      <c r="H301">
        <v>0</v>
      </c>
      <c r="I301">
        <v>0</v>
      </c>
      <c r="J301">
        <v>0</v>
      </c>
      <c r="K301">
        <v>64.7</v>
      </c>
      <c r="L301">
        <v>59.71</v>
      </c>
    </row>
    <row r="302" spans="1:12" x14ac:dyDescent="0.2">
      <c r="A302" s="4">
        <v>301</v>
      </c>
      <c r="B302" t="s">
        <v>895</v>
      </c>
      <c r="C302">
        <v>62.49</v>
      </c>
      <c r="D302">
        <v>13</v>
      </c>
      <c r="E302">
        <v>17</v>
      </c>
      <c r="F302">
        <v>65.61</v>
      </c>
      <c r="G302">
        <v>0</v>
      </c>
      <c r="H302">
        <v>0</v>
      </c>
      <c r="I302">
        <v>0</v>
      </c>
      <c r="J302">
        <v>0</v>
      </c>
      <c r="K302">
        <v>64.2</v>
      </c>
      <c r="L302">
        <v>59.96</v>
      </c>
    </row>
    <row r="303" spans="1:12" x14ac:dyDescent="0.2">
      <c r="A303" s="4">
        <v>302</v>
      </c>
      <c r="B303" t="s">
        <v>557</v>
      </c>
      <c r="C303">
        <v>62.47</v>
      </c>
      <c r="D303">
        <v>6</v>
      </c>
      <c r="E303">
        <v>22</v>
      </c>
      <c r="F303">
        <v>72.02</v>
      </c>
      <c r="G303">
        <v>0</v>
      </c>
      <c r="H303">
        <v>0</v>
      </c>
      <c r="I303">
        <v>0</v>
      </c>
      <c r="J303">
        <v>0</v>
      </c>
      <c r="K303">
        <v>62.69</v>
      </c>
      <c r="L303">
        <v>62.03</v>
      </c>
    </row>
    <row r="304" spans="1:12" x14ac:dyDescent="0.2">
      <c r="A304" s="4">
        <v>303</v>
      </c>
      <c r="B304" t="s">
        <v>829</v>
      </c>
      <c r="C304">
        <v>62.22</v>
      </c>
      <c r="D304">
        <v>4</v>
      </c>
      <c r="E304">
        <v>22</v>
      </c>
      <c r="F304">
        <v>71.14</v>
      </c>
      <c r="G304">
        <v>0</v>
      </c>
      <c r="H304">
        <v>0</v>
      </c>
      <c r="I304">
        <v>0</v>
      </c>
      <c r="J304">
        <v>1</v>
      </c>
      <c r="K304">
        <v>60.35</v>
      </c>
      <c r="L304">
        <v>63.46</v>
      </c>
    </row>
    <row r="305" spans="1:12" x14ac:dyDescent="0.2">
      <c r="A305" s="4">
        <v>304</v>
      </c>
      <c r="B305" t="s">
        <v>217</v>
      </c>
      <c r="C305">
        <v>61.92</v>
      </c>
      <c r="D305">
        <v>6</v>
      </c>
      <c r="E305">
        <v>22</v>
      </c>
      <c r="F305">
        <v>70.34</v>
      </c>
      <c r="G305">
        <v>0</v>
      </c>
      <c r="H305">
        <v>0</v>
      </c>
      <c r="I305">
        <v>0</v>
      </c>
      <c r="J305">
        <v>0</v>
      </c>
      <c r="K305">
        <v>60.68</v>
      </c>
      <c r="L305">
        <v>62.75</v>
      </c>
    </row>
    <row r="306" spans="1:12" x14ac:dyDescent="0.2">
      <c r="A306" s="4">
        <v>305</v>
      </c>
      <c r="B306" t="s">
        <v>834</v>
      </c>
      <c r="C306">
        <v>61.91</v>
      </c>
      <c r="D306">
        <v>15</v>
      </c>
      <c r="E306">
        <v>15</v>
      </c>
      <c r="F306">
        <v>64.11</v>
      </c>
      <c r="G306">
        <v>0</v>
      </c>
      <c r="H306">
        <v>0</v>
      </c>
      <c r="I306">
        <v>0</v>
      </c>
      <c r="J306">
        <v>2</v>
      </c>
      <c r="K306">
        <v>63.48</v>
      </c>
      <c r="L306">
        <v>59.59</v>
      </c>
    </row>
    <row r="307" spans="1:12" x14ac:dyDescent="0.2">
      <c r="A307" s="4">
        <v>306</v>
      </c>
      <c r="B307" t="s">
        <v>891</v>
      </c>
      <c r="C307">
        <v>61.73</v>
      </c>
      <c r="D307">
        <v>4</v>
      </c>
      <c r="E307">
        <v>21</v>
      </c>
      <c r="F307">
        <v>72.75</v>
      </c>
      <c r="G307">
        <v>0</v>
      </c>
      <c r="H307">
        <v>1</v>
      </c>
      <c r="I307">
        <v>0</v>
      </c>
      <c r="J307">
        <v>1</v>
      </c>
      <c r="K307">
        <v>62.2</v>
      </c>
      <c r="L307">
        <v>61.02</v>
      </c>
    </row>
    <row r="308" spans="1:12" x14ac:dyDescent="0.2">
      <c r="A308" s="4">
        <v>307</v>
      </c>
      <c r="B308" t="s">
        <v>867</v>
      </c>
      <c r="C308">
        <v>61.51</v>
      </c>
      <c r="D308">
        <v>12</v>
      </c>
      <c r="E308">
        <v>12</v>
      </c>
      <c r="F308">
        <v>63.7</v>
      </c>
      <c r="G308">
        <v>0</v>
      </c>
      <c r="H308">
        <v>0</v>
      </c>
      <c r="I308">
        <v>0</v>
      </c>
      <c r="J308">
        <v>0</v>
      </c>
      <c r="K308">
        <v>62.78</v>
      </c>
      <c r="L308">
        <v>59.68</v>
      </c>
    </row>
    <row r="309" spans="1:12" x14ac:dyDescent="0.2">
      <c r="A309" s="4">
        <v>308</v>
      </c>
      <c r="B309" t="s">
        <v>862</v>
      </c>
      <c r="C309">
        <v>61.42</v>
      </c>
      <c r="D309">
        <v>1</v>
      </c>
      <c r="E309">
        <v>10</v>
      </c>
      <c r="F309">
        <v>74.34</v>
      </c>
      <c r="G309">
        <v>0</v>
      </c>
      <c r="H309">
        <v>0</v>
      </c>
      <c r="I309">
        <v>0</v>
      </c>
      <c r="J309">
        <v>0</v>
      </c>
      <c r="K309">
        <v>59.72</v>
      </c>
      <c r="L309">
        <v>62.54</v>
      </c>
    </row>
    <row r="310" spans="1:12" x14ac:dyDescent="0.2">
      <c r="A310" s="4">
        <v>309</v>
      </c>
      <c r="B310" t="s">
        <v>838</v>
      </c>
      <c r="C310">
        <v>61.42</v>
      </c>
      <c r="D310">
        <v>14</v>
      </c>
      <c r="E310">
        <v>17</v>
      </c>
      <c r="F310">
        <v>64.95</v>
      </c>
      <c r="G310">
        <v>0</v>
      </c>
      <c r="H310">
        <v>0</v>
      </c>
      <c r="I310">
        <v>0</v>
      </c>
      <c r="J310">
        <v>1</v>
      </c>
      <c r="K310">
        <v>62.54</v>
      </c>
      <c r="L310">
        <v>59.82</v>
      </c>
    </row>
    <row r="311" spans="1:12" x14ac:dyDescent="0.2">
      <c r="A311" s="4">
        <v>310</v>
      </c>
      <c r="B311" t="s">
        <v>279</v>
      </c>
      <c r="C311">
        <v>61.24</v>
      </c>
      <c r="D311">
        <v>7</v>
      </c>
      <c r="E311">
        <v>18</v>
      </c>
      <c r="F311">
        <v>67.83</v>
      </c>
      <c r="G311">
        <v>0</v>
      </c>
      <c r="H311">
        <v>0</v>
      </c>
      <c r="I311">
        <v>0</v>
      </c>
      <c r="J311">
        <v>0</v>
      </c>
      <c r="K311">
        <v>61.07</v>
      </c>
      <c r="L311">
        <v>61.2</v>
      </c>
    </row>
    <row r="312" spans="1:12" x14ac:dyDescent="0.2">
      <c r="A312" s="4">
        <v>311</v>
      </c>
      <c r="B312" t="s">
        <v>850</v>
      </c>
      <c r="C312">
        <v>61.22</v>
      </c>
      <c r="D312">
        <v>4</v>
      </c>
      <c r="E312">
        <v>22</v>
      </c>
      <c r="F312">
        <v>73.599999999999994</v>
      </c>
      <c r="G312">
        <v>0</v>
      </c>
      <c r="H312">
        <v>0</v>
      </c>
      <c r="I312">
        <v>0</v>
      </c>
      <c r="J312">
        <v>3</v>
      </c>
      <c r="K312">
        <v>62.39</v>
      </c>
      <c r="L312">
        <v>59.55</v>
      </c>
    </row>
    <row r="313" spans="1:12" x14ac:dyDescent="0.2">
      <c r="A313" s="4">
        <v>312</v>
      </c>
      <c r="B313" t="s">
        <v>898</v>
      </c>
      <c r="C313">
        <v>61.14</v>
      </c>
      <c r="D313">
        <v>12</v>
      </c>
      <c r="E313">
        <v>15</v>
      </c>
      <c r="F313">
        <v>63.53</v>
      </c>
      <c r="G313">
        <v>0</v>
      </c>
      <c r="H313">
        <v>0</v>
      </c>
      <c r="I313">
        <v>0</v>
      </c>
      <c r="J313">
        <v>0</v>
      </c>
      <c r="K313">
        <v>62.15</v>
      </c>
      <c r="L313">
        <v>59.7</v>
      </c>
    </row>
    <row r="314" spans="1:12" x14ac:dyDescent="0.2">
      <c r="A314" s="4">
        <v>313</v>
      </c>
      <c r="B314" t="s">
        <v>293</v>
      </c>
      <c r="C314">
        <v>60.97</v>
      </c>
      <c r="D314">
        <v>4</v>
      </c>
      <c r="E314">
        <v>21</v>
      </c>
      <c r="F314">
        <v>74.540000000000006</v>
      </c>
      <c r="G314">
        <v>0</v>
      </c>
      <c r="H314">
        <v>0</v>
      </c>
      <c r="I314">
        <v>0</v>
      </c>
      <c r="J314">
        <v>5</v>
      </c>
      <c r="K314">
        <v>59.42</v>
      </c>
      <c r="L314">
        <v>61.99</v>
      </c>
    </row>
    <row r="315" spans="1:12" x14ac:dyDescent="0.2">
      <c r="A315" s="4">
        <v>314</v>
      </c>
      <c r="B315" t="s">
        <v>174</v>
      </c>
      <c r="C315">
        <v>60.92</v>
      </c>
      <c r="D315">
        <v>6</v>
      </c>
      <c r="E315">
        <v>22</v>
      </c>
      <c r="F315">
        <v>72.17</v>
      </c>
      <c r="G315">
        <v>0</v>
      </c>
      <c r="H315">
        <v>0</v>
      </c>
      <c r="I315">
        <v>0</v>
      </c>
      <c r="J315">
        <v>2</v>
      </c>
      <c r="K315">
        <v>60.86</v>
      </c>
      <c r="L315">
        <v>60.76</v>
      </c>
    </row>
    <row r="316" spans="1:12" x14ac:dyDescent="0.2">
      <c r="A316" s="4">
        <v>315</v>
      </c>
      <c r="B316" t="s">
        <v>213</v>
      </c>
      <c r="C316">
        <v>60.9</v>
      </c>
      <c r="D316">
        <v>7</v>
      </c>
      <c r="E316">
        <v>20</v>
      </c>
      <c r="F316">
        <v>67.650000000000006</v>
      </c>
      <c r="G316">
        <v>0</v>
      </c>
      <c r="H316">
        <v>0</v>
      </c>
      <c r="I316">
        <v>0</v>
      </c>
      <c r="J316">
        <v>0</v>
      </c>
      <c r="K316">
        <v>59.9</v>
      </c>
      <c r="L316">
        <v>61.55</v>
      </c>
    </row>
    <row r="317" spans="1:12" x14ac:dyDescent="0.2">
      <c r="A317" s="4">
        <v>316</v>
      </c>
      <c r="B317" t="s">
        <v>890</v>
      </c>
      <c r="C317">
        <v>60.87</v>
      </c>
      <c r="D317">
        <v>5</v>
      </c>
      <c r="E317">
        <v>19</v>
      </c>
      <c r="F317">
        <v>70.430000000000007</v>
      </c>
      <c r="G317">
        <v>0</v>
      </c>
      <c r="H317">
        <v>0</v>
      </c>
      <c r="I317">
        <v>0</v>
      </c>
      <c r="J317">
        <v>0</v>
      </c>
      <c r="K317">
        <v>60.24</v>
      </c>
      <c r="L317">
        <v>61.23</v>
      </c>
    </row>
    <row r="318" spans="1:12" x14ac:dyDescent="0.2">
      <c r="A318" s="4">
        <v>317</v>
      </c>
      <c r="B318" t="s">
        <v>831</v>
      </c>
      <c r="C318">
        <v>60.26</v>
      </c>
      <c r="D318">
        <v>3</v>
      </c>
      <c r="E318">
        <v>23</v>
      </c>
      <c r="F318">
        <v>73.260000000000005</v>
      </c>
      <c r="G318">
        <v>0</v>
      </c>
      <c r="H318">
        <v>0</v>
      </c>
      <c r="I318">
        <v>0</v>
      </c>
      <c r="J318">
        <v>2</v>
      </c>
      <c r="K318">
        <v>60.88</v>
      </c>
      <c r="L318">
        <v>59.34</v>
      </c>
    </row>
    <row r="319" spans="1:12" x14ac:dyDescent="0.2">
      <c r="A319" s="4">
        <v>318</v>
      </c>
      <c r="B319" t="s">
        <v>299</v>
      </c>
      <c r="C319">
        <v>60.1</v>
      </c>
      <c r="D319">
        <v>10</v>
      </c>
      <c r="E319">
        <v>15</v>
      </c>
      <c r="F319">
        <v>63.35</v>
      </c>
      <c r="G319">
        <v>0</v>
      </c>
      <c r="H319">
        <v>0</v>
      </c>
      <c r="I319">
        <v>0</v>
      </c>
      <c r="J319">
        <v>0</v>
      </c>
      <c r="K319">
        <v>60.5</v>
      </c>
      <c r="L319">
        <v>59.46</v>
      </c>
    </row>
    <row r="320" spans="1:12" x14ac:dyDescent="0.2">
      <c r="A320" s="4">
        <v>319</v>
      </c>
      <c r="B320" t="s">
        <v>246</v>
      </c>
      <c r="C320">
        <v>59.52</v>
      </c>
      <c r="D320">
        <v>4</v>
      </c>
      <c r="E320">
        <v>23</v>
      </c>
      <c r="F320">
        <v>69.05</v>
      </c>
      <c r="G320">
        <v>0</v>
      </c>
      <c r="H320">
        <v>1</v>
      </c>
      <c r="I320">
        <v>0</v>
      </c>
      <c r="J320">
        <v>2</v>
      </c>
      <c r="K320">
        <v>57.04</v>
      </c>
      <c r="L320">
        <v>60.99</v>
      </c>
    </row>
    <row r="321" spans="1:12" x14ac:dyDescent="0.2">
      <c r="A321" s="4">
        <v>320</v>
      </c>
      <c r="B321" t="s">
        <v>68</v>
      </c>
      <c r="C321">
        <v>59.06</v>
      </c>
      <c r="D321">
        <v>2</v>
      </c>
      <c r="E321">
        <v>26</v>
      </c>
      <c r="F321">
        <v>74.319999999999993</v>
      </c>
      <c r="G321">
        <v>0</v>
      </c>
      <c r="H321">
        <v>0</v>
      </c>
      <c r="I321">
        <v>0</v>
      </c>
      <c r="J321">
        <v>2</v>
      </c>
      <c r="K321">
        <v>57.41</v>
      </c>
      <c r="L321">
        <v>60.09</v>
      </c>
    </row>
    <row r="322" spans="1:12" x14ac:dyDescent="0.2">
      <c r="A322" s="4">
        <v>321</v>
      </c>
      <c r="B322" t="s">
        <v>845</v>
      </c>
      <c r="C322">
        <v>58.85</v>
      </c>
      <c r="D322">
        <v>3</v>
      </c>
      <c r="E322">
        <v>21</v>
      </c>
      <c r="F322">
        <v>70.42</v>
      </c>
      <c r="G322">
        <v>0</v>
      </c>
      <c r="H322">
        <v>1</v>
      </c>
      <c r="I322">
        <v>0</v>
      </c>
      <c r="J322">
        <v>2</v>
      </c>
      <c r="K322">
        <v>56.28</v>
      </c>
      <c r="L322">
        <v>60.34</v>
      </c>
    </row>
    <row r="323" spans="1:12" x14ac:dyDescent="0.2">
      <c r="A323" s="4">
        <v>322</v>
      </c>
      <c r="B323" t="s">
        <v>789</v>
      </c>
      <c r="C323">
        <v>58.58</v>
      </c>
      <c r="D323">
        <v>6</v>
      </c>
      <c r="E323">
        <v>24</v>
      </c>
      <c r="F323">
        <v>68.83</v>
      </c>
      <c r="G323">
        <v>0</v>
      </c>
      <c r="H323">
        <v>2</v>
      </c>
      <c r="I323">
        <v>0</v>
      </c>
      <c r="J323">
        <v>2</v>
      </c>
      <c r="K323">
        <v>57.84</v>
      </c>
      <c r="L323">
        <v>59.01</v>
      </c>
    </row>
    <row r="324" spans="1:12" x14ac:dyDescent="0.2">
      <c r="A324" s="4">
        <v>323</v>
      </c>
      <c r="B324" t="s">
        <v>563</v>
      </c>
      <c r="C324">
        <v>58.4</v>
      </c>
      <c r="D324">
        <v>2</v>
      </c>
      <c r="E324">
        <v>24</v>
      </c>
      <c r="F324">
        <v>73.11</v>
      </c>
      <c r="G324">
        <v>0</v>
      </c>
      <c r="H324">
        <v>0</v>
      </c>
      <c r="I324">
        <v>0</v>
      </c>
      <c r="J324">
        <v>1</v>
      </c>
      <c r="K324">
        <v>56.89</v>
      </c>
      <c r="L324">
        <v>59.34</v>
      </c>
    </row>
    <row r="325" spans="1:12" x14ac:dyDescent="0.2">
      <c r="A325" s="4">
        <v>324</v>
      </c>
      <c r="B325" t="s">
        <v>224</v>
      </c>
      <c r="C325">
        <v>56.85</v>
      </c>
      <c r="D325">
        <v>5</v>
      </c>
      <c r="E325">
        <v>23</v>
      </c>
      <c r="F325">
        <v>66.47</v>
      </c>
      <c r="G325">
        <v>0</v>
      </c>
      <c r="H325">
        <v>0</v>
      </c>
      <c r="I325">
        <v>0</v>
      </c>
      <c r="J325">
        <v>0</v>
      </c>
      <c r="K325">
        <v>54.74</v>
      </c>
      <c r="L325">
        <v>58.07</v>
      </c>
    </row>
    <row r="326" spans="1:12" x14ac:dyDescent="0.2">
      <c r="A326" s="4">
        <v>325</v>
      </c>
      <c r="B326" t="s">
        <v>189</v>
      </c>
      <c r="C326">
        <v>56.6</v>
      </c>
      <c r="D326">
        <v>2</v>
      </c>
      <c r="E326">
        <v>25</v>
      </c>
      <c r="F326">
        <v>71</v>
      </c>
      <c r="G326">
        <v>0</v>
      </c>
      <c r="H326">
        <v>1</v>
      </c>
      <c r="I326">
        <v>0</v>
      </c>
      <c r="J326">
        <v>2</v>
      </c>
      <c r="K326">
        <v>56.78</v>
      </c>
      <c r="L326">
        <v>56.2</v>
      </c>
    </row>
    <row r="327" spans="1:12" x14ac:dyDescent="0.2">
      <c r="A327" s="4">
        <v>326</v>
      </c>
      <c r="B327" t="s">
        <v>549</v>
      </c>
      <c r="C327">
        <v>55.62</v>
      </c>
      <c r="D327">
        <v>1</v>
      </c>
      <c r="E327">
        <v>24</v>
      </c>
      <c r="F327">
        <v>70.73</v>
      </c>
      <c r="G327">
        <v>0</v>
      </c>
      <c r="H327">
        <v>0</v>
      </c>
      <c r="I327">
        <v>0</v>
      </c>
      <c r="J327">
        <v>0</v>
      </c>
      <c r="K327">
        <v>50.79</v>
      </c>
      <c r="L327">
        <v>57.55</v>
      </c>
    </row>
    <row r="328" spans="1:12" x14ac:dyDescent="0.2">
      <c r="A328" s="4">
        <v>327</v>
      </c>
      <c r="B328" t="s">
        <v>270</v>
      </c>
      <c r="C328">
        <v>55.32</v>
      </c>
      <c r="D328">
        <v>5</v>
      </c>
      <c r="E328">
        <v>21</v>
      </c>
      <c r="F328">
        <v>66.31</v>
      </c>
      <c r="G328">
        <v>0</v>
      </c>
      <c r="H328">
        <v>0</v>
      </c>
      <c r="I328">
        <v>0</v>
      </c>
      <c r="J328">
        <v>0</v>
      </c>
      <c r="K328">
        <v>55.41</v>
      </c>
      <c r="L328">
        <v>55.02</v>
      </c>
    </row>
    <row r="329" spans="1:12" x14ac:dyDescent="0.2">
      <c r="A329" s="4">
        <v>328</v>
      </c>
      <c r="B329" t="s">
        <v>842</v>
      </c>
      <c r="C329">
        <v>54.65</v>
      </c>
      <c r="D329">
        <v>6</v>
      </c>
      <c r="E329">
        <v>22</v>
      </c>
      <c r="F329">
        <v>64.94</v>
      </c>
      <c r="G329">
        <v>0</v>
      </c>
      <c r="H329">
        <v>0</v>
      </c>
      <c r="I329">
        <v>0</v>
      </c>
      <c r="J329">
        <v>0</v>
      </c>
      <c r="K329">
        <v>55.69</v>
      </c>
      <c r="L329">
        <v>53.01</v>
      </c>
    </row>
    <row r="330" spans="1:12" x14ac:dyDescent="0.2">
      <c r="A330" s="4">
        <v>329</v>
      </c>
      <c r="B330" t="s">
        <v>235</v>
      </c>
      <c r="C330">
        <v>53.89</v>
      </c>
      <c r="D330">
        <v>5</v>
      </c>
      <c r="E330">
        <v>23</v>
      </c>
      <c r="F330">
        <v>66.23</v>
      </c>
      <c r="G330">
        <v>0</v>
      </c>
      <c r="H330">
        <v>0</v>
      </c>
      <c r="I330">
        <v>0</v>
      </c>
      <c r="J330">
        <v>1</v>
      </c>
      <c r="K330">
        <v>55.29</v>
      </c>
      <c r="L330">
        <v>51.37</v>
      </c>
    </row>
    <row r="331" spans="1:12" x14ac:dyDescent="0.2">
      <c r="A331" s="4">
        <v>330</v>
      </c>
      <c r="B331" t="s">
        <v>170</v>
      </c>
      <c r="C331">
        <v>52.77</v>
      </c>
      <c r="D331">
        <v>1</v>
      </c>
      <c r="E331">
        <v>29</v>
      </c>
      <c r="F331">
        <v>70.319999999999993</v>
      </c>
      <c r="G331">
        <v>0</v>
      </c>
      <c r="H331">
        <v>2</v>
      </c>
      <c r="I331">
        <v>0</v>
      </c>
      <c r="J331">
        <v>3</v>
      </c>
      <c r="K331">
        <v>47.45</v>
      </c>
      <c r="L331">
        <v>54.58</v>
      </c>
    </row>
    <row r="332" spans="1:12" x14ac:dyDescent="0.2">
      <c r="A332" s="4">
        <v>331</v>
      </c>
      <c r="B332" t="s">
        <v>886</v>
      </c>
      <c r="C332">
        <v>49.82</v>
      </c>
      <c r="D332">
        <v>2</v>
      </c>
      <c r="E332">
        <v>26</v>
      </c>
      <c r="F332">
        <v>66.959999999999994</v>
      </c>
      <c r="G332">
        <v>0</v>
      </c>
      <c r="H332">
        <v>0</v>
      </c>
      <c r="I332">
        <v>0</v>
      </c>
      <c r="J332">
        <v>0</v>
      </c>
      <c r="K332">
        <v>51.63</v>
      </c>
      <c r="L332">
        <v>44.26</v>
      </c>
    </row>
    <row r="333" spans="1:12" x14ac:dyDescent="0.2">
      <c r="A333" s="4">
        <v>332</v>
      </c>
      <c r="B333" t="s">
        <v>844</v>
      </c>
      <c r="C333">
        <v>44.45</v>
      </c>
      <c r="D333">
        <v>0</v>
      </c>
      <c r="E333">
        <v>28</v>
      </c>
      <c r="F333">
        <v>69.05</v>
      </c>
      <c r="G333">
        <v>0</v>
      </c>
      <c r="H333">
        <v>0</v>
      </c>
      <c r="I333">
        <v>0</v>
      </c>
      <c r="J333">
        <v>0</v>
      </c>
      <c r="K333">
        <v>36.49</v>
      </c>
      <c r="L333">
        <v>45.91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49F5-2154-4FE6-8B6C-4063BCA7E926}">
  <dimension ref="A1:L327"/>
  <sheetViews>
    <sheetView topLeftCell="A22" workbookViewId="0">
      <selection activeCell="B42" sqref="B42"/>
    </sheetView>
  </sheetViews>
  <sheetFormatPr baseColWidth="10" defaultColWidth="8.83203125" defaultRowHeight="15" x14ac:dyDescent="0.2"/>
  <cols>
    <col min="2" max="2" width="19.33203125" bestFit="1" customWidth="1"/>
  </cols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858</v>
      </c>
      <c r="H1" t="s">
        <v>857</v>
      </c>
      <c r="I1" t="s">
        <v>856</v>
      </c>
      <c r="J1" t="s">
        <v>855</v>
      </c>
      <c r="K1" t="s">
        <v>854</v>
      </c>
      <c r="L1" t="s">
        <v>28</v>
      </c>
    </row>
    <row r="2" spans="1:12" x14ac:dyDescent="0.2">
      <c r="A2" s="3">
        <v>1</v>
      </c>
      <c r="B2" t="s">
        <v>9</v>
      </c>
      <c r="C2">
        <v>94.58</v>
      </c>
      <c r="D2">
        <v>31</v>
      </c>
      <c r="E2">
        <v>6</v>
      </c>
      <c r="F2">
        <v>81.99</v>
      </c>
      <c r="G2">
        <v>3</v>
      </c>
      <c r="H2">
        <v>2</v>
      </c>
      <c r="I2">
        <v>12</v>
      </c>
      <c r="J2">
        <v>5</v>
      </c>
      <c r="K2">
        <v>93.28</v>
      </c>
      <c r="L2">
        <v>96.22</v>
      </c>
    </row>
    <row r="3" spans="1:12" x14ac:dyDescent="0.2">
      <c r="A3" s="3">
        <v>2</v>
      </c>
      <c r="B3" t="s">
        <v>37</v>
      </c>
      <c r="C3">
        <v>94.14</v>
      </c>
      <c r="D3">
        <v>33</v>
      </c>
      <c r="E3">
        <v>6</v>
      </c>
      <c r="F3">
        <v>79.39</v>
      </c>
      <c r="G3">
        <v>4</v>
      </c>
      <c r="H3">
        <v>2</v>
      </c>
      <c r="I3">
        <v>9</v>
      </c>
      <c r="J3">
        <v>5</v>
      </c>
      <c r="K3">
        <v>94.37</v>
      </c>
      <c r="L3">
        <v>93.71</v>
      </c>
    </row>
    <row r="4" spans="1:12" x14ac:dyDescent="0.2">
      <c r="A4" s="3">
        <v>3</v>
      </c>
      <c r="B4" t="s">
        <v>790</v>
      </c>
      <c r="C4">
        <v>93.11</v>
      </c>
      <c r="D4">
        <v>30</v>
      </c>
      <c r="E4">
        <v>4</v>
      </c>
      <c r="F4">
        <v>78.849999999999994</v>
      </c>
      <c r="G4">
        <v>5</v>
      </c>
      <c r="H4">
        <v>1</v>
      </c>
      <c r="I4">
        <v>9</v>
      </c>
      <c r="J4">
        <v>2</v>
      </c>
      <c r="K4">
        <v>93.7</v>
      </c>
      <c r="L4">
        <v>92.42</v>
      </c>
    </row>
    <row r="5" spans="1:12" x14ac:dyDescent="0.2">
      <c r="A5" s="3">
        <v>4</v>
      </c>
      <c r="B5" t="s">
        <v>783</v>
      </c>
      <c r="C5">
        <v>92.96</v>
      </c>
      <c r="D5">
        <v>30</v>
      </c>
      <c r="E5">
        <v>2</v>
      </c>
      <c r="F5">
        <v>78.459999999999994</v>
      </c>
      <c r="G5">
        <v>1</v>
      </c>
      <c r="H5">
        <v>1</v>
      </c>
      <c r="I5">
        <v>4</v>
      </c>
      <c r="J5">
        <v>2</v>
      </c>
      <c r="K5">
        <v>93.83</v>
      </c>
      <c r="L5">
        <v>92.09</v>
      </c>
    </row>
    <row r="6" spans="1:12" x14ac:dyDescent="0.2">
      <c r="A6" s="3">
        <v>5</v>
      </c>
      <c r="B6" t="s">
        <v>130</v>
      </c>
      <c r="C6">
        <v>91.47</v>
      </c>
      <c r="D6">
        <v>28</v>
      </c>
      <c r="E6">
        <v>10</v>
      </c>
      <c r="F6">
        <v>82.46</v>
      </c>
      <c r="G6">
        <v>3</v>
      </c>
      <c r="H6">
        <v>3</v>
      </c>
      <c r="I6">
        <v>11</v>
      </c>
      <c r="J6">
        <v>7</v>
      </c>
      <c r="K6">
        <v>91.51</v>
      </c>
      <c r="L6">
        <v>91.2</v>
      </c>
    </row>
    <row r="7" spans="1:12" x14ac:dyDescent="0.2">
      <c r="A7" s="3">
        <v>6</v>
      </c>
      <c r="B7" t="s">
        <v>153</v>
      </c>
      <c r="C7">
        <v>90.25</v>
      </c>
      <c r="D7">
        <v>30</v>
      </c>
      <c r="E7">
        <v>5</v>
      </c>
      <c r="F7">
        <v>78.14</v>
      </c>
      <c r="G7">
        <v>1</v>
      </c>
      <c r="H7">
        <v>3</v>
      </c>
      <c r="I7">
        <v>5</v>
      </c>
      <c r="J7">
        <v>5</v>
      </c>
      <c r="K7">
        <v>92.56</v>
      </c>
      <c r="L7">
        <v>88.65</v>
      </c>
    </row>
    <row r="8" spans="1:12" x14ac:dyDescent="0.2">
      <c r="A8" s="3">
        <v>7</v>
      </c>
      <c r="B8" t="s">
        <v>15</v>
      </c>
      <c r="C8">
        <v>89.43</v>
      </c>
      <c r="D8">
        <v>27</v>
      </c>
      <c r="E8">
        <v>5</v>
      </c>
      <c r="F8">
        <v>79.8</v>
      </c>
      <c r="G8">
        <v>0</v>
      </c>
      <c r="H8">
        <v>0</v>
      </c>
      <c r="I8">
        <v>7</v>
      </c>
      <c r="J8">
        <v>2</v>
      </c>
      <c r="K8">
        <v>89.72</v>
      </c>
      <c r="L8">
        <v>88.95</v>
      </c>
    </row>
    <row r="9" spans="1:12" x14ac:dyDescent="0.2">
      <c r="A9" s="3">
        <v>8</v>
      </c>
      <c r="B9" t="s">
        <v>0</v>
      </c>
      <c r="C9">
        <v>89.32</v>
      </c>
      <c r="D9">
        <v>28</v>
      </c>
      <c r="E9">
        <v>3</v>
      </c>
      <c r="F9">
        <v>75.91</v>
      </c>
      <c r="G9">
        <v>0</v>
      </c>
      <c r="H9">
        <v>2</v>
      </c>
      <c r="I9">
        <v>1</v>
      </c>
      <c r="J9">
        <v>3</v>
      </c>
      <c r="K9">
        <v>88.36</v>
      </c>
      <c r="L9">
        <v>90.21</v>
      </c>
    </row>
    <row r="10" spans="1:12" x14ac:dyDescent="0.2">
      <c r="A10" s="3">
        <v>9</v>
      </c>
      <c r="B10" t="s">
        <v>98</v>
      </c>
      <c r="C10">
        <v>89.32</v>
      </c>
      <c r="D10">
        <v>30</v>
      </c>
      <c r="E10">
        <v>2</v>
      </c>
      <c r="F10">
        <v>75.959999999999994</v>
      </c>
      <c r="G10">
        <v>1</v>
      </c>
      <c r="H10">
        <v>0</v>
      </c>
      <c r="I10">
        <v>2</v>
      </c>
      <c r="J10">
        <v>1</v>
      </c>
      <c r="K10">
        <v>90.12</v>
      </c>
      <c r="L10">
        <v>88.46</v>
      </c>
    </row>
    <row r="11" spans="1:12" x14ac:dyDescent="0.2">
      <c r="A11" s="3">
        <v>10</v>
      </c>
      <c r="B11" t="s">
        <v>38</v>
      </c>
      <c r="C11">
        <v>89.06</v>
      </c>
      <c r="D11">
        <v>25</v>
      </c>
      <c r="E11">
        <v>8</v>
      </c>
      <c r="F11">
        <v>79.650000000000006</v>
      </c>
      <c r="G11">
        <v>0</v>
      </c>
      <c r="H11">
        <v>4</v>
      </c>
      <c r="I11">
        <v>7</v>
      </c>
      <c r="J11">
        <v>5</v>
      </c>
      <c r="K11">
        <v>88.48</v>
      </c>
      <c r="L11">
        <v>89.44</v>
      </c>
    </row>
    <row r="12" spans="1:12" x14ac:dyDescent="0.2">
      <c r="A12" s="4">
        <v>11</v>
      </c>
      <c r="B12" t="s">
        <v>36</v>
      </c>
      <c r="C12">
        <v>88.78</v>
      </c>
      <c r="D12">
        <v>19</v>
      </c>
      <c r="E12">
        <v>11</v>
      </c>
      <c r="F12">
        <v>83.08</v>
      </c>
      <c r="G12">
        <v>2</v>
      </c>
      <c r="H12">
        <v>6</v>
      </c>
      <c r="I12">
        <v>7</v>
      </c>
      <c r="J12">
        <v>8</v>
      </c>
      <c r="K12">
        <v>87.42</v>
      </c>
      <c r="L12">
        <v>90.31</v>
      </c>
    </row>
    <row r="13" spans="1:12" x14ac:dyDescent="0.2">
      <c r="A13" s="4">
        <v>12</v>
      </c>
      <c r="B13" t="s">
        <v>34</v>
      </c>
      <c r="C13">
        <v>88.78</v>
      </c>
      <c r="D13">
        <v>26</v>
      </c>
      <c r="E13">
        <v>7</v>
      </c>
      <c r="F13">
        <v>78.87</v>
      </c>
      <c r="G13">
        <v>0</v>
      </c>
      <c r="H13">
        <v>1</v>
      </c>
      <c r="I13">
        <v>3</v>
      </c>
      <c r="J13">
        <v>5</v>
      </c>
      <c r="K13">
        <v>88.31</v>
      </c>
      <c r="L13">
        <v>89.02</v>
      </c>
    </row>
    <row r="14" spans="1:12" x14ac:dyDescent="0.2">
      <c r="A14" s="4">
        <v>13</v>
      </c>
      <c r="B14" t="s">
        <v>43</v>
      </c>
      <c r="C14">
        <v>88.66</v>
      </c>
      <c r="D14">
        <v>25</v>
      </c>
      <c r="E14">
        <v>7</v>
      </c>
      <c r="F14">
        <v>79.23</v>
      </c>
      <c r="G14">
        <v>0</v>
      </c>
      <c r="H14">
        <v>1</v>
      </c>
      <c r="I14">
        <v>2</v>
      </c>
      <c r="J14">
        <v>4</v>
      </c>
      <c r="K14">
        <v>87.59</v>
      </c>
      <c r="L14">
        <v>89.7</v>
      </c>
    </row>
    <row r="15" spans="1:12" x14ac:dyDescent="0.2">
      <c r="A15" s="4">
        <v>14</v>
      </c>
      <c r="B15" t="s">
        <v>791</v>
      </c>
      <c r="C15">
        <v>88.62</v>
      </c>
      <c r="D15">
        <v>26</v>
      </c>
      <c r="E15">
        <v>4</v>
      </c>
      <c r="F15">
        <v>78.08</v>
      </c>
      <c r="G15">
        <v>0</v>
      </c>
      <c r="H15">
        <v>1</v>
      </c>
      <c r="I15">
        <v>4</v>
      </c>
      <c r="J15">
        <v>4</v>
      </c>
      <c r="K15">
        <v>89.38</v>
      </c>
      <c r="L15">
        <v>87.77</v>
      </c>
    </row>
    <row r="16" spans="1:12" x14ac:dyDescent="0.2">
      <c r="A16" s="4">
        <v>15</v>
      </c>
      <c r="B16" t="s">
        <v>53</v>
      </c>
      <c r="C16">
        <v>88.53</v>
      </c>
      <c r="D16">
        <v>21</v>
      </c>
      <c r="E16">
        <v>10</v>
      </c>
      <c r="F16">
        <v>82.02</v>
      </c>
      <c r="G16">
        <v>2</v>
      </c>
      <c r="H16">
        <v>4</v>
      </c>
      <c r="I16">
        <v>7</v>
      </c>
      <c r="J16">
        <v>8</v>
      </c>
      <c r="K16">
        <v>88.26</v>
      </c>
      <c r="L16">
        <v>88.55</v>
      </c>
    </row>
    <row r="17" spans="1:12" x14ac:dyDescent="0.2">
      <c r="A17" s="4">
        <v>16</v>
      </c>
      <c r="B17" t="s">
        <v>792</v>
      </c>
      <c r="C17">
        <v>88.31</v>
      </c>
      <c r="D17">
        <v>21</v>
      </c>
      <c r="E17">
        <v>10</v>
      </c>
      <c r="F17">
        <v>81.59</v>
      </c>
      <c r="G17">
        <v>3</v>
      </c>
      <c r="H17">
        <v>1</v>
      </c>
      <c r="I17">
        <v>6</v>
      </c>
      <c r="J17">
        <v>6</v>
      </c>
      <c r="K17">
        <v>87.7</v>
      </c>
      <c r="L17">
        <v>88.73</v>
      </c>
    </row>
    <row r="18" spans="1:12" x14ac:dyDescent="0.2">
      <c r="A18" s="4">
        <v>17</v>
      </c>
      <c r="B18" t="s">
        <v>2</v>
      </c>
      <c r="C18">
        <v>88.03</v>
      </c>
      <c r="D18">
        <v>23</v>
      </c>
      <c r="E18">
        <v>9</v>
      </c>
      <c r="F18">
        <v>80.819999999999993</v>
      </c>
      <c r="G18">
        <v>0</v>
      </c>
      <c r="H18">
        <v>5</v>
      </c>
      <c r="I18">
        <v>1</v>
      </c>
      <c r="J18">
        <v>6</v>
      </c>
      <c r="K18">
        <v>87.15</v>
      </c>
      <c r="L18">
        <v>88.78</v>
      </c>
    </row>
    <row r="19" spans="1:12" x14ac:dyDescent="0.2">
      <c r="A19" s="4">
        <v>18</v>
      </c>
      <c r="B19" t="s">
        <v>99</v>
      </c>
      <c r="C19">
        <v>87.63</v>
      </c>
      <c r="D19">
        <v>25</v>
      </c>
      <c r="E19">
        <v>7</v>
      </c>
      <c r="F19">
        <v>77.8</v>
      </c>
      <c r="G19">
        <v>0</v>
      </c>
      <c r="H19">
        <v>0</v>
      </c>
      <c r="I19">
        <v>3</v>
      </c>
      <c r="J19">
        <v>4</v>
      </c>
      <c r="K19">
        <v>86.59</v>
      </c>
      <c r="L19">
        <v>88.62</v>
      </c>
    </row>
    <row r="20" spans="1:12" x14ac:dyDescent="0.2">
      <c r="A20" s="4">
        <v>19</v>
      </c>
      <c r="B20" t="s">
        <v>75</v>
      </c>
      <c r="C20">
        <v>87.19</v>
      </c>
      <c r="D20">
        <v>20</v>
      </c>
      <c r="E20">
        <v>12</v>
      </c>
      <c r="F20">
        <v>82.18</v>
      </c>
      <c r="G20">
        <v>1</v>
      </c>
      <c r="H20">
        <v>5</v>
      </c>
      <c r="I20">
        <v>7</v>
      </c>
      <c r="J20">
        <v>10</v>
      </c>
      <c r="K20">
        <v>86.99</v>
      </c>
      <c r="L20">
        <v>87.15</v>
      </c>
    </row>
    <row r="21" spans="1:12" x14ac:dyDescent="0.2">
      <c r="A21" s="4">
        <v>20</v>
      </c>
      <c r="B21" t="s">
        <v>51</v>
      </c>
      <c r="C21">
        <v>86.77</v>
      </c>
      <c r="D21">
        <v>26</v>
      </c>
      <c r="E21">
        <v>11</v>
      </c>
      <c r="F21">
        <v>78.37</v>
      </c>
      <c r="G21">
        <v>2</v>
      </c>
      <c r="H21">
        <v>2</v>
      </c>
      <c r="I21">
        <v>6</v>
      </c>
      <c r="J21">
        <v>3</v>
      </c>
      <c r="K21">
        <v>86.49</v>
      </c>
      <c r="L21">
        <v>86.8</v>
      </c>
    </row>
    <row r="22" spans="1:12" x14ac:dyDescent="0.2">
      <c r="A22" s="4">
        <v>21</v>
      </c>
      <c r="B22" t="s">
        <v>119</v>
      </c>
      <c r="C22">
        <v>86.74</v>
      </c>
      <c r="D22">
        <v>24</v>
      </c>
      <c r="E22">
        <v>9</v>
      </c>
      <c r="F22">
        <v>78.459999999999994</v>
      </c>
      <c r="G22">
        <v>1</v>
      </c>
      <c r="H22">
        <v>2</v>
      </c>
      <c r="I22">
        <v>2</v>
      </c>
      <c r="J22">
        <v>2</v>
      </c>
      <c r="K22">
        <v>85.71</v>
      </c>
      <c r="L22">
        <v>87.69</v>
      </c>
    </row>
    <row r="23" spans="1:12" x14ac:dyDescent="0.2">
      <c r="A23" s="4">
        <v>22</v>
      </c>
      <c r="B23" t="s">
        <v>76</v>
      </c>
      <c r="C23">
        <v>86.55</v>
      </c>
      <c r="D23">
        <v>23</v>
      </c>
      <c r="E23">
        <v>10</v>
      </c>
      <c r="F23">
        <v>78.819999999999993</v>
      </c>
      <c r="G23">
        <v>1</v>
      </c>
      <c r="H23">
        <v>2</v>
      </c>
      <c r="I23">
        <v>5</v>
      </c>
      <c r="J23">
        <v>5</v>
      </c>
      <c r="K23">
        <v>86.4</v>
      </c>
      <c r="L23">
        <v>86.45</v>
      </c>
    </row>
    <row r="24" spans="1:12" x14ac:dyDescent="0.2">
      <c r="A24" s="4">
        <v>23</v>
      </c>
      <c r="B24" t="s">
        <v>31</v>
      </c>
      <c r="C24">
        <v>85.88</v>
      </c>
      <c r="D24">
        <v>23</v>
      </c>
      <c r="E24">
        <v>11</v>
      </c>
      <c r="F24">
        <v>79.680000000000007</v>
      </c>
      <c r="G24">
        <v>1</v>
      </c>
      <c r="H24">
        <v>6</v>
      </c>
      <c r="I24">
        <v>1</v>
      </c>
      <c r="J24">
        <v>7</v>
      </c>
      <c r="K24">
        <v>85.39</v>
      </c>
      <c r="L24">
        <v>86.15</v>
      </c>
    </row>
    <row r="25" spans="1:12" x14ac:dyDescent="0.2">
      <c r="A25" s="4">
        <v>24</v>
      </c>
      <c r="B25" t="s">
        <v>44</v>
      </c>
      <c r="C25">
        <v>85.72</v>
      </c>
      <c r="D25">
        <v>20</v>
      </c>
      <c r="E25">
        <v>9</v>
      </c>
      <c r="F25">
        <v>80.099999999999994</v>
      </c>
      <c r="G25">
        <v>1</v>
      </c>
      <c r="H25">
        <v>2</v>
      </c>
      <c r="I25">
        <v>5</v>
      </c>
      <c r="J25">
        <v>3</v>
      </c>
      <c r="K25">
        <v>85.8</v>
      </c>
      <c r="L25">
        <v>85.41</v>
      </c>
    </row>
    <row r="26" spans="1:12" x14ac:dyDescent="0.2">
      <c r="A26" s="4">
        <v>25</v>
      </c>
      <c r="B26" t="s">
        <v>104</v>
      </c>
      <c r="C26">
        <v>85.7</v>
      </c>
      <c r="D26">
        <v>20</v>
      </c>
      <c r="E26">
        <v>10</v>
      </c>
      <c r="F26">
        <v>78.7</v>
      </c>
      <c r="G26">
        <v>1</v>
      </c>
      <c r="H26">
        <v>0</v>
      </c>
      <c r="I26">
        <v>5</v>
      </c>
      <c r="J26">
        <v>4</v>
      </c>
      <c r="K26">
        <v>83.62</v>
      </c>
      <c r="L26">
        <v>88.53</v>
      </c>
    </row>
    <row r="27" spans="1:12" x14ac:dyDescent="0.2">
      <c r="A27" s="4">
        <v>26</v>
      </c>
      <c r="B27" t="s">
        <v>42</v>
      </c>
      <c r="C27">
        <v>85.59</v>
      </c>
      <c r="D27">
        <v>20</v>
      </c>
      <c r="E27">
        <v>13</v>
      </c>
      <c r="F27">
        <v>81.489999999999995</v>
      </c>
      <c r="G27">
        <v>1</v>
      </c>
      <c r="H27">
        <v>3</v>
      </c>
      <c r="I27">
        <v>4</v>
      </c>
      <c r="J27">
        <v>9</v>
      </c>
      <c r="K27">
        <v>86.28</v>
      </c>
      <c r="L27">
        <v>84.77</v>
      </c>
    </row>
    <row r="28" spans="1:12" x14ac:dyDescent="0.2">
      <c r="A28" s="4">
        <v>27</v>
      </c>
      <c r="B28" t="s">
        <v>73</v>
      </c>
      <c r="C28">
        <v>85.48</v>
      </c>
      <c r="D28">
        <v>23</v>
      </c>
      <c r="E28">
        <v>8</v>
      </c>
      <c r="F28">
        <v>79.209999999999994</v>
      </c>
      <c r="G28">
        <v>2</v>
      </c>
      <c r="H28">
        <v>2</v>
      </c>
      <c r="I28">
        <v>3</v>
      </c>
      <c r="J28">
        <v>5</v>
      </c>
      <c r="K28">
        <v>88.07</v>
      </c>
      <c r="L28">
        <v>83.56</v>
      </c>
    </row>
    <row r="29" spans="1:12" x14ac:dyDescent="0.2">
      <c r="A29" s="4">
        <v>28</v>
      </c>
      <c r="B29" t="s">
        <v>60</v>
      </c>
      <c r="C29">
        <v>85.31</v>
      </c>
      <c r="D29">
        <v>20</v>
      </c>
      <c r="E29">
        <v>11</v>
      </c>
      <c r="F29">
        <v>80.22</v>
      </c>
      <c r="G29">
        <v>0</v>
      </c>
      <c r="H29">
        <v>3</v>
      </c>
      <c r="I29">
        <v>4</v>
      </c>
      <c r="J29">
        <v>7</v>
      </c>
      <c r="K29">
        <v>84.6</v>
      </c>
      <c r="L29">
        <v>85.82</v>
      </c>
    </row>
    <row r="30" spans="1:12" x14ac:dyDescent="0.2">
      <c r="A30" s="4">
        <v>29</v>
      </c>
      <c r="B30" t="s">
        <v>48</v>
      </c>
      <c r="C30">
        <v>85.19</v>
      </c>
      <c r="D30">
        <v>20</v>
      </c>
      <c r="E30">
        <v>10</v>
      </c>
      <c r="F30">
        <v>79.510000000000005</v>
      </c>
      <c r="G30">
        <v>1</v>
      </c>
      <c r="H30">
        <v>2</v>
      </c>
      <c r="I30">
        <v>3</v>
      </c>
      <c r="J30">
        <v>4</v>
      </c>
      <c r="K30">
        <v>85.04</v>
      </c>
      <c r="L30">
        <v>85.09</v>
      </c>
    </row>
    <row r="31" spans="1:12" x14ac:dyDescent="0.2">
      <c r="A31" s="4">
        <v>30</v>
      </c>
      <c r="B31" t="s">
        <v>40</v>
      </c>
      <c r="C31">
        <v>85.05</v>
      </c>
      <c r="D31">
        <v>22</v>
      </c>
      <c r="E31">
        <v>8</v>
      </c>
      <c r="F31">
        <v>77.790000000000006</v>
      </c>
      <c r="G31">
        <v>0</v>
      </c>
      <c r="H31">
        <v>1</v>
      </c>
      <c r="I31">
        <v>1</v>
      </c>
      <c r="J31">
        <v>5</v>
      </c>
      <c r="K31">
        <v>85.76</v>
      </c>
      <c r="L31">
        <v>84.21</v>
      </c>
    </row>
    <row r="32" spans="1:12" x14ac:dyDescent="0.2">
      <c r="A32" s="4">
        <v>31</v>
      </c>
      <c r="B32" t="s">
        <v>122</v>
      </c>
      <c r="C32">
        <v>84.81</v>
      </c>
      <c r="D32">
        <v>24</v>
      </c>
      <c r="E32">
        <v>10</v>
      </c>
      <c r="F32">
        <v>78.819999999999993</v>
      </c>
      <c r="G32">
        <v>0</v>
      </c>
      <c r="H32">
        <v>5</v>
      </c>
      <c r="I32">
        <v>5</v>
      </c>
      <c r="J32">
        <v>7</v>
      </c>
      <c r="K32">
        <v>86.28</v>
      </c>
      <c r="L32">
        <v>83.46</v>
      </c>
    </row>
    <row r="33" spans="1:12" x14ac:dyDescent="0.2">
      <c r="A33" s="4">
        <v>32</v>
      </c>
      <c r="B33" t="s">
        <v>793</v>
      </c>
      <c r="C33">
        <v>84.36</v>
      </c>
      <c r="D33">
        <v>18</v>
      </c>
      <c r="E33">
        <v>14</v>
      </c>
      <c r="F33">
        <v>79.959999999999994</v>
      </c>
      <c r="G33">
        <v>1</v>
      </c>
      <c r="H33">
        <v>4</v>
      </c>
      <c r="I33">
        <v>4</v>
      </c>
      <c r="J33">
        <v>11</v>
      </c>
      <c r="K33">
        <v>83.14</v>
      </c>
      <c r="L33">
        <v>85.53</v>
      </c>
    </row>
    <row r="34" spans="1:12" x14ac:dyDescent="0.2">
      <c r="A34" s="4">
        <v>33</v>
      </c>
      <c r="B34" t="s">
        <v>39</v>
      </c>
      <c r="C34">
        <v>84.1</v>
      </c>
      <c r="D34">
        <v>23</v>
      </c>
      <c r="E34">
        <v>11</v>
      </c>
      <c r="F34">
        <v>77.680000000000007</v>
      </c>
      <c r="G34">
        <v>0</v>
      </c>
      <c r="H34">
        <v>0</v>
      </c>
      <c r="I34">
        <v>2</v>
      </c>
      <c r="J34">
        <v>4</v>
      </c>
      <c r="K34">
        <v>84.38</v>
      </c>
      <c r="L34">
        <v>83.6</v>
      </c>
    </row>
    <row r="35" spans="1:12" x14ac:dyDescent="0.2">
      <c r="A35" s="4">
        <v>34</v>
      </c>
      <c r="B35" t="s">
        <v>285</v>
      </c>
      <c r="C35">
        <v>84</v>
      </c>
      <c r="D35">
        <v>21</v>
      </c>
      <c r="E35">
        <v>9</v>
      </c>
      <c r="F35">
        <v>77.349999999999994</v>
      </c>
      <c r="G35">
        <v>0</v>
      </c>
      <c r="H35">
        <v>0</v>
      </c>
      <c r="I35">
        <v>3</v>
      </c>
      <c r="J35">
        <v>4</v>
      </c>
      <c r="K35">
        <v>84.01</v>
      </c>
      <c r="L35">
        <v>83.76</v>
      </c>
    </row>
    <row r="36" spans="1:12" x14ac:dyDescent="0.2">
      <c r="A36" s="4">
        <v>35</v>
      </c>
      <c r="B36" t="s">
        <v>66</v>
      </c>
      <c r="C36">
        <v>83.68</v>
      </c>
      <c r="D36">
        <v>22</v>
      </c>
      <c r="E36">
        <v>10</v>
      </c>
      <c r="F36">
        <v>77.53</v>
      </c>
      <c r="G36">
        <v>1</v>
      </c>
      <c r="H36">
        <v>0</v>
      </c>
      <c r="I36">
        <v>2</v>
      </c>
      <c r="J36">
        <v>4</v>
      </c>
      <c r="K36">
        <v>84.42</v>
      </c>
      <c r="L36">
        <v>82.8</v>
      </c>
    </row>
    <row r="37" spans="1:12" x14ac:dyDescent="0.2">
      <c r="A37" s="4">
        <v>36</v>
      </c>
      <c r="B37" t="s">
        <v>96</v>
      </c>
      <c r="C37">
        <v>83.66</v>
      </c>
      <c r="D37">
        <v>23</v>
      </c>
      <c r="E37">
        <v>11</v>
      </c>
      <c r="F37">
        <v>76.98</v>
      </c>
      <c r="G37">
        <v>0</v>
      </c>
      <c r="H37">
        <v>3</v>
      </c>
      <c r="I37">
        <v>4</v>
      </c>
      <c r="J37">
        <v>7</v>
      </c>
      <c r="K37">
        <v>83.78</v>
      </c>
      <c r="L37">
        <v>83.32</v>
      </c>
    </row>
    <row r="38" spans="1:12" x14ac:dyDescent="0.2">
      <c r="A38" s="4">
        <v>37</v>
      </c>
      <c r="B38" t="s">
        <v>245</v>
      </c>
      <c r="C38">
        <v>83.52</v>
      </c>
      <c r="D38">
        <v>26</v>
      </c>
      <c r="E38">
        <v>5</v>
      </c>
      <c r="F38">
        <v>72.97</v>
      </c>
      <c r="G38">
        <v>0</v>
      </c>
      <c r="H38">
        <v>0</v>
      </c>
      <c r="I38">
        <v>0</v>
      </c>
      <c r="J38">
        <v>1</v>
      </c>
      <c r="K38">
        <v>82.37</v>
      </c>
      <c r="L38">
        <v>84.6</v>
      </c>
    </row>
    <row r="39" spans="1:12" x14ac:dyDescent="0.2">
      <c r="A39" s="4">
        <v>38</v>
      </c>
      <c r="B39" t="s">
        <v>6</v>
      </c>
      <c r="C39">
        <v>83.47</v>
      </c>
      <c r="D39">
        <v>20</v>
      </c>
      <c r="E39">
        <v>10</v>
      </c>
      <c r="F39">
        <v>77.91</v>
      </c>
      <c r="G39">
        <v>1</v>
      </c>
      <c r="H39">
        <v>2</v>
      </c>
      <c r="I39">
        <v>1</v>
      </c>
      <c r="J39">
        <v>4</v>
      </c>
      <c r="K39">
        <v>81.790000000000006</v>
      </c>
      <c r="L39">
        <v>85.35</v>
      </c>
    </row>
    <row r="40" spans="1:12" x14ac:dyDescent="0.2">
      <c r="A40" s="4">
        <v>39</v>
      </c>
      <c r="B40" t="s">
        <v>136</v>
      </c>
      <c r="C40">
        <v>83.43</v>
      </c>
      <c r="D40">
        <v>25</v>
      </c>
      <c r="E40">
        <v>5</v>
      </c>
      <c r="F40">
        <v>74.760000000000005</v>
      </c>
      <c r="G40">
        <v>0</v>
      </c>
      <c r="H40">
        <v>0</v>
      </c>
      <c r="I40">
        <v>0</v>
      </c>
      <c r="J40">
        <v>1</v>
      </c>
      <c r="K40">
        <v>83.35</v>
      </c>
      <c r="L40">
        <v>83.26</v>
      </c>
    </row>
    <row r="41" spans="1:12" x14ac:dyDescent="0.2">
      <c r="A41" s="4">
        <v>40</v>
      </c>
      <c r="B41" t="s">
        <v>58</v>
      </c>
      <c r="C41">
        <v>83.37</v>
      </c>
      <c r="D41">
        <v>19</v>
      </c>
      <c r="E41">
        <v>9</v>
      </c>
      <c r="F41">
        <v>78.209999999999994</v>
      </c>
      <c r="G41">
        <v>1</v>
      </c>
      <c r="H41">
        <v>0</v>
      </c>
      <c r="I41">
        <v>1</v>
      </c>
      <c r="J41">
        <v>2</v>
      </c>
      <c r="K41">
        <v>82.43</v>
      </c>
      <c r="L41">
        <v>84.15</v>
      </c>
    </row>
    <row r="42" spans="1:12" x14ac:dyDescent="0.2">
      <c r="A42" s="4">
        <v>41</v>
      </c>
      <c r="B42" t="s">
        <v>163</v>
      </c>
      <c r="C42">
        <v>83.23</v>
      </c>
      <c r="D42">
        <v>22</v>
      </c>
      <c r="E42">
        <v>8</v>
      </c>
      <c r="F42">
        <v>75.98</v>
      </c>
      <c r="G42">
        <v>0</v>
      </c>
      <c r="H42">
        <v>0</v>
      </c>
      <c r="I42">
        <v>1</v>
      </c>
      <c r="J42">
        <v>4</v>
      </c>
      <c r="K42">
        <v>82.89</v>
      </c>
      <c r="L42">
        <v>83.34</v>
      </c>
    </row>
    <row r="43" spans="1:12" x14ac:dyDescent="0.2">
      <c r="A43" s="4">
        <v>42</v>
      </c>
      <c r="B43" t="s">
        <v>794</v>
      </c>
      <c r="C43">
        <v>82.92</v>
      </c>
      <c r="D43">
        <v>18</v>
      </c>
      <c r="E43">
        <v>12</v>
      </c>
      <c r="F43">
        <v>79.77</v>
      </c>
      <c r="G43">
        <v>0</v>
      </c>
      <c r="H43">
        <v>2</v>
      </c>
      <c r="I43">
        <v>0</v>
      </c>
      <c r="J43">
        <v>9</v>
      </c>
      <c r="K43">
        <v>82.56</v>
      </c>
      <c r="L43">
        <v>83.04</v>
      </c>
    </row>
    <row r="44" spans="1:12" x14ac:dyDescent="0.2">
      <c r="A44" s="4">
        <v>43</v>
      </c>
      <c r="B44" t="s">
        <v>214</v>
      </c>
      <c r="C44">
        <v>82.88</v>
      </c>
      <c r="D44">
        <v>25</v>
      </c>
      <c r="E44">
        <v>6</v>
      </c>
      <c r="F44">
        <v>72.319999999999993</v>
      </c>
      <c r="G44">
        <v>0</v>
      </c>
      <c r="H44">
        <v>0</v>
      </c>
      <c r="I44">
        <v>1</v>
      </c>
      <c r="J44">
        <v>2</v>
      </c>
      <c r="K44">
        <v>82.49</v>
      </c>
      <c r="L44">
        <v>83.05</v>
      </c>
    </row>
    <row r="45" spans="1:12" x14ac:dyDescent="0.2">
      <c r="A45" s="4">
        <v>44</v>
      </c>
      <c r="B45" t="s">
        <v>113</v>
      </c>
      <c r="C45">
        <v>82.61</v>
      </c>
      <c r="D45">
        <v>23</v>
      </c>
      <c r="E45">
        <v>9</v>
      </c>
      <c r="F45">
        <v>76.34</v>
      </c>
      <c r="G45">
        <v>0</v>
      </c>
      <c r="H45">
        <v>1</v>
      </c>
      <c r="I45">
        <v>0</v>
      </c>
      <c r="J45">
        <v>2</v>
      </c>
      <c r="K45">
        <v>82.28</v>
      </c>
      <c r="L45">
        <v>82.7</v>
      </c>
    </row>
    <row r="46" spans="1:12" x14ac:dyDescent="0.2">
      <c r="A46" s="4">
        <v>45</v>
      </c>
      <c r="B46" t="s">
        <v>54</v>
      </c>
      <c r="C46">
        <v>82.51</v>
      </c>
      <c r="D46">
        <v>19</v>
      </c>
      <c r="E46">
        <v>13</v>
      </c>
      <c r="F46">
        <v>79</v>
      </c>
      <c r="G46">
        <v>1</v>
      </c>
      <c r="H46">
        <v>5</v>
      </c>
      <c r="I46">
        <v>3</v>
      </c>
      <c r="J46">
        <v>7</v>
      </c>
      <c r="K46">
        <v>83.02</v>
      </c>
      <c r="L46">
        <v>81.81</v>
      </c>
    </row>
    <row r="47" spans="1:12" x14ac:dyDescent="0.2">
      <c r="A47" s="4">
        <v>46</v>
      </c>
      <c r="B47" t="s">
        <v>45</v>
      </c>
      <c r="C47">
        <v>82.5</v>
      </c>
      <c r="D47">
        <v>20</v>
      </c>
      <c r="E47">
        <v>11</v>
      </c>
      <c r="F47">
        <v>77.86</v>
      </c>
      <c r="G47">
        <v>0</v>
      </c>
      <c r="H47">
        <v>6</v>
      </c>
      <c r="I47">
        <v>1</v>
      </c>
      <c r="J47">
        <v>8</v>
      </c>
      <c r="K47">
        <v>83.28</v>
      </c>
      <c r="L47">
        <v>81.59</v>
      </c>
    </row>
    <row r="48" spans="1:12" x14ac:dyDescent="0.2">
      <c r="A48" s="4">
        <v>47</v>
      </c>
      <c r="B48" t="s">
        <v>795</v>
      </c>
      <c r="C48">
        <v>82.42</v>
      </c>
      <c r="D48">
        <v>19</v>
      </c>
      <c r="E48">
        <v>13</v>
      </c>
      <c r="F48">
        <v>79.42</v>
      </c>
      <c r="G48">
        <v>1</v>
      </c>
      <c r="H48">
        <v>2</v>
      </c>
      <c r="I48">
        <v>3</v>
      </c>
      <c r="J48">
        <v>4</v>
      </c>
      <c r="K48">
        <v>82.9</v>
      </c>
      <c r="L48">
        <v>81.75</v>
      </c>
    </row>
    <row r="49" spans="1:12" x14ac:dyDescent="0.2">
      <c r="A49" s="4">
        <v>48</v>
      </c>
      <c r="B49" t="s">
        <v>117</v>
      </c>
      <c r="C49">
        <v>82.34</v>
      </c>
      <c r="D49">
        <v>16</v>
      </c>
      <c r="E49">
        <v>14</v>
      </c>
      <c r="F49">
        <v>80.69</v>
      </c>
      <c r="G49">
        <v>1</v>
      </c>
      <c r="H49">
        <v>2</v>
      </c>
      <c r="I49">
        <v>1</v>
      </c>
      <c r="J49">
        <v>9</v>
      </c>
      <c r="K49">
        <v>81.63</v>
      </c>
      <c r="L49">
        <v>82.85</v>
      </c>
    </row>
    <row r="50" spans="1:12" x14ac:dyDescent="0.2">
      <c r="A50" s="4">
        <v>49</v>
      </c>
      <c r="B50" t="s">
        <v>80</v>
      </c>
      <c r="C50">
        <v>82.32</v>
      </c>
      <c r="D50">
        <v>20</v>
      </c>
      <c r="E50">
        <v>13</v>
      </c>
      <c r="F50">
        <v>78.34</v>
      </c>
      <c r="G50">
        <v>0</v>
      </c>
      <c r="H50">
        <v>1</v>
      </c>
      <c r="I50">
        <v>2</v>
      </c>
      <c r="J50">
        <v>5</v>
      </c>
      <c r="K50">
        <v>81.99</v>
      </c>
      <c r="L50">
        <v>82.4</v>
      </c>
    </row>
    <row r="51" spans="1:12" x14ac:dyDescent="0.2">
      <c r="A51" s="4">
        <v>50</v>
      </c>
      <c r="B51" t="s">
        <v>97</v>
      </c>
      <c r="C51">
        <v>82.22</v>
      </c>
      <c r="D51">
        <v>22</v>
      </c>
      <c r="E51">
        <v>10</v>
      </c>
      <c r="F51">
        <v>78.05</v>
      </c>
      <c r="G51">
        <v>0</v>
      </c>
      <c r="H51">
        <v>1</v>
      </c>
      <c r="I51">
        <v>3</v>
      </c>
      <c r="J51">
        <v>4</v>
      </c>
      <c r="K51">
        <v>84.07</v>
      </c>
      <c r="L51">
        <v>80.55</v>
      </c>
    </row>
    <row r="52" spans="1:12" x14ac:dyDescent="0.2">
      <c r="A52" s="4">
        <v>51</v>
      </c>
      <c r="B52" t="s">
        <v>11</v>
      </c>
      <c r="C52">
        <v>81.89</v>
      </c>
      <c r="D52">
        <v>17</v>
      </c>
      <c r="E52">
        <v>16</v>
      </c>
      <c r="F52">
        <v>80.290000000000006</v>
      </c>
      <c r="G52">
        <v>0</v>
      </c>
      <c r="H52">
        <v>4</v>
      </c>
      <c r="I52">
        <v>2</v>
      </c>
      <c r="J52">
        <v>10</v>
      </c>
      <c r="K52">
        <v>81.59</v>
      </c>
      <c r="L52">
        <v>81.95</v>
      </c>
    </row>
    <row r="53" spans="1:12" x14ac:dyDescent="0.2">
      <c r="A53" s="4">
        <v>52</v>
      </c>
      <c r="B53" t="s">
        <v>69</v>
      </c>
      <c r="C53">
        <v>81.86</v>
      </c>
      <c r="D53">
        <v>17</v>
      </c>
      <c r="E53">
        <v>11</v>
      </c>
      <c r="F53">
        <v>79.08</v>
      </c>
      <c r="G53">
        <v>0</v>
      </c>
      <c r="H53">
        <v>2</v>
      </c>
      <c r="I53">
        <v>1</v>
      </c>
      <c r="J53">
        <v>5</v>
      </c>
      <c r="K53">
        <v>81.739999999999995</v>
      </c>
      <c r="L53">
        <v>81.73</v>
      </c>
    </row>
    <row r="54" spans="1:12" x14ac:dyDescent="0.2">
      <c r="A54" s="4">
        <v>53</v>
      </c>
      <c r="B54" t="s">
        <v>70</v>
      </c>
      <c r="C54">
        <v>81.8</v>
      </c>
      <c r="D54">
        <v>18</v>
      </c>
      <c r="E54">
        <v>13</v>
      </c>
      <c r="F54">
        <v>80.42</v>
      </c>
      <c r="G54">
        <v>1</v>
      </c>
      <c r="H54">
        <v>4</v>
      </c>
      <c r="I54">
        <v>3</v>
      </c>
      <c r="J54">
        <v>11</v>
      </c>
      <c r="K54">
        <v>83.61</v>
      </c>
      <c r="L54">
        <v>80.150000000000006</v>
      </c>
    </row>
    <row r="55" spans="1:12" x14ac:dyDescent="0.2">
      <c r="A55" s="4">
        <v>54</v>
      </c>
      <c r="B55" t="s">
        <v>120</v>
      </c>
      <c r="C55">
        <v>81.7</v>
      </c>
      <c r="D55">
        <v>18</v>
      </c>
      <c r="E55">
        <v>13</v>
      </c>
      <c r="F55">
        <v>76.709999999999994</v>
      </c>
      <c r="G55">
        <v>0</v>
      </c>
      <c r="H55">
        <v>2</v>
      </c>
      <c r="I55">
        <v>2</v>
      </c>
      <c r="J55">
        <v>3</v>
      </c>
      <c r="K55">
        <v>79.98</v>
      </c>
      <c r="L55">
        <v>83.54</v>
      </c>
    </row>
    <row r="56" spans="1:12" x14ac:dyDescent="0.2">
      <c r="A56" s="4">
        <v>55</v>
      </c>
      <c r="B56" t="s">
        <v>216</v>
      </c>
      <c r="C56">
        <v>81.53</v>
      </c>
      <c r="D56">
        <v>22</v>
      </c>
      <c r="E56">
        <v>7</v>
      </c>
      <c r="F56">
        <v>73.12</v>
      </c>
      <c r="G56">
        <v>0</v>
      </c>
      <c r="H56">
        <v>0</v>
      </c>
      <c r="I56">
        <v>0</v>
      </c>
      <c r="J56">
        <v>1</v>
      </c>
      <c r="K56">
        <v>81.400000000000006</v>
      </c>
      <c r="L56">
        <v>81.41</v>
      </c>
    </row>
    <row r="57" spans="1:12" x14ac:dyDescent="0.2">
      <c r="A57" s="4">
        <v>56</v>
      </c>
      <c r="B57" t="s">
        <v>796</v>
      </c>
      <c r="C57">
        <v>81.3</v>
      </c>
      <c r="D57">
        <v>24</v>
      </c>
      <c r="E57">
        <v>4</v>
      </c>
      <c r="F57">
        <v>72.010000000000005</v>
      </c>
      <c r="G57">
        <v>0</v>
      </c>
      <c r="H57">
        <v>0</v>
      </c>
      <c r="I57">
        <v>0</v>
      </c>
      <c r="J57">
        <v>0</v>
      </c>
      <c r="K57">
        <v>81.38</v>
      </c>
      <c r="L57">
        <v>80.989999999999995</v>
      </c>
    </row>
    <row r="58" spans="1:12" x14ac:dyDescent="0.2">
      <c r="A58" s="4">
        <v>57</v>
      </c>
      <c r="B58" t="s">
        <v>273</v>
      </c>
      <c r="C58">
        <v>81.25</v>
      </c>
      <c r="D58">
        <v>18</v>
      </c>
      <c r="E58">
        <v>11</v>
      </c>
      <c r="F58">
        <v>78.290000000000006</v>
      </c>
      <c r="G58">
        <v>0</v>
      </c>
      <c r="H58">
        <v>1</v>
      </c>
      <c r="I58">
        <v>3</v>
      </c>
      <c r="J58">
        <v>4</v>
      </c>
      <c r="K58">
        <v>82.27</v>
      </c>
      <c r="L58">
        <v>80.13</v>
      </c>
    </row>
    <row r="59" spans="1:12" x14ac:dyDescent="0.2">
      <c r="A59" s="4">
        <v>58</v>
      </c>
      <c r="B59" t="s">
        <v>797</v>
      </c>
      <c r="C59">
        <v>81.239999999999995</v>
      </c>
      <c r="D59">
        <v>21</v>
      </c>
      <c r="E59">
        <v>10</v>
      </c>
      <c r="F59">
        <v>76.72</v>
      </c>
      <c r="G59">
        <v>0</v>
      </c>
      <c r="H59">
        <v>0</v>
      </c>
      <c r="I59">
        <v>1</v>
      </c>
      <c r="J59">
        <v>1</v>
      </c>
      <c r="K59">
        <v>81.11</v>
      </c>
      <c r="L59">
        <v>81.13</v>
      </c>
    </row>
    <row r="60" spans="1:12" x14ac:dyDescent="0.2">
      <c r="A60" s="4">
        <v>59</v>
      </c>
      <c r="B60" t="s">
        <v>71</v>
      </c>
      <c r="C60">
        <v>81.14</v>
      </c>
      <c r="D60">
        <v>19</v>
      </c>
      <c r="E60">
        <v>13</v>
      </c>
      <c r="F60">
        <v>78.63</v>
      </c>
      <c r="G60">
        <v>0</v>
      </c>
      <c r="H60">
        <v>2</v>
      </c>
      <c r="I60">
        <v>1</v>
      </c>
      <c r="J60">
        <v>6</v>
      </c>
      <c r="K60">
        <v>82.41</v>
      </c>
      <c r="L60">
        <v>79.819999999999993</v>
      </c>
    </row>
    <row r="61" spans="1:12" x14ac:dyDescent="0.2">
      <c r="A61" s="4">
        <v>60</v>
      </c>
      <c r="B61" t="s">
        <v>187</v>
      </c>
      <c r="C61">
        <v>80.989999999999995</v>
      </c>
      <c r="D61">
        <v>18</v>
      </c>
      <c r="E61">
        <v>12</v>
      </c>
      <c r="F61">
        <v>77.39</v>
      </c>
      <c r="G61">
        <v>0</v>
      </c>
      <c r="H61">
        <v>3</v>
      </c>
      <c r="I61">
        <v>1</v>
      </c>
      <c r="J61">
        <v>5</v>
      </c>
      <c r="K61">
        <v>80.59</v>
      </c>
      <c r="L61">
        <v>81.16</v>
      </c>
    </row>
    <row r="62" spans="1:12" x14ac:dyDescent="0.2">
      <c r="A62" s="4">
        <v>61</v>
      </c>
      <c r="B62" t="s">
        <v>62</v>
      </c>
      <c r="C62">
        <v>80.95</v>
      </c>
      <c r="D62">
        <v>24</v>
      </c>
      <c r="E62">
        <v>9</v>
      </c>
      <c r="F62">
        <v>76.08</v>
      </c>
      <c r="G62">
        <v>0</v>
      </c>
      <c r="H62">
        <v>1</v>
      </c>
      <c r="I62">
        <v>1</v>
      </c>
      <c r="J62">
        <v>4</v>
      </c>
      <c r="K62">
        <v>82.55</v>
      </c>
      <c r="L62">
        <v>79.41</v>
      </c>
    </row>
    <row r="63" spans="1:12" x14ac:dyDescent="0.2">
      <c r="A63" s="4">
        <v>62</v>
      </c>
      <c r="B63" t="s">
        <v>59</v>
      </c>
      <c r="C63">
        <v>80.900000000000006</v>
      </c>
      <c r="D63">
        <v>18</v>
      </c>
      <c r="E63">
        <v>13</v>
      </c>
      <c r="F63">
        <v>78.34</v>
      </c>
      <c r="G63">
        <v>0</v>
      </c>
      <c r="H63">
        <v>3</v>
      </c>
      <c r="I63">
        <v>0</v>
      </c>
      <c r="J63">
        <v>5</v>
      </c>
      <c r="K63">
        <v>81.09</v>
      </c>
      <c r="L63">
        <v>80.489999999999995</v>
      </c>
    </row>
    <row r="64" spans="1:12" x14ac:dyDescent="0.2">
      <c r="A64" s="4">
        <v>63</v>
      </c>
      <c r="B64" t="s">
        <v>111</v>
      </c>
      <c r="C64">
        <v>80.84</v>
      </c>
      <c r="D64">
        <v>19</v>
      </c>
      <c r="E64">
        <v>12</v>
      </c>
      <c r="F64">
        <v>77.97</v>
      </c>
      <c r="G64">
        <v>1</v>
      </c>
      <c r="H64">
        <v>3</v>
      </c>
      <c r="I64">
        <v>1</v>
      </c>
      <c r="J64">
        <v>4</v>
      </c>
      <c r="K64">
        <v>80.44</v>
      </c>
      <c r="L64">
        <v>81</v>
      </c>
    </row>
    <row r="65" spans="1:12" x14ac:dyDescent="0.2">
      <c r="A65" s="4">
        <v>64</v>
      </c>
      <c r="B65" t="s">
        <v>32</v>
      </c>
      <c r="C65">
        <v>80.83</v>
      </c>
      <c r="D65">
        <v>16</v>
      </c>
      <c r="E65">
        <v>13</v>
      </c>
      <c r="F65">
        <v>78.33</v>
      </c>
      <c r="G65">
        <v>0</v>
      </c>
      <c r="H65">
        <v>0</v>
      </c>
      <c r="I65">
        <v>1</v>
      </c>
      <c r="J65">
        <v>4</v>
      </c>
      <c r="K65">
        <v>80.239999999999995</v>
      </c>
      <c r="L65">
        <v>81.2</v>
      </c>
    </row>
    <row r="66" spans="1:12" x14ac:dyDescent="0.2">
      <c r="A66" s="4">
        <v>65</v>
      </c>
      <c r="B66" t="s">
        <v>798</v>
      </c>
      <c r="C66">
        <v>80.77</v>
      </c>
      <c r="D66">
        <v>25</v>
      </c>
      <c r="E66">
        <v>6</v>
      </c>
      <c r="F66">
        <v>71.36</v>
      </c>
      <c r="G66">
        <v>0</v>
      </c>
      <c r="H66">
        <v>1</v>
      </c>
      <c r="I66">
        <v>0</v>
      </c>
      <c r="J66">
        <v>3</v>
      </c>
      <c r="K66">
        <v>80.41</v>
      </c>
      <c r="L66">
        <v>80.89</v>
      </c>
    </row>
    <row r="67" spans="1:12" x14ac:dyDescent="0.2">
      <c r="A67" s="4">
        <v>66</v>
      </c>
      <c r="B67" t="s">
        <v>286</v>
      </c>
      <c r="C67">
        <v>80.59</v>
      </c>
      <c r="D67">
        <v>16</v>
      </c>
      <c r="E67">
        <v>14</v>
      </c>
      <c r="F67">
        <v>79.14</v>
      </c>
      <c r="G67">
        <v>3</v>
      </c>
      <c r="H67">
        <v>3</v>
      </c>
      <c r="I67">
        <v>5</v>
      </c>
      <c r="J67">
        <v>7</v>
      </c>
      <c r="K67">
        <v>81.290000000000006</v>
      </c>
      <c r="L67">
        <v>79.72</v>
      </c>
    </row>
    <row r="68" spans="1:12" x14ac:dyDescent="0.2">
      <c r="A68" s="4">
        <v>67</v>
      </c>
      <c r="B68" t="s">
        <v>218</v>
      </c>
      <c r="C68">
        <v>80.53</v>
      </c>
      <c r="D68">
        <v>24</v>
      </c>
      <c r="E68">
        <v>8</v>
      </c>
      <c r="F68">
        <v>74.44</v>
      </c>
      <c r="G68">
        <v>0</v>
      </c>
      <c r="H68">
        <v>2</v>
      </c>
      <c r="I68">
        <v>2</v>
      </c>
      <c r="J68">
        <v>3</v>
      </c>
      <c r="K68">
        <v>81.86</v>
      </c>
      <c r="L68">
        <v>79.17</v>
      </c>
    </row>
    <row r="69" spans="1:12" x14ac:dyDescent="0.2">
      <c r="A69" s="4">
        <v>68</v>
      </c>
      <c r="B69" t="s">
        <v>556</v>
      </c>
      <c r="C69">
        <v>80.319999999999993</v>
      </c>
      <c r="D69">
        <v>20</v>
      </c>
      <c r="E69">
        <v>12</v>
      </c>
      <c r="F69">
        <v>76.31</v>
      </c>
      <c r="G69">
        <v>0</v>
      </c>
      <c r="H69">
        <v>0</v>
      </c>
      <c r="I69">
        <v>1</v>
      </c>
      <c r="J69">
        <v>1</v>
      </c>
      <c r="K69">
        <v>80.569999999999993</v>
      </c>
      <c r="L69">
        <v>79.849999999999994</v>
      </c>
    </row>
    <row r="70" spans="1:12" x14ac:dyDescent="0.2">
      <c r="A70" s="4">
        <v>69</v>
      </c>
      <c r="B70" t="s">
        <v>300</v>
      </c>
      <c r="C70">
        <v>80.25</v>
      </c>
      <c r="D70">
        <v>21</v>
      </c>
      <c r="E70">
        <v>11</v>
      </c>
      <c r="F70">
        <v>76.709999999999994</v>
      </c>
      <c r="G70">
        <v>0</v>
      </c>
      <c r="H70">
        <v>2</v>
      </c>
      <c r="I70">
        <v>1</v>
      </c>
      <c r="J70">
        <v>4</v>
      </c>
      <c r="K70">
        <v>80.78</v>
      </c>
      <c r="L70">
        <v>79.53</v>
      </c>
    </row>
    <row r="71" spans="1:12" x14ac:dyDescent="0.2">
      <c r="A71" s="4">
        <v>70</v>
      </c>
      <c r="B71" t="s">
        <v>74</v>
      </c>
      <c r="C71">
        <v>80.239999999999995</v>
      </c>
      <c r="D71">
        <v>19</v>
      </c>
      <c r="E71">
        <v>13</v>
      </c>
      <c r="F71">
        <v>77.14</v>
      </c>
      <c r="G71">
        <v>0</v>
      </c>
      <c r="H71">
        <v>1</v>
      </c>
      <c r="I71">
        <v>1</v>
      </c>
      <c r="J71">
        <v>5</v>
      </c>
      <c r="K71">
        <v>81.28</v>
      </c>
      <c r="L71">
        <v>79.09</v>
      </c>
    </row>
    <row r="72" spans="1:12" x14ac:dyDescent="0.2">
      <c r="A72" s="4">
        <v>71</v>
      </c>
      <c r="B72" t="s">
        <v>799</v>
      </c>
      <c r="C72">
        <v>80.05</v>
      </c>
      <c r="D72">
        <v>24</v>
      </c>
      <c r="E72">
        <v>6</v>
      </c>
      <c r="F72">
        <v>72.42</v>
      </c>
      <c r="G72">
        <v>0</v>
      </c>
      <c r="H72">
        <v>0</v>
      </c>
      <c r="I72">
        <v>0</v>
      </c>
      <c r="J72">
        <v>2</v>
      </c>
      <c r="K72">
        <v>80.739999999999995</v>
      </c>
      <c r="L72">
        <v>79.19</v>
      </c>
    </row>
    <row r="73" spans="1:12" x14ac:dyDescent="0.2">
      <c r="A73" s="4">
        <v>72</v>
      </c>
      <c r="B73" t="s">
        <v>16</v>
      </c>
      <c r="C73">
        <v>80.05</v>
      </c>
      <c r="D73">
        <v>17</v>
      </c>
      <c r="E73">
        <v>14</v>
      </c>
      <c r="F73">
        <v>77.459999999999994</v>
      </c>
      <c r="G73">
        <v>1</v>
      </c>
      <c r="H73">
        <v>0</v>
      </c>
      <c r="I73">
        <v>4</v>
      </c>
      <c r="J73">
        <v>2</v>
      </c>
      <c r="K73">
        <v>78.86</v>
      </c>
      <c r="L73">
        <v>81.099999999999994</v>
      </c>
    </row>
    <row r="74" spans="1:12" x14ac:dyDescent="0.2">
      <c r="A74" s="4">
        <v>73</v>
      </c>
      <c r="B74" t="s">
        <v>784</v>
      </c>
      <c r="C74">
        <v>79.94</v>
      </c>
      <c r="D74">
        <v>23</v>
      </c>
      <c r="E74">
        <v>8</v>
      </c>
      <c r="F74">
        <v>73.08</v>
      </c>
      <c r="G74">
        <v>0</v>
      </c>
      <c r="H74">
        <v>1</v>
      </c>
      <c r="I74">
        <v>0</v>
      </c>
      <c r="J74">
        <v>2</v>
      </c>
      <c r="K74">
        <v>79.92</v>
      </c>
      <c r="L74">
        <v>79.72</v>
      </c>
    </row>
    <row r="75" spans="1:12" x14ac:dyDescent="0.2">
      <c r="A75" s="4">
        <v>74</v>
      </c>
      <c r="B75" t="s">
        <v>72</v>
      </c>
      <c r="C75">
        <v>79.930000000000007</v>
      </c>
      <c r="D75">
        <v>17</v>
      </c>
      <c r="E75">
        <v>14</v>
      </c>
      <c r="F75">
        <v>78.47</v>
      </c>
      <c r="G75">
        <v>0</v>
      </c>
      <c r="H75">
        <v>2</v>
      </c>
      <c r="I75">
        <v>2</v>
      </c>
      <c r="J75">
        <v>5</v>
      </c>
      <c r="K75">
        <v>81.11</v>
      </c>
      <c r="L75">
        <v>78.66</v>
      </c>
    </row>
    <row r="76" spans="1:12" x14ac:dyDescent="0.2">
      <c r="A76" s="4">
        <v>75</v>
      </c>
      <c r="B76" t="s">
        <v>129</v>
      </c>
      <c r="C76">
        <v>79.73</v>
      </c>
      <c r="D76">
        <v>20</v>
      </c>
      <c r="E76">
        <v>13</v>
      </c>
      <c r="F76">
        <v>75.87</v>
      </c>
      <c r="G76">
        <v>0</v>
      </c>
      <c r="H76">
        <v>2</v>
      </c>
      <c r="I76">
        <v>1</v>
      </c>
      <c r="J76">
        <v>5</v>
      </c>
      <c r="K76">
        <v>79.11</v>
      </c>
      <c r="L76">
        <v>80.13</v>
      </c>
    </row>
    <row r="77" spans="1:12" x14ac:dyDescent="0.2">
      <c r="A77" s="4">
        <v>76</v>
      </c>
      <c r="B77" t="s">
        <v>551</v>
      </c>
      <c r="C77">
        <v>79.67</v>
      </c>
      <c r="D77">
        <v>18</v>
      </c>
      <c r="E77">
        <v>9</v>
      </c>
      <c r="F77">
        <v>74.930000000000007</v>
      </c>
      <c r="G77">
        <v>0</v>
      </c>
      <c r="H77">
        <v>1</v>
      </c>
      <c r="I77">
        <v>0</v>
      </c>
      <c r="J77">
        <v>3</v>
      </c>
      <c r="K77">
        <v>79.010000000000005</v>
      </c>
      <c r="L77">
        <v>80.11</v>
      </c>
    </row>
    <row r="78" spans="1:12" x14ac:dyDescent="0.2">
      <c r="A78" s="4">
        <v>77</v>
      </c>
      <c r="B78" t="s">
        <v>249</v>
      </c>
      <c r="C78">
        <v>79.599999999999994</v>
      </c>
      <c r="D78">
        <v>19</v>
      </c>
      <c r="E78">
        <v>11</v>
      </c>
      <c r="F78">
        <v>74.95</v>
      </c>
      <c r="G78">
        <v>0</v>
      </c>
      <c r="H78">
        <v>0</v>
      </c>
      <c r="I78">
        <v>0</v>
      </c>
      <c r="J78">
        <v>2</v>
      </c>
      <c r="K78">
        <v>78.569999999999993</v>
      </c>
      <c r="L78">
        <v>80.459999999999994</v>
      </c>
    </row>
    <row r="79" spans="1:12" x14ac:dyDescent="0.2">
      <c r="A79" s="4">
        <v>78</v>
      </c>
      <c r="B79" t="s">
        <v>65</v>
      </c>
      <c r="C79">
        <v>79.48</v>
      </c>
      <c r="D79">
        <v>18</v>
      </c>
      <c r="E79">
        <v>12</v>
      </c>
      <c r="F79">
        <v>75.81</v>
      </c>
      <c r="G79">
        <v>0</v>
      </c>
      <c r="H79">
        <v>0</v>
      </c>
      <c r="I79">
        <v>2</v>
      </c>
      <c r="J79">
        <v>3</v>
      </c>
      <c r="K79">
        <v>80.12</v>
      </c>
      <c r="L79">
        <v>78.64</v>
      </c>
    </row>
    <row r="80" spans="1:12" x14ac:dyDescent="0.2">
      <c r="A80" s="4">
        <v>79</v>
      </c>
      <c r="B80" t="s">
        <v>33</v>
      </c>
      <c r="C80">
        <v>79.430000000000007</v>
      </c>
      <c r="D80">
        <v>14</v>
      </c>
      <c r="E80">
        <v>14</v>
      </c>
      <c r="F80">
        <v>77.319999999999993</v>
      </c>
      <c r="G80">
        <v>0</v>
      </c>
      <c r="H80">
        <v>1</v>
      </c>
      <c r="I80">
        <v>0</v>
      </c>
      <c r="J80">
        <v>7</v>
      </c>
      <c r="K80">
        <v>78.33</v>
      </c>
      <c r="L80">
        <v>80.38</v>
      </c>
    </row>
    <row r="81" spans="1:12" x14ac:dyDescent="0.2">
      <c r="A81" s="4">
        <v>80</v>
      </c>
      <c r="B81" t="s">
        <v>13</v>
      </c>
      <c r="C81">
        <v>79.31</v>
      </c>
      <c r="D81">
        <v>15</v>
      </c>
      <c r="E81">
        <v>14</v>
      </c>
      <c r="F81">
        <v>78.400000000000006</v>
      </c>
      <c r="G81">
        <v>0</v>
      </c>
      <c r="H81">
        <v>3</v>
      </c>
      <c r="I81">
        <v>2</v>
      </c>
      <c r="J81">
        <v>9</v>
      </c>
      <c r="K81">
        <v>79.75</v>
      </c>
      <c r="L81">
        <v>78.66</v>
      </c>
    </row>
    <row r="82" spans="1:12" x14ac:dyDescent="0.2">
      <c r="A82" s="4">
        <v>81</v>
      </c>
      <c r="B82" t="s">
        <v>800</v>
      </c>
      <c r="C82">
        <v>79.27</v>
      </c>
      <c r="D82">
        <v>23</v>
      </c>
      <c r="E82">
        <v>6</v>
      </c>
      <c r="F82">
        <v>70.459999999999994</v>
      </c>
      <c r="G82">
        <v>0</v>
      </c>
      <c r="H82">
        <v>0</v>
      </c>
      <c r="I82">
        <v>0</v>
      </c>
      <c r="J82">
        <v>0</v>
      </c>
      <c r="K82">
        <v>79.67</v>
      </c>
      <c r="L82">
        <v>78.650000000000006</v>
      </c>
    </row>
    <row r="83" spans="1:12" x14ac:dyDescent="0.2">
      <c r="A83" s="4">
        <v>82</v>
      </c>
      <c r="B83" t="s">
        <v>221</v>
      </c>
      <c r="C83">
        <v>79.260000000000005</v>
      </c>
      <c r="D83">
        <v>24</v>
      </c>
      <c r="E83">
        <v>8</v>
      </c>
      <c r="F83">
        <v>72.94</v>
      </c>
      <c r="G83">
        <v>0</v>
      </c>
      <c r="H83">
        <v>0</v>
      </c>
      <c r="I83">
        <v>0</v>
      </c>
      <c r="J83">
        <v>2</v>
      </c>
      <c r="K83">
        <v>78.97</v>
      </c>
      <c r="L83">
        <v>79.3</v>
      </c>
    </row>
    <row r="84" spans="1:12" x14ac:dyDescent="0.2">
      <c r="A84" s="4">
        <v>83</v>
      </c>
      <c r="B84" t="s">
        <v>801</v>
      </c>
      <c r="C84">
        <v>79.09</v>
      </c>
      <c r="D84">
        <v>20</v>
      </c>
      <c r="E84">
        <v>11</v>
      </c>
      <c r="F84">
        <v>74.64</v>
      </c>
      <c r="G84">
        <v>0</v>
      </c>
      <c r="H84">
        <v>0</v>
      </c>
      <c r="I84">
        <v>0</v>
      </c>
      <c r="J84">
        <v>0</v>
      </c>
      <c r="K84">
        <v>77.39</v>
      </c>
      <c r="L84">
        <v>80.78</v>
      </c>
    </row>
    <row r="85" spans="1:12" x14ac:dyDescent="0.2">
      <c r="A85" s="4">
        <v>84</v>
      </c>
      <c r="B85" t="s">
        <v>802</v>
      </c>
      <c r="C85">
        <v>79.06</v>
      </c>
      <c r="D85">
        <v>14</v>
      </c>
      <c r="E85">
        <v>14</v>
      </c>
      <c r="F85">
        <v>76.709999999999994</v>
      </c>
      <c r="G85">
        <v>1</v>
      </c>
      <c r="H85">
        <v>1</v>
      </c>
      <c r="I85">
        <v>1</v>
      </c>
      <c r="J85">
        <v>4</v>
      </c>
      <c r="K85">
        <v>77.489999999999995</v>
      </c>
      <c r="L85">
        <v>80.569999999999993</v>
      </c>
    </row>
    <row r="86" spans="1:12" x14ac:dyDescent="0.2">
      <c r="A86" s="4">
        <v>85</v>
      </c>
      <c r="B86" t="s">
        <v>102</v>
      </c>
      <c r="C86">
        <v>79.03</v>
      </c>
      <c r="D86">
        <v>20</v>
      </c>
      <c r="E86">
        <v>10</v>
      </c>
      <c r="F86">
        <v>75</v>
      </c>
      <c r="G86">
        <v>0</v>
      </c>
      <c r="H86">
        <v>1</v>
      </c>
      <c r="I86">
        <v>0</v>
      </c>
      <c r="J86">
        <v>1</v>
      </c>
      <c r="K86">
        <v>78.430000000000007</v>
      </c>
      <c r="L86">
        <v>79.400000000000006</v>
      </c>
    </row>
    <row r="87" spans="1:12" x14ac:dyDescent="0.2">
      <c r="A87" s="4">
        <v>86</v>
      </c>
      <c r="B87" t="s">
        <v>52</v>
      </c>
      <c r="C87">
        <v>78.98</v>
      </c>
      <c r="D87">
        <v>20</v>
      </c>
      <c r="E87">
        <v>9</v>
      </c>
      <c r="F87">
        <v>73.52</v>
      </c>
      <c r="G87">
        <v>0</v>
      </c>
      <c r="H87">
        <v>0</v>
      </c>
      <c r="I87">
        <v>0</v>
      </c>
      <c r="J87">
        <v>0</v>
      </c>
      <c r="K87">
        <v>77.63</v>
      </c>
      <c r="L87">
        <v>80.209999999999994</v>
      </c>
    </row>
    <row r="88" spans="1:12" x14ac:dyDescent="0.2">
      <c r="A88" s="4">
        <v>87</v>
      </c>
      <c r="B88" t="s">
        <v>803</v>
      </c>
      <c r="C88">
        <v>78.75</v>
      </c>
      <c r="D88">
        <v>21</v>
      </c>
      <c r="E88">
        <v>9</v>
      </c>
      <c r="F88">
        <v>73.61</v>
      </c>
      <c r="G88">
        <v>0</v>
      </c>
      <c r="H88">
        <v>0</v>
      </c>
      <c r="I88">
        <v>0</v>
      </c>
      <c r="J88">
        <v>0</v>
      </c>
      <c r="K88">
        <v>77.709999999999994</v>
      </c>
      <c r="L88">
        <v>79.61</v>
      </c>
    </row>
    <row r="89" spans="1:12" x14ac:dyDescent="0.2">
      <c r="A89" s="4">
        <v>88</v>
      </c>
      <c r="B89" t="s">
        <v>875</v>
      </c>
      <c r="C89">
        <v>78.739999999999995</v>
      </c>
      <c r="D89">
        <v>16</v>
      </c>
      <c r="E89">
        <v>12</v>
      </c>
      <c r="F89">
        <v>75.180000000000007</v>
      </c>
      <c r="G89">
        <v>0</v>
      </c>
      <c r="H89">
        <v>3</v>
      </c>
      <c r="I89">
        <v>0</v>
      </c>
      <c r="J89">
        <v>3</v>
      </c>
      <c r="K89">
        <v>76.540000000000006</v>
      </c>
      <c r="L89">
        <v>81.08</v>
      </c>
    </row>
    <row r="90" spans="1:12" x14ac:dyDescent="0.2">
      <c r="A90" s="4">
        <v>89</v>
      </c>
      <c r="B90" t="s">
        <v>115</v>
      </c>
      <c r="C90">
        <v>78.73</v>
      </c>
      <c r="D90">
        <v>17</v>
      </c>
      <c r="E90">
        <v>13</v>
      </c>
      <c r="F90">
        <v>76.75</v>
      </c>
      <c r="G90">
        <v>0</v>
      </c>
      <c r="H90">
        <v>1</v>
      </c>
      <c r="I90">
        <v>0</v>
      </c>
      <c r="J90">
        <v>2</v>
      </c>
      <c r="K90">
        <v>78.06</v>
      </c>
      <c r="L90">
        <v>79.180000000000007</v>
      </c>
    </row>
    <row r="91" spans="1:12" x14ac:dyDescent="0.2">
      <c r="A91" s="4">
        <v>90</v>
      </c>
      <c r="B91" t="s">
        <v>118</v>
      </c>
      <c r="C91">
        <v>78.489999999999995</v>
      </c>
      <c r="D91">
        <v>23</v>
      </c>
      <c r="E91">
        <v>10</v>
      </c>
      <c r="F91">
        <v>73.88</v>
      </c>
      <c r="G91">
        <v>0</v>
      </c>
      <c r="H91">
        <v>0</v>
      </c>
      <c r="I91">
        <v>0</v>
      </c>
      <c r="J91">
        <v>2</v>
      </c>
      <c r="K91">
        <v>79.23</v>
      </c>
      <c r="L91">
        <v>77.56</v>
      </c>
    </row>
    <row r="92" spans="1:12" x14ac:dyDescent="0.2">
      <c r="A92" s="4">
        <v>91</v>
      </c>
      <c r="B92" t="s">
        <v>874</v>
      </c>
      <c r="C92">
        <v>78.47</v>
      </c>
      <c r="D92">
        <v>24</v>
      </c>
      <c r="E92">
        <v>6</v>
      </c>
      <c r="F92">
        <v>69.930000000000007</v>
      </c>
      <c r="G92">
        <v>0</v>
      </c>
      <c r="H92">
        <v>1</v>
      </c>
      <c r="I92">
        <v>0</v>
      </c>
      <c r="J92">
        <v>2</v>
      </c>
      <c r="K92">
        <v>80.739999999999995</v>
      </c>
      <c r="L92">
        <v>76.34</v>
      </c>
    </row>
    <row r="93" spans="1:12" x14ac:dyDescent="0.2">
      <c r="A93" s="4">
        <v>92</v>
      </c>
      <c r="B93" t="s">
        <v>46</v>
      </c>
      <c r="C93">
        <v>78.47</v>
      </c>
      <c r="D93">
        <v>14</v>
      </c>
      <c r="E93">
        <v>15</v>
      </c>
      <c r="F93">
        <v>79.8</v>
      </c>
      <c r="G93">
        <v>0</v>
      </c>
      <c r="H93">
        <v>1</v>
      </c>
      <c r="I93">
        <v>1</v>
      </c>
      <c r="J93">
        <v>7</v>
      </c>
      <c r="K93">
        <v>79.430000000000007</v>
      </c>
      <c r="L93">
        <v>77.349999999999994</v>
      </c>
    </row>
    <row r="94" spans="1:12" x14ac:dyDescent="0.2">
      <c r="A94" s="4">
        <v>93</v>
      </c>
      <c r="B94" t="s">
        <v>112</v>
      </c>
      <c r="C94">
        <v>78.180000000000007</v>
      </c>
      <c r="D94">
        <v>15</v>
      </c>
      <c r="E94">
        <v>14</v>
      </c>
      <c r="F94">
        <v>77.819999999999993</v>
      </c>
      <c r="G94">
        <v>0</v>
      </c>
      <c r="H94">
        <v>2</v>
      </c>
      <c r="I94">
        <v>0</v>
      </c>
      <c r="J94">
        <v>4</v>
      </c>
      <c r="K94">
        <v>78.17</v>
      </c>
      <c r="L94">
        <v>77.95</v>
      </c>
    </row>
    <row r="95" spans="1:12" x14ac:dyDescent="0.2">
      <c r="A95" s="4">
        <v>94</v>
      </c>
      <c r="B95" t="s">
        <v>78</v>
      </c>
      <c r="C95">
        <v>77.84</v>
      </c>
      <c r="D95">
        <v>10</v>
      </c>
      <c r="E95">
        <v>18</v>
      </c>
      <c r="F95">
        <v>82.04</v>
      </c>
      <c r="G95">
        <v>0</v>
      </c>
      <c r="H95">
        <v>4</v>
      </c>
      <c r="I95">
        <v>2</v>
      </c>
      <c r="J95">
        <v>11</v>
      </c>
      <c r="K95">
        <v>78.84</v>
      </c>
      <c r="L95">
        <v>76.69</v>
      </c>
    </row>
    <row r="96" spans="1:12" x14ac:dyDescent="0.2">
      <c r="A96" s="4">
        <v>95</v>
      </c>
      <c r="B96" t="s">
        <v>550</v>
      </c>
      <c r="C96">
        <v>77.459999999999994</v>
      </c>
      <c r="D96">
        <v>19</v>
      </c>
      <c r="E96">
        <v>11</v>
      </c>
      <c r="F96">
        <v>73.33</v>
      </c>
      <c r="G96">
        <v>0</v>
      </c>
      <c r="H96">
        <v>1</v>
      </c>
      <c r="I96">
        <v>0</v>
      </c>
      <c r="J96">
        <v>2</v>
      </c>
      <c r="K96">
        <v>76.27</v>
      </c>
      <c r="L96">
        <v>78.48</v>
      </c>
    </row>
    <row r="97" spans="1:12" x14ac:dyDescent="0.2">
      <c r="A97" s="4">
        <v>96</v>
      </c>
      <c r="B97" t="s">
        <v>79</v>
      </c>
      <c r="C97">
        <v>77.33</v>
      </c>
      <c r="D97">
        <v>14</v>
      </c>
      <c r="E97">
        <v>15</v>
      </c>
      <c r="F97">
        <v>78.34</v>
      </c>
      <c r="G97">
        <v>0</v>
      </c>
      <c r="H97">
        <v>0</v>
      </c>
      <c r="I97">
        <v>2</v>
      </c>
      <c r="J97">
        <v>1</v>
      </c>
      <c r="K97">
        <v>78.23</v>
      </c>
      <c r="L97">
        <v>76.260000000000005</v>
      </c>
    </row>
    <row r="98" spans="1:12" x14ac:dyDescent="0.2">
      <c r="A98" s="4">
        <v>97</v>
      </c>
      <c r="B98" t="s">
        <v>131</v>
      </c>
      <c r="C98">
        <v>77.09</v>
      </c>
      <c r="D98">
        <v>13</v>
      </c>
      <c r="E98">
        <v>15</v>
      </c>
      <c r="F98">
        <v>77.790000000000006</v>
      </c>
      <c r="G98">
        <v>0</v>
      </c>
      <c r="H98">
        <v>3</v>
      </c>
      <c r="I98">
        <v>0</v>
      </c>
      <c r="J98">
        <v>3</v>
      </c>
      <c r="K98">
        <v>76.58</v>
      </c>
      <c r="L98">
        <v>77.36</v>
      </c>
    </row>
    <row r="99" spans="1:12" x14ac:dyDescent="0.2">
      <c r="A99" s="4">
        <v>98</v>
      </c>
      <c r="B99" t="s">
        <v>180</v>
      </c>
      <c r="C99">
        <v>77.09</v>
      </c>
      <c r="D99">
        <v>22</v>
      </c>
      <c r="E99">
        <v>10</v>
      </c>
      <c r="F99">
        <v>71.209999999999994</v>
      </c>
      <c r="G99">
        <v>0</v>
      </c>
      <c r="H99">
        <v>0</v>
      </c>
      <c r="I99">
        <v>0</v>
      </c>
      <c r="J99">
        <v>0</v>
      </c>
      <c r="K99">
        <v>76.59</v>
      </c>
      <c r="L99">
        <v>77.34</v>
      </c>
    </row>
    <row r="100" spans="1:12" x14ac:dyDescent="0.2">
      <c r="A100" s="4">
        <v>99</v>
      </c>
      <c r="B100" t="s">
        <v>35</v>
      </c>
      <c r="C100">
        <v>77.069999999999993</v>
      </c>
      <c r="D100">
        <v>12</v>
      </c>
      <c r="E100">
        <v>16</v>
      </c>
      <c r="F100">
        <v>77.790000000000006</v>
      </c>
      <c r="G100">
        <v>0</v>
      </c>
      <c r="H100">
        <v>2</v>
      </c>
      <c r="I100">
        <v>1</v>
      </c>
      <c r="J100">
        <v>8</v>
      </c>
      <c r="K100">
        <v>76.63</v>
      </c>
      <c r="L100">
        <v>77.28</v>
      </c>
    </row>
    <row r="101" spans="1:12" x14ac:dyDescent="0.2">
      <c r="A101" s="4">
        <v>100</v>
      </c>
      <c r="B101" t="s">
        <v>228</v>
      </c>
      <c r="C101">
        <v>76.989999999999995</v>
      </c>
      <c r="D101">
        <v>20</v>
      </c>
      <c r="E101">
        <v>10</v>
      </c>
      <c r="F101">
        <v>73.319999999999993</v>
      </c>
      <c r="G101">
        <v>0</v>
      </c>
      <c r="H101">
        <v>1</v>
      </c>
      <c r="I101">
        <v>0</v>
      </c>
      <c r="J101">
        <v>4</v>
      </c>
      <c r="K101">
        <v>77.760000000000005</v>
      </c>
      <c r="L101">
        <v>76.03</v>
      </c>
    </row>
    <row r="102" spans="1:12" x14ac:dyDescent="0.2">
      <c r="A102" s="4">
        <v>101</v>
      </c>
      <c r="B102" t="s">
        <v>804</v>
      </c>
      <c r="C102">
        <v>76.989999999999995</v>
      </c>
      <c r="D102">
        <v>13</v>
      </c>
      <c r="E102">
        <v>15</v>
      </c>
      <c r="F102">
        <v>77.48</v>
      </c>
      <c r="G102">
        <v>0</v>
      </c>
      <c r="H102">
        <v>0</v>
      </c>
      <c r="I102">
        <v>0</v>
      </c>
      <c r="J102">
        <v>2</v>
      </c>
      <c r="K102">
        <v>76.42</v>
      </c>
      <c r="L102">
        <v>77.33</v>
      </c>
    </row>
    <row r="103" spans="1:12" x14ac:dyDescent="0.2">
      <c r="A103" s="4">
        <v>102</v>
      </c>
      <c r="B103" t="s">
        <v>287</v>
      </c>
      <c r="C103">
        <v>76.97</v>
      </c>
      <c r="D103">
        <v>17</v>
      </c>
      <c r="E103">
        <v>10</v>
      </c>
      <c r="F103">
        <v>71.709999999999994</v>
      </c>
      <c r="G103">
        <v>0</v>
      </c>
      <c r="H103">
        <v>1</v>
      </c>
      <c r="I103">
        <v>0</v>
      </c>
      <c r="J103">
        <v>2</v>
      </c>
      <c r="K103">
        <v>74.61</v>
      </c>
      <c r="L103">
        <v>79.37</v>
      </c>
    </row>
    <row r="104" spans="1:12" x14ac:dyDescent="0.2">
      <c r="A104" s="4">
        <v>103</v>
      </c>
      <c r="B104" t="s">
        <v>41</v>
      </c>
      <c r="C104">
        <v>76.819999999999993</v>
      </c>
      <c r="D104">
        <v>15</v>
      </c>
      <c r="E104">
        <v>14</v>
      </c>
      <c r="F104">
        <v>76.64</v>
      </c>
      <c r="G104">
        <v>0</v>
      </c>
      <c r="H104">
        <v>3</v>
      </c>
      <c r="I104">
        <v>1</v>
      </c>
      <c r="J104">
        <v>5</v>
      </c>
      <c r="K104">
        <v>78.42</v>
      </c>
      <c r="L104">
        <v>75.13</v>
      </c>
    </row>
    <row r="105" spans="1:12" x14ac:dyDescent="0.2">
      <c r="A105" s="4">
        <v>104</v>
      </c>
      <c r="B105" t="s">
        <v>280</v>
      </c>
      <c r="C105">
        <v>76.72</v>
      </c>
      <c r="D105">
        <v>17</v>
      </c>
      <c r="E105">
        <v>12</v>
      </c>
      <c r="F105">
        <v>73.739999999999995</v>
      </c>
      <c r="G105">
        <v>0</v>
      </c>
      <c r="H105">
        <v>1</v>
      </c>
      <c r="I105">
        <v>0</v>
      </c>
      <c r="J105">
        <v>2</v>
      </c>
      <c r="K105">
        <v>76.16</v>
      </c>
      <c r="L105">
        <v>77.05</v>
      </c>
    </row>
    <row r="106" spans="1:12" x14ac:dyDescent="0.2">
      <c r="A106" s="4">
        <v>105</v>
      </c>
      <c r="B106" t="s">
        <v>93</v>
      </c>
      <c r="C106">
        <v>76.66</v>
      </c>
      <c r="D106">
        <v>20</v>
      </c>
      <c r="E106">
        <v>11</v>
      </c>
      <c r="F106">
        <v>74.400000000000006</v>
      </c>
      <c r="G106">
        <v>0</v>
      </c>
      <c r="H106">
        <v>0</v>
      </c>
      <c r="I106">
        <v>0</v>
      </c>
      <c r="J106">
        <v>2</v>
      </c>
      <c r="K106">
        <v>77.52</v>
      </c>
      <c r="L106">
        <v>75.61</v>
      </c>
    </row>
    <row r="107" spans="1:12" x14ac:dyDescent="0.2">
      <c r="A107" s="4">
        <v>106</v>
      </c>
      <c r="B107" t="s">
        <v>860</v>
      </c>
      <c r="C107">
        <v>76.650000000000006</v>
      </c>
      <c r="D107">
        <v>19</v>
      </c>
      <c r="E107">
        <v>14</v>
      </c>
      <c r="F107">
        <v>74.069999999999993</v>
      </c>
      <c r="G107">
        <v>0</v>
      </c>
      <c r="H107">
        <v>0</v>
      </c>
      <c r="I107">
        <v>0</v>
      </c>
      <c r="J107">
        <v>0</v>
      </c>
      <c r="K107">
        <v>75.73</v>
      </c>
      <c r="L107">
        <v>77.36</v>
      </c>
    </row>
    <row r="108" spans="1:12" x14ac:dyDescent="0.2">
      <c r="A108" s="4">
        <v>107</v>
      </c>
      <c r="B108" t="s">
        <v>894</v>
      </c>
      <c r="C108">
        <v>76.55</v>
      </c>
      <c r="D108">
        <v>23</v>
      </c>
      <c r="E108">
        <v>6</v>
      </c>
      <c r="F108">
        <v>69.08</v>
      </c>
      <c r="G108">
        <v>0</v>
      </c>
      <c r="H108">
        <v>1</v>
      </c>
      <c r="I108">
        <v>0</v>
      </c>
      <c r="J108">
        <v>1</v>
      </c>
      <c r="K108">
        <v>78.02</v>
      </c>
      <c r="L108">
        <v>74.95</v>
      </c>
    </row>
    <row r="109" spans="1:12" x14ac:dyDescent="0.2">
      <c r="A109" s="4">
        <v>108</v>
      </c>
      <c r="B109" t="s">
        <v>87</v>
      </c>
      <c r="C109">
        <v>76.430000000000007</v>
      </c>
      <c r="D109">
        <v>20</v>
      </c>
      <c r="E109">
        <v>9</v>
      </c>
      <c r="F109">
        <v>70.91</v>
      </c>
      <c r="G109">
        <v>0</v>
      </c>
      <c r="H109">
        <v>0</v>
      </c>
      <c r="I109">
        <v>0</v>
      </c>
      <c r="J109">
        <v>2</v>
      </c>
      <c r="K109">
        <v>77.349999999999994</v>
      </c>
      <c r="L109">
        <v>75.319999999999993</v>
      </c>
    </row>
    <row r="110" spans="1:12" x14ac:dyDescent="0.2">
      <c r="A110" s="4">
        <v>109</v>
      </c>
      <c r="B110" t="s">
        <v>100</v>
      </c>
      <c r="C110">
        <v>76.3</v>
      </c>
      <c r="D110">
        <v>13</v>
      </c>
      <c r="E110">
        <v>15</v>
      </c>
      <c r="F110">
        <v>77.52</v>
      </c>
      <c r="G110">
        <v>0</v>
      </c>
      <c r="H110">
        <v>1</v>
      </c>
      <c r="I110">
        <v>1</v>
      </c>
      <c r="J110">
        <v>8</v>
      </c>
      <c r="K110">
        <v>77.31</v>
      </c>
      <c r="L110">
        <v>75.11</v>
      </c>
    </row>
    <row r="111" spans="1:12" x14ac:dyDescent="0.2">
      <c r="A111" s="4">
        <v>110</v>
      </c>
      <c r="B111" t="s">
        <v>157</v>
      </c>
      <c r="C111">
        <v>76.25</v>
      </c>
      <c r="D111">
        <v>19</v>
      </c>
      <c r="E111">
        <v>9</v>
      </c>
      <c r="F111">
        <v>71.38</v>
      </c>
      <c r="G111">
        <v>0</v>
      </c>
      <c r="H111">
        <v>0</v>
      </c>
      <c r="I111">
        <v>0</v>
      </c>
      <c r="J111">
        <v>1</v>
      </c>
      <c r="K111">
        <v>76.38</v>
      </c>
      <c r="L111">
        <v>75.88</v>
      </c>
    </row>
    <row r="112" spans="1:12" x14ac:dyDescent="0.2">
      <c r="A112" s="4">
        <v>111</v>
      </c>
      <c r="B112" t="s">
        <v>805</v>
      </c>
      <c r="C112">
        <v>76.12</v>
      </c>
      <c r="D112">
        <v>12</v>
      </c>
      <c r="E112">
        <v>16</v>
      </c>
      <c r="F112">
        <v>77.36</v>
      </c>
      <c r="G112">
        <v>0</v>
      </c>
      <c r="H112">
        <v>0</v>
      </c>
      <c r="I112">
        <v>0</v>
      </c>
      <c r="J112">
        <v>1</v>
      </c>
      <c r="K112">
        <v>75.2</v>
      </c>
      <c r="L112">
        <v>76.819999999999993</v>
      </c>
    </row>
    <row r="113" spans="1:12" x14ac:dyDescent="0.2">
      <c r="A113" s="4">
        <v>112</v>
      </c>
      <c r="B113" t="s">
        <v>162</v>
      </c>
      <c r="C113">
        <v>76.09</v>
      </c>
      <c r="D113">
        <v>18</v>
      </c>
      <c r="E113">
        <v>11</v>
      </c>
      <c r="F113">
        <v>72.739999999999995</v>
      </c>
      <c r="G113">
        <v>0</v>
      </c>
      <c r="H113">
        <v>1</v>
      </c>
      <c r="I113">
        <v>0</v>
      </c>
      <c r="J113">
        <v>1</v>
      </c>
      <c r="K113">
        <v>75.47</v>
      </c>
      <c r="L113">
        <v>76.48</v>
      </c>
    </row>
    <row r="114" spans="1:12" x14ac:dyDescent="0.2">
      <c r="A114" s="4">
        <v>113</v>
      </c>
      <c r="B114" t="s">
        <v>147</v>
      </c>
      <c r="C114">
        <v>76</v>
      </c>
      <c r="D114">
        <v>13</v>
      </c>
      <c r="E114">
        <v>15</v>
      </c>
      <c r="F114">
        <v>75.8</v>
      </c>
      <c r="G114">
        <v>0</v>
      </c>
      <c r="H114">
        <v>3</v>
      </c>
      <c r="I114">
        <v>0</v>
      </c>
      <c r="J114">
        <v>6</v>
      </c>
      <c r="K114">
        <v>75.61</v>
      </c>
      <c r="L114">
        <v>76.14</v>
      </c>
    </row>
    <row r="115" spans="1:12" x14ac:dyDescent="0.2">
      <c r="A115" s="4">
        <v>114</v>
      </c>
      <c r="B115" t="s">
        <v>806</v>
      </c>
      <c r="C115">
        <v>75.98</v>
      </c>
      <c r="D115">
        <v>13</v>
      </c>
      <c r="E115">
        <v>15</v>
      </c>
      <c r="F115">
        <v>77.86</v>
      </c>
      <c r="G115">
        <v>0</v>
      </c>
      <c r="H115">
        <v>2</v>
      </c>
      <c r="I115">
        <v>0</v>
      </c>
      <c r="J115">
        <v>2</v>
      </c>
      <c r="K115">
        <v>76.37</v>
      </c>
      <c r="L115">
        <v>75.36</v>
      </c>
    </row>
    <row r="116" spans="1:12" x14ac:dyDescent="0.2">
      <c r="A116" s="4">
        <v>115</v>
      </c>
      <c r="B116" t="s">
        <v>873</v>
      </c>
      <c r="C116">
        <v>75.91</v>
      </c>
      <c r="D116">
        <v>17</v>
      </c>
      <c r="E116">
        <v>11</v>
      </c>
      <c r="F116">
        <v>74.33</v>
      </c>
      <c r="G116">
        <v>0</v>
      </c>
      <c r="H116">
        <v>0</v>
      </c>
      <c r="I116">
        <v>0</v>
      </c>
      <c r="J116">
        <v>2</v>
      </c>
      <c r="K116">
        <v>76.099999999999994</v>
      </c>
      <c r="L116">
        <v>75.48</v>
      </c>
    </row>
    <row r="117" spans="1:12" x14ac:dyDescent="0.2">
      <c r="A117" s="4">
        <v>116</v>
      </c>
      <c r="B117" t="s">
        <v>872</v>
      </c>
      <c r="C117">
        <v>75.91</v>
      </c>
      <c r="D117">
        <v>13</v>
      </c>
      <c r="E117">
        <v>16</v>
      </c>
      <c r="F117">
        <v>75.06</v>
      </c>
      <c r="G117">
        <v>0</v>
      </c>
      <c r="H117">
        <v>2</v>
      </c>
      <c r="I117">
        <v>0</v>
      </c>
      <c r="J117">
        <v>6</v>
      </c>
      <c r="K117">
        <v>74.760000000000005</v>
      </c>
      <c r="L117">
        <v>76.849999999999994</v>
      </c>
    </row>
    <row r="118" spans="1:12" x14ac:dyDescent="0.2">
      <c r="A118" s="4">
        <v>117</v>
      </c>
      <c r="B118" t="s">
        <v>275</v>
      </c>
      <c r="C118">
        <v>75.83</v>
      </c>
      <c r="D118">
        <v>12</v>
      </c>
      <c r="E118">
        <v>14</v>
      </c>
      <c r="F118">
        <v>74.489999999999995</v>
      </c>
      <c r="G118">
        <v>0</v>
      </c>
      <c r="H118">
        <v>0</v>
      </c>
      <c r="I118">
        <v>0</v>
      </c>
      <c r="J118">
        <v>4</v>
      </c>
      <c r="K118">
        <v>74.87</v>
      </c>
      <c r="L118">
        <v>76.58</v>
      </c>
    </row>
    <row r="119" spans="1:12" x14ac:dyDescent="0.2">
      <c r="A119" s="4">
        <v>118</v>
      </c>
      <c r="B119" t="s">
        <v>124</v>
      </c>
      <c r="C119">
        <v>75.81</v>
      </c>
      <c r="D119">
        <v>19</v>
      </c>
      <c r="E119">
        <v>8</v>
      </c>
      <c r="F119">
        <v>70.59</v>
      </c>
      <c r="G119">
        <v>0</v>
      </c>
      <c r="H119">
        <v>2</v>
      </c>
      <c r="I119">
        <v>0</v>
      </c>
      <c r="J119">
        <v>2</v>
      </c>
      <c r="K119">
        <v>75.47</v>
      </c>
      <c r="L119">
        <v>75.91</v>
      </c>
    </row>
    <row r="120" spans="1:12" x14ac:dyDescent="0.2">
      <c r="A120" s="4">
        <v>119</v>
      </c>
      <c r="B120" t="s">
        <v>101</v>
      </c>
      <c r="C120">
        <v>75.81</v>
      </c>
      <c r="D120">
        <v>13</v>
      </c>
      <c r="E120">
        <v>15</v>
      </c>
      <c r="F120">
        <v>76.150000000000006</v>
      </c>
      <c r="G120">
        <v>0</v>
      </c>
      <c r="H120">
        <v>0</v>
      </c>
      <c r="I120">
        <v>0</v>
      </c>
      <c r="J120">
        <v>3</v>
      </c>
      <c r="K120">
        <v>75.7</v>
      </c>
      <c r="L120">
        <v>75.67</v>
      </c>
    </row>
    <row r="121" spans="1:12" x14ac:dyDescent="0.2">
      <c r="A121" s="4">
        <v>120</v>
      </c>
      <c r="B121" t="s">
        <v>188</v>
      </c>
      <c r="C121">
        <v>75.78</v>
      </c>
      <c r="D121">
        <v>19</v>
      </c>
      <c r="E121">
        <v>11</v>
      </c>
      <c r="F121">
        <v>72.3</v>
      </c>
      <c r="G121">
        <v>0</v>
      </c>
      <c r="H121">
        <v>1</v>
      </c>
      <c r="I121">
        <v>0</v>
      </c>
      <c r="J121">
        <v>1</v>
      </c>
      <c r="K121">
        <v>75.73</v>
      </c>
      <c r="L121">
        <v>75.599999999999994</v>
      </c>
    </row>
    <row r="122" spans="1:12" x14ac:dyDescent="0.2">
      <c r="A122" s="4">
        <v>121</v>
      </c>
      <c r="B122" t="s">
        <v>272</v>
      </c>
      <c r="C122">
        <v>75.36</v>
      </c>
      <c r="D122">
        <v>19</v>
      </c>
      <c r="E122">
        <v>11</v>
      </c>
      <c r="F122">
        <v>71.91</v>
      </c>
      <c r="G122">
        <v>0</v>
      </c>
      <c r="H122">
        <v>0</v>
      </c>
      <c r="I122">
        <v>0</v>
      </c>
      <c r="J122">
        <v>1</v>
      </c>
      <c r="K122">
        <v>75.150000000000006</v>
      </c>
      <c r="L122">
        <v>75.34</v>
      </c>
    </row>
    <row r="123" spans="1:12" x14ac:dyDescent="0.2">
      <c r="A123" s="4">
        <v>122</v>
      </c>
      <c r="B123" t="s">
        <v>807</v>
      </c>
      <c r="C123">
        <v>75.349999999999994</v>
      </c>
      <c r="D123">
        <v>12</v>
      </c>
      <c r="E123">
        <v>16</v>
      </c>
      <c r="F123">
        <v>77.209999999999994</v>
      </c>
      <c r="G123">
        <v>0</v>
      </c>
      <c r="H123">
        <v>4</v>
      </c>
      <c r="I123">
        <v>0</v>
      </c>
      <c r="J123">
        <v>4</v>
      </c>
      <c r="K123">
        <v>74.989999999999995</v>
      </c>
      <c r="L123">
        <v>75.48</v>
      </c>
    </row>
    <row r="124" spans="1:12" x14ac:dyDescent="0.2">
      <c r="A124" s="4">
        <v>123</v>
      </c>
      <c r="B124" t="s">
        <v>808</v>
      </c>
      <c r="C124">
        <v>75.31</v>
      </c>
      <c r="D124">
        <v>18</v>
      </c>
      <c r="E124">
        <v>9</v>
      </c>
      <c r="F124">
        <v>70.47</v>
      </c>
      <c r="G124">
        <v>0</v>
      </c>
      <c r="H124">
        <v>0</v>
      </c>
      <c r="I124">
        <v>0</v>
      </c>
      <c r="J124">
        <v>0</v>
      </c>
      <c r="K124">
        <v>76.040000000000006</v>
      </c>
      <c r="L124">
        <v>74.37</v>
      </c>
    </row>
    <row r="125" spans="1:12" x14ac:dyDescent="0.2">
      <c r="A125" s="4">
        <v>124</v>
      </c>
      <c r="B125" t="s">
        <v>201</v>
      </c>
      <c r="C125">
        <v>75.25</v>
      </c>
      <c r="D125">
        <v>15</v>
      </c>
      <c r="E125">
        <v>16</v>
      </c>
      <c r="F125">
        <v>75.66</v>
      </c>
      <c r="G125">
        <v>0</v>
      </c>
      <c r="H125">
        <v>3</v>
      </c>
      <c r="I125">
        <v>0</v>
      </c>
      <c r="J125">
        <v>4</v>
      </c>
      <c r="K125">
        <v>74.63</v>
      </c>
      <c r="L125">
        <v>75.62</v>
      </c>
    </row>
    <row r="126" spans="1:12" x14ac:dyDescent="0.2">
      <c r="A126" s="4">
        <v>125</v>
      </c>
      <c r="B126" t="s">
        <v>103</v>
      </c>
      <c r="C126">
        <v>75.19</v>
      </c>
      <c r="D126">
        <v>12</v>
      </c>
      <c r="E126">
        <v>18</v>
      </c>
      <c r="F126">
        <v>77.06</v>
      </c>
      <c r="G126">
        <v>0</v>
      </c>
      <c r="H126">
        <v>0</v>
      </c>
      <c r="I126">
        <v>0</v>
      </c>
      <c r="J126">
        <v>4</v>
      </c>
      <c r="K126">
        <v>74.48</v>
      </c>
      <c r="L126">
        <v>75.67</v>
      </c>
    </row>
    <row r="127" spans="1:12" x14ac:dyDescent="0.2">
      <c r="A127" s="4">
        <v>126</v>
      </c>
      <c r="B127" t="s">
        <v>809</v>
      </c>
      <c r="C127">
        <v>75.17</v>
      </c>
      <c r="D127">
        <v>14</v>
      </c>
      <c r="E127">
        <v>16</v>
      </c>
      <c r="F127">
        <v>76.88</v>
      </c>
      <c r="G127">
        <v>0</v>
      </c>
      <c r="H127">
        <v>1</v>
      </c>
      <c r="I127">
        <v>0</v>
      </c>
      <c r="J127">
        <v>7</v>
      </c>
      <c r="K127">
        <v>76.66</v>
      </c>
      <c r="L127">
        <v>73.5</v>
      </c>
    </row>
    <row r="128" spans="1:12" x14ac:dyDescent="0.2">
      <c r="A128" s="4">
        <v>127</v>
      </c>
      <c r="B128" t="s">
        <v>92</v>
      </c>
      <c r="C128">
        <v>75.16</v>
      </c>
      <c r="D128">
        <v>11</v>
      </c>
      <c r="E128">
        <v>17</v>
      </c>
      <c r="F128">
        <v>76.2</v>
      </c>
      <c r="G128">
        <v>0</v>
      </c>
      <c r="H128">
        <v>0</v>
      </c>
      <c r="I128">
        <v>0</v>
      </c>
      <c r="J128">
        <v>0</v>
      </c>
      <c r="K128">
        <v>73.39</v>
      </c>
      <c r="L128">
        <v>76.77</v>
      </c>
    </row>
    <row r="129" spans="1:12" x14ac:dyDescent="0.2">
      <c r="A129" s="4">
        <v>128</v>
      </c>
      <c r="B129" t="s">
        <v>276</v>
      </c>
      <c r="C129">
        <v>75.13</v>
      </c>
      <c r="D129">
        <v>12</v>
      </c>
      <c r="E129">
        <v>14</v>
      </c>
      <c r="F129">
        <v>74.95</v>
      </c>
      <c r="G129">
        <v>0</v>
      </c>
      <c r="H129">
        <v>0</v>
      </c>
      <c r="I129">
        <v>0</v>
      </c>
      <c r="J129">
        <v>2</v>
      </c>
      <c r="K129">
        <v>73.430000000000007</v>
      </c>
      <c r="L129">
        <v>76.64</v>
      </c>
    </row>
    <row r="130" spans="1:12" x14ac:dyDescent="0.2">
      <c r="A130" s="4">
        <v>129</v>
      </c>
      <c r="B130" t="s">
        <v>116</v>
      </c>
      <c r="C130">
        <v>75.12</v>
      </c>
      <c r="D130">
        <v>17</v>
      </c>
      <c r="E130">
        <v>12</v>
      </c>
      <c r="F130">
        <v>72.209999999999994</v>
      </c>
      <c r="G130">
        <v>0</v>
      </c>
      <c r="H130">
        <v>0</v>
      </c>
      <c r="I130">
        <v>0</v>
      </c>
      <c r="J130">
        <v>0</v>
      </c>
      <c r="K130">
        <v>73.98</v>
      </c>
      <c r="L130">
        <v>76.06</v>
      </c>
    </row>
    <row r="131" spans="1:12" x14ac:dyDescent="0.2">
      <c r="A131" s="4">
        <v>130</v>
      </c>
      <c r="B131" t="s">
        <v>184</v>
      </c>
      <c r="C131">
        <v>75.06</v>
      </c>
      <c r="D131">
        <v>16</v>
      </c>
      <c r="E131">
        <v>13</v>
      </c>
      <c r="F131">
        <v>74.2</v>
      </c>
      <c r="G131">
        <v>0</v>
      </c>
      <c r="H131">
        <v>2</v>
      </c>
      <c r="I131">
        <v>0</v>
      </c>
      <c r="J131">
        <v>2</v>
      </c>
      <c r="K131">
        <v>74.34</v>
      </c>
      <c r="L131">
        <v>75.55</v>
      </c>
    </row>
    <row r="132" spans="1:12" x14ac:dyDescent="0.2">
      <c r="A132" s="4">
        <v>131</v>
      </c>
      <c r="B132" t="s">
        <v>200</v>
      </c>
      <c r="C132">
        <v>74.98</v>
      </c>
      <c r="D132">
        <v>18</v>
      </c>
      <c r="E132">
        <v>8</v>
      </c>
      <c r="F132">
        <v>69.650000000000006</v>
      </c>
      <c r="G132">
        <v>0</v>
      </c>
      <c r="H132">
        <v>0</v>
      </c>
      <c r="I132">
        <v>0</v>
      </c>
      <c r="J132">
        <v>0</v>
      </c>
      <c r="K132">
        <v>75.61</v>
      </c>
      <c r="L132">
        <v>74.13</v>
      </c>
    </row>
    <row r="133" spans="1:12" x14ac:dyDescent="0.2">
      <c r="A133" s="4">
        <v>132</v>
      </c>
      <c r="B133" t="s">
        <v>143</v>
      </c>
      <c r="C133">
        <v>74.95</v>
      </c>
      <c r="D133">
        <v>15</v>
      </c>
      <c r="E133">
        <v>12</v>
      </c>
      <c r="F133">
        <v>73.010000000000005</v>
      </c>
      <c r="G133">
        <v>0</v>
      </c>
      <c r="H133">
        <v>0</v>
      </c>
      <c r="I133">
        <v>0</v>
      </c>
      <c r="J133">
        <v>1</v>
      </c>
      <c r="K133">
        <v>74.02</v>
      </c>
      <c r="L133">
        <v>75.66</v>
      </c>
    </row>
    <row r="134" spans="1:12" x14ac:dyDescent="0.2">
      <c r="A134" s="4">
        <v>133</v>
      </c>
      <c r="B134" t="s">
        <v>30</v>
      </c>
      <c r="C134">
        <v>74.91</v>
      </c>
      <c r="D134">
        <v>11</v>
      </c>
      <c r="E134">
        <v>17</v>
      </c>
      <c r="F134">
        <v>77.95</v>
      </c>
      <c r="G134">
        <v>0</v>
      </c>
      <c r="H134">
        <v>3</v>
      </c>
      <c r="I134">
        <v>0</v>
      </c>
      <c r="J134">
        <v>3</v>
      </c>
      <c r="K134">
        <v>74.8</v>
      </c>
      <c r="L134">
        <v>74.78</v>
      </c>
    </row>
    <row r="135" spans="1:12" x14ac:dyDescent="0.2">
      <c r="A135" s="4">
        <v>134</v>
      </c>
      <c r="B135" t="s">
        <v>810</v>
      </c>
      <c r="C135">
        <v>74.7</v>
      </c>
      <c r="D135">
        <v>12</v>
      </c>
      <c r="E135">
        <v>16</v>
      </c>
      <c r="F135">
        <v>77.08</v>
      </c>
      <c r="G135">
        <v>0</v>
      </c>
      <c r="H135">
        <v>1</v>
      </c>
      <c r="I135">
        <v>0</v>
      </c>
      <c r="J135">
        <v>1</v>
      </c>
      <c r="K135">
        <v>74.64</v>
      </c>
      <c r="L135">
        <v>74.52</v>
      </c>
    </row>
    <row r="136" spans="1:12" x14ac:dyDescent="0.2">
      <c r="A136" s="4">
        <v>135</v>
      </c>
      <c r="B136" t="s">
        <v>121</v>
      </c>
      <c r="C136">
        <v>74.56</v>
      </c>
      <c r="D136">
        <v>13</v>
      </c>
      <c r="E136">
        <v>13</v>
      </c>
      <c r="F136">
        <v>73.680000000000007</v>
      </c>
      <c r="G136">
        <v>0</v>
      </c>
      <c r="H136">
        <v>0</v>
      </c>
      <c r="I136">
        <v>0</v>
      </c>
      <c r="J136">
        <v>2</v>
      </c>
      <c r="K136">
        <v>73.59</v>
      </c>
      <c r="L136">
        <v>75.290000000000006</v>
      </c>
    </row>
    <row r="137" spans="1:12" x14ac:dyDescent="0.2">
      <c r="A137" s="4">
        <v>136</v>
      </c>
      <c r="B137" t="s">
        <v>88</v>
      </c>
      <c r="C137">
        <v>74.55</v>
      </c>
      <c r="D137">
        <v>15</v>
      </c>
      <c r="E137">
        <v>16</v>
      </c>
      <c r="F137">
        <v>75.2</v>
      </c>
      <c r="G137">
        <v>0</v>
      </c>
      <c r="H137">
        <v>3</v>
      </c>
      <c r="I137">
        <v>0</v>
      </c>
      <c r="J137">
        <v>4</v>
      </c>
      <c r="K137">
        <v>74.59</v>
      </c>
      <c r="L137">
        <v>74.27</v>
      </c>
    </row>
    <row r="138" spans="1:12" x14ac:dyDescent="0.2">
      <c r="A138" s="4">
        <v>137</v>
      </c>
      <c r="B138" t="s">
        <v>154</v>
      </c>
      <c r="C138">
        <v>74.540000000000006</v>
      </c>
      <c r="D138">
        <v>15</v>
      </c>
      <c r="E138">
        <v>15</v>
      </c>
      <c r="F138">
        <v>73.760000000000005</v>
      </c>
      <c r="G138">
        <v>0</v>
      </c>
      <c r="H138">
        <v>0</v>
      </c>
      <c r="I138">
        <v>0</v>
      </c>
      <c r="J138">
        <v>2</v>
      </c>
      <c r="K138">
        <v>73.489999999999995</v>
      </c>
      <c r="L138">
        <v>75.37</v>
      </c>
    </row>
    <row r="139" spans="1:12" x14ac:dyDescent="0.2">
      <c r="A139" s="4">
        <v>138</v>
      </c>
      <c r="B139" t="s">
        <v>61</v>
      </c>
      <c r="C139">
        <v>74.45</v>
      </c>
      <c r="D139">
        <v>12</v>
      </c>
      <c r="E139">
        <v>18</v>
      </c>
      <c r="F139">
        <v>77.52</v>
      </c>
      <c r="G139">
        <v>0</v>
      </c>
      <c r="H139">
        <v>1</v>
      </c>
      <c r="I139">
        <v>2</v>
      </c>
      <c r="J139">
        <v>4</v>
      </c>
      <c r="K139">
        <v>74.239999999999995</v>
      </c>
      <c r="L139">
        <v>74.42</v>
      </c>
    </row>
    <row r="140" spans="1:12" x14ac:dyDescent="0.2">
      <c r="A140" s="4">
        <v>139</v>
      </c>
      <c r="B140" t="s">
        <v>85</v>
      </c>
      <c r="C140">
        <v>74.400000000000006</v>
      </c>
      <c r="D140">
        <v>16</v>
      </c>
      <c r="E140">
        <v>11</v>
      </c>
      <c r="F140">
        <v>72.61</v>
      </c>
      <c r="G140">
        <v>0</v>
      </c>
      <c r="H140">
        <v>0</v>
      </c>
      <c r="I140">
        <v>0</v>
      </c>
      <c r="J140">
        <v>2</v>
      </c>
      <c r="K140">
        <v>74.86</v>
      </c>
      <c r="L140">
        <v>73.7</v>
      </c>
    </row>
    <row r="141" spans="1:12" x14ac:dyDescent="0.2">
      <c r="A141" s="4">
        <v>140</v>
      </c>
      <c r="B141" t="s">
        <v>64</v>
      </c>
      <c r="C141">
        <v>74.180000000000007</v>
      </c>
      <c r="D141">
        <v>14</v>
      </c>
      <c r="E141">
        <v>12</v>
      </c>
      <c r="F141">
        <v>74.06</v>
      </c>
      <c r="G141">
        <v>0</v>
      </c>
      <c r="H141">
        <v>1</v>
      </c>
      <c r="I141">
        <v>0</v>
      </c>
      <c r="J141">
        <v>4</v>
      </c>
      <c r="K141">
        <v>74.95</v>
      </c>
      <c r="L141">
        <v>73.180000000000007</v>
      </c>
    </row>
    <row r="142" spans="1:12" x14ac:dyDescent="0.2">
      <c r="A142" s="4">
        <v>141</v>
      </c>
      <c r="B142" t="s">
        <v>106</v>
      </c>
      <c r="C142">
        <v>74.11</v>
      </c>
      <c r="D142">
        <v>15</v>
      </c>
      <c r="E142">
        <v>14</v>
      </c>
      <c r="F142">
        <v>73.09</v>
      </c>
      <c r="G142">
        <v>0</v>
      </c>
      <c r="H142">
        <v>0</v>
      </c>
      <c r="I142">
        <v>0</v>
      </c>
      <c r="J142">
        <v>0</v>
      </c>
      <c r="K142">
        <v>73.3</v>
      </c>
      <c r="L142">
        <v>74.680000000000007</v>
      </c>
    </row>
    <row r="143" spans="1:12" x14ac:dyDescent="0.2">
      <c r="A143" s="4">
        <v>142</v>
      </c>
      <c r="B143" t="s">
        <v>128</v>
      </c>
      <c r="C143">
        <v>74.040000000000006</v>
      </c>
      <c r="D143">
        <v>15</v>
      </c>
      <c r="E143">
        <v>12</v>
      </c>
      <c r="F143">
        <v>72.69</v>
      </c>
      <c r="G143">
        <v>0</v>
      </c>
      <c r="H143">
        <v>0</v>
      </c>
      <c r="I143">
        <v>0</v>
      </c>
      <c r="J143">
        <v>1</v>
      </c>
      <c r="K143">
        <v>73.8</v>
      </c>
      <c r="L143">
        <v>74.040000000000006</v>
      </c>
    </row>
    <row r="144" spans="1:12" x14ac:dyDescent="0.2">
      <c r="A144" s="4">
        <v>143</v>
      </c>
      <c r="B144" t="s">
        <v>142</v>
      </c>
      <c r="C144">
        <v>74.02</v>
      </c>
      <c r="D144">
        <v>14</v>
      </c>
      <c r="E144">
        <v>15</v>
      </c>
      <c r="F144">
        <v>74.84</v>
      </c>
      <c r="G144">
        <v>0</v>
      </c>
      <c r="H144">
        <v>1</v>
      </c>
      <c r="I144">
        <v>0</v>
      </c>
      <c r="J144">
        <v>3</v>
      </c>
      <c r="K144">
        <v>73.47</v>
      </c>
      <c r="L144">
        <v>74.319999999999993</v>
      </c>
    </row>
    <row r="145" spans="1:12" x14ac:dyDescent="0.2">
      <c r="A145" s="4">
        <v>144</v>
      </c>
      <c r="B145" t="s">
        <v>259</v>
      </c>
      <c r="C145">
        <v>73.98</v>
      </c>
      <c r="D145">
        <v>16</v>
      </c>
      <c r="E145">
        <v>11</v>
      </c>
      <c r="F145">
        <v>72.680000000000007</v>
      </c>
      <c r="G145">
        <v>0</v>
      </c>
      <c r="H145">
        <v>0</v>
      </c>
      <c r="I145">
        <v>0</v>
      </c>
      <c r="J145">
        <v>1</v>
      </c>
      <c r="K145">
        <v>74.87</v>
      </c>
      <c r="L145">
        <v>72.849999999999994</v>
      </c>
    </row>
    <row r="146" spans="1:12" x14ac:dyDescent="0.2">
      <c r="A146" s="4">
        <v>145</v>
      </c>
      <c r="B146" t="s">
        <v>47</v>
      </c>
      <c r="C146">
        <v>73.819999999999993</v>
      </c>
      <c r="D146">
        <v>16</v>
      </c>
      <c r="E146">
        <v>14</v>
      </c>
      <c r="F146">
        <v>75.22</v>
      </c>
      <c r="G146">
        <v>0</v>
      </c>
      <c r="H146">
        <v>3</v>
      </c>
      <c r="I146">
        <v>0</v>
      </c>
      <c r="J146">
        <v>3</v>
      </c>
      <c r="K146">
        <v>75.53</v>
      </c>
      <c r="L146">
        <v>71.91</v>
      </c>
    </row>
    <row r="147" spans="1:12" x14ac:dyDescent="0.2">
      <c r="A147" s="4">
        <v>146</v>
      </c>
      <c r="B147" t="s">
        <v>150</v>
      </c>
      <c r="C147">
        <v>73.819999999999993</v>
      </c>
      <c r="D147">
        <v>16</v>
      </c>
      <c r="E147">
        <v>12</v>
      </c>
      <c r="F147">
        <v>72.2</v>
      </c>
      <c r="G147">
        <v>0</v>
      </c>
      <c r="H147">
        <v>1</v>
      </c>
      <c r="I147">
        <v>0</v>
      </c>
      <c r="J147">
        <v>1</v>
      </c>
      <c r="K147">
        <v>73.930000000000007</v>
      </c>
      <c r="L147">
        <v>73.47</v>
      </c>
    </row>
    <row r="148" spans="1:12" x14ac:dyDescent="0.2">
      <c r="A148" s="4">
        <v>147</v>
      </c>
      <c r="B148" t="s">
        <v>160</v>
      </c>
      <c r="C148">
        <v>73.8</v>
      </c>
      <c r="D148">
        <v>15</v>
      </c>
      <c r="E148">
        <v>11</v>
      </c>
      <c r="F148">
        <v>72.02</v>
      </c>
      <c r="G148">
        <v>0</v>
      </c>
      <c r="H148">
        <v>0</v>
      </c>
      <c r="I148">
        <v>0</v>
      </c>
      <c r="J148">
        <v>0</v>
      </c>
      <c r="K148">
        <v>73.459999999999994</v>
      </c>
      <c r="L148">
        <v>73.89</v>
      </c>
    </row>
    <row r="149" spans="1:12" x14ac:dyDescent="0.2">
      <c r="A149" s="4">
        <v>148</v>
      </c>
      <c r="B149" t="s">
        <v>89</v>
      </c>
      <c r="C149">
        <v>73.739999999999995</v>
      </c>
      <c r="D149">
        <v>22</v>
      </c>
      <c r="E149">
        <v>9</v>
      </c>
      <c r="F149">
        <v>68.91</v>
      </c>
      <c r="G149">
        <v>0</v>
      </c>
      <c r="H149">
        <v>1</v>
      </c>
      <c r="I149">
        <v>0</v>
      </c>
      <c r="J149">
        <v>2</v>
      </c>
      <c r="K149">
        <v>74.55</v>
      </c>
      <c r="L149">
        <v>72.709999999999994</v>
      </c>
    </row>
    <row r="150" spans="1:12" x14ac:dyDescent="0.2">
      <c r="A150" s="4">
        <v>149</v>
      </c>
      <c r="B150" t="s">
        <v>811</v>
      </c>
      <c r="C150">
        <v>73.73</v>
      </c>
      <c r="D150">
        <v>10</v>
      </c>
      <c r="E150">
        <v>17</v>
      </c>
      <c r="F150">
        <v>76.55</v>
      </c>
      <c r="G150">
        <v>0</v>
      </c>
      <c r="H150">
        <v>2</v>
      </c>
      <c r="I150">
        <v>0</v>
      </c>
      <c r="J150">
        <v>2</v>
      </c>
      <c r="K150">
        <v>72.760000000000005</v>
      </c>
      <c r="L150">
        <v>74.45</v>
      </c>
    </row>
    <row r="151" spans="1:12" x14ac:dyDescent="0.2">
      <c r="A151" s="4">
        <v>150</v>
      </c>
      <c r="B151" t="s">
        <v>49</v>
      </c>
      <c r="C151">
        <v>73.63</v>
      </c>
      <c r="D151">
        <v>12</v>
      </c>
      <c r="E151">
        <v>17</v>
      </c>
      <c r="F151">
        <v>76.64</v>
      </c>
      <c r="G151">
        <v>0</v>
      </c>
      <c r="H151">
        <v>0</v>
      </c>
      <c r="I151">
        <v>1</v>
      </c>
      <c r="J151">
        <v>6</v>
      </c>
      <c r="K151">
        <v>74.569999999999993</v>
      </c>
      <c r="L151">
        <v>72.459999999999994</v>
      </c>
    </row>
    <row r="152" spans="1:12" x14ac:dyDescent="0.2">
      <c r="A152" s="4">
        <v>151</v>
      </c>
      <c r="B152" t="s">
        <v>812</v>
      </c>
      <c r="C152">
        <v>73.52</v>
      </c>
      <c r="D152">
        <v>11</v>
      </c>
      <c r="E152">
        <v>16</v>
      </c>
      <c r="F152">
        <v>76.11</v>
      </c>
      <c r="G152">
        <v>0</v>
      </c>
      <c r="H152">
        <v>2</v>
      </c>
      <c r="I152">
        <v>0</v>
      </c>
      <c r="J152">
        <v>2</v>
      </c>
      <c r="K152">
        <v>73.58</v>
      </c>
      <c r="L152">
        <v>73.209999999999994</v>
      </c>
    </row>
    <row r="153" spans="1:12" x14ac:dyDescent="0.2">
      <c r="A153" s="4">
        <v>152</v>
      </c>
      <c r="B153" t="s">
        <v>127</v>
      </c>
      <c r="C153">
        <v>73.42</v>
      </c>
      <c r="D153">
        <v>17</v>
      </c>
      <c r="E153">
        <v>12</v>
      </c>
      <c r="F153">
        <v>72.03</v>
      </c>
      <c r="G153">
        <v>0</v>
      </c>
      <c r="H153">
        <v>0</v>
      </c>
      <c r="I153">
        <v>0</v>
      </c>
      <c r="J153">
        <v>1</v>
      </c>
      <c r="K153">
        <v>74.239999999999995</v>
      </c>
      <c r="L153">
        <v>72.36</v>
      </c>
    </row>
    <row r="154" spans="1:12" x14ac:dyDescent="0.2">
      <c r="A154" s="4">
        <v>153</v>
      </c>
      <c r="B154" t="s">
        <v>813</v>
      </c>
      <c r="C154">
        <v>73.41</v>
      </c>
      <c r="D154">
        <v>13</v>
      </c>
      <c r="E154">
        <v>15</v>
      </c>
      <c r="F154">
        <v>74.540000000000006</v>
      </c>
      <c r="G154">
        <v>0</v>
      </c>
      <c r="H154">
        <v>1</v>
      </c>
      <c r="I154">
        <v>1</v>
      </c>
      <c r="J154">
        <v>1</v>
      </c>
      <c r="K154">
        <v>72.540000000000006</v>
      </c>
      <c r="L154">
        <v>74.03</v>
      </c>
    </row>
    <row r="155" spans="1:12" x14ac:dyDescent="0.2">
      <c r="A155" s="4">
        <v>154</v>
      </c>
      <c r="B155" t="s">
        <v>255</v>
      </c>
      <c r="C155">
        <v>73.400000000000006</v>
      </c>
      <c r="D155">
        <v>12</v>
      </c>
      <c r="E155">
        <v>15</v>
      </c>
      <c r="F155">
        <v>76.260000000000005</v>
      </c>
      <c r="G155">
        <v>0</v>
      </c>
      <c r="H155">
        <v>0</v>
      </c>
      <c r="I155">
        <v>1</v>
      </c>
      <c r="J155">
        <v>3</v>
      </c>
      <c r="K155">
        <v>75.36</v>
      </c>
      <c r="L155">
        <v>71.22</v>
      </c>
    </row>
    <row r="156" spans="1:12" x14ac:dyDescent="0.2">
      <c r="A156" s="4">
        <v>155</v>
      </c>
      <c r="B156" t="s">
        <v>284</v>
      </c>
      <c r="C156">
        <v>73.319999999999993</v>
      </c>
      <c r="D156">
        <v>17</v>
      </c>
      <c r="E156">
        <v>13</v>
      </c>
      <c r="F156">
        <v>72.75</v>
      </c>
      <c r="G156">
        <v>0</v>
      </c>
      <c r="H156">
        <v>2</v>
      </c>
      <c r="I156">
        <v>0</v>
      </c>
      <c r="J156">
        <v>3</v>
      </c>
      <c r="K156">
        <v>73.48</v>
      </c>
      <c r="L156">
        <v>72.91</v>
      </c>
    </row>
    <row r="157" spans="1:12" x14ac:dyDescent="0.2">
      <c r="A157" s="4">
        <v>156</v>
      </c>
      <c r="B157" t="s">
        <v>205</v>
      </c>
      <c r="C157">
        <v>73.3</v>
      </c>
      <c r="D157">
        <v>12</v>
      </c>
      <c r="E157">
        <v>17</v>
      </c>
      <c r="F157">
        <v>75.17</v>
      </c>
      <c r="G157">
        <v>0</v>
      </c>
      <c r="H157">
        <v>2</v>
      </c>
      <c r="I157">
        <v>2</v>
      </c>
      <c r="J157">
        <v>2</v>
      </c>
      <c r="K157">
        <v>73.06</v>
      </c>
      <c r="L157">
        <v>73.28</v>
      </c>
    </row>
    <row r="158" spans="1:12" x14ac:dyDescent="0.2">
      <c r="A158" s="4">
        <v>157</v>
      </c>
      <c r="B158" t="s">
        <v>149</v>
      </c>
      <c r="C158">
        <v>73.260000000000005</v>
      </c>
      <c r="D158">
        <v>9</v>
      </c>
      <c r="E158">
        <v>20</v>
      </c>
      <c r="F158">
        <v>77.290000000000006</v>
      </c>
      <c r="G158">
        <v>0</v>
      </c>
      <c r="H158">
        <v>1</v>
      </c>
      <c r="I158">
        <v>0</v>
      </c>
      <c r="J158">
        <v>3</v>
      </c>
      <c r="K158">
        <v>71.87</v>
      </c>
      <c r="L158">
        <v>74.400000000000006</v>
      </c>
    </row>
    <row r="159" spans="1:12" x14ac:dyDescent="0.2">
      <c r="A159" s="4">
        <v>158</v>
      </c>
      <c r="B159" t="s">
        <v>114</v>
      </c>
      <c r="C159">
        <v>73.17</v>
      </c>
      <c r="D159">
        <v>15</v>
      </c>
      <c r="E159">
        <v>15</v>
      </c>
      <c r="F159">
        <v>73.97</v>
      </c>
      <c r="G159">
        <v>0</v>
      </c>
      <c r="H159">
        <v>0</v>
      </c>
      <c r="I159">
        <v>0</v>
      </c>
      <c r="J159">
        <v>0</v>
      </c>
      <c r="K159">
        <v>72.95</v>
      </c>
      <c r="L159">
        <v>73.14</v>
      </c>
    </row>
    <row r="160" spans="1:12" x14ac:dyDescent="0.2">
      <c r="A160" s="4">
        <v>159</v>
      </c>
      <c r="B160" t="s">
        <v>219</v>
      </c>
      <c r="C160">
        <v>73.150000000000006</v>
      </c>
      <c r="D160">
        <v>16</v>
      </c>
      <c r="E160">
        <v>14</v>
      </c>
      <c r="F160">
        <v>73.849999999999994</v>
      </c>
      <c r="G160">
        <v>0</v>
      </c>
      <c r="H160">
        <v>1</v>
      </c>
      <c r="I160">
        <v>0</v>
      </c>
      <c r="J160">
        <v>2</v>
      </c>
      <c r="K160">
        <v>74.23</v>
      </c>
      <c r="L160">
        <v>71.83</v>
      </c>
    </row>
    <row r="161" spans="1:12" x14ac:dyDescent="0.2">
      <c r="A161" s="4">
        <v>160</v>
      </c>
      <c r="B161" t="s">
        <v>257</v>
      </c>
      <c r="C161">
        <v>72.92</v>
      </c>
      <c r="D161">
        <v>13</v>
      </c>
      <c r="E161">
        <v>16</v>
      </c>
      <c r="F161">
        <v>74.349999999999994</v>
      </c>
      <c r="G161">
        <v>0</v>
      </c>
      <c r="H161">
        <v>1</v>
      </c>
      <c r="I161">
        <v>0</v>
      </c>
      <c r="J161">
        <v>1</v>
      </c>
      <c r="K161">
        <v>72.45</v>
      </c>
      <c r="L161">
        <v>73.150000000000006</v>
      </c>
    </row>
    <row r="162" spans="1:12" x14ac:dyDescent="0.2">
      <c r="A162" s="4">
        <v>161</v>
      </c>
      <c r="B162" t="s">
        <v>814</v>
      </c>
      <c r="C162">
        <v>72.92</v>
      </c>
      <c r="D162">
        <v>14</v>
      </c>
      <c r="E162">
        <v>13</v>
      </c>
      <c r="F162">
        <v>72.81</v>
      </c>
      <c r="G162">
        <v>0</v>
      </c>
      <c r="H162">
        <v>0</v>
      </c>
      <c r="I162">
        <v>0</v>
      </c>
      <c r="J162">
        <v>0</v>
      </c>
      <c r="K162">
        <v>72.97</v>
      </c>
      <c r="L162">
        <v>72.63</v>
      </c>
    </row>
    <row r="163" spans="1:12" x14ac:dyDescent="0.2">
      <c r="A163" s="4">
        <v>162</v>
      </c>
      <c r="B163" t="s">
        <v>552</v>
      </c>
      <c r="C163">
        <v>72.819999999999993</v>
      </c>
      <c r="D163">
        <v>14</v>
      </c>
      <c r="E163">
        <v>12</v>
      </c>
      <c r="F163">
        <v>70.739999999999995</v>
      </c>
      <c r="G163">
        <v>0</v>
      </c>
      <c r="H163">
        <v>0</v>
      </c>
      <c r="I163">
        <v>0</v>
      </c>
      <c r="J163">
        <v>1</v>
      </c>
      <c r="K163">
        <v>71.86</v>
      </c>
      <c r="L163">
        <v>73.53</v>
      </c>
    </row>
    <row r="164" spans="1:12" x14ac:dyDescent="0.2">
      <c r="A164" s="4">
        <v>163</v>
      </c>
      <c r="B164" t="s">
        <v>815</v>
      </c>
      <c r="C164">
        <v>72.819999999999993</v>
      </c>
      <c r="D164">
        <v>15</v>
      </c>
      <c r="E164">
        <v>11</v>
      </c>
      <c r="F164">
        <v>70.260000000000005</v>
      </c>
      <c r="G164">
        <v>0</v>
      </c>
      <c r="H164">
        <v>0</v>
      </c>
      <c r="I164">
        <v>0</v>
      </c>
      <c r="J164">
        <v>0</v>
      </c>
      <c r="K164">
        <v>72.91</v>
      </c>
      <c r="L164">
        <v>72.48</v>
      </c>
    </row>
    <row r="165" spans="1:12" x14ac:dyDescent="0.2">
      <c r="A165" s="4">
        <v>164</v>
      </c>
      <c r="B165" t="s">
        <v>177</v>
      </c>
      <c r="C165">
        <v>72.650000000000006</v>
      </c>
      <c r="D165">
        <v>11</v>
      </c>
      <c r="E165">
        <v>17</v>
      </c>
      <c r="F165">
        <v>76.27</v>
      </c>
      <c r="G165">
        <v>0</v>
      </c>
      <c r="H165">
        <v>3</v>
      </c>
      <c r="I165">
        <v>1</v>
      </c>
      <c r="J165">
        <v>3</v>
      </c>
      <c r="K165">
        <v>72.680000000000007</v>
      </c>
      <c r="L165">
        <v>72.38</v>
      </c>
    </row>
    <row r="166" spans="1:12" x14ac:dyDescent="0.2">
      <c r="A166" s="4">
        <v>165</v>
      </c>
      <c r="B166" t="s">
        <v>95</v>
      </c>
      <c r="C166">
        <v>72.5</v>
      </c>
      <c r="D166">
        <v>14</v>
      </c>
      <c r="E166">
        <v>12</v>
      </c>
      <c r="F166">
        <v>70.319999999999993</v>
      </c>
      <c r="G166">
        <v>0</v>
      </c>
      <c r="H166">
        <v>0</v>
      </c>
      <c r="I166">
        <v>0</v>
      </c>
      <c r="J166">
        <v>0</v>
      </c>
      <c r="K166">
        <v>72.03</v>
      </c>
      <c r="L166">
        <v>72.73</v>
      </c>
    </row>
    <row r="167" spans="1:12" x14ac:dyDescent="0.2">
      <c r="A167" s="4">
        <v>166</v>
      </c>
      <c r="B167" t="s">
        <v>172</v>
      </c>
      <c r="C167">
        <v>72.319999999999993</v>
      </c>
      <c r="D167">
        <v>14</v>
      </c>
      <c r="E167">
        <v>14</v>
      </c>
      <c r="F167">
        <v>73.42</v>
      </c>
      <c r="G167">
        <v>0</v>
      </c>
      <c r="H167">
        <v>2</v>
      </c>
      <c r="I167">
        <v>0</v>
      </c>
      <c r="J167">
        <v>2</v>
      </c>
      <c r="K167">
        <v>73.03</v>
      </c>
      <c r="L167">
        <v>71.36</v>
      </c>
    </row>
    <row r="168" spans="1:12" x14ac:dyDescent="0.2">
      <c r="A168" s="4">
        <v>167</v>
      </c>
      <c r="B168" t="s">
        <v>241</v>
      </c>
      <c r="C168">
        <v>72.31</v>
      </c>
      <c r="D168">
        <v>13</v>
      </c>
      <c r="E168">
        <v>13</v>
      </c>
      <c r="F168">
        <v>72.709999999999994</v>
      </c>
      <c r="G168">
        <v>0</v>
      </c>
      <c r="H168">
        <v>1</v>
      </c>
      <c r="I168">
        <v>0</v>
      </c>
      <c r="J168">
        <v>1</v>
      </c>
      <c r="K168">
        <v>72.39</v>
      </c>
      <c r="L168">
        <v>72</v>
      </c>
    </row>
    <row r="169" spans="1:12" x14ac:dyDescent="0.2">
      <c r="A169" s="4">
        <v>168</v>
      </c>
      <c r="B169" t="s">
        <v>885</v>
      </c>
      <c r="C169">
        <v>72.260000000000005</v>
      </c>
      <c r="D169">
        <v>21</v>
      </c>
      <c r="E169">
        <v>6</v>
      </c>
      <c r="F169">
        <v>64.52</v>
      </c>
      <c r="G169">
        <v>0</v>
      </c>
      <c r="H169">
        <v>0</v>
      </c>
      <c r="I169">
        <v>0</v>
      </c>
      <c r="J169">
        <v>0</v>
      </c>
      <c r="K169">
        <v>72.78</v>
      </c>
      <c r="L169">
        <v>71.5</v>
      </c>
    </row>
    <row r="170" spans="1:12" x14ac:dyDescent="0.2">
      <c r="A170" s="4">
        <v>169</v>
      </c>
      <c r="B170" t="s">
        <v>91</v>
      </c>
      <c r="C170">
        <v>72.22</v>
      </c>
      <c r="D170">
        <v>11</v>
      </c>
      <c r="E170">
        <v>16</v>
      </c>
      <c r="F170">
        <v>74.64</v>
      </c>
      <c r="G170">
        <v>0</v>
      </c>
      <c r="H170">
        <v>0</v>
      </c>
      <c r="I170">
        <v>0</v>
      </c>
      <c r="J170">
        <v>0</v>
      </c>
      <c r="K170">
        <v>71.349999999999994</v>
      </c>
      <c r="L170">
        <v>72.849999999999994</v>
      </c>
    </row>
    <row r="171" spans="1:12" x14ac:dyDescent="0.2">
      <c r="A171" s="4">
        <v>170</v>
      </c>
      <c r="B171" t="s">
        <v>133</v>
      </c>
      <c r="C171">
        <v>72.14</v>
      </c>
      <c r="D171">
        <v>13</v>
      </c>
      <c r="E171">
        <v>15</v>
      </c>
      <c r="F171">
        <v>73.150000000000006</v>
      </c>
      <c r="G171">
        <v>0</v>
      </c>
      <c r="H171">
        <v>0</v>
      </c>
      <c r="I171">
        <v>0</v>
      </c>
      <c r="J171">
        <v>2</v>
      </c>
      <c r="K171">
        <v>70.94</v>
      </c>
      <c r="L171">
        <v>73.08</v>
      </c>
    </row>
    <row r="172" spans="1:12" x14ac:dyDescent="0.2">
      <c r="A172" s="4">
        <v>171</v>
      </c>
      <c r="B172" t="s">
        <v>816</v>
      </c>
      <c r="C172">
        <v>72.13</v>
      </c>
      <c r="D172">
        <v>13</v>
      </c>
      <c r="E172">
        <v>14</v>
      </c>
      <c r="F172">
        <v>72.27</v>
      </c>
      <c r="G172">
        <v>0</v>
      </c>
      <c r="H172">
        <v>0</v>
      </c>
      <c r="I172">
        <v>0</v>
      </c>
      <c r="J172">
        <v>1</v>
      </c>
      <c r="K172">
        <v>71.099999999999994</v>
      </c>
      <c r="L172">
        <v>72.900000000000006</v>
      </c>
    </row>
    <row r="173" spans="1:12" x14ac:dyDescent="0.2">
      <c r="A173" s="4">
        <v>172</v>
      </c>
      <c r="B173" t="s">
        <v>248</v>
      </c>
      <c r="C173">
        <v>72.12</v>
      </c>
      <c r="D173">
        <v>13</v>
      </c>
      <c r="E173">
        <v>16</v>
      </c>
      <c r="F173">
        <v>73.319999999999993</v>
      </c>
      <c r="G173">
        <v>0</v>
      </c>
      <c r="H173">
        <v>0</v>
      </c>
      <c r="I173">
        <v>0</v>
      </c>
      <c r="J173">
        <v>0</v>
      </c>
      <c r="K173">
        <v>71.58</v>
      </c>
      <c r="L173">
        <v>72.41</v>
      </c>
    </row>
    <row r="174" spans="1:12" x14ac:dyDescent="0.2">
      <c r="A174" s="4">
        <v>173</v>
      </c>
      <c r="B174" t="s">
        <v>558</v>
      </c>
      <c r="C174">
        <v>71.97</v>
      </c>
      <c r="D174">
        <v>15</v>
      </c>
      <c r="E174">
        <v>14</v>
      </c>
      <c r="F174">
        <v>70.36</v>
      </c>
      <c r="G174">
        <v>0</v>
      </c>
      <c r="H174">
        <v>0</v>
      </c>
      <c r="I174">
        <v>0</v>
      </c>
      <c r="J174">
        <v>0</v>
      </c>
      <c r="K174">
        <v>70.790000000000006</v>
      </c>
      <c r="L174">
        <v>72.89</v>
      </c>
    </row>
    <row r="175" spans="1:12" x14ac:dyDescent="0.2">
      <c r="A175" s="4">
        <v>174</v>
      </c>
      <c r="B175" t="s">
        <v>139</v>
      </c>
      <c r="C175">
        <v>71.8</v>
      </c>
      <c r="D175">
        <v>17</v>
      </c>
      <c r="E175">
        <v>9</v>
      </c>
      <c r="F175">
        <v>66.77</v>
      </c>
      <c r="G175">
        <v>0</v>
      </c>
      <c r="H175">
        <v>0</v>
      </c>
      <c r="I175">
        <v>0</v>
      </c>
      <c r="J175">
        <v>0</v>
      </c>
      <c r="K175">
        <v>70.650000000000006</v>
      </c>
      <c r="L175">
        <v>72.680000000000007</v>
      </c>
    </row>
    <row r="176" spans="1:12" x14ac:dyDescent="0.2">
      <c r="A176" s="4">
        <v>175</v>
      </c>
      <c r="B176" t="s">
        <v>896</v>
      </c>
      <c r="C176">
        <v>71.75</v>
      </c>
      <c r="D176">
        <v>18</v>
      </c>
      <c r="E176">
        <v>7</v>
      </c>
      <c r="F176">
        <v>66.150000000000006</v>
      </c>
      <c r="G176">
        <v>0</v>
      </c>
      <c r="H176">
        <v>0</v>
      </c>
      <c r="I176">
        <v>0</v>
      </c>
      <c r="J176">
        <v>0</v>
      </c>
      <c r="K176">
        <v>72</v>
      </c>
      <c r="L176">
        <v>71.239999999999995</v>
      </c>
    </row>
    <row r="177" spans="1:12" x14ac:dyDescent="0.2">
      <c r="A177" s="4">
        <v>176</v>
      </c>
      <c r="B177" t="s">
        <v>563</v>
      </c>
      <c r="C177">
        <v>71.709999999999994</v>
      </c>
      <c r="D177">
        <v>14</v>
      </c>
      <c r="E177">
        <v>12</v>
      </c>
      <c r="F177">
        <v>71.45</v>
      </c>
      <c r="G177">
        <v>0</v>
      </c>
      <c r="H177">
        <v>1</v>
      </c>
      <c r="I177">
        <v>0</v>
      </c>
      <c r="J177">
        <v>1</v>
      </c>
      <c r="K177">
        <v>71.84</v>
      </c>
      <c r="L177">
        <v>71.33</v>
      </c>
    </row>
    <row r="178" spans="1:12" x14ac:dyDescent="0.2">
      <c r="A178" s="4">
        <v>177</v>
      </c>
      <c r="B178" t="s">
        <v>181</v>
      </c>
      <c r="C178">
        <v>71.61</v>
      </c>
      <c r="D178">
        <v>12</v>
      </c>
      <c r="E178">
        <v>17</v>
      </c>
      <c r="F178">
        <v>74.91</v>
      </c>
      <c r="G178">
        <v>0</v>
      </c>
      <c r="H178">
        <v>1</v>
      </c>
      <c r="I178">
        <v>0</v>
      </c>
      <c r="J178">
        <v>1</v>
      </c>
      <c r="K178">
        <v>71.61</v>
      </c>
      <c r="L178">
        <v>71.37</v>
      </c>
    </row>
    <row r="179" spans="1:12" x14ac:dyDescent="0.2">
      <c r="A179" s="4">
        <v>178</v>
      </c>
      <c r="B179" t="s">
        <v>194</v>
      </c>
      <c r="C179">
        <v>71.5</v>
      </c>
      <c r="D179">
        <v>17</v>
      </c>
      <c r="E179">
        <v>11</v>
      </c>
      <c r="F179">
        <v>69.25</v>
      </c>
      <c r="G179">
        <v>0</v>
      </c>
      <c r="H179">
        <v>0</v>
      </c>
      <c r="I179">
        <v>0</v>
      </c>
      <c r="J179">
        <v>1</v>
      </c>
      <c r="K179">
        <v>72.17</v>
      </c>
      <c r="L179">
        <v>70.569999999999993</v>
      </c>
    </row>
    <row r="180" spans="1:12" x14ac:dyDescent="0.2">
      <c r="A180" s="4">
        <v>179</v>
      </c>
      <c r="B180" t="s">
        <v>207</v>
      </c>
      <c r="C180">
        <v>71.34</v>
      </c>
      <c r="D180">
        <v>12</v>
      </c>
      <c r="E180">
        <v>17</v>
      </c>
      <c r="F180">
        <v>73.34</v>
      </c>
      <c r="G180">
        <v>0</v>
      </c>
      <c r="H180">
        <v>0</v>
      </c>
      <c r="I180">
        <v>0</v>
      </c>
      <c r="J180">
        <v>0</v>
      </c>
      <c r="K180">
        <v>70.27</v>
      </c>
      <c r="L180">
        <v>72.14</v>
      </c>
    </row>
    <row r="181" spans="1:12" x14ac:dyDescent="0.2">
      <c r="A181" s="4">
        <v>180</v>
      </c>
      <c r="B181" t="s">
        <v>817</v>
      </c>
      <c r="C181">
        <v>71.27</v>
      </c>
      <c r="D181">
        <v>9</v>
      </c>
      <c r="E181">
        <v>19</v>
      </c>
      <c r="F181">
        <v>77.78</v>
      </c>
      <c r="G181">
        <v>0</v>
      </c>
      <c r="H181">
        <v>1</v>
      </c>
      <c r="I181">
        <v>0</v>
      </c>
      <c r="J181">
        <v>4</v>
      </c>
      <c r="K181">
        <v>72.53</v>
      </c>
      <c r="L181">
        <v>69.709999999999994</v>
      </c>
    </row>
    <row r="182" spans="1:12" x14ac:dyDescent="0.2">
      <c r="A182" s="4">
        <v>181</v>
      </c>
      <c r="B182" t="s">
        <v>178</v>
      </c>
      <c r="C182">
        <v>71.209999999999994</v>
      </c>
      <c r="D182">
        <v>10</v>
      </c>
      <c r="E182">
        <v>20</v>
      </c>
      <c r="F182">
        <v>75.900000000000006</v>
      </c>
      <c r="G182">
        <v>0</v>
      </c>
      <c r="H182">
        <v>1</v>
      </c>
      <c r="I182">
        <v>0</v>
      </c>
      <c r="J182">
        <v>4</v>
      </c>
      <c r="K182">
        <v>70.87</v>
      </c>
      <c r="L182">
        <v>71.3</v>
      </c>
    </row>
    <row r="183" spans="1:12" x14ac:dyDescent="0.2">
      <c r="A183" s="4">
        <v>182</v>
      </c>
      <c r="B183" t="s">
        <v>818</v>
      </c>
      <c r="C183">
        <v>71.180000000000007</v>
      </c>
      <c r="D183">
        <v>9</v>
      </c>
      <c r="E183">
        <v>19</v>
      </c>
      <c r="F183">
        <v>75.47</v>
      </c>
      <c r="G183">
        <v>0</v>
      </c>
      <c r="H183">
        <v>0</v>
      </c>
      <c r="I183">
        <v>0</v>
      </c>
      <c r="J183">
        <v>1</v>
      </c>
      <c r="K183">
        <v>69.45</v>
      </c>
      <c r="L183">
        <v>72.599999999999994</v>
      </c>
    </row>
    <row r="184" spans="1:12" x14ac:dyDescent="0.2">
      <c r="A184" s="4">
        <v>183</v>
      </c>
      <c r="B184" t="s">
        <v>878</v>
      </c>
      <c r="C184">
        <v>71.17</v>
      </c>
      <c r="D184">
        <v>11</v>
      </c>
      <c r="E184">
        <v>17</v>
      </c>
      <c r="F184">
        <v>73.510000000000005</v>
      </c>
      <c r="G184">
        <v>0</v>
      </c>
      <c r="H184">
        <v>0</v>
      </c>
      <c r="I184">
        <v>0</v>
      </c>
      <c r="J184">
        <v>3</v>
      </c>
      <c r="K184">
        <v>69.510000000000005</v>
      </c>
      <c r="L184">
        <v>72.540000000000006</v>
      </c>
    </row>
    <row r="185" spans="1:12" x14ac:dyDescent="0.2">
      <c r="A185" s="4">
        <v>184</v>
      </c>
      <c r="B185" t="s">
        <v>161</v>
      </c>
      <c r="C185">
        <v>71.14</v>
      </c>
      <c r="D185">
        <v>21</v>
      </c>
      <c r="E185">
        <v>12</v>
      </c>
      <c r="F185">
        <v>69.33</v>
      </c>
      <c r="G185">
        <v>0</v>
      </c>
      <c r="H185">
        <v>0</v>
      </c>
      <c r="I185">
        <v>0</v>
      </c>
      <c r="J185">
        <v>2</v>
      </c>
      <c r="K185">
        <v>72.34</v>
      </c>
      <c r="L185">
        <v>69.63</v>
      </c>
    </row>
    <row r="186" spans="1:12" x14ac:dyDescent="0.2">
      <c r="A186" s="4">
        <v>185</v>
      </c>
      <c r="B186" t="s">
        <v>55</v>
      </c>
      <c r="C186">
        <v>71.12</v>
      </c>
      <c r="D186">
        <v>6</v>
      </c>
      <c r="E186">
        <v>21</v>
      </c>
      <c r="F186">
        <v>79.64</v>
      </c>
      <c r="G186">
        <v>0</v>
      </c>
      <c r="H186">
        <v>4</v>
      </c>
      <c r="I186">
        <v>0</v>
      </c>
      <c r="J186">
        <v>7</v>
      </c>
      <c r="K186">
        <v>70.23</v>
      </c>
      <c r="L186">
        <v>71.739999999999995</v>
      </c>
    </row>
    <row r="187" spans="1:12" x14ac:dyDescent="0.2">
      <c r="A187" s="4">
        <v>186</v>
      </c>
      <c r="B187" t="s">
        <v>244</v>
      </c>
      <c r="C187">
        <v>70.92</v>
      </c>
      <c r="D187">
        <v>16</v>
      </c>
      <c r="E187">
        <v>10</v>
      </c>
      <c r="F187">
        <v>68.709999999999994</v>
      </c>
      <c r="G187">
        <v>0</v>
      </c>
      <c r="H187">
        <v>0</v>
      </c>
      <c r="I187">
        <v>0</v>
      </c>
      <c r="J187">
        <v>0</v>
      </c>
      <c r="K187">
        <v>71.47</v>
      </c>
      <c r="L187">
        <v>70.12</v>
      </c>
    </row>
    <row r="188" spans="1:12" x14ac:dyDescent="0.2">
      <c r="A188" s="4">
        <v>187</v>
      </c>
      <c r="B188" t="s">
        <v>165</v>
      </c>
      <c r="C188">
        <v>70.88</v>
      </c>
      <c r="D188">
        <v>10</v>
      </c>
      <c r="E188">
        <v>19</v>
      </c>
      <c r="F188">
        <v>75.98</v>
      </c>
      <c r="G188">
        <v>0</v>
      </c>
      <c r="H188">
        <v>3</v>
      </c>
      <c r="I188">
        <v>0</v>
      </c>
      <c r="J188">
        <v>5</v>
      </c>
      <c r="K188">
        <v>70.540000000000006</v>
      </c>
      <c r="L188">
        <v>70.97</v>
      </c>
    </row>
    <row r="189" spans="1:12" x14ac:dyDescent="0.2">
      <c r="A189" s="4">
        <v>188</v>
      </c>
      <c r="B189" t="s">
        <v>137</v>
      </c>
      <c r="C189">
        <v>70.8</v>
      </c>
      <c r="D189">
        <v>17</v>
      </c>
      <c r="E189">
        <v>15</v>
      </c>
      <c r="F189">
        <v>70.28</v>
      </c>
      <c r="G189">
        <v>0</v>
      </c>
      <c r="H189">
        <v>2</v>
      </c>
      <c r="I189">
        <v>0</v>
      </c>
      <c r="J189">
        <v>3</v>
      </c>
      <c r="K189">
        <v>70.150000000000006</v>
      </c>
      <c r="L189">
        <v>71.2</v>
      </c>
    </row>
    <row r="190" spans="1:12" x14ac:dyDescent="0.2">
      <c r="A190" s="4">
        <v>189</v>
      </c>
      <c r="B190" t="s">
        <v>819</v>
      </c>
      <c r="C190">
        <v>70.77</v>
      </c>
      <c r="D190">
        <v>11</v>
      </c>
      <c r="E190">
        <v>14</v>
      </c>
      <c r="F190">
        <v>72.27</v>
      </c>
      <c r="G190">
        <v>0</v>
      </c>
      <c r="H190">
        <v>0</v>
      </c>
      <c r="I190">
        <v>0</v>
      </c>
      <c r="J190">
        <v>0</v>
      </c>
      <c r="K190">
        <v>70.89</v>
      </c>
      <c r="L190">
        <v>70.400000000000006</v>
      </c>
    </row>
    <row r="191" spans="1:12" x14ac:dyDescent="0.2">
      <c r="A191" s="4">
        <v>190</v>
      </c>
      <c r="B191" t="s">
        <v>820</v>
      </c>
      <c r="C191">
        <v>70.67</v>
      </c>
      <c r="D191">
        <v>13</v>
      </c>
      <c r="E191">
        <v>13</v>
      </c>
      <c r="F191">
        <v>72.17</v>
      </c>
      <c r="G191">
        <v>0</v>
      </c>
      <c r="H191">
        <v>0</v>
      </c>
      <c r="I191">
        <v>0</v>
      </c>
      <c r="J191">
        <v>1</v>
      </c>
      <c r="K191">
        <v>71.180000000000007</v>
      </c>
      <c r="L191">
        <v>69.89</v>
      </c>
    </row>
    <row r="192" spans="1:12" x14ac:dyDescent="0.2">
      <c r="A192" s="4">
        <v>191</v>
      </c>
      <c r="B192" t="s">
        <v>267</v>
      </c>
      <c r="C192">
        <v>70.63</v>
      </c>
      <c r="D192">
        <v>18</v>
      </c>
      <c r="E192">
        <v>10</v>
      </c>
      <c r="F192">
        <v>67.25</v>
      </c>
      <c r="G192">
        <v>0</v>
      </c>
      <c r="H192">
        <v>0</v>
      </c>
      <c r="I192">
        <v>0</v>
      </c>
      <c r="J192">
        <v>0</v>
      </c>
      <c r="K192">
        <v>70.97</v>
      </c>
      <c r="L192">
        <v>70.03</v>
      </c>
    </row>
    <row r="193" spans="1:12" x14ac:dyDescent="0.2">
      <c r="A193" s="4">
        <v>192</v>
      </c>
      <c r="B193" t="s">
        <v>254</v>
      </c>
      <c r="C193">
        <v>70.61</v>
      </c>
      <c r="D193">
        <v>13</v>
      </c>
      <c r="E193">
        <v>14</v>
      </c>
      <c r="F193">
        <v>71.59</v>
      </c>
      <c r="G193">
        <v>0</v>
      </c>
      <c r="H193">
        <v>0</v>
      </c>
      <c r="I193">
        <v>0</v>
      </c>
      <c r="J193">
        <v>0</v>
      </c>
      <c r="K193">
        <v>70.28</v>
      </c>
      <c r="L193">
        <v>70.69</v>
      </c>
    </row>
    <row r="194" spans="1:12" x14ac:dyDescent="0.2">
      <c r="A194" s="4">
        <v>193</v>
      </c>
      <c r="B194" t="s">
        <v>196</v>
      </c>
      <c r="C194">
        <v>70.59</v>
      </c>
      <c r="D194">
        <v>14</v>
      </c>
      <c r="E194">
        <v>16</v>
      </c>
      <c r="F194">
        <v>71.92</v>
      </c>
      <c r="G194">
        <v>0</v>
      </c>
      <c r="H194">
        <v>0</v>
      </c>
      <c r="I194">
        <v>0</v>
      </c>
      <c r="J194">
        <v>2</v>
      </c>
      <c r="K194">
        <v>71.010000000000005</v>
      </c>
      <c r="L194">
        <v>69.92</v>
      </c>
    </row>
    <row r="195" spans="1:12" x14ac:dyDescent="0.2">
      <c r="A195" s="4">
        <v>194</v>
      </c>
      <c r="B195" t="s">
        <v>158</v>
      </c>
      <c r="C195">
        <v>70.5</v>
      </c>
      <c r="D195">
        <v>10</v>
      </c>
      <c r="E195">
        <v>16</v>
      </c>
      <c r="F195">
        <v>73.56</v>
      </c>
      <c r="G195">
        <v>0</v>
      </c>
      <c r="H195">
        <v>0</v>
      </c>
      <c r="I195">
        <v>0</v>
      </c>
      <c r="J195">
        <v>1</v>
      </c>
      <c r="K195">
        <v>70.040000000000006</v>
      </c>
      <c r="L195">
        <v>70.709999999999994</v>
      </c>
    </row>
    <row r="196" spans="1:12" x14ac:dyDescent="0.2">
      <c r="A196" s="4">
        <v>195</v>
      </c>
      <c r="B196" t="s">
        <v>887</v>
      </c>
      <c r="C196">
        <v>70.48</v>
      </c>
      <c r="D196">
        <v>11</v>
      </c>
      <c r="E196">
        <v>11</v>
      </c>
      <c r="F196">
        <v>71.5</v>
      </c>
      <c r="G196">
        <v>0</v>
      </c>
      <c r="H196">
        <v>1</v>
      </c>
      <c r="I196">
        <v>0</v>
      </c>
      <c r="J196">
        <v>1</v>
      </c>
      <c r="K196">
        <v>70.94</v>
      </c>
      <c r="L196">
        <v>69.760000000000005</v>
      </c>
    </row>
    <row r="197" spans="1:12" x14ac:dyDescent="0.2">
      <c r="A197" s="4">
        <v>196</v>
      </c>
      <c r="B197" t="s">
        <v>4</v>
      </c>
      <c r="C197">
        <v>70.41</v>
      </c>
      <c r="D197">
        <v>9</v>
      </c>
      <c r="E197">
        <v>18</v>
      </c>
      <c r="F197">
        <v>75.47</v>
      </c>
      <c r="G197">
        <v>0</v>
      </c>
      <c r="H197">
        <v>0</v>
      </c>
      <c r="I197">
        <v>0</v>
      </c>
      <c r="J197">
        <v>3</v>
      </c>
      <c r="K197">
        <v>71.11</v>
      </c>
      <c r="L197">
        <v>69.44</v>
      </c>
    </row>
    <row r="198" spans="1:12" x14ac:dyDescent="0.2">
      <c r="A198" s="4">
        <v>197</v>
      </c>
      <c r="B198" t="s">
        <v>250</v>
      </c>
      <c r="C198">
        <v>70.37</v>
      </c>
      <c r="D198">
        <v>18</v>
      </c>
      <c r="E198">
        <v>13</v>
      </c>
      <c r="F198">
        <v>68.44</v>
      </c>
      <c r="G198">
        <v>0</v>
      </c>
      <c r="H198">
        <v>0</v>
      </c>
      <c r="I198">
        <v>0</v>
      </c>
      <c r="J198">
        <v>1</v>
      </c>
      <c r="K198">
        <v>70.099999999999994</v>
      </c>
      <c r="L198">
        <v>70.41</v>
      </c>
    </row>
    <row r="199" spans="1:12" x14ac:dyDescent="0.2">
      <c r="A199" s="4">
        <v>198</v>
      </c>
      <c r="B199" t="s">
        <v>227</v>
      </c>
      <c r="C199">
        <v>70.37</v>
      </c>
      <c r="D199">
        <v>16</v>
      </c>
      <c r="E199">
        <v>9</v>
      </c>
      <c r="F199">
        <v>67.38</v>
      </c>
      <c r="G199">
        <v>0</v>
      </c>
      <c r="H199">
        <v>0</v>
      </c>
      <c r="I199">
        <v>0</v>
      </c>
      <c r="J199">
        <v>1</v>
      </c>
      <c r="K199">
        <v>70.36</v>
      </c>
      <c r="L199">
        <v>70.150000000000006</v>
      </c>
    </row>
    <row r="200" spans="1:12" x14ac:dyDescent="0.2">
      <c r="A200" s="4">
        <v>199</v>
      </c>
      <c r="B200" t="s">
        <v>195</v>
      </c>
      <c r="C200">
        <v>70.349999999999994</v>
      </c>
      <c r="D200">
        <v>17</v>
      </c>
      <c r="E200">
        <v>13</v>
      </c>
      <c r="F200">
        <v>69.55</v>
      </c>
      <c r="G200">
        <v>0</v>
      </c>
      <c r="H200">
        <v>0</v>
      </c>
      <c r="I200">
        <v>0</v>
      </c>
      <c r="J200">
        <v>0</v>
      </c>
      <c r="K200">
        <v>71.34</v>
      </c>
      <c r="L200">
        <v>69.06</v>
      </c>
    </row>
    <row r="201" spans="1:12" x14ac:dyDescent="0.2">
      <c r="A201" s="4">
        <v>200</v>
      </c>
      <c r="B201" t="s">
        <v>168</v>
      </c>
      <c r="C201">
        <v>70.319999999999993</v>
      </c>
      <c r="D201">
        <v>10</v>
      </c>
      <c r="E201">
        <v>17</v>
      </c>
      <c r="F201">
        <v>73.66</v>
      </c>
      <c r="G201">
        <v>0</v>
      </c>
      <c r="H201">
        <v>0</v>
      </c>
      <c r="I201">
        <v>0</v>
      </c>
      <c r="J201">
        <v>0</v>
      </c>
      <c r="K201">
        <v>69.959999999999994</v>
      </c>
      <c r="L201">
        <v>70.45</v>
      </c>
    </row>
    <row r="202" spans="1:12" x14ac:dyDescent="0.2">
      <c r="A202" s="4">
        <v>201</v>
      </c>
      <c r="B202" t="s">
        <v>850</v>
      </c>
      <c r="C202">
        <v>70.290000000000006</v>
      </c>
      <c r="D202">
        <v>10</v>
      </c>
      <c r="E202">
        <v>16</v>
      </c>
      <c r="F202">
        <v>73.38</v>
      </c>
      <c r="G202">
        <v>0</v>
      </c>
      <c r="H202">
        <v>0</v>
      </c>
      <c r="I202">
        <v>0</v>
      </c>
      <c r="J202">
        <v>0</v>
      </c>
      <c r="K202">
        <v>70.08</v>
      </c>
      <c r="L202">
        <v>70.25</v>
      </c>
    </row>
    <row r="203" spans="1:12" x14ac:dyDescent="0.2">
      <c r="A203" s="4">
        <v>202</v>
      </c>
      <c r="B203" t="s">
        <v>134</v>
      </c>
      <c r="C203">
        <v>70.27</v>
      </c>
      <c r="D203">
        <v>10</v>
      </c>
      <c r="E203">
        <v>17</v>
      </c>
      <c r="F203">
        <v>73.62</v>
      </c>
      <c r="G203">
        <v>0</v>
      </c>
      <c r="H203">
        <v>1</v>
      </c>
      <c r="I203">
        <v>0</v>
      </c>
      <c r="J203">
        <v>1</v>
      </c>
      <c r="K203">
        <v>69.87</v>
      </c>
      <c r="L203">
        <v>70.42</v>
      </c>
    </row>
    <row r="204" spans="1:12" x14ac:dyDescent="0.2">
      <c r="A204" s="4">
        <v>203</v>
      </c>
      <c r="B204" t="s">
        <v>263</v>
      </c>
      <c r="C204">
        <v>70.23</v>
      </c>
      <c r="D204">
        <v>13</v>
      </c>
      <c r="E204">
        <v>14</v>
      </c>
      <c r="F204">
        <v>68.459999999999994</v>
      </c>
      <c r="G204">
        <v>0</v>
      </c>
      <c r="H204">
        <v>0</v>
      </c>
      <c r="I204">
        <v>0</v>
      </c>
      <c r="J204">
        <v>1</v>
      </c>
      <c r="K204">
        <v>67.150000000000006</v>
      </c>
      <c r="L204">
        <v>72.739999999999995</v>
      </c>
    </row>
    <row r="205" spans="1:12" x14ac:dyDescent="0.2">
      <c r="A205" s="4">
        <v>204</v>
      </c>
      <c r="B205" t="s">
        <v>821</v>
      </c>
      <c r="C205">
        <v>70.22</v>
      </c>
      <c r="D205">
        <v>9</v>
      </c>
      <c r="E205">
        <v>19</v>
      </c>
      <c r="F205">
        <v>74.27</v>
      </c>
      <c r="G205">
        <v>0</v>
      </c>
      <c r="H205">
        <v>0</v>
      </c>
      <c r="I205">
        <v>0</v>
      </c>
      <c r="J205">
        <v>0</v>
      </c>
      <c r="K205">
        <v>68.58</v>
      </c>
      <c r="L205">
        <v>71.540000000000006</v>
      </c>
    </row>
    <row r="206" spans="1:12" x14ac:dyDescent="0.2">
      <c r="A206" s="4">
        <v>205</v>
      </c>
      <c r="B206" t="s">
        <v>110</v>
      </c>
      <c r="C206">
        <v>70.099999999999994</v>
      </c>
      <c r="D206">
        <v>10</v>
      </c>
      <c r="E206">
        <v>17</v>
      </c>
      <c r="F206">
        <v>74.09</v>
      </c>
      <c r="G206">
        <v>0</v>
      </c>
      <c r="H206">
        <v>0</v>
      </c>
      <c r="I206">
        <v>0</v>
      </c>
      <c r="J206">
        <v>4</v>
      </c>
      <c r="K206">
        <v>71.3</v>
      </c>
      <c r="L206">
        <v>68.56</v>
      </c>
    </row>
    <row r="207" spans="1:12" x14ac:dyDescent="0.2">
      <c r="A207" s="4">
        <v>206</v>
      </c>
      <c r="B207" t="s">
        <v>83</v>
      </c>
      <c r="C207">
        <v>70.03</v>
      </c>
      <c r="D207">
        <v>11</v>
      </c>
      <c r="E207">
        <v>15</v>
      </c>
      <c r="F207">
        <v>72.260000000000005</v>
      </c>
      <c r="G207">
        <v>0</v>
      </c>
      <c r="H207">
        <v>0</v>
      </c>
      <c r="I207">
        <v>0</v>
      </c>
      <c r="J207">
        <v>0</v>
      </c>
      <c r="K207">
        <v>70.45</v>
      </c>
      <c r="L207">
        <v>69.349999999999994</v>
      </c>
    </row>
    <row r="208" spans="1:12" x14ac:dyDescent="0.2">
      <c r="A208" s="4">
        <v>207</v>
      </c>
      <c r="B208" t="s">
        <v>183</v>
      </c>
      <c r="C208">
        <v>69.92</v>
      </c>
      <c r="D208">
        <v>7</v>
      </c>
      <c r="E208">
        <v>20</v>
      </c>
      <c r="F208">
        <v>76.739999999999995</v>
      </c>
      <c r="G208">
        <v>0</v>
      </c>
      <c r="H208">
        <v>0</v>
      </c>
      <c r="I208">
        <v>0</v>
      </c>
      <c r="J208">
        <v>4</v>
      </c>
      <c r="K208">
        <v>69.38</v>
      </c>
      <c r="L208">
        <v>70.209999999999994</v>
      </c>
    </row>
    <row r="209" spans="1:12" x14ac:dyDescent="0.2">
      <c r="A209" s="4">
        <v>208</v>
      </c>
      <c r="B209" t="s">
        <v>50</v>
      </c>
      <c r="C209">
        <v>69.849999999999994</v>
      </c>
      <c r="D209">
        <v>9</v>
      </c>
      <c r="E209">
        <v>20</v>
      </c>
      <c r="F209">
        <v>75</v>
      </c>
      <c r="G209">
        <v>0</v>
      </c>
      <c r="H209">
        <v>0</v>
      </c>
      <c r="I209">
        <v>0</v>
      </c>
      <c r="J209">
        <v>1</v>
      </c>
      <c r="K209">
        <v>69.27</v>
      </c>
      <c r="L209">
        <v>70.180000000000007</v>
      </c>
    </row>
    <row r="210" spans="1:12" x14ac:dyDescent="0.2">
      <c r="A210" s="4">
        <v>209</v>
      </c>
      <c r="B210" t="s">
        <v>822</v>
      </c>
      <c r="C210">
        <v>69.84</v>
      </c>
      <c r="D210">
        <v>11</v>
      </c>
      <c r="E210">
        <v>15</v>
      </c>
      <c r="F210">
        <v>71.8</v>
      </c>
      <c r="G210">
        <v>0</v>
      </c>
      <c r="H210">
        <v>1</v>
      </c>
      <c r="I210">
        <v>0</v>
      </c>
      <c r="J210">
        <v>1</v>
      </c>
      <c r="K210">
        <v>69.010000000000005</v>
      </c>
      <c r="L210">
        <v>70.41</v>
      </c>
    </row>
    <row r="211" spans="1:12" x14ac:dyDescent="0.2">
      <c r="A211" s="4">
        <v>210</v>
      </c>
      <c r="B211" t="s">
        <v>786</v>
      </c>
      <c r="C211">
        <v>69.69</v>
      </c>
      <c r="D211">
        <v>10</v>
      </c>
      <c r="E211">
        <v>20</v>
      </c>
      <c r="F211">
        <v>73.31</v>
      </c>
      <c r="G211">
        <v>0</v>
      </c>
      <c r="H211">
        <v>0</v>
      </c>
      <c r="I211">
        <v>0</v>
      </c>
      <c r="J211">
        <v>1</v>
      </c>
      <c r="K211">
        <v>68.489999999999995</v>
      </c>
      <c r="L211">
        <v>70.599999999999994</v>
      </c>
    </row>
    <row r="212" spans="1:12" x14ac:dyDescent="0.2">
      <c r="A212" s="4">
        <v>211</v>
      </c>
      <c r="B212" t="s">
        <v>57</v>
      </c>
      <c r="C212">
        <v>69.67</v>
      </c>
      <c r="D212">
        <v>7</v>
      </c>
      <c r="E212">
        <v>21</v>
      </c>
      <c r="F212">
        <v>76.099999999999994</v>
      </c>
      <c r="G212">
        <v>0</v>
      </c>
      <c r="H212">
        <v>4</v>
      </c>
      <c r="I212">
        <v>0</v>
      </c>
      <c r="J212">
        <v>7</v>
      </c>
      <c r="K212">
        <v>66.66</v>
      </c>
      <c r="L212">
        <v>72.09</v>
      </c>
    </row>
    <row r="213" spans="1:12" x14ac:dyDescent="0.2">
      <c r="A213" s="4">
        <v>212</v>
      </c>
      <c r="B213" t="s">
        <v>238</v>
      </c>
      <c r="C213">
        <v>69.67</v>
      </c>
      <c r="D213">
        <v>10</v>
      </c>
      <c r="E213">
        <v>15</v>
      </c>
      <c r="F213">
        <v>72.459999999999994</v>
      </c>
      <c r="G213">
        <v>0</v>
      </c>
      <c r="H213">
        <v>0</v>
      </c>
      <c r="I213">
        <v>0</v>
      </c>
      <c r="J213">
        <v>0</v>
      </c>
      <c r="K213">
        <v>68.959999999999994</v>
      </c>
      <c r="L213">
        <v>70.12</v>
      </c>
    </row>
    <row r="214" spans="1:12" x14ac:dyDescent="0.2">
      <c r="A214" s="4">
        <v>213</v>
      </c>
      <c r="B214" t="s">
        <v>169</v>
      </c>
      <c r="C214">
        <v>69.64</v>
      </c>
      <c r="D214">
        <v>10</v>
      </c>
      <c r="E214">
        <v>17</v>
      </c>
      <c r="F214">
        <v>72.94</v>
      </c>
      <c r="G214">
        <v>0</v>
      </c>
      <c r="H214">
        <v>0</v>
      </c>
      <c r="I214">
        <v>0</v>
      </c>
      <c r="J214">
        <v>0</v>
      </c>
      <c r="K214">
        <v>69.33</v>
      </c>
      <c r="L214">
        <v>69.7</v>
      </c>
    </row>
    <row r="215" spans="1:12" x14ac:dyDescent="0.2">
      <c r="A215" s="4">
        <v>214</v>
      </c>
      <c r="B215" t="s">
        <v>298</v>
      </c>
      <c r="C215">
        <v>69.5</v>
      </c>
      <c r="D215">
        <v>13</v>
      </c>
      <c r="E215">
        <v>13</v>
      </c>
      <c r="F215">
        <v>70.3</v>
      </c>
      <c r="G215">
        <v>0</v>
      </c>
      <c r="H215">
        <v>1</v>
      </c>
      <c r="I215">
        <v>0</v>
      </c>
      <c r="J215">
        <v>2</v>
      </c>
      <c r="K215">
        <v>68.760000000000005</v>
      </c>
      <c r="L215">
        <v>69.98</v>
      </c>
    </row>
    <row r="216" spans="1:12" x14ac:dyDescent="0.2">
      <c r="A216" s="4">
        <v>215</v>
      </c>
      <c r="B216" t="s">
        <v>144</v>
      </c>
      <c r="C216">
        <v>69.47</v>
      </c>
      <c r="D216">
        <v>11</v>
      </c>
      <c r="E216">
        <v>15</v>
      </c>
      <c r="F216">
        <v>71.680000000000007</v>
      </c>
      <c r="G216">
        <v>0</v>
      </c>
      <c r="H216">
        <v>1</v>
      </c>
      <c r="I216">
        <v>0</v>
      </c>
      <c r="J216">
        <v>2</v>
      </c>
      <c r="K216">
        <v>67.760000000000005</v>
      </c>
      <c r="L216">
        <v>70.819999999999993</v>
      </c>
    </row>
    <row r="217" spans="1:12" x14ac:dyDescent="0.2">
      <c r="A217" s="4">
        <v>216</v>
      </c>
      <c r="B217" t="s">
        <v>823</v>
      </c>
      <c r="C217">
        <v>69.42</v>
      </c>
      <c r="D217">
        <v>12</v>
      </c>
      <c r="E217">
        <v>13</v>
      </c>
      <c r="F217">
        <v>69.97</v>
      </c>
      <c r="G217">
        <v>0</v>
      </c>
      <c r="H217">
        <v>0</v>
      </c>
      <c r="I217">
        <v>0</v>
      </c>
      <c r="J217">
        <v>1</v>
      </c>
      <c r="K217">
        <v>68.819999999999993</v>
      </c>
      <c r="L217">
        <v>69.77</v>
      </c>
    </row>
    <row r="218" spans="1:12" x14ac:dyDescent="0.2">
      <c r="A218" s="4">
        <v>217</v>
      </c>
      <c r="B218" t="s">
        <v>191</v>
      </c>
      <c r="C218">
        <v>69.400000000000006</v>
      </c>
      <c r="D218">
        <v>14</v>
      </c>
      <c r="E218">
        <v>12</v>
      </c>
      <c r="F218">
        <v>68.790000000000006</v>
      </c>
      <c r="G218">
        <v>0</v>
      </c>
      <c r="H218">
        <v>1</v>
      </c>
      <c r="I218">
        <v>0</v>
      </c>
      <c r="J218">
        <v>1</v>
      </c>
      <c r="K218">
        <v>69.08</v>
      </c>
      <c r="L218">
        <v>69.489999999999995</v>
      </c>
    </row>
    <row r="219" spans="1:12" x14ac:dyDescent="0.2">
      <c r="A219" s="4">
        <v>218</v>
      </c>
      <c r="B219" t="s">
        <v>824</v>
      </c>
      <c r="C219">
        <v>69.39</v>
      </c>
      <c r="D219">
        <v>11</v>
      </c>
      <c r="E219">
        <v>20</v>
      </c>
      <c r="F219">
        <v>74.48</v>
      </c>
      <c r="G219">
        <v>0</v>
      </c>
      <c r="H219">
        <v>1</v>
      </c>
      <c r="I219">
        <v>0</v>
      </c>
      <c r="J219">
        <v>1</v>
      </c>
      <c r="K219">
        <v>69.89</v>
      </c>
      <c r="L219">
        <v>68.62</v>
      </c>
    </row>
    <row r="220" spans="1:12" x14ac:dyDescent="0.2">
      <c r="A220" s="4">
        <v>219</v>
      </c>
      <c r="B220" t="s">
        <v>548</v>
      </c>
      <c r="C220">
        <v>69.319999999999993</v>
      </c>
      <c r="D220">
        <v>11</v>
      </c>
      <c r="E220">
        <v>18</v>
      </c>
      <c r="F220">
        <v>72.81</v>
      </c>
      <c r="G220">
        <v>0</v>
      </c>
      <c r="H220">
        <v>1</v>
      </c>
      <c r="I220">
        <v>0</v>
      </c>
      <c r="J220">
        <v>1</v>
      </c>
      <c r="K220">
        <v>69.02</v>
      </c>
      <c r="L220">
        <v>69.38</v>
      </c>
    </row>
    <row r="221" spans="1:12" x14ac:dyDescent="0.2">
      <c r="A221" s="4">
        <v>220</v>
      </c>
      <c r="B221" t="s">
        <v>825</v>
      </c>
      <c r="C221">
        <v>69.3</v>
      </c>
      <c r="D221">
        <v>9</v>
      </c>
      <c r="E221">
        <v>16</v>
      </c>
      <c r="F221">
        <v>72.33</v>
      </c>
      <c r="G221">
        <v>0</v>
      </c>
      <c r="H221">
        <v>0</v>
      </c>
      <c r="I221">
        <v>0</v>
      </c>
      <c r="J221">
        <v>0</v>
      </c>
      <c r="K221">
        <v>67.760000000000005</v>
      </c>
      <c r="L221">
        <v>70.510000000000005</v>
      </c>
    </row>
    <row r="222" spans="1:12" x14ac:dyDescent="0.2">
      <c r="A222" s="4">
        <v>221</v>
      </c>
      <c r="B222" t="s">
        <v>234</v>
      </c>
      <c r="C222">
        <v>69.010000000000005</v>
      </c>
      <c r="D222">
        <v>7</v>
      </c>
      <c r="E222">
        <v>22</v>
      </c>
      <c r="F222">
        <v>75.92</v>
      </c>
      <c r="G222">
        <v>0</v>
      </c>
      <c r="H222">
        <v>0</v>
      </c>
      <c r="I222">
        <v>0</v>
      </c>
      <c r="J222">
        <v>0</v>
      </c>
      <c r="K222">
        <v>67.98</v>
      </c>
      <c r="L222">
        <v>69.760000000000005</v>
      </c>
    </row>
    <row r="223" spans="1:12" x14ac:dyDescent="0.2">
      <c r="A223" s="4">
        <v>222</v>
      </c>
      <c r="B223" t="s">
        <v>8</v>
      </c>
      <c r="C223">
        <v>68.959999999999994</v>
      </c>
      <c r="D223">
        <v>7</v>
      </c>
      <c r="E223">
        <v>20</v>
      </c>
      <c r="F223">
        <v>76.88</v>
      </c>
      <c r="G223">
        <v>0</v>
      </c>
      <c r="H223">
        <v>4</v>
      </c>
      <c r="I223">
        <v>0</v>
      </c>
      <c r="J223">
        <v>7</v>
      </c>
      <c r="K223">
        <v>67.48</v>
      </c>
      <c r="L223">
        <v>70.11</v>
      </c>
    </row>
    <row r="224" spans="1:12" x14ac:dyDescent="0.2">
      <c r="A224" s="4">
        <v>223</v>
      </c>
      <c r="B224" t="s">
        <v>211</v>
      </c>
      <c r="C224">
        <v>68.94</v>
      </c>
      <c r="D224">
        <v>17</v>
      </c>
      <c r="E224">
        <v>11</v>
      </c>
      <c r="F224">
        <v>67.22</v>
      </c>
      <c r="G224">
        <v>0</v>
      </c>
      <c r="H224">
        <v>0</v>
      </c>
      <c r="I224">
        <v>0</v>
      </c>
      <c r="J224">
        <v>0</v>
      </c>
      <c r="K224">
        <v>70.12</v>
      </c>
      <c r="L224">
        <v>67.39</v>
      </c>
    </row>
    <row r="225" spans="1:12" x14ac:dyDescent="0.2">
      <c r="A225" s="4">
        <v>224</v>
      </c>
      <c r="B225" t="s">
        <v>199</v>
      </c>
      <c r="C225">
        <v>68.760000000000005</v>
      </c>
      <c r="D225">
        <v>12</v>
      </c>
      <c r="E225">
        <v>15</v>
      </c>
      <c r="F225">
        <v>70.63</v>
      </c>
      <c r="G225">
        <v>0</v>
      </c>
      <c r="H225">
        <v>1</v>
      </c>
      <c r="I225">
        <v>0</v>
      </c>
      <c r="J225">
        <v>2</v>
      </c>
      <c r="K225">
        <v>68.180000000000007</v>
      </c>
      <c r="L225">
        <v>69.09</v>
      </c>
    </row>
    <row r="226" spans="1:12" x14ac:dyDescent="0.2">
      <c r="A226" s="4">
        <v>225</v>
      </c>
      <c r="B226" t="s">
        <v>252</v>
      </c>
      <c r="C226">
        <v>68.69</v>
      </c>
      <c r="D226">
        <v>12</v>
      </c>
      <c r="E226">
        <v>15</v>
      </c>
      <c r="F226">
        <v>68.66</v>
      </c>
      <c r="G226">
        <v>0</v>
      </c>
      <c r="H226">
        <v>0</v>
      </c>
      <c r="I226">
        <v>0</v>
      </c>
      <c r="J226">
        <v>0</v>
      </c>
      <c r="K226">
        <v>66.61</v>
      </c>
      <c r="L226">
        <v>70.33</v>
      </c>
    </row>
    <row r="227" spans="1:12" x14ac:dyDescent="0.2">
      <c r="A227" s="4">
        <v>226</v>
      </c>
      <c r="B227" t="s">
        <v>226</v>
      </c>
      <c r="C227">
        <v>68.64</v>
      </c>
      <c r="D227">
        <v>9</v>
      </c>
      <c r="E227">
        <v>15</v>
      </c>
      <c r="F227">
        <v>71.86</v>
      </c>
      <c r="G227">
        <v>0</v>
      </c>
      <c r="H227">
        <v>0</v>
      </c>
      <c r="I227">
        <v>0</v>
      </c>
      <c r="J227">
        <v>0</v>
      </c>
      <c r="K227">
        <v>68.75</v>
      </c>
      <c r="L227">
        <v>68.28</v>
      </c>
    </row>
    <row r="228" spans="1:12" x14ac:dyDescent="0.2">
      <c r="A228" s="4">
        <v>227</v>
      </c>
      <c r="B228" t="s">
        <v>220</v>
      </c>
      <c r="C228">
        <v>68.64</v>
      </c>
      <c r="D228">
        <v>10</v>
      </c>
      <c r="E228">
        <v>15</v>
      </c>
      <c r="F228">
        <v>72.16</v>
      </c>
      <c r="G228">
        <v>0</v>
      </c>
      <c r="H228">
        <v>1</v>
      </c>
      <c r="I228">
        <v>0</v>
      </c>
      <c r="J228">
        <v>2</v>
      </c>
      <c r="K228">
        <v>68.37</v>
      </c>
      <c r="L228">
        <v>68.66</v>
      </c>
    </row>
    <row r="229" spans="1:12" x14ac:dyDescent="0.2">
      <c r="A229" s="4">
        <v>228</v>
      </c>
      <c r="B229" t="s">
        <v>266</v>
      </c>
      <c r="C229">
        <v>68.569999999999993</v>
      </c>
      <c r="D229">
        <v>16</v>
      </c>
      <c r="E229">
        <v>12</v>
      </c>
      <c r="F229">
        <v>67.819999999999993</v>
      </c>
      <c r="G229">
        <v>0</v>
      </c>
      <c r="H229">
        <v>0</v>
      </c>
      <c r="I229">
        <v>0</v>
      </c>
      <c r="J229">
        <v>0</v>
      </c>
      <c r="K229">
        <v>69.03</v>
      </c>
      <c r="L229">
        <v>67.84</v>
      </c>
    </row>
    <row r="230" spans="1:12" x14ac:dyDescent="0.2">
      <c r="A230" s="4">
        <v>229</v>
      </c>
      <c r="B230" t="s">
        <v>155</v>
      </c>
      <c r="C230">
        <v>68.41</v>
      </c>
      <c r="D230">
        <v>14</v>
      </c>
      <c r="E230">
        <v>12</v>
      </c>
      <c r="F230">
        <v>68.28</v>
      </c>
      <c r="G230">
        <v>0</v>
      </c>
      <c r="H230">
        <v>1</v>
      </c>
      <c r="I230">
        <v>0</v>
      </c>
      <c r="J230">
        <v>1</v>
      </c>
      <c r="K230">
        <v>68.31</v>
      </c>
      <c r="L230">
        <v>68.27</v>
      </c>
    </row>
    <row r="231" spans="1:12" x14ac:dyDescent="0.2">
      <c r="A231" s="4">
        <v>230</v>
      </c>
      <c r="B231" t="s">
        <v>889</v>
      </c>
      <c r="C231">
        <v>68.41</v>
      </c>
      <c r="D231">
        <v>9</v>
      </c>
      <c r="E231">
        <v>16</v>
      </c>
      <c r="F231">
        <v>71.52</v>
      </c>
      <c r="G231">
        <v>0</v>
      </c>
      <c r="H231">
        <v>0</v>
      </c>
      <c r="I231">
        <v>0</v>
      </c>
      <c r="J231">
        <v>0</v>
      </c>
      <c r="K231">
        <v>66.77</v>
      </c>
      <c r="L231">
        <v>69.680000000000007</v>
      </c>
    </row>
    <row r="232" spans="1:12" x14ac:dyDescent="0.2">
      <c r="A232" s="4">
        <v>231</v>
      </c>
      <c r="B232" t="s">
        <v>897</v>
      </c>
      <c r="C232">
        <v>68.349999999999994</v>
      </c>
      <c r="D232">
        <v>10</v>
      </c>
      <c r="E232">
        <v>14</v>
      </c>
      <c r="F232">
        <v>72.489999999999995</v>
      </c>
      <c r="G232">
        <v>0</v>
      </c>
      <c r="H232">
        <v>1</v>
      </c>
      <c r="I232">
        <v>0</v>
      </c>
      <c r="J232">
        <v>1</v>
      </c>
      <c r="K232">
        <v>69.510000000000005</v>
      </c>
      <c r="L232">
        <v>66.81</v>
      </c>
    </row>
    <row r="233" spans="1:12" x14ac:dyDescent="0.2">
      <c r="A233" s="4">
        <v>232</v>
      </c>
      <c r="B233" t="s">
        <v>564</v>
      </c>
      <c r="C233">
        <v>68.319999999999993</v>
      </c>
      <c r="D233">
        <v>16</v>
      </c>
      <c r="E233">
        <v>13</v>
      </c>
      <c r="F233">
        <v>68.63</v>
      </c>
      <c r="G233">
        <v>0</v>
      </c>
      <c r="H233">
        <v>2</v>
      </c>
      <c r="I233">
        <v>0</v>
      </c>
      <c r="J233">
        <v>2</v>
      </c>
      <c r="K233">
        <v>68.92</v>
      </c>
      <c r="L233">
        <v>67.430000000000007</v>
      </c>
    </row>
    <row r="234" spans="1:12" x14ac:dyDescent="0.2">
      <c r="A234" s="4">
        <v>233</v>
      </c>
      <c r="B234" t="s">
        <v>236</v>
      </c>
      <c r="C234">
        <v>68.319999999999993</v>
      </c>
      <c r="D234">
        <v>8</v>
      </c>
      <c r="E234">
        <v>19</v>
      </c>
      <c r="F234">
        <v>73.239999999999995</v>
      </c>
      <c r="G234">
        <v>0</v>
      </c>
      <c r="H234">
        <v>0</v>
      </c>
      <c r="I234">
        <v>0</v>
      </c>
      <c r="J234">
        <v>0</v>
      </c>
      <c r="K234">
        <v>66.760000000000005</v>
      </c>
      <c r="L234">
        <v>69.510000000000005</v>
      </c>
    </row>
    <row r="235" spans="1:12" x14ac:dyDescent="0.2">
      <c r="A235" s="4">
        <v>234</v>
      </c>
      <c r="B235" t="s">
        <v>826</v>
      </c>
      <c r="C235">
        <v>68.319999999999993</v>
      </c>
      <c r="D235">
        <v>8</v>
      </c>
      <c r="E235">
        <v>21</v>
      </c>
      <c r="F235">
        <v>74.260000000000005</v>
      </c>
      <c r="G235">
        <v>0</v>
      </c>
      <c r="H235">
        <v>0</v>
      </c>
      <c r="I235">
        <v>0</v>
      </c>
      <c r="J235">
        <v>1</v>
      </c>
      <c r="K235">
        <v>67.56</v>
      </c>
      <c r="L235">
        <v>68.81</v>
      </c>
    </row>
    <row r="236" spans="1:12" x14ac:dyDescent="0.2">
      <c r="A236" s="4">
        <v>235</v>
      </c>
      <c r="B236" t="s">
        <v>278</v>
      </c>
      <c r="C236">
        <v>68.28</v>
      </c>
      <c r="D236">
        <v>10</v>
      </c>
      <c r="E236">
        <v>17</v>
      </c>
      <c r="F236">
        <v>71.900000000000006</v>
      </c>
      <c r="G236">
        <v>0</v>
      </c>
      <c r="H236">
        <v>0</v>
      </c>
      <c r="I236">
        <v>0</v>
      </c>
      <c r="J236">
        <v>1</v>
      </c>
      <c r="K236">
        <v>68.03</v>
      </c>
      <c r="L236">
        <v>68.3</v>
      </c>
    </row>
    <row r="237" spans="1:12" x14ac:dyDescent="0.2">
      <c r="A237" s="4">
        <v>236</v>
      </c>
      <c r="B237" t="s">
        <v>282</v>
      </c>
      <c r="C237">
        <v>68.22</v>
      </c>
      <c r="D237">
        <v>11</v>
      </c>
      <c r="E237">
        <v>18</v>
      </c>
      <c r="F237">
        <v>72.790000000000006</v>
      </c>
      <c r="G237">
        <v>0</v>
      </c>
      <c r="H237">
        <v>0</v>
      </c>
      <c r="I237">
        <v>0</v>
      </c>
      <c r="J237">
        <v>3</v>
      </c>
      <c r="K237">
        <v>68.959999999999994</v>
      </c>
      <c r="L237">
        <v>67.180000000000007</v>
      </c>
    </row>
    <row r="238" spans="1:12" x14ac:dyDescent="0.2">
      <c r="A238" s="4">
        <v>237</v>
      </c>
      <c r="B238" t="s">
        <v>212</v>
      </c>
      <c r="C238">
        <v>68.09</v>
      </c>
      <c r="D238">
        <v>10</v>
      </c>
      <c r="E238">
        <v>19</v>
      </c>
      <c r="F238">
        <v>71.92</v>
      </c>
      <c r="G238">
        <v>0</v>
      </c>
      <c r="H238">
        <v>0</v>
      </c>
      <c r="I238">
        <v>0</v>
      </c>
      <c r="J238">
        <v>1</v>
      </c>
      <c r="K238">
        <v>67.28</v>
      </c>
      <c r="L238">
        <v>68.63</v>
      </c>
    </row>
    <row r="239" spans="1:12" x14ac:dyDescent="0.2">
      <c r="A239" s="4">
        <v>238</v>
      </c>
      <c r="B239" t="s">
        <v>827</v>
      </c>
      <c r="C239">
        <v>67.98</v>
      </c>
      <c r="D239">
        <v>17</v>
      </c>
      <c r="E239">
        <v>11</v>
      </c>
      <c r="F239">
        <v>65.349999999999994</v>
      </c>
      <c r="G239">
        <v>0</v>
      </c>
      <c r="H239">
        <v>0</v>
      </c>
      <c r="I239">
        <v>0</v>
      </c>
      <c r="J239">
        <v>0</v>
      </c>
      <c r="K239">
        <v>67.23</v>
      </c>
      <c r="L239">
        <v>68.47</v>
      </c>
    </row>
    <row r="240" spans="1:12" x14ac:dyDescent="0.2">
      <c r="A240" s="4">
        <v>239</v>
      </c>
      <c r="B240" t="s">
        <v>68</v>
      </c>
      <c r="C240">
        <v>67.95</v>
      </c>
      <c r="D240">
        <v>7</v>
      </c>
      <c r="E240">
        <v>21</v>
      </c>
      <c r="F240">
        <v>77.459999999999994</v>
      </c>
      <c r="G240">
        <v>0</v>
      </c>
      <c r="H240">
        <v>2</v>
      </c>
      <c r="I240">
        <v>0</v>
      </c>
      <c r="J240">
        <v>5</v>
      </c>
      <c r="K240">
        <v>69.150000000000006</v>
      </c>
      <c r="L240">
        <v>66.36</v>
      </c>
    </row>
    <row r="241" spans="1:12" x14ac:dyDescent="0.2">
      <c r="A241" s="4">
        <v>240</v>
      </c>
      <c r="B241" t="s">
        <v>192</v>
      </c>
      <c r="C241">
        <v>67.930000000000007</v>
      </c>
      <c r="D241">
        <v>8</v>
      </c>
      <c r="E241">
        <v>18</v>
      </c>
      <c r="F241">
        <v>73.31</v>
      </c>
      <c r="G241">
        <v>0</v>
      </c>
      <c r="H241">
        <v>1</v>
      </c>
      <c r="I241">
        <v>0</v>
      </c>
      <c r="J241">
        <v>1</v>
      </c>
      <c r="K241">
        <v>67.16</v>
      </c>
      <c r="L241">
        <v>68.42</v>
      </c>
    </row>
    <row r="242" spans="1:12" x14ac:dyDescent="0.2">
      <c r="A242" s="4">
        <v>241</v>
      </c>
      <c r="B242" t="s">
        <v>828</v>
      </c>
      <c r="C242">
        <v>67.819999999999993</v>
      </c>
      <c r="D242">
        <v>5</v>
      </c>
      <c r="E242">
        <v>22</v>
      </c>
      <c r="F242">
        <v>76.150000000000006</v>
      </c>
      <c r="G242">
        <v>0</v>
      </c>
      <c r="H242">
        <v>0</v>
      </c>
      <c r="I242">
        <v>0</v>
      </c>
      <c r="J242">
        <v>2</v>
      </c>
      <c r="K242">
        <v>66.2</v>
      </c>
      <c r="L242">
        <v>69.05</v>
      </c>
    </row>
    <row r="243" spans="1:12" x14ac:dyDescent="0.2">
      <c r="A243" s="4">
        <v>242</v>
      </c>
      <c r="B243" t="s">
        <v>892</v>
      </c>
      <c r="C243">
        <v>67.77</v>
      </c>
      <c r="D243">
        <v>15</v>
      </c>
      <c r="E243">
        <v>13</v>
      </c>
      <c r="F243">
        <v>66.73</v>
      </c>
      <c r="G243">
        <v>0</v>
      </c>
      <c r="H243">
        <v>0</v>
      </c>
      <c r="I243">
        <v>0</v>
      </c>
      <c r="J243">
        <v>0</v>
      </c>
      <c r="K243">
        <v>67.62</v>
      </c>
      <c r="L243">
        <v>67.680000000000007</v>
      </c>
    </row>
    <row r="244" spans="1:12" x14ac:dyDescent="0.2">
      <c r="A244" s="4">
        <v>243</v>
      </c>
      <c r="B244" t="s">
        <v>787</v>
      </c>
      <c r="C244">
        <v>67.69</v>
      </c>
      <c r="D244">
        <v>14</v>
      </c>
      <c r="E244">
        <v>14</v>
      </c>
      <c r="F244">
        <v>67.3</v>
      </c>
      <c r="G244">
        <v>0</v>
      </c>
      <c r="H244">
        <v>0</v>
      </c>
      <c r="I244">
        <v>0</v>
      </c>
      <c r="J244">
        <v>1</v>
      </c>
      <c r="K244">
        <v>67.05</v>
      </c>
      <c r="L244">
        <v>68.08</v>
      </c>
    </row>
    <row r="245" spans="1:12" x14ac:dyDescent="0.2">
      <c r="A245" s="4">
        <v>244</v>
      </c>
      <c r="B245" t="s">
        <v>237</v>
      </c>
      <c r="C245">
        <v>67.599999999999994</v>
      </c>
      <c r="D245">
        <v>18</v>
      </c>
      <c r="E245">
        <v>11</v>
      </c>
      <c r="F245">
        <v>66.349999999999994</v>
      </c>
      <c r="G245">
        <v>0</v>
      </c>
      <c r="H245">
        <v>1</v>
      </c>
      <c r="I245">
        <v>0</v>
      </c>
      <c r="J245">
        <v>2</v>
      </c>
      <c r="K245">
        <v>67.540000000000006</v>
      </c>
      <c r="L245">
        <v>67.41</v>
      </c>
    </row>
    <row r="246" spans="1:12" x14ac:dyDescent="0.2">
      <c r="A246" s="4">
        <v>245</v>
      </c>
      <c r="B246" t="s">
        <v>289</v>
      </c>
      <c r="C246">
        <v>67.510000000000005</v>
      </c>
      <c r="D246">
        <v>8</v>
      </c>
      <c r="E246">
        <v>16</v>
      </c>
      <c r="F246">
        <v>73.23</v>
      </c>
      <c r="G246">
        <v>0</v>
      </c>
      <c r="H246">
        <v>1</v>
      </c>
      <c r="I246">
        <v>0</v>
      </c>
      <c r="J246">
        <v>2</v>
      </c>
      <c r="K246">
        <v>67.52</v>
      </c>
      <c r="L246">
        <v>67.260000000000005</v>
      </c>
    </row>
    <row r="247" spans="1:12" x14ac:dyDescent="0.2">
      <c r="A247" s="4">
        <v>246</v>
      </c>
      <c r="B247" t="s">
        <v>288</v>
      </c>
      <c r="C247">
        <v>67.44</v>
      </c>
      <c r="D247">
        <v>6</v>
      </c>
      <c r="E247">
        <v>22</v>
      </c>
      <c r="F247">
        <v>77.66</v>
      </c>
      <c r="G247">
        <v>0</v>
      </c>
      <c r="H247">
        <v>2</v>
      </c>
      <c r="I247">
        <v>0</v>
      </c>
      <c r="J247">
        <v>4</v>
      </c>
      <c r="K247">
        <v>68.28</v>
      </c>
      <c r="L247">
        <v>66.27</v>
      </c>
    </row>
    <row r="248" spans="1:12" x14ac:dyDescent="0.2">
      <c r="A248" s="4">
        <v>247</v>
      </c>
      <c r="B248" t="s">
        <v>829</v>
      </c>
      <c r="C248">
        <v>67.349999999999994</v>
      </c>
      <c r="D248">
        <v>12</v>
      </c>
      <c r="E248">
        <v>14</v>
      </c>
      <c r="F248">
        <v>68.77</v>
      </c>
      <c r="G248">
        <v>0</v>
      </c>
      <c r="H248">
        <v>0</v>
      </c>
      <c r="I248">
        <v>0</v>
      </c>
      <c r="J248">
        <v>0</v>
      </c>
      <c r="K248">
        <v>67.400000000000006</v>
      </c>
      <c r="L248">
        <v>67.069999999999993</v>
      </c>
    </row>
    <row r="249" spans="1:12" x14ac:dyDescent="0.2">
      <c r="A249" s="4">
        <v>248</v>
      </c>
      <c r="B249" t="s">
        <v>830</v>
      </c>
      <c r="C249">
        <v>67.349999999999994</v>
      </c>
      <c r="D249">
        <v>11</v>
      </c>
      <c r="E249">
        <v>18</v>
      </c>
      <c r="F249">
        <v>72.48</v>
      </c>
      <c r="G249">
        <v>0</v>
      </c>
      <c r="H249">
        <v>0</v>
      </c>
      <c r="I249">
        <v>0</v>
      </c>
      <c r="J249">
        <v>0</v>
      </c>
      <c r="K249">
        <v>68.83</v>
      </c>
      <c r="L249">
        <v>65.37</v>
      </c>
    </row>
    <row r="250" spans="1:12" x14ac:dyDescent="0.2">
      <c r="A250" s="4">
        <v>249</v>
      </c>
      <c r="B250" t="s">
        <v>831</v>
      </c>
      <c r="C250">
        <v>67.290000000000006</v>
      </c>
      <c r="D250">
        <v>7</v>
      </c>
      <c r="E250">
        <v>20</v>
      </c>
      <c r="F250">
        <v>74.27</v>
      </c>
      <c r="G250">
        <v>0</v>
      </c>
      <c r="H250">
        <v>1</v>
      </c>
      <c r="I250">
        <v>0</v>
      </c>
      <c r="J250">
        <v>1</v>
      </c>
      <c r="K250">
        <v>66.430000000000007</v>
      </c>
      <c r="L250">
        <v>67.88</v>
      </c>
    </row>
    <row r="251" spans="1:12" x14ac:dyDescent="0.2">
      <c r="A251" s="4">
        <v>250</v>
      </c>
      <c r="B251" t="s">
        <v>202</v>
      </c>
      <c r="C251">
        <v>67.25</v>
      </c>
      <c r="D251">
        <v>10</v>
      </c>
      <c r="E251">
        <v>18</v>
      </c>
      <c r="F251">
        <v>72.56</v>
      </c>
      <c r="G251">
        <v>0</v>
      </c>
      <c r="H251">
        <v>0</v>
      </c>
      <c r="I251">
        <v>0</v>
      </c>
      <c r="J251">
        <v>3</v>
      </c>
      <c r="K251">
        <v>68.14</v>
      </c>
      <c r="L251">
        <v>66.010000000000005</v>
      </c>
    </row>
    <row r="252" spans="1:12" x14ac:dyDescent="0.2">
      <c r="A252" s="4">
        <v>251</v>
      </c>
      <c r="B252" t="s">
        <v>832</v>
      </c>
      <c r="C252">
        <v>67.209999999999994</v>
      </c>
      <c r="D252">
        <v>18</v>
      </c>
      <c r="E252">
        <v>14</v>
      </c>
      <c r="F252">
        <v>66.739999999999995</v>
      </c>
      <c r="G252">
        <v>0</v>
      </c>
      <c r="H252">
        <v>0</v>
      </c>
      <c r="I252">
        <v>0</v>
      </c>
      <c r="J252">
        <v>2</v>
      </c>
      <c r="K252">
        <v>66.42</v>
      </c>
      <c r="L252">
        <v>67.73</v>
      </c>
    </row>
    <row r="253" spans="1:12" x14ac:dyDescent="0.2">
      <c r="A253" s="4">
        <v>252</v>
      </c>
      <c r="B253" t="s">
        <v>159</v>
      </c>
      <c r="C253">
        <v>67.14</v>
      </c>
      <c r="D253">
        <v>12</v>
      </c>
      <c r="E253">
        <v>15</v>
      </c>
      <c r="F253">
        <v>68.489999999999995</v>
      </c>
      <c r="G253">
        <v>0</v>
      </c>
      <c r="H253">
        <v>0</v>
      </c>
      <c r="I253">
        <v>0</v>
      </c>
      <c r="J253">
        <v>1</v>
      </c>
      <c r="K253">
        <v>66.209999999999994</v>
      </c>
      <c r="L253">
        <v>67.78</v>
      </c>
    </row>
    <row r="254" spans="1:12" x14ac:dyDescent="0.2">
      <c r="A254" s="4">
        <v>253</v>
      </c>
      <c r="B254" t="s">
        <v>901</v>
      </c>
      <c r="C254">
        <v>67.099999999999994</v>
      </c>
      <c r="D254">
        <v>14</v>
      </c>
      <c r="E254">
        <v>16</v>
      </c>
      <c r="F254">
        <v>69.12</v>
      </c>
      <c r="G254">
        <v>0</v>
      </c>
      <c r="H254">
        <v>0</v>
      </c>
      <c r="I254">
        <v>0</v>
      </c>
      <c r="J254">
        <v>2</v>
      </c>
      <c r="K254">
        <v>67.75</v>
      </c>
      <c r="L254">
        <v>66.14</v>
      </c>
    </row>
    <row r="255" spans="1:12" x14ac:dyDescent="0.2">
      <c r="A255" s="4">
        <v>254</v>
      </c>
      <c r="B255" t="s">
        <v>295</v>
      </c>
      <c r="C255">
        <v>67.06</v>
      </c>
      <c r="D255">
        <v>10</v>
      </c>
      <c r="E255">
        <v>16</v>
      </c>
      <c r="F255">
        <v>69.03</v>
      </c>
      <c r="G255">
        <v>0</v>
      </c>
      <c r="H255">
        <v>1</v>
      </c>
      <c r="I255">
        <v>0</v>
      </c>
      <c r="J255">
        <v>1</v>
      </c>
      <c r="K255">
        <v>64.73</v>
      </c>
      <c r="L255">
        <v>68.81</v>
      </c>
    </row>
    <row r="256" spans="1:12" x14ac:dyDescent="0.2">
      <c r="A256" s="4">
        <v>255</v>
      </c>
      <c r="B256" t="s">
        <v>258</v>
      </c>
      <c r="C256">
        <v>66.959999999999994</v>
      </c>
      <c r="D256">
        <v>7</v>
      </c>
      <c r="E256">
        <v>21</v>
      </c>
      <c r="F256">
        <v>73.45</v>
      </c>
      <c r="G256">
        <v>0</v>
      </c>
      <c r="H256">
        <v>1</v>
      </c>
      <c r="I256">
        <v>0</v>
      </c>
      <c r="J256">
        <v>1</v>
      </c>
      <c r="K256">
        <v>65.209999999999994</v>
      </c>
      <c r="L256">
        <v>68.290000000000006</v>
      </c>
    </row>
    <row r="257" spans="1:12" x14ac:dyDescent="0.2">
      <c r="A257" s="4">
        <v>256</v>
      </c>
      <c r="B257" t="s">
        <v>233</v>
      </c>
      <c r="C257">
        <v>66.81</v>
      </c>
      <c r="D257">
        <v>10</v>
      </c>
      <c r="E257">
        <v>15</v>
      </c>
      <c r="F257">
        <v>71.2</v>
      </c>
      <c r="G257">
        <v>0</v>
      </c>
      <c r="H257">
        <v>0</v>
      </c>
      <c r="I257">
        <v>0</v>
      </c>
      <c r="J257">
        <v>1</v>
      </c>
      <c r="K257">
        <v>68.62</v>
      </c>
      <c r="L257">
        <v>64.319999999999993</v>
      </c>
    </row>
    <row r="258" spans="1:12" x14ac:dyDescent="0.2">
      <c r="A258" s="4">
        <v>257</v>
      </c>
      <c r="B258" t="s">
        <v>164</v>
      </c>
      <c r="C258">
        <v>66.72</v>
      </c>
      <c r="D258">
        <v>8</v>
      </c>
      <c r="E258">
        <v>18</v>
      </c>
      <c r="F258">
        <v>73.3</v>
      </c>
      <c r="G258">
        <v>0</v>
      </c>
      <c r="H258">
        <v>1</v>
      </c>
      <c r="I258">
        <v>0</v>
      </c>
      <c r="J258">
        <v>1</v>
      </c>
      <c r="K258">
        <v>67.36</v>
      </c>
      <c r="L258">
        <v>65.760000000000005</v>
      </c>
    </row>
    <row r="259" spans="1:12" x14ac:dyDescent="0.2">
      <c r="A259" s="4">
        <v>258</v>
      </c>
      <c r="B259" t="s">
        <v>833</v>
      </c>
      <c r="C259">
        <v>66.66</v>
      </c>
      <c r="D259">
        <v>8</v>
      </c>
      <c r="E259">
        <v>16</v>
      </c>
      <c r="F259">
        <v>70.69</v>
      </c>
      <c r="G259">
        <v>0</v>
      </c>
      <c r="H259">
        <v>0</v>
      </c>
      <c r="I259">
        <v>0</v>
      </c>
      <c r="J259">
        <v>1</v>
      </c>
      <c r="K259">
        <v>64.92</v>
      </c>
      <c r="L259">
        <v>67.959999999999994</v>
      </c>
    </row>
    <row r="260" spans="1:12" x14ac:dyDescent="0.2">
      <c r="A260" s="4">
        <v>259</v>
      </c>
      <c r="B260" t="s">
        <v>891</v>
      </c>
      <c r="C260">
        <v>66.27</v>
      </c>
      <c r="D260">
        <v>8</v>
      </c>
      <c r="E260">
        <v>18</v>
      </c>
      <c r="F260">
        <v>72.540000000000006</v>
      </c>
      <c r="G260">
        <v>0</v>
      </c>
      <c r="H260">
        <v>0</v>
      </c>
      <c r="I260">
        <v>0</v>
      </c>
      <c r="J260">
        <v>3</v>
      </c>
      <c r="K260">
        <v>65.39</v>
      </c>
      <c r="L260">
        <v>66.87</v>
      </c>
    </row>
    <row r="261" spans="1:12" x14ac:dyDescent="0.2">
      <c r="A261" s="4">
        <v>260</v>
      </c>
      <c r="B261" t="s">
        <v>251</v>
      </c>
      <c r="C261">
        <v>66.22</v>
      </c>
      <c r="D261">
        <v>13</v>
      </c>
      <c r="E261">
        <v>15</v>
      </c>
      <c r="F261">
        <v>68.19</v>
      </c>
      <c r="G261">
        <v>0</v>
      </c>
      <c r="H261">
        <v>1</v>
      </c>
      <c r="I261">
        <v>0</v>
      </c>
      <c r="J261">
        <v>1</v>
      </c>
      <c r="K261">
        <v>66.78</v>
      </c>
      <c r="L261">
        <v>65.36</v>
      </c>
    </row>
    <row r="262" spans="1:12" x14ac:dyDescent="0.2">
      <c r="A262" s="4">
        <v>261</v>
      </c>
      <c r="B262" t="s">
        <v>834</v>
      </c>
      <c r="C262">
        <v>66.19</v>
      </c>
      <c r="D262">
        <v>16</v>
      </c>
      <c r="E262">
        <v>15</v>
      </c>
      <c r="F262">
        <v>66.56</v>
      </c>
      <c r="G262">
        <v>0</v>
      </c>
      <c r="H262">
        <v>1</v>
      </c>
      <c r="I262">
        <v>0</v>
      </c>
      <c r="J262">
        <v>2</v>
      </c>
      <c r="K262">
        <v>66.58</v>
      </c>
      <c r="L262">
        <v>65.53</v>
      </c>
    </row>
    <row r="263" spans="1:12" x14ac:dyDescent="0.2">
      <c r="A263" s="4">
        <v>262</v>
      </c>
      <c r="B263" t="s">
        <v>835</v>
      </c>
      <c r="C263">
        <v>66.16</v>
      </c>
      <c r="D263">
        <v>13</v>
      </c>
      <c r="E263">
        <v>15</v>
      </c>
      <c r="F263">
        <v>67.52</v>
      </c>
      <c r="G263">
        <v>0</v>
      </c>
      <c r="H263">
        <v>0</v>
      </c>
      <c r="I263">
        <v>0</v>
      </c>
      <c r="J263">
        <v>0</v>
      </c>
      <c r="K263">
        <v>64.59</v>
      </c>
      <c r="L263">
        <v>67.319999999999993</v>
      </c>
    </row>
    <row r="264" spans="1:12" x14ac:dyDescent="0.2">
      <c r="A264" s="4">
        <v>263</v>
      </c>
      <c r="B264" t="s">
        <v>174</v>
      </c>
      <c r="C264">
        <v>66.13</v>
      </c>
      <c r="D264">
        <v>7</v>
      </c>
      <c r="E264">
        <v>21</v>
      </c>
      <c r="F264">
        <v>72.64</v>
      </c>
      <c r="G264">
        <v>0</v>
      </c>
      <c r="H264">
        <v>0</v>
      </c>
      <c r="I264">
        <v>0</v>
      </c>
      <c r="J264">
        <v>0</v>
      </c>
      <c r="K264">
        <v>65.25</v>
      </c>
      <c r="L264">
        <v>66.72</v>
      </c>
    </row>
    <row r="265" spans="1:12" x14ac:dyDescent="0.2">
      <c r="A265" s="4">
        <v>264</v>
      </c>
      <c r="B265" t="s">
        <v>861</v>
      </c>
      <c r="C265">
        <v>66.03</v>
      </c>
      <c r="D265">
        <v>9</v>
      </c>
      <c r="E265">
        <v>14</v>
      </c>
      <c r="F265">
        <v>68.540000000000006</v>
      </c>
      <c r="G265">
        <v>0</v>
      </c>
      <c r="H265">
        <v>0</v>
      </c>
      <c r="I265">
        <v>0</v>
      </c>
      <c r="J265">
        <v>0</v>
      </c>
      <c r="K265">
        <v>65.290000000000006</v>
      </c>
      <c r="L265">
        <v>66.5</v>
      </c>
    </row>
    <row r="266" spans="1:12" x14ac:dyDescent="0.2">
      <c r="A266" s="4">
        <v>265</v>
      </c>
      <c r="B266" t="s">
        <v>140</v>
      </c>
      <c r="C266">
        <v>65.959999999999994</v>
      </c>
      <c r="D266">
        <v>13</v>
      </c>
      <c r="E266">
        <v>14</v>
      </c>
      <c r="F266">
        <v>67.569999999999993</v>
      </c>
      <c r="G266">
        <v>0</v>
      </c>
      <c r="H266">
        <v>0</v>
      </c>
      <c r="I266">
        <v>0</v>
      </c>
      <c r="J266">
        <v>1</v>
      </c>
      <c r="K266">
        <v>66.55</v>
      </c>
      <c r="L266">
        <v>65.06</v>
      </c>
    </row>
    <row r="267" spans="1:12" x14ac:dyDescent="0.2">
      <c r="A267" s="4">
        <v>266</v>
      </c>
      <c r="B267" t="s">
        <v>296</v>
      </c>
      <c r="C267">
        <v>65.77</v>
      </c>
      <c r="D267">
        <v>11</v>
      </c>
      <c r="E267">
        <v>15</v>
      </c>
      <c r="F267">
        <v>69.33</v>
      </c>
      <c r="G267">
        <v>0</v>
      </c>
      <c r="H267">
        <v>0</v>
      </c>
      <c r="I267">
        <v>0</v>
      </c>
      <c r="J267">
        <v>0</v>
      </c>
      <c r="K267">
        <v>67.56</v>
      </c>
      <c r="L267">
        <v>63.22</v>
      </c>
    </row>
    <row r="268" spans="1:12" x14ac:dyDescent="0.2">
      <c r="A268" s="4">
        <v>267</v>
      </c>
      <c r="B268" t="s">
        <v>893</v>
      </c>
      <c r="C268">
        <v>65.77</v>
      </c>
      <c r="D268">
        <v>13</v>
      </c>
      <c r="E268">
        <v>15</v>
      </c>
      <c r="F268">
        <v>67.959999999999994</v>
      </c>
      <c r="G268">
        <v>0</v>
      </c>
      <c r="H268">
        <v>1</v>
      </c>
      <c r="I268">
        <v>0</v>
      </c>
      <c r="J268">
        <v>1</v>
      </c>
      <c r="K268">
        <v>65.959999999999994</v>
      </c>
      <c r="L268">
        <v>65.319999999999993</v>
      </c>
    </row>
    <row r="269" spans="1:12" x14ac:dyDescent="0.2">
      <c r="A269" s="4">
        <v>268</v>
      </c>
      <c r="B269" t="s">
        <v>166</v>
      </c>
      <c r="C269">
        <v>65.75</v>
      </c>
      <c r="D269">
        <v>12</v>
      </c>
      <c r="E269">
        <v>16</v>
      </c>
      <c r="F269">
        <v>68.48</v>
      </c>
      <c r="G269">
        <v>0</v>
      </c>
      <c r="H269">
        <v>0</v>
      </c>
      <c r="I269">
        <v>0</v>
      </c>
      <c r="J269">
        <v>0</v>
      </c>
      <c r="K269">
        <v>65.92</v>
      </c>
      <c r="L269">
        <v>65.31</v>
      </c>
    </row>
    <row r="270" spans="1:12" x14ac:dyDescent="0.2">
      <c r="A270" s="4">
        <v>269</v>
      </c>
      <c r="B270" t="s">
        <v>148</v>
      </c>
      <c r="C270">
        <v>65.739999999999995</v>
      </c>
      <c r="D270">
        <v>7</v>
      </c>
      <c r="E270">
        <v>19</v>
      </c>
      <c r="F270">
        <v>70.09</v>
      </c>
      <c r="G270">
        <v>0</v>
      </c>
      <c r="H270">
        <v>0</v>
      </c>
      <c r="I270">
        <v>0</v>
      </c>
      <c r="J270">
        <v>0</v>
      </c>
      <c r="K270">
        <v>63.41</v>
      </c>
      <c r="L270">
        <v>67.430000000000007</v>
      </c>
    </row>
    <row r="271" spans="1:12" x14ac:dyDescent="0.2">
      <c r="A271" s="4">
        <v>270</v>
      </c>
      <c r="B271" t="s">
        <v>868</v>
      </c>
      <c r="C271">
        <v>65.64</v>
      </c>
      <c r="D271">
        <v>8</v>
      </c>
      <c r="E271">
        <v>17</v>
      </c>
      <c r="F271">
        <v>70.45</v>
      </c>
      <c r="G271">
        <v>0</v>
      </c>
      <c r="H271">
        <v>1</v>
      </c>
      <c r="I271">
        <v>0</v>
      </c>
      <c r="J271">
        <v>1</v>
      </c>
      <c r="K271">
        <v>64.48</v>
      </c>
      <c r="L271">
        <v>66.47</v>
      </c>
    </row>
    <row r="272" spans="1:12" x14ac:dyDescent="0.2">
      <c r="A272" s="4">
        <v>271</v>
      </c>
      <c r="B272" t="s">
        <v>247</v>
      </c>
      <c r="C272">
        <v>65.5</v>
      </c>
      <c r="D272">
        <v>15</v>
      </c>
      <c r="E272">
        <v>17</v>
      </c>
      <c r="F272">
        <v>67.08</v>
      </c>
      <c r="G272">
        <v>0</v>
      </c>
      <c r="H272">
        <v>1</v>
      </c>
      <c r="I272">
        <v>0</v>
      </c>
      <c r="J272">
        <v>3</v>
      </c>
      <c r="K272">
        <v>64.650000000000006</v>
      </c>
      <c r="L272">
        <v>66.06</v>
      </c>
    </row>
    <row r="273" spans="1:12" x14ac:dyDescent="0.2">
      <c r="A273" s="4">
        <v>272</v>
      </c>
      <c r="B273" t="s">
        <v>264</v>
      </c>
      <c r="C273">
        <v>65.17</v>
      </c>
      <c r="D273">
        <v>9</v>
      </c>
      <c r="E273">
        <v>17</v>
      </c>
      <c r="F273">
        <v>69.63</v>
      </c>
      <c r="G273">
        <v>0</v>
      </c>
      <c r="H273">
        <v>0</v>
      </c>
      <c r="I273">
        <v>0</v>
      </c>
      <c r="J273">
        <v>0</v>
      </c>
      <c r="K273">
        <v>63.97</v>
      </c>
      <c r="L273">
        <v>66.02</v>
      </c>
    </row>
    <row r="274" spans="1:12" x14ac:dyDescent="0.2">
      <c r="A274" s="4">
        <v>273</v>
      </c>
      <c r="B274" t="s">
        <v>222</v>
      </c>
      <c r="C274">
        <v>64.88</v>
      </c>
      <c r="D274">
        <v>11</v>
      </c>
      <c r="E274">
        <v>17</v>
      </c>
      <c r="F274">
        <v>69.3</v>
      </c>
      <c r="G274">
        <v>0</v>
      </c>
      <c r="H274">
        <v>0</v>
      </c>
      <c r="I274">
        <v>0</v>
      </c>
      <c r="J274">
        <v>1</v>
      </c>
      <c r="K274">
        <v>65.959999999999994</v>
      </c>
      <c r="L274">
        <v>63.33</v>
      </c>
    </row>
    <row r="275" spans="1:12" x14ac:dyDescent="0.2">
      <c r="A275" s="4">
        <v>274</v>
      </c>
      <c r="B275" t="s">
        <v>108</v>
      </c>
      <c r="C275">
        <v>64.790000000000006</v>
      </c>
      <c r="D275">
        <v>8</v>
      </c>
      <c r="E275">
        <v>21</v>
      </c>
      <c r="F275">
        <v>72.16</v>
      </c>
      <c r="G275">
        <v>0</v>
      </c>
      <c r="H275">
        <v>0</v>
      </c>
      <c r="I275">
        <v>0</v>
      </c>
      <c r="J275">
        <v>0</v>
      </c>
      <c r="K275">
        <v>64.540000000000006</v>
      </c>
      <c r="L275">
        <v>64.8</v>
      </c>
    </row>
    <row r="276" spans="1:12" x14ac:dyDescent="0.2">
      <c r="A276" s="4">
        <v>275</v>
      </c>
      <c r="B276" t="s">
        <v>890</v>
      </c>
      <c r="C276">
        <v>64.72</v>
      </c>
      <c r="D276">
        <v>9</v>
      </c>
      <c r="E276">
        <v>19</v>
      </c>
      <c r="F276">
        <v>71.150000000000006</v>
      </c>
      <c r="G276">
        <v>0</v>
      </c>
      <c r="H276">
        <v>0</v>
      </c>
      <c r="I276">
        <v>0</v>
      </c>
      <c r="J276">
        <v>1</v>
      </c>
      <c r="K276">
        <v>65.03</v>
      </c>
      <c r="L276">
        <v>64.14</v>
      </c>
    </row>
    <row r="277" spans="1:12" x14ac:dyDescent="0.2">
      <c r="A277" s="4">
        <v>276</v>
      </c>
      <c r="B277" t="s">
        <v>123</v>
      </c>
      <c r="C277">
        <v>64.650000000000006</v>
      </c>
      <c r="D277">
        <v>6</v>
      </c>
      <c r="E277">
        <v>20</v>
      </c>
      <c r="F277">
        <v>73.94</v>
      </c>
      <c r="G277">
        <v>0</v>
      </c>
      <c r="H277">
        <v>1</v>
      </c>
      <c r="I277">
        <v>0</v>
      </c>
      <c r="J277">
        <v>2</v>
      </c>
      <c r="K277">
        <v>65.2</v>
      </c>
      <c r="L277">
        <v>63.77</v>
      </c>
    </row>
    <row r="278" spans="1:12" x14ac:dyDescent="0.2">
      <c r="A278" s="4">
        <v>277</v>
      </c>
      <c r="B278" t="s">
        <v>253</v>
      </c>
      <c r="C278">
        <v>64.59</v>
      </c>
      <c r="D278">
        <v>13</v>
      </c>
      <c r="E278">
        <v>17</v>
      </c>
      <c r="F278">
        <v>66.489999999999995</v>
      </c>
      <c r="G278">
        <v>0</v>
      </c>
      <c r="H278">
        <v>0</v>
      </c>
      <c r="I278">
        <v>0</v>
      </c>
      <c r="J278">
        <v>0</v>
      </c>
      <c r="K278">
        <v>63.72</v>
      </c>
      <c r="L278">
        <v>65.16</v>
      </c>
    </row>
    <row r="279" spans="1:12" x14ac:dyDescent="0.2">
      <c r="A279" s="4">
        <v>278</v>
      </c>
      <c r="B279" t="s">
        <v>291</v>
      </c>
      <c r="C279">
        <v>64.540000000000006</v>
      </c>
      <c r="D279">
        <v>7</v>
      </c>
      <c r="E279">
        <v>20</v>
      </c>
      <c r="F279">
        <v>71.91</v>
      </c>
      <c r="G279">
        <v>0</v>
      </c>
      <c r="H279">
        <v>0</v>
      </c>
      <c r="I279">
        <v>0</v>
      </c>
      <c r="J279">
        <v>0</v>
      </c>
      <c r="K279">
        <v>64.78</v>
      </c>
      <c r="L279">
        <v>64.03</v>
      </c>
    </row>
    <row r="280" spans="1:12" x14ac:dyDescent="0.2">
      <c r="A280" s="4">
        <v>279</v>
      </c>
      <c r="B280" t="s">
        <v>836</v>
      </c>
      <c r="C280">
        <v>64.53</v>
      </c>
      <c r="D280">
        <v>6</v>
      </c>
      <c r="E280">
        <v>20</v>
      </c>
      <c r="F280">
        <v>73.39</v>
      </c>
      <c r="G280">
        <v>0</v>
      </c>
      <c r="H280">
        <v>1</v>
      </c>
      <c r="I280">
        <v>0</v>
      </c>
      <c r="J280">
        <v>2</v>
      </c>
      <c r="K280">
        <v>63.87</v>
      </c>
      <c r="L280">
        <v>64.92</v>
      </c>
    </row>
    <row r="281" spans="1:12" x14ac:dyDescent="0.2">
      <c r="A281" s="4">
        <v>280</v>
      </c>
      <c r="B281" t="s">
        <v>243</v>
      </c>
      <c r="C281">
        <v>64.48</v>
      </c>
      <c r="D281">
        <v>5</v>
      </c>
      <c r="E281">
        <v>24</v>
      </c>
      <c r="F281">
        <v>74.650000000000006</v>
      </c>
      <c r="G281">
        <v>0</v>
      </c>
      <c r="H281">
        <v>0</v>
      </c>
      <c r="I281">
        <v>0</v>
      </c>
      <c r="J281">
        <v>0</v>
      </c>
      <c r="K281">
        <v>64.3</v>
      </c>
      <c r="L281">
        <v>64.42</v>
      </c>
    </row>
    <row r="282" spans="1:12" x14ac:dyDescent="0.2">
      <c r="A282" s="4">
        <v>281</v>
      </c>
      <c r="B282" t="s">
        <v>246</v>
      </c>
      <c r="C282">
        <v>64.48</v>
      </c>
      <c r="D282">
        <v>12</v>
      </c>
      <c r="E282">
        <v>15</v>
      </c>
      <c r="F282">
        <v>67.91</v>
      </c>
      <c r="G282">
        <v>0</v>
      </c>
      <c r="H282">
        <v>1</v>
      </c>
      <c r="I282">
        <v>0</v>
      </c>
      <c r="J282">
        <v>1</v>
      </c>
      <c r="K282">
        <v>65.03</v>
      </c>
      <c r="L282">
        <v>63.61</v>
      </c>
    </row>
    <row r="283" spans="1:12" x14ac:dyDescent="0.2">
      <c r="A283" s="4">
        <v>282</v>
      </c>
      <c r="B283" t="s">
        <v>223</v>
      </c>
      <c r="C283">
        <v>64.36</v>
      </c>
      <c r="D283">
        <v>10</v>
      </c>
      <c r="E283">
        <v>16</v>
      </c>
      <c r="F283">
        <v>67.42</v>
      </c>
      <c r="G283">
        <v>0</v>
      </c>
      <c r="H283">
        <v>0</v>
      </c>
      <c r="I283">
        <v>0</v>
      </c>
      <c r="J283">
        <v>0</v>
      </c>
      <c r="K283">
        <v>63.8</v>
      </c>
      <c r="L283">
        <v>64.66</v>
      </c>
    </row>
    <row r="284" spans="1:12" x14ac:dyDescent="0.2">
      <c r="A284" s="4">
        <v>283</v>
      </c>
      <c r="B284" t="s">
        <v>837</v>
      </c>
      <c r="C284">
        <v>64.31</v>
      </c>
      <c r="D284">
        <v>9</v>
      </c>
      <c r="E284">
        <v>15</v>
      </c>
      <c r="F284">
        <v>69.09</v>
      </c>
      <c r="G284">
        <v>0</v>
      </c>
      <c r="H284">
        <v>1</v>
      </c>
      <c r="I284">
        <v>0</v>
      </c>
      <c r="J284">
        <v>2</v>
      </c>
      <c r="K284">
        <v>64.489999999999995</v>
      </c>
      <c r="L284">
        <v>63.86</v>
      </c>
    </row>
    <row r="285" spans="1:12" x14ac:dyDescent="0.2">
      <c r="A285" s="4">
        <v>284</v>
      </c>
      <c r="B285" t="s">
        <v>838</v>
      </c>
      <c r="C285">
        <v>64.239999999999995</v>
      </c>
      <c r="D285">
        <v>12</v>
      </c>
      <c r="E285">
        <v>17</v>
      </c>
      <c r="F285">
        <v>66.84</v>
      </c>
      <c r="G285">
        <v>0</v>
      </c>
      <c r="H285">
        <v>0</v>
      </c>
      <c r="I285">
        <v>0</v>
      </c>
      <c r="J285">
        <v>0</v>
      </c>
      <c r="K285">
        <v>64.5</v>
      </c>
      <c r="L285">
        <v>63.7</v>
      </c>
    </row>
    <row r="286" spans="1:12" x14ac:dyDescent="0.2">
      <c r="A286" s="4">
        <v>285</v>
      </c>
      <c r="B286" t="s">
        <v>213</v>
      </c>
      <c r="C286">
        <v>64.209999999999994</v>
      </c>
      <c r="D286">
        <v>10</v>
      </c>
      <c r="E286">
        <v>19</v>
      </c>
      <c r="F286">
        <v>68.760000000000005</v>
      </c>
      <c r="G286">
        <v>0</v>
      </c>
      <c r="H286">
        <v>0</v>
      </c>
      <c r="I286">
        <v>0</v>
      </c>
      <c r="J286">
        <v>1</v>
      </c>
      <c r="K286">
        <v>64.11</v>
      </c>
      <c r="L286">
        <v>64.069999999999993</v>
      </c>
    </row>
    <row r="287" spans="1:12" x14ac:dyDescent="0.2">
      <c r="A287" s="4">
        <v>286</v>
      </c>
      <c r="B287" t="s">
        <v>839</v>
      </c>
      <c r="C287">
        <v>64.2</v>
      </c>
      <c r="D287">
        <v>5</v>
      </c>
      <c r="E287">
        <v>21</v>
      </c>
      <c r="F287">
        <v>73.34</v>
      </c>
      <c r="G287">
        <v>0</v>
      </c>
      <c r="H287">
        <v>0</v>
      </c>
      <c r="I287">
        <v>0</v>
      </c>
      <c r="J287">
        <v>0</v>
      </c>
      <c r="K287">
        <v>64.52</v>
      </c>
      <c r="L287">
        <v>63.62</v>
      </c>
    </row>
    <row r="288" spans="1:12" x14ac:dyDescent="0.2">
      <c r="A288" s="4">
        <v>287</v>
      </c>
      <c r="B288" t="s">
        <v>302</v>
      </c>
      <c r="C288">
        <v>64.069999999999993</v>
      </c>
      <c r="D288">
        <v>3</v>
      </c>
      <c r="E288">
        <v>26</v>
      </c>
      <c r="F288">
        <v>75.959999999999994</v>
      </c>
      <c r="G288">
        <v>0</v>
      </c>
      <c r="H288">
        <v>2</v>
      </c>
      <c r="I288">
        <v>0</v>
      </c>
      <c r="J288">
        <v>2</v>
      </c>
      <c r="K288">
        <v>63.47</v>
      </c>
      <c r="L288">
        <v>64.400000000000006</v>
      </c>
    </row>
    <row r="289" spans="1:12" x14ac:dyDescent="0.2">
      <c r="A289" s="4">
        <v>288</v>
      </c>
      <c r="B289" t="s">
        <v>299</v>
      </c>
      <c r="C289">
        <v>63.77</v>
      </c>
      <c r="D289">
        <v>13</v>
      </c>
      <c r="E289">
        <v>15</v>
      </c>
      <c r="F289">
        <v>64.849999999999994</v>
      </c>
      <c r="G289">
        <v>0</v>
      </c>
      <c r="H289">
        <v>0</v>
      </c>
      <c r="I289">
        <v>0</v>
      </c>
      <c r="J289">
        <v>0</v>
      </c>
      <c r="K289">
        <v>64.2</v>
      </c>
      <c r="L289">
        <v>63.03</v>
      </c>
    </row>
    <row r="290" spans="1:12" x14ac:dyDescent="0.2">
      <c r="A290" s="4">
        <v>289</v>
      </c>
      <c r="B290" t="s">
        <v>262</v>
      </c>
      <c r="C290">
        <v>63.76</v>
      </c>
      <c r="D290">
        <v>7</v>
      </c>
      <c r="E290">
        <v>18</v>
      </c>
      <c r="F290">
        <v>68.94</v>
      </c>
      <c r="G290">
        <v>0</v>
      </c>
      <c r="H290">
        <v>0</v>
      </c>
      <c r="I290">
        <v>0</v>
      </c>
      <c r="J290">
        <v>0</v>
      </c>
      <c r="K290">
        <v>62.79</v>
      </c>
      <c r="L290">
        <v>64.42</v>
      </c>
    </row>
    <row r="291" spans="1:12" x14ac:dyDescent="0.2">
      <c r="A291" s="4">
        <v>290</v>
      </c>
      <c r="B291" t="s">
        <v>785</v>
      </c>
      <c r="C291">
        <v>63.7</v>
      </c>
      <c r="D291">
        <v>7</v>
      </c>
      <c r="E291">
        <v>21</v>
      </c>
      <c r="F291">
        <v>69.12</v>
      </c>
      <c r="G291">
        <v>0</v>
      </c>
      <c r="H291">
        <v>0</v>
      </c>
      <c r="I291">
        <v>0</v>
      </c>
      <c r="J291">
        <v>0</v>
      </c>
      <c r="K291">
        <v>61.95</v>
      </c>
      <c r="L291">
        <v>64.930000000000007</v>
      </c>
    </row>
    <row r="292" spans="1:12" x14ac:dyDescent="0.2">
      <c r="A292" s="4">
        <v>291</v>
      </c>
      <c r="B292" t="s">
        <v>898</v>
      </c>
      <c r="C292">
        <v>63.65</v>
      </c>
      <c r="D292">
        <v>11</v>
      </c>
      <c r="E292">
        <v>16</v>
      </c>
      <c r="F292">
        <v>65.239999999999995</v>
      </c>
      <c r="G292">
        <v>0</v>
      </c>
      <c r="H292">
        <v>0</v>
      </c>
      <c r="I292">
        <v>0</v>
      </c>
      <c r="J292">
        <v>0</v>
      </c>
      <c r="K292">
        <v>63.2</v>
      </c>
      <c r="L292">
        <v>63.85</v>
      </c>
    </row>
    <row r="293" spans="1:12" x14ac:dyDescent="0.2">
      <c r="A293" s="4">
        <v>292</v>
      </c>
      <c r="B293" t="s">
        <v>197</v>
      </c>
      <c r="C293">
        <v>63.53</v>
      </c>
      <c r="D293">
        <v>10</v>
      </c>
      <c r="E293">
        <v>20</v>
      </c>
      <c r="F293">
        <v>68.67</v>
      </c>
      <c r="G293">
        <v>0</v>
      </c>
      <c r="H293">
        <v>1</v>
      </c>
      <c r="I293">
        <v>0</v>
      </c>
      <c r="J293">
        <v>1</v>
      </c>
      <c r="K293">
        <v>62.68</v>
      </c>
      <c r="L293">
        <v>64.08</v>
      </c>
    </row>
    <row r="294" spans="1:12" x14ac:dyDescent="0.2">
      <c r="A294" s="4">
        <v>293</v>
      </c>
      <c r="B294" t="s">
        <v>557</v>
      </c>
      <c r="C294">
        <v>63.44</v>
      </c>
      <c r="D294">
        <v>2</v>
      </c>
      <c r="E294">
        <v>24</v>
      </c>
      <c r="F294">
        <v>75.760000000000005</v>
      </c>
      <c r="G294">
        <v>0</v>
      </c>
      <c r="H294">
        <v>0</v>
      </c>
      <c r="I294">
        <v>0</v>
      </c>
      <c r="J294">
        <v>0</v>
      </c>
      <c r="K294">
        <v>61.6</v>
      </c>
      <c r="L294">
        <v>64.72</v>
      </c>
    </row>
    <row r="295" spans="1:12" x14ac:dyDescent="0.2">
      <c r="A295" s="4">
        <v>294</v>
      </c>
      <c r="B295" t="s">
        <v>907</v>
      </c>
      <c r="C295">
        <v>63.42</v>
      </c>
      <c r="D295">
        <v>10</v>
      </c>
      <c r="E295">
        <v>20</v>
      </c>
      <c r="F295">
        <v>68.58</v>
      </c>
      <c r="G295">
        <v>0</v>
      </c>
      <c r="H295">
        <v>0</v>
      </c>
      <c r="I295">
        <v>0</v>
      </c>
      <c r="J295">
        <v>0</v>
      </c>
      <c r="K295">
        <v>63.41</v>
      </c>
      <c r="L295">
        <v>63.19</v>
      </c>
    </row>
    <row r="296" spans="1:12" x14ac:dyDescent="0.2">
      <c r="A296" s="4">
        <v>295</v>
      </c>
      <c r="B296" t="s">
        <v>271</v>
      </c>
      <c r="C296">
        <v>63.06</v>
      </c>
      <c r="D296">
        <v>4</v>
      </c>
      <c r="E296">
        <v>20</v>
      </c>
      <c r="F296">
        <v>72.239999999999995</v>
      </c>
      <c r="G296">
        <v>0</v>
      </c>
      <c r="H296">
        <v>0</v>
      </c>
      <c r="I296">
        <v>0</v>
      </c>
      <c r="J296">
        <v>1</v>
      </c>
      <c r="K296">
        <v>61.2</v>
      </c>
      <c r="L296">
        <v>64.349999999999994</v>
      </c>
    </row>
    <row r="297" spans="1:12" x14ac:dyDescent="0.2">
      <c r="A297" s="4">
        <v>296</v>
      </c>
      <c r="B297" t="s">
        <v>190</v>
      </c>
      <c r="C297">
        <v>63.02</v>
      </c>
      <c r="D297">
        <v>6</v>
      </c>
      <c r="E297">
        <v>22</v>
      </c>
      <c r="F297">
        <v>71.37</v>
      </c>
      <c r="G297">
        <v>0</v>
      </c>
      <c r="H297">
        <v>1</v>
      </c>
      <c r="I297">
        <v>0</v>
      </c>
      <c r="J297">
        <v>1</v>
      </c>
      <c r="K297">
        <v>62.47</v>
      </c>
      <c r="L297">
        <v>63.3</v>
      </c>
    </row>
    <row r="298" spans="1:12" x14ac:dyDescent="0.2">
      <c r="A298" s="4">
        <v>297</v>
      </c>
      <c r="B298" t="s">
        <v>260</v>
      </c>
      <c r="C298">
        <v>62.85</v>
      </c>
      <c r="D298">
        <v>13</v>
      </c>
      <c r="E298">
        <v>16</v>
      </c>
      <c r="F298">
        <v>65.56</v>
      </c>
      <c r="G298">
        <v>0</v>
      </c>
      <c r="H298">
        <v>1</v>
      </c>
      <c r="I298">
        <v>0</v>
      </c>
      <c r="J298">
        <v>1</v>
      </c>
      <c r="K298">
        <v>63.82</v>
      </c>
      <c r="L298">
        <v>61.39</v>
      </c>
    </row>
    <row r="299" spans="1:12" x14ac:dyDescent="0.2">
      <c r="A299" s="4">
        <v>298</v>
      </c>
      <c r="B299" t="s">
        <v>840</v>
      </c>
      <c r="C299">
        <v>62.78</v>
      </c>
      <c r="D299">
        <v>2</v>
      </c>
      <c r="E299">
        <v>25</v>
      </c>
      <c r="F299">
        <v>74.41</v>
      </c>
      <c r="G299">
        <v>0</v>
      </c>
      <c r="H299">
        <v>0</v>
      </c>
      <c r="I299">
        <v>0</v>
      </c>
      <c r="J299">
        <v>1</v>
      </c>
      <c r="K299">
        <v>60.04</v>
      </c>
      <c r="L299">
        <v>64.56</v>
      </c>
    </row>
    <row r="300" spans="1:12" x14ac:dyDescent="0.2">
      <c r="A300" s="4">
        <v>299</v>
      </c>
      <c r="B300" t="s">
        <v>182</v>
      </c>
      <c r="C300">
        <v>62.7</v>
      </c>
      <c r="D300">
        <v>7</v>
      </c>
      <c r="E300">
        <v>20</v>
      </c>
      <c r="F300">
        <v>71.459999999999994</v>
      </c>
      <c r="G300">
        <v>0</v>
      </c>
      <c r="H300">
        <v>0</v>
      </c>
      <c r="I300">
        <v>0</v>
      </c>
      <c r="J300">
        <v>2</v>
      </c>
      <c r="K300">
        <v>63.44</v>
      </c>
      <c r="L300">
        <v>61.58</v>
      </c>
    </row>
    <row r="301" spans="1:12" x14ac:dyDescent="0.2">
      <c r="A301" s="4">
        <v>300</v>
      </c>
      <c r="B301" t="s">
        <v>841</v>
      </c>
      <c r="C301">
        <v>62.39</v>
      </c>
      <c r="D301">
        <v>11</v>
      </c>
      <c r="E301">
        <v>16</v>
      </c>
      <c r="F301">
        <v>65.59</v>
      </c>
      <c r="G301">
        <v>0</v>
      </c>
      <c r="H301">
        <v>0</v>
      </c>
      <c r="I301">
        <v>0</v>
      </c>
      <c r="J301">
        <v>1</v>
      </c>
      <c r="K301">
        <v>61.59</v>
      </c>
      <c r="L301">
        <v>62.89</v>
      </c>
    </row>
    <row r="302" spans="1:12" x14ac:dyDescent="0.2">
      <c r="A302" s="4">
        <v>301</v>
      </c>
      <c r="B302" t="s">
        <v>203</v>
      </c>
      <c r="C302">
        <v>61.99</v>
      </c>
      <c r="D302">
        <v>7</v>
      </c>
      <c r="E302">
        <v>20</v>
      </c>
      <c r="F302">
        <v>68.12</v>
      </c>
      <c r="G302">
        <v>0</v>
      </c>
      <c r="H302">
        <v>1</v>
      </c>
      <c r="I302">
        <v>0</v>
      </c>
      <c r="J302">
        <v>1</v>
      </c>
      <c r="K302">
        <v>60.48</v>
      </c>
      <c r="L302">
        <v>63.03</v>
      </c>
    </row>
    <row r="303" spans="1:12" x14ac:dyDescent="0.2">
      <c r="A303" s="4">
        <v>302</v>
      </c>
      <c r="B303" t="s">
        <v>867</v>
      </c>
      <c r="C303">
        <v>61.77</v>
      </c>
      <c r="D303">
        <v>9</v>
      </c>
      <c r="E303">
        <v>18</v>
      </c>
      <c r="F303">
        <v>67.66</v>
      </c>
      <c r="G303">
        <v>0</v>
      </c>
      <c r="H303">
        <v>0</v>
      </c>
      <c r="I303">
        <v>0</v>
      </c>
      <c r="J303">
        <v>0</v>
      </c>
      <c r="K303">
        <v>62.57</v>
      </c>
      <c r="L303">
        <v>60.53</v>
      </c>
    </row>
    <row r="304" spans="1:12" x14ac:dyDescent="0.2">
      <c r="A304" s="4">
        <v>303</v>
      </c>
      <c r="B304" t="s">
        <v>554</v>
      </c>
      <c r="C304">
        <v>61.72</v>
      </c>
      <c r="D304">
        <v>8</v>
      </c>
      <c r="E304">
        <v>19</v>
      </c>
      <c r="F304">
        <v>67.55</v>
      </c>
      <c r="G304">
        <v>0</v>
      </c>
      <c r="H304">
        <v>0</v>
      </c>
      <c r="I304">
        <v>0</v>
      </c>
      <c r="J304">
        <v>0</v>
      </c>
      <c r="K304">
        <v>61.98</v>
      </c>
      <c r="L304">
        <v>61.19</v>
      </c>
    </row>
    <row r="305" spans="1:12" x14ac:dyDescent="0.2">
      <c r="A305" s="4">
        <v>304</v>
      </c>
      <c r="B305" t="s">
        <v>209</v>
      </c>
      <c r="C305">
        <v>61.17</v>
      </c>
      <c r="D305">
        <v>5</v>
      </c>
      <c r="E305">
        <v>21</v>
      </c>
      <c r="F305">
        <v>70.900000000000006</v>
      </c>
      <c r="G305">
        <v>0</v>
      </c>
      <c r="H305">
        <v>0</v>
      </c>
      <c r="I305">
        <v>0</v>
      </c>
      <c r="J305">
        <v>0</v>
      </c>
      <c r="K305">
        <v>61.37</v>
      </c>
      <c r="L305">
        <v>60.7</v>
      </c>
    </row>
    <row r="306" spans="1:12" x14ac:dyDescent="0.2">
      <c r="A306" s="4">
        <v>305</v>
      </c>
      <c r="B306" t="s">
        <v>842</v>
      </c>
      <c r="C306">
        <v>61.03</v>
      </c>
      <c r="D306">
        <v>11</v>
      </c>
      <c r="E306">
        <v>18</v>
      </c>
      <c r="F306">
        <v>65.83</v>
      </c>
      <c r="G306">
        <v>0</v>
      </c>
      <c r="H306">
        <v>0</v>
      </c>
      <c r="I306">
        <v>0</v>
      </c>
      <c r="J306">
        <v>0</v>
      </c>
      <c r="K306">
        <v>63.18</v>
      </c>
      <c r="L306">
        <v>56.96</v>
      </c>
    </row>
    <row r="307" spans="1:12" x14ac:dyDescent="0.2">
      <c r="A307" s="4">
        <v>306</v>
      </c>
      <c r="B307" t="s">
        <v>843</v>
      </c>
      <c r="C307">
        <v>60.76</v>
      </c>
      <c r="D307">
        <v>12</v>
      </c>
      <c r="E307">
        <v>16</v>
      </c>
      <c r="F307">
        <v>63.53</v>
      </c>
      <c r="G307">
        <v>0</v>
      </c>
      <c r="H307">
        <v>0</v>
      </c>
      <c r="I307">
        <v>0</v>
      </c>
      <c r="J307">
        <v>0</v>
      </c>
      <c r="K307">
        <v>60.37</v>
      </c>
      <c r="L307">
        <v>60.89</v>
      </c>
    </row>
    <row r="308" spans="1:12" x14ac:dyDescent="0.2">
      <c r="A308" s="4">
        <v>307</v>
      </c>
      <c r="B308" t="s">
        <v>206</v>
      </c>
      <c r="C308">
        <v>60.6</v>
      </c>
      <c r="D308">
        <v>3</v>
      </c>
      <c r="E308">
        <v>24</v>
      </c>
      <c r="F308">
        <v>72.67</v>
      </c>
      <c r="G308">
        <v>0</v>
      </c>
      <c r="H308">
        <v>0</v>
      </c>
      <c r="I308">
        <v>0</v>
      </c>
      <c r="J308">
        <v>1</v>
      </c>
      <c r="K308">
        <v>59.53</v>
      </c>
      <c r="L308">
        <v>61.31</v>
      </c>
    </row>
    <row r="309" spans="1:12" x14ac:dyDescent="0.2">
      <c r="A309" s="4">
        <v>308</v>
      </c>
      <c r="B309" t="s">
        <v>881</v>
      </c>
      <c r="C309">
        <v>59.87</v>
      </c>
      <c r="D309">
        <v>3</v>
      </c>
      <c r="E309">
        <v>22</v>
      </c>
      <c r="F309">
        <v>72.45</v>
      </c>
      <c r="G309">
        <v>0</v>
      </c>
      <c r="H309">
        <v>1</v>
      </c>
      <c r="I309">
        <v>0</v>
      </c>
      <c r="J309">
        <v>1</v>
      </c>
      <c r="K309">
        <v>59.46</v>
      </c>
      <c r="L309">
        <v>60.02</v>
      </c>
    </row>
    <row r="310" spans="1:12" x14ac:dyDescent="0.2">
      <c r="A310" s="4">
        <v>309</v>
      </c>
      <c r="B310" t="s">
        <v>268</v>
      </c>
      <c r="C310">
        <v>59.83</v>
      </c>
      <c r="D310">
        <v>4</v>
      </c>
      <c r="E310">
        <v>22</v>
      </c>
      <c r="F310">
        <v>69.22</v>
      </c>
      <c r="G310">
        <v>0</v>
      </c>
      <c r="H310">
        <v>0</v>
      </c>
      <c r="I310">
        <v>0</v>
      </c>
      <c r="J310">
        <v>0</v>
      </c>
      <c r="K310">
        <v>58.05</v>
      </c>
      <c r="L310">
        <v>60.99</v>
      </c>
    </row>
    <row r="311" spans="1:12" x14ac:dyDescent="0.2">
      <c r="A311" s="4">
        <v>310</v>
      </c>
      <c r="B311" t="s">
        <v>903</v>
      </c>
      <c r="C311">
        <v>59.29</v>
      </c>
      <c r="D311">
        <v>5</v>
      </c>
      <c r="E311">
        <v>23</v>
      </c>
      <c r="F311">
        <v>68.209999999999994</v>
      </c>
      <c r="G311">
        <v>0</v>
      </c>
      <c r="H311">
        <v>1</v>
      </c>
      <c r="I311">
        <v>0</v>
      </c>
      <c r="J311">
        <v>1</v>
      </c>
      <c r="K311">
        <v>58.32</v>
      </c>
      <c r="L311">
        <v>59.9</v>
      </c>
    </row>
    <row r="312" spans="1:12" x14ac:dyDescent="0.2">
      <c r="A312" s="4">
        <v>311</v>
      </c>
      <c r="B312" t="s">
        <v>297</v>
      </c>
      <c r="C312">
        <v>59.14</v>
      </c>
      <c r="D312">
        <v>4</v>
      </c>
      <c r="E312">
        <v>23</v>
      </c>
      <c r="F312">
        <v>70.41</v>
      </c>
      <c r="G312">
        <v>0</v>
      </c>
      <c r="H312">
        <v>1</v>
      </c>
      <c r="I312">
        <v>0</v>
      </c>
      <c r="J312">
        <v>1</v>
      </c>
      <c r="K312">
        <v>58.12</v>
      </c>
      <c r="L312">
        <v>59.8</v>
      </c>
    </row>
    <row r="313" spans="1:12" x14ac:dyDescent="0.2">
      <c r="A313" s="4">
        <v>312</v>
      </c>
      <c r="B313" t="s">
        <v>235</v>
      </c>
      <c r="C313">
        <v>59.14</v>
      </c>
      <c r="D313">
        <v>7</v>
      </c>
      <c r="E313">
        <v>20</v>
      </c>
      <c r="F313">
        <v>67.73</v>
      </c>
      <c r="G313">
        <v>0</v>
      </c>
      <c r="H313">
        <v>0</v>
      </c>
      <c r="I313">
        <v>0</v>
      </c>
      <c r="J313">
        <v>0</v>
      </c>
      <c r="K313">
        <v>60.31</v>
      </c>
      <c r="L313">
        <v>57.23</v>
      </c>
    </row>
    <row r="314" spans="1:12" x14ac:dyDescent="0.2">
      <c r="A314" s="4">
        <v>313</v>
      </c>
      <c r="B314" t="s">
        <v>198</v>
      </c>
      <c r="C314">
        <v>59.05</v>
      </c>
      <c r="D314">
        <v>3</v>
      </c>
      <c r="E314">
        <v>21</v>
      </c>
      <c r="F314">
        <v>71.78</v>
      </c>
      <c r="G314">
        <v>0</v>
      </c>
      <c r="H314">
        <v>0</v>
      </c>
      <c r="I314">
        <v>0</v>
      </c>
      <c r="J314">
        <v>0</v>
      </c>
      <c r="K314">
        <v>60.91</v>
      </c>
      <c r="L314">
        <v>55.44</v>
      </c>
    </row>
    <row r="315" spans="1:12" x14ac:dyDescent="0.2">
      <c r="A315" s="4">
        <v>314</v>
      </c>
      <c r="B315" t="s">
        <v>224</v>
      </c>
      <c r="C315">
        <v>58.67</v>
      </c>
      <c r="D315">
        <v>6</v>
      </c>
      <c r="E315">
        <v>22</v>
      </c>
      <c r="F315">
        <v>65.290000000000006</v>
      </c>
      <c r="G315">
        <v>0</v>
      </c>
      <c r="H315">
        <v>0</v>
      </c>
      <c r="I315">
        <v>0</v>
      </c>
      <c r="J315">
        <v>1</v>
      </c>
      <c r="K315">
        <v>55.97</v>
      </c>
      <c r="L315">
        <v>60.26</v>
      </c>
    </row>
    <row r="316" spans="1:12" x14ac:dyDescent="0.2">
      <c r="A316" s="4">
        <v>315</v>
      </c>
      <c r="B316" t="s">
        <v>895</v>
      </c>
      <c r="C316">
        <v>58.15</v>
      </c>
      <c r="D316">
        <v>8</v>
      </c>
      <c r="E316">
        <v>21</v>
      </c>
      <c r="F316">
        <v>65.239999999999995</v>
      </c>
      <c r="G316">
        <v>0</v>
      </c>
      <c r="H316">
        <v>0</v>
      </c>
      <c r="I316">
        <v>0</v>
      </c>
      <c r="J316">
        <v>0</v>
      </c>
      <c r="K316">
        <v>57.45</v>
      </c>
      <c r="L316">
        <v>58.55</v>
      </c>
    </row>
    <row r="317" spans="1:12" x14ac:dyDescent="0.2">
      <c r="A317" s="4">
        <v>316</v>
      </c>
      <c r="B317" t="s">
        <v>279</v>
      </c>
      <c r="C317">
        <v>57.87</v>
      </c>
      <c r="D317">
        <v>4</v>
      </c>
      <c r="E317">
        <v>22</v>
      </c>
      <c r="F317">
        <v>69.709999999999994</v>
      </c>
      <c r="G317">
        <v>0</v>
      </c>
      <c r="H317">
        <v>0</v>
      </c>
      <c r="I317">
        <v>0</v>
      </c>
      <c r="J317">
        <v>1</v>
      </c>
      <c r="K317">
        <v>58.83</v>
      </c>
      <c r="L317">
        <v>56.29</v>
      </c>
    </row>
    <row r="318" spans="1:12" x14ac:dyDescent="0.2">
      <c r="A318" s="4">
        <v>317</v>
      </c>
      <c r="B318" t="s">
        <v>844</v>
      </c>
      <c r="C318">
        <v>57.67</v>
      </c>
      <c r="D318">
        <v>4</v>
      </c>
      <c r="E318">
        <v>23</v>
      </c>
      <c r="F318">
        <v>72.36</v>
      </c>
      <c r="G318">
        <v>0</v>
      </c>
      <c r="H318">
        <v>0</v>
      </c>
      <c r="I318">
        <v>0</v>
      </c>
      <c r="J318">
        <v>0</v>
      </c>
      <c r="K318">
        <v>59.37</v>
      </c>
      <c r="L318">
        <v>54.31</v>
      </c>
    </row>
    <row r="319" spans="1:12" x14ac:dyDescent="0.2">
      <c r="A319" s="4">
        <v>318</v>
      </c>
      <c r="B319" t="s">
        <v>189</v>
      </c>
      <c r="C319">
        <v>57.29</v>
      </c>
      <c r="D319">
        <v>3</v>
      </c>
      <c r="E319">
        <v>24</v>
      </c>
      <c r="F319">
        <v>71.12</v>
      </c>
      <c r="G319">
        <v>0</v>
      </c>
      <c r="H319">
        <v>0</v>
      </c>
      <c r="I319">
        <v>0</v>
      </c>
      <c r="J319">
        <v>0</v>
      </c>
      <c r="K319">
        <v>58.56</v>
      </c>
      <c r="L319">
        <v>55.06</v>
      </c>
    </row>
    <row r="320" spans="1:12" x14ac:dyDescent="0.2">
      <c r="A320" s="4">
        <v>319</v>
      </c>
      <c r="B320" t="s">
        <v>173</v>
      </c>
      <c r="C320">
        <v>56.83</v>
      </c>
      <c r="D320">
        <v>2</v>
      </c>
      <c r="E320">
        <v>24</v>
      </c>
      <c r="F320">
        <v>68.61</v>
      </c>
      <c r="G320">
        <v>0</v>
      </c>
      <c r="H320">
        <v>0</v>
      </c>
      <c r="I320">
        <v>0</v>
      </c>
      <c r="J320">
        <v>0</v>
      </c>
      <c r="K320">
        <v>54.16</v>
      </c>
      <c r="L320">
        <v>58.34</v>
      </c>
    </row>
    <row r="321" spans="1:12" x14ac:dyDescent="0.2">
      <c r="A321" s="4">
        <v>320</v>
      </c>
      <c r="B321" t="s">
        <v>886</v>
      </c>
      <c r="C321">
        <v>56.69</v>
      </c>
      <c r="D321">
        <v>8</v>
      </c>
      <c r="E321">
        <v>21</v>
      </c>
      <c r="F321">
        <v>65.55</v>
      </c>
      <c r="G321">
        <v>0</v>
      </c>
      <c r="H321">
        <v>0</v>
      </c>
      <c r="I321">
        <v>0</v>
      </c>
      <c r="J321">
        <v>2</v>
      </c>
      <c r="K321">
        <v>57.3</v>
      </c>
      <c r="L321">
        <v>55.66</v>
      </c>
    </row>
    <row r="322" spans="1:12" x14ac:dyDescent="0.2">
      <c r="A322" s="4">
        <v>321</v>
      </c>
      <c r="B322" t="s">
        <v>217</v>
      </c>
      <c r="C322">
        <v>55.96</v>
      </c>
      <c r="D322">
        <v>1</v>
      </c>
      <c r="E322">
        <v>27</v>
      </c>
      <c r="F322">
        <v>70.760000000000005</v>
      </c>
      <c r="G322">
        <v>0</v>
      </c>
      <c r="H322">
        <v>0</v>
      </c>
      <c r="I322">
        <v>0</v>
      </c>
      <c r="J322">
        <v>0</v>
      </c>
      <c r="K322">
        <v>53.54</v>
      </c>
      <c r="L322">
        <v>57.33</v>
      </c>
    </row>
    <row r="323" spans="1:12" x14ac:dyDescent="0.2">
      <c r="A323" s="4">
        <v>322</v>
      </c>
      <c r="B323" t="s">
        <v>845</v>
      </c>
      <c r="C323">
        <v>55.9</v>
      </c>
      <c r="D323">
        <v>2</v>
      </c>
      <c r="E323">
        <v>21</v>
      </c>
      <c r="F323">
        <v>69.150000000000006</v>
      </c>
      <c r="G323">
        <v>0</v>
      </c>
      <c r="H323">
        <v>0</v>
      </c>
      <c r="I323">
        <v>0</v>
      </c>
      <c r="J323">
        <v>0</v>
      </c>
      <c r="K323">
        <v>55.25</v>
      </c>
      <c r="L323">
        <v>56.26</v>
      </c>
    </row>
    <row r="324" spans="1:12" x14ac:dyDescent="0.2">
      <c r="A324" s="4">
        <v>323</v>
      </c>
      <c r="B324" t="s">
        <v>283</v>
      </c>
      <c r="C324">
        <v>55.17</v>
      </c>
      <c r="D324">
        <v>3</v>
      </c>
      <c r="E324">
        <v>23</v>
      </c>
      <c r="F324">
        <v>69.3</v>
      </c>
      <c r="G324">
        <v>0</v>
      </c>
      <c r="H324">
        <v>0</v>
      </c>
      <c r="I324">
        <v>0</v>
      </c>
      <c r="J324">
        <v>0</v>
      </c>
      <c r="K324">
        <v>55.7</v>
      </c>
      <c r="L324">
        <v>54.23</v>
      </c>
    </row>
    <row r="325" spans="1:12" x14ac:dyDescent="0.2">
      <c r="A325" s="4">
        <v>324</v>
      </c>
      <c r="B325" t="s">
        <v>549</v>
      </c>
      <c r="C325">
        <v>55.12</v>
      </c>
      <c r="D325">
        <v>4</v>
      </c>
      <c r="E325">
        <v>21</v>
      </c>
      <c r="F325">
        <v>66.83</v>
      </c>
      <c r="G325">
        <v>0</v>
      </c>
      <c r="H325">
        <v>1</v>
      </c>
      <c r="I325">
        <v>0</v>
      </c>
      <c r="J325">
        <v>1</v>
      </c>
      <c r="K325">
        <v>56.12</v>
      </c>
      <c r="L325">
        <v>53.34</v>
      </c>
    </row>
    <row r="326" spans="1:12" x14ac:dyDescent="0.2">
      <c r="A326" s="4">
        <v>325</v>
      </c>
      <c r="B326" t="s">
        <v>888</v>
      </c>
      <c r="C326">
        <v>52.62</v>
      </c>
      <c r="D326">
        <v>3</v>
      </c>
      <c r="E326">
        <v>25</v>
      </c>
      <c r="F326">
        <v>67.86</v>
      </c>
      <c r="G326">
        <v>0</v>
      </c>
      <c r="H326">
        <v>0</v>
      </c>
      <c r="I326">
        <v>0</v>
      </c>
      <c r="J326">
        <v>1</v>
      </c>
      <c r="K326">
        <v>52.45</v>
      </c>
      <c r="L326">
        <v>52.55</v>
      </c>
    </row>
    <row r="327" spans="1:12" x14ac:dyDescent="0.2">
      <c r="A327" s="4">
        <v>326</v>
      </c>
      <c r="B327" t="s">
        <v>270</v>
      </c>
      <c r="C327">
        <v>50.15</v>
      </c>
      <c r="D327">
        <v>1</v>
      </c>
      <c r="E327">
        <v>26</v>
      </c>
      <c r="F327">
        <v>68.89</v>
      </c>
      <c r="G327">
        <v>0</v>
      </c>
      <c r="H327">
        <v>0</v>
      </c>
      <c r="I327">
        <v>0</v>
      </c>
      <c r="J327">
        <v>0</v>
      </c>
      <c r="K327">
        <v>51.42</v>
      </c>
      <c r="L327">
        <v>47.23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3BD8-3A4D-486B-821E-DDFE782BF8F7}">
  <dimension ref="A1:L328"/>
  <sheetViews>
    <sheetView topLeftCell="A301" workbookViewId="0">
      <selection activeCell="B301" sqref="B301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858</v>
      </c>
      <c r="H1" t="s">
        <v>857</v>
      </c>
      <c r="I1" t="s">
        <v>856</v>
      </c>
      <c r="J1" t="s">
        <v>855</v>
      </c>
      <c r="K1" t="s">
        <v>854</v>
      </c>
      <c r="L1" t="s">
        <v>28</v>
      </c>
    </row>
    <row r="2" spans="1:12" x14ac:dyDescent="0.2">
      <c r="A2" s="3">
        <v>1</v>
      </c>
      <c r="B2" t="s">
        <v>15</v>
      </c>
      <c r="C2">
        <v>94.03</v>
      </c>
      <c r="D2">
        <v>32</v>
      </c>
      <c r="E2">
        <v>4</v>
      </c>
      <c r="F2">
        <v>80.709999999999994</v>
      </c>
      <c r="G2">
        <v>0</v>
      </c>
      <c r="H2">
        <v>2</v>
      </c>
      <c r="I2">
        <v>8</v>
      </c>
      <c r="J2">
        <v>3</v>
      </c>
      <c r="K2">
        <v>94.11</v>
      </c>
      <c r="L2">
        <v>93.66</v>
      </c>
    </row>
    <row r="3" spans="1:12" x14ac:dyDescent="0.2">
      <c r="A3" s="3">
        <v>2</v>
      </c>
      <c r="B3" t="s">
        <v>6</v>
      </c>
      <c r="C3">
        <v>93.05</v>
      </c>
      <c r="D3">
        <v>28</v>
      </c>
      <c r="E3">
        <v>4</v>
      </c>
      <c r="F3">
        <v>79.95</v>
      </c>
      <c r="G3">
        <v>2</v>
      </c>
      <c r="H3">
        <v>1</v>
      </c>
      <c r="I3">
        <v>4</v>
      </c>
      <c r="J3">
        <v>2</v>
      </c>
      <c r="K3">
        <v>92.4</v>
      </c>
      <c r="L3">
        <v>93.55</v>
      </c>
    </row>
    <row r="4" spans="1:12" x14ac:dyDescent="0.2">
      <c r="A4" s="3">
        <v>3</v>
      </c>
      <c r="B4" t="s">
        <v>2</v>
      </c>
      <c r="C4">
        <v>92.36</v>
      </c>
      <c r="D4">
        <v>28</v>
      </c>
      <c r="E4">
        <v>8</v>
      </c>
      <c r="F4">
        <v>81.73</v>
      </c>
      <c r="G4">
        <v>4</v>
      </c>
      <c r="H4">
        <v>3</v>
      </c>
      <c r="I4">
        <v>8</v>
      </c>
      <c r="J4">
        <v>5</v>
      </c>
      <c r="K4">
        <v>90.62</v>
      </c>
      <c r="L4">
        <v>95.28</v>
      </c>
    </row>
    <row r="5" spans="1:12" x14ac:dyDescent="0.2">
      <c r="A5" s="3">
        <v>4</v>
      </c>
      <c r="B5" t="s">
        <v>153</v>
      </c>
      <c r="C5">
        <v>92.24</v>
      </c>
      <c r="D5">
        <v>28</v>
      </c>
      <c r="E5">
        <v>5</v>
      </c>
      <c r="F5">
        <v>77.959999999999994</v>
      </c>
      <c r="G5">
        <v>1</v>
      </c>
      <c r="H5">
        <v>2</v>
      </c>
      <c r="I5">
        <v>4</v>
      </c>
      <c r="J5">
        <v>4</v>
      </c>
      <c r="K5">
        <v>91.8</v>
      </c>
      <c r="L5">
        <v>92.45</v>
      </c>
    </row>
    <row r="6" spans="1:12" x14ac:dyDescent="0.2">
      <c r="A6" s="3">
        <v>5</v>
      </c>
      <c r="B6" t="s">
        <v>73</v>
      </c>
      <c r="C6">
        <v>91.03</v>
      </c>
      <c r="D6">
        <v>30</v>
      </c>
      <c r="E6">
        <v>5</v>
      </c>
      <c r="F6">
        <v>80.11</v>
      </c>
      <c r="G6">
        <v>4</v>
      </c>
      <c r="H6">
        <v>1</v>
      </c>
      <c r="I6">
        <v>9</v>
      </c>
      <c r="J6">
        <v>4</v>
      </c>
      <c r="K6">
        <v>93.38</v>
      </c>
      <c r="L6">
        <v>89.29</v>
      </c>
    </row>
    <row r="7" spans="1:12" x14ac:dyDescent="0.2">
      <c r="A7" s="3">
        <v>6</v>
      </c>
      <c r="B7" t="s">
        <v>38</v>
      </c>
      <c r="C7">
        <v>90.66</v>
      </c>
      <c r="D7">
        <v>26</v>
      </c>
      <c r="E7">
        <v>7</v>
      </c>
      <c r="F7">
        <v>80.69</v>
      </c>
      <c r="G7">
        <v>2</v>
      </c>
      <c r="H7">
        <v>3</v>
      </c>
      <c r="I7">
        <v>10</v>
      </c>
      <c r="J7">
        <v>6</v>
      </c>
      <c r="K7">
        <v>90.71</v>
      </c>
      <c r="L7">
        <v>90.32</v>
      </c>
    </row>
    <row r="8" spans="1:12" x14ac:dyDescent="0.2">
      <c r="A8" s="3">
        <v>7</v>
      </c>
      <c r="B8" t="s">
        <v>45</v>
      </c>
      <c r="C8">
        <v>89.84</v>
      </c>
      <c r="D8">
        <v>27</v>
      </c>
      <c r="E8">
        <v>7</v>
      </c>
      <c r="F8">
        <v>79.83</v>
      </c>
      <c r="G8">
        <v>1</v>
      </c>
      <c r="H8">
        <v>3</v>
      </c>
      <c r="I8">
        <v>9</v>
      </c>
      <c r="J8">
        <v>6</v>
      </c>
      <c r="K8">
        <v>89.94</v>
      </c>
      <c r="L8">
        <v>89.47</v>
      </c>
    </row>
    <row r="9" spans="1:12" x14ac:dyDescent="0.2">
      <c r="A9" s="3">
        <v>8</v>
      </c>
      <c r="B9" t="s">
        <v>9</v>
      </c>
      <c r="C9">
        <v>89.41</v>
      </c>
      <c r="D9">
        <v>26</v>
      </c>
      <c r="E9">
        <v>7</v>
      </c>
      <c r="F9">
        <v>79.42</v>
      </c>
      <c r="G9">
        <v>0</v>
      </c>
      <c r="H9">
        <v>1</v>
      </c>
      <c r="I9">
        <v>3</v>
      </c>
      <c r="J9">
        <v>3</v>
      </c>
      <c r="K9">
        <v>88.67</v>
      </c>
      <c r="L9">
        <v>90</v>
      </c>
    </row>
    <row r="10" spans="1:12" x14ac:dyDescent="0.2">
      <c r="A10" s="3">
        <v>9</v>
      </c>
      <c r="B10" t="s">
        <v>104</v>
      </c>
      <c r="C10">
        <v>89.21</v>
      </c>
      <c r="D10">
        <v>25</v>
      </c>
      <c r="E10">
        <v>7</v>
      </c>
      <c r="F10">
        <v>78.8</v>
      </c>
      <c r="G10">
        <v>2</v>
      </c>
      <c r="H10">
        <v>1</v>
      </c>
      <c r="I10">
        <v>3</v>
      </c>
      <c r="J10">
        <v>4</v>
      </c>
      <c r="K10">
        <v>88</v>
      </c>
      <c r="L10">
        <v>90.54</v>
      </c>
    </row>
    <row r="11" spans="1:12" x14ac:dyDescent="0.2">
      <c r="A11" s="3">
        <v>10</v>
      </c>
      <c r="B11" t="s">
        <v>65</v>
      </c>
      <c r="C11">
        <v>89.01</v>
      </c>
      <c r="D11">
        <v>27</v>
      </c>
      <c r="E11">
        <v>6</v>
      </c>
      <c r="F11">
        <v>79.06</v>
      </c>
      <c r="G11">
        <v>3</v>
      </c>
      <c r="H11">
        <v>2</v>
      </c>
      <c r="I11">
        <v>6</v>
      </c>
      <c r="J11">
        <v>3</v>
      </c>
      <c r="K11">
        <v>90.55</v>
      </c>
      <c r="L11">
        <v>87.6</v>
      </c>
    </row>
    <row r="12" spans="1:12" x14ac:dyDescent="0.2">
      <c r="A12" s="4">
        <v>11</v>
      </c>
      <c r="B12" t="s">
        <v>60</v>
      </c>
      <c r="C12">
        <v>88.96</v>
      </c>
      <c r="D12">
        <v>25</v>
      </c>
      <c r="E12">
        <v>8</v>
      </c>
      <c r="F12">
        <v>79.239999999999995</v>
      </c>
      <c r="G12">
        <v>1</v>
      </c>
      <c r="H12">
        <v>2</v>
      </c>
      <c r="I12">
        <v>4</v>
      </c>
      <c r="J12">
        <v>5</v>
      </c>
      <c r="K12">
        <v>88.36</v>
      </c>
      <c r="L12">
        <v>89.36</v>
      </c>
    </row>
    <row r="13" spans="1:12" x14ac:dyDescent="0.2">
      <c r="A13" s="4">
        <v>12</v>
      </c>
      <c r="B13" t="s">
        <v>34</v>
      </c>
      <c r="C13">
        <v>88.88</v>
      </c>
      <c r="D13">
        <v>25</v>
      </c>
      <c r="E13">
        <v>7</v>
      </c>
      <c r="F13">
        <v>78.06</v>
      </c>
      <c r="G13">
        <v>0</v>
      </c>
      <c r="H13">
        <v>0</v>
      </c>
      <c r="I13">
        <v>4</v>
      </c>
      <c r="J13">
        <v>5</v>
      </c>
      <c r="K13">
        <v>87.91</v>
      </c>
      <c r="L13">
        <v>89.8</v>
      </c>
    </row>
    <row r="14" spans="1:12" x14ac:dyDescent="0.2">
      <c r="A14" s="4">
        <v>13</v>
      </c>
      <c r="B14" t="s">
        <v>53</v>
      </c>
      <c r="C14">
        <v>88.58</v>
      </c>
      <c r="D14">
        <v>25</v>
      </c>
      <c r="E14">
        <v>6</v>
      </c>
      <c r="F14">
        <v>78.3</v>
      </c>
      <c r="G14">
        <v>1</v>
      </c>
      <c r="H14">
        <v>2</v>
      </c>
      <c r="I14">
        <v>3</v>
      </c>
      <c r="J14">
        <v>3</v>
      </c>
      <c r="K14">
        <v>89.33</v>
      </c>
      <c r="L14">
        <v>87.66</v>
      </c>
    </row>
    <row r="15" spans="1:12" x14ac:dyDescent="0.2">
      <c r="A15" s="4">
        <v>14</v>
      </c>
      <c r="B15" t="s">
        <v>54</v>
      </c>
      <c r="C15">
        <v>88.34</v>
      </c>
      <c r="D15">
        <v>24</v>
      </c>
      <c r="E15">
        <v>10</v>
      </c>
      <c r="F15">
        <v>80.900000000000006</v>
      </c>
      <c r="G15">
        <v>3</v>
      </c>
      <c r="H15">
        <v>5</v>
      </c>
      <c r="I15">
        <v>5</v>
      </c>
      <c r="J15">
        <v>7</v>
      </c>
      <c r="K15">
        <v>88.38</v>
      </c>
      <c r="L15">
        <v>88.03</v>
      </c>
    </row>
    <row r="16" spans="1:12" x14ac:dyDescent="0.2">
      <c r="A16" s="4">
        <v>15</v>
      </c>
      <c r="B16" t="s">
        <v>286</v>
      </c>
      <c r="C16">
        <v>88.14</v>
      </c>
      <c r="D16">
        <v>19</v>
      </c>
      <c r="E16">
        <v>8</v>
      </c>
      <c r="F16">
        <v>82.61</v>
      </c>
      <c r="G16">
        <v>1</v>
      </c>
      <c r="H16">
        <v>3</v>
      </c>
      <c r="I16">
        <v>3</v>
      </c>
      <c r="J16">
        <v>4</v>
      </c>
      <c r="K16">
        <v>88.07</v>
      </c>
      <c r="L16">
        <v>87.93</v>
      </c>
    </row>
    <row r="17" spans="1:12" x14ac:dyDescent="0.2">
      <c r="A17" s="4">
        <v>16</v>
      </c>
      <c r="B17" t="s">
        <v>43</v>
      </c>
      <c r="C17">
        <v>87.63</v>
      </c>
      <c r="D17">
        <v>24</v>
      </c>
      <c r="E17">
        <v>8</v>
      </c>
      <c r="F17">
        <v>78.13</v>
      </c>
      <c r="G17">
        <v>0</v>
      </c>
      <c r="H17">
        <v>2</v>
      </c>
      <c r="I17">
        <v>2</v>
      </c>
      <c r="J17">
        <v>5</v>
      </c>
      <c r="K17">
        <v>86.85</v>
      </c>
      <c r="L17">
        <v>88.24</v>
      </c>
    </row>
    <row r="18" spans="1:12" x14ac:dyDescent="0.2">
      <c r="A18" s="4">
        <v>17</v>
      </c>
      <c r="B18" t="s">
        <v>51</v>
      </c>
      <c r="C18">
        <v>87.48</v>
      </c>
      <c r="D18">
        <v>26</v>
      </c>
      <c r="E18">
        <v>6</v>
      </c>
      <c r="F18">
        <v>76.72</v>
      </c>
      <c r="G18">
        <v>0</v>
      </c>
      <c r="H18">
        <v>0</v>
      </c>
      <c r="I18">
        <v>3</v>
      </c>
      <c r="J18">
        <v>3</v>
      </c>
      <c r="K18">
        <v>86.97</v>
      </c>
      <c r="L18">
        <v>87.76</v>
      </c>
    </row>
    <row r="19" spans="1:12" x14ac:dyDescent="0.2">
      <c r="A19" s="4">
        <v>18</v>
      </c>
      <c r="B19" t="s">
        <v>75</v>
      </c>
      <c r="C19">
        <v>87.03</v>
      </c>
      <c r="D19">
        <v>21</v>
      </c>
      <c r="E19">
        <v>10</v>
      </c>
      <c r="F19">
        <v>78.48</v>
      </c>
      <c r="G19">
        <v>1</v>
      </c>
      <c r="H19">
        <v>1</v>
      </c>
      <c r="I19">
        <v>3</v>
      </c>
      <c r="J19">
        <v>5</v>
      </c>
      <c r="K19">
        <v>85.01</v>
      </c>
      <c r="L19">
        <v>90.01</v>
      </c>
    </row>
    <row r="20" spans="1:12" x14ac:dyDescent="0.2">
      <c r="A20" s="4">
        <v>19</v>
      </c>
      <c r="B20" t="s">
        <v>37</v>
      </c>
      <c r="C20">
        <v>87.01</v>
      </c>
      <c r="D20">
        <v>23</v>
      </c>
      <c r="E20">
        <v>10</v>
      </c>
      <c r="F20">
        <v>79.459999999999994</v>
      </c>
      <c r="G20">
        <v>2</v>
      </c>
      <c r="H20">
        <v>4</v>
      </c>
      <c r="I20">
        <v>4</v>
      </c>
      <c r="J20">
        <v>4</v>
      </c>
      <c r="K20">
        <v>86.71</v>
      </c>
      <c r="L20">
        <v>87.04</v>
      </c>
    </row>
    <row r="21" spans="1:12" x14ac:dyDescent="0.2">
      <c r="A21" s="4">
        <v>20</v>
      </c>
      <c r="B21" t="s">
        <v>791</v>
      </c>
      <c r="C21">
        <v>87.01</v>
      </c>
      <c r="D21">
        <v>21</v>
      </c>
      <c r="E21">
        <v>10</v>
      </c>
      <c r="F21">
        <v>79.47</v>
      </c>
      <c r="G21">
        <v>1</v>
      </c>
      <c r="H21">
        <v>2</v>
      </c>
      <c r="I21">
        <v>2</v>
      </c>
      <c r="J21">
        <v>5</v>
      </c>
      <c r="K21">
        <v>85.53</v>
      </c>
      <c r="L21">
        <v>88.73</v>
      </c>
    </row>
    <row r="22" spans="1:12" x14ac:dyDescent="0.2">
      <c r="A22" s="4">
        <v>21</v>
      </c>
      <c r="B22" t="s">
        <v>52</v>
      </c>
      <c r="C22">
        <v>86.4</v>
      </c>
      <c r="D22">
        <v>29</v>
      </c>
      <c r="E22">
        <v>5</v>
      </c>
      <c r="F22">
        <v>73.819999999999993</v>
      </c>
      <c r="G22">
        <v>0</v>
      </c>
      <c r="H22">
        <v>0</v>
      </c>
      <c r="I22">
        <v>1</v>
      </c>
      <c r="J22">
        <v>1</v>
      </c>
      <c r="K22">
        <v>85.87</v>
      </c>
      <c r="L22">
        <v>86.7</v>
      </c>
    </row>
    <row r="23" spans="1:12" x14ac:dyDescent="0.2">
      <c r="A23" s="4">
        <v>22</v>
      </c>
      <c r="B23" t="s">
        <v>117</v>
      </c>
      <c r="C23">
        <v>86.34</v>
      </c>
      <c r="D23">
        <v>22</v>
      </c>
      <c r="E23">
        <v>11</v>
      </c>
      <c r="F23">
        <v>81.180000000000007</v>
      </c>
      <c r="G23">
        <v>2</v>
      </c>
      <c r="H23">
        <v>6</v>
      </c>
      <c r="I23">
        <v>5</v>
      </c>
      <c r="J23">
        <v>8</v>
      </c>
      <c r="K23">
        <v>86.54</v>
      </c>
      <c r="L23">
        <v>85.86</v>
      </c>
    </row>
    <row r="24" spans="1:12" x14ac:dyDescent="0.2">
      <c r="A24" s="4">
        <v>23</v>
      </c>
      <c r="B24" t="s">
        <v>794</v>
      </c>
      <c r="C24">
        <v>85.88</v>
      </c>
      <c r="D24">
        <v>22</v>
      </c>
      <c r="E24">
        <v>13</v>
      </c>
      <c r="F24">
        <v>80.77</v>
      </c>
      <c r="G24">
        <v>1</v>
      </c>
      <c r="H24">
        <v>3</v>
      </c>
      <c r="I24">
        <v>6</v>
      </c>
      <c r="J24">
        <v>7</v>
      </c>
      <c r="K24">
        <v>85.08</v>
      </c>
      <c r="L24">
        <v>86.5</v>
      </c>
    </row>
    <row r="25" spans="1:12" x14ac:dyDescent="0.2">
      <c r="A25" s="4">
        <v>24</v>
      </c>
      <c r="B25" t="s">
        <v>790</v>
      </c>
      <c r="C25">
        <v>85.88</v>
      </c>
      <c r="D25">
        <v>21</v>
      </c>
      <c r="E25">
        <v>10</v>
      </c>
      <c r="F25">
        <v>79.84</v>
      </c>
      <c r="G25">
        <v>2</v>
      </c>
      <c r="H25">
        <v>4</v>
      </c>
      <c r="I25">
        <v>5</v>
      </c>
      <c r="J25">
        <v>6</v>
      </c>
      <c r="K25">
        <v>86.03</v>
      </c>
      <c r="L25">
        <v>85.44</v>
      </c>
    </row>
    <row r="26" spans="1:12" x14ac:dyDescent="0.2">
      <c r="A26" s="4">
        <v>25</v>
      </c>
      <c r="B26" t="s">
        <v>783</v>
      </c>
      <c r="C26">
        <v>85.76</v>
      </c>
      <c r="D26">
        <v>23</v>
      </c>
      <c r="E26">
        <v>7</v>
      </c>
      <c r="F26">
        <v>76.48</v>
      </c>
      <c r="G26">
        <v>0</v>
      </c>
      <c r="H26">
        <v>0</v>
      </c>
      <c r="I26">
        <v>0</v>
      </c>
      <c r="J26">
        <v>1</v>
      </c>
      <c r="K26">
        <v>84.73</v>
      </c>
      <c r="L26">
        <v>86.71</v>
      </c>
    </row>
    <row r="27" spans="1:12" x14ac:dyDescent="0.2">
      <c r="A27" s="4">
        <v>26</v>
      </c>
      <c r="B27" t="s">
        <v>40</v>
      </c>
      <c r="C27">
        <v>85.09</v>
      </c>
      <c r="D27">
        <v>23</v>
      </c>
      <c r="E27">
        <v>7</v>
      </c>
      <c r="F27">
        <v>76.86</v>
      </c>
      <c r="G27">
        <v>2</v>
      </c>
      <c r="H27">
        <v>1</v>
      </c>
      <c r="I27">
        <v>3</v>
      </c>
      <c r="J27">
        <v>2</v>
      </c>
      <c r="K27">
        <v>85.53</v>
      </c>
      <c r="L27">
        <v>84.39</v>
      </c>
    </row>
    <row r="28" spans="1:12" x14ac:dyDescent="0.2">
      <c r="A28" s="4">
        <v>27</v>
      </c>
      <c r="B28" t="s">
        <v>16</v>
      </c>
      <c r="C28">
        <v>84.95</v>
      </c>
      <c r="D28">
        <v>19</v>
      </c>
      <c r="E28">
        <v>11</v>
      </c>
      <c r="F28">
        <v>80.069999999999993</v>
      </c>
      <c r="G28">
        <v>1</v>
      </c>
      <c r="H28">
        <v>1</v>
      </c>
      <c r="I28">
        <v>4</v>
      </c>
      <c r="J28">
        <v>5</v>
      </c>
      <c r="K28">
        <v>83.89</v>
      </c>
      <c r="L28">
        <v>85.93</v>
      </c>
    </row>
    <row r="29" spans="1:12" x14ac:dyDescent="0.2">
      <c r="A29" s="4">
        <v>28</v>
      </c>
      <c r="B29" t="s">
        <v>31</v>
      </c>
      <c r="C29">
        <v>84.88</v>
      </c>
      <c r="D29">
        <v>22</v>
      </c>
      <c r="E29">
        <v>13</v>
      </c>
      <c r="F29">
        <v>79.72</v>
      </c>
      <c r="G29">
        <v>1</v>
      </c>
      <c r="H29">
        <v>6</v>
      </c>
      <c r="I29">
        <v>2</v>
      </c>
      <c r="J29">
        <v>8</v>
      </c>
      <c r="K29">
        <v>83.87</v>
      </c>
      <c r="L29">
        <v>85.79</v>
      </c>
    </row>
    <row r="30" spans="1:12" x14ac:dyDescent="0.2">
      <c r="A30" s="4">
        <v>29</v>
      </c>
      <c r="B30" t="s">
        <v>98</v>
      </c>
      <c r="C30">
        <v>84.82</v>
      </c>
      <c r="D30">
        <v>24</v>
      </c>
      <c r="E30">
        <v>9</v>
      </c>
      <c r="F30">
        <v>78.94</v>
      </c>
      <c r="G30">
        <v>1</v>
      </c>
      <c r="H30">
        <v>1</v>
      </c>
      <c r="I30">
        <v>3</v>
      </c>
      <c r="J30">
        <v>2</v>
      </c>
      <c r="K30">
        <v>85.22</v>
      </c>
      <c r="L30">
        <v>84.17</v>
      </c>
    </row>
    <row r="31" spans="1:12" x14ac:dyDescent="0.2">
      <c r="A31" s="4">
        <v>30</v>
      </c>
      <c r="B31" t="s">
        <v>106</v>
      </c>
      <c r="C31">
        <v>84.82</v>
      </c>
      <c r="D31">
        <v>26</v>
      </c>
      <c r="E31">
        <v>6</v>
      </c>
      <c r="F31">
        <v>76.540000000000006</v>
      </c>
      <c r="G31">
        <v>1</v>
      </c>
      <c r="H31">
        <v>2</v>
      </c>
      <c r="I31">
        <v>2</v>
      </c>
      <c r="J31">
        <v>2</v>
      </c>
      <c r="K31">
        <v>87.11</v>
      </c>
      <c r="L31">
        <v>82.89</v>
      </c>
    </row>
    <row r="32" spans="1:12" x14ac:dyDescent="0.2">
      <c r="A32" s="4">
        <v>31</v>
      </c>
      <c r="B32" t="s">
        <v>58</v>
      </c>
      <c r="C32">
        <v>84.69</v>
      </c>
      <c r="D32">
        <v>23</v>
      </c>
      <c r="E32">
        <v>9</v>
      </c>
      <c r="F32">
        <v>77.56</v>
      </c>
      <c r="G32">
        <v>0</v>
      </c>
      <c r="H32">
        <v>0</v>
      </c>
      <c r="I32">
        <v>0</v>
      </c>
      <c r="J32">
        <v>3</v>
      </c>
      <c r="K32">
        <v>84.04</v>
      </c>
      <c r="L32">
        <v>85.11</v>
      </c>
    </row>
    <row r="33" spans="1:12" x14ac:dyDescent="0.2">
      <c r="A33" s="4">
        <v>32</v>
      </c>
      <c r="B33" t="s">
        <v>273</v>
      </c>
      <c r="C33">
        <v>84.62</v>
      </c>
      <c r="D33">
        <v>21</v>
      </c>
      <c r="E33">
        <v>11</v>
      </c>
      <c r="F33">
        <v>77.510000000000005</v>
      </c>
      <c r="G33">
        <v>1</v>
      </c>
      <c r="H33">
        <v>1</v>
      </c>
      <c r="I33">
        <v>3</v>
      </c>
      <c r="J33">
        <v>6</v>
      </c>
      <c r="K33">
        <v>82.84</v>
      </c>
      <c r="L33">
        <v>86.77</v>
      </c>
    </row>
    <row r="34" spans="1:12" x14ac:dyDescent="0.2">
      <c r="A34" s="4">
        <v>33</v>
      </c>
      <c r="B34" t="s">
        <v>62</v>
      </c>
      <c r="C34">
        <v>84.6</v>
      </c>
      <c r="D34">
        <v>24</v>
      </c>
      <c r="E34">
        <v>6</v>
      </c>
      <c r="F34">
        <v>76.94</v>
      </c>
      <c r="G34">
        <v>1</v>
      </c>
      <c r="H34">
        <v>1</v>
      </c>
      <c r="I34">
        <v>3</v>
      </c>
      <c r="J34">
        <v>3</v>
      </c>
      <c r="K34">
        <v>86.28</v>
      </c>
      <c r="L34">
        <v>83</v>
      </c>
    </row>
    <row r="35" spans="1:12" x14ac:dyDescent="0.2">
      <c r="A35" s="4">
        <v>34</v>
      </c>
      <c r="B35" t="s">
        <v>811</v>
      </c>
      <c r="C35">
        <v>84.38</v>
      </c>
      <c r="D35">
        <v>19</v>
      </c>
      <c r="E35">
        <v>12</v>
      </c>
      <c r="F35">
        <v>80.03</v>
      </c>
      <c r="G35">
        <v>0</v>
      </c>
      <c r="H35">
        <v>4</v>
      </c>
      <c r="I35">
        <v>2</v>
      </c>
      <c r="J35">
        <v>6</v>
      </c>
      <c r="K35">
        <v>83.33</v>
      </c>
      <c r="L35">
        <v>85.32</v>
      </c>
    </row>
    <row r="36" spans="1:12" x14ac:dyDescent="0.2">
      <c r="A36" s="4">
        <v>35</v>
      </c>
      <c r="B36" t="s">
        <v>59</v>
      </c>
      <c r="C36">
        <v>84.32</v>
      </c>
      <c r="D36">
        <v>23</v>
      </c>
      <c r="E36">
        <v>10</v>
      </c>
      <c r="F36">
        <v>77.16</v>
      </c>
      <c r="G36">
        <v>1</v>
      </c>
      <c r="H36">
        <v>2</v>
      </c>
      <c r="I36">
        <v>2</v>
      </c>
      <c r="J36">
        <v>3</v>
      </c>
      <c r="K36">
        <v>83.32</v>
      </c>
      <c r="L36">
        <v>85.2</v>
      </c>
    </row>
    <row r="37" spans="1:12" x14ac:dyDescent="0.2">
      <c r="A37" s="4">
        <v>36</v>
      </c>
      <c r="B37" t="s">
        <v>46</v>
      </c>
      <c r="C37">
        <v>84.24</v>
      </c>
      <c r="D37">
        <v>21</v>
      </c>
      <c r="E37">
        <v>13</v>
      </c>
      <c r="F37">
        <v>81</v>
      </c>
      <c r="G37">
        <v>0</v>
      </c>
      <c r="H37">
        <v>3</v>
      </c>
      <c r="I37">
        <v>3</v>
      </c>
      <c r="J37">
        <v>9</v>
      </c>
      <c r="K37">
        <v>84.31</v>
      </c>
      <c r="L37">
        <v>83.88</v>
      </c>
    </row>
    <row r="38" spans="1:12" x14ac:dyDescent="0.2">
      <c r="A38" s="4">
        <v>37</v>
      </c>
      <c r="B38" t="s">
        <v>0</v>
      </c>
      <c r="C38">
        <v>84.18</v>
      </c>
      <c r="D38">
        <v>24</v>
      </c>
      <c r="E38">
        <v>9</v>
      </c>
      <c r="F38">
        <v>76.650000000000006</v>
      </c>
      <c r="G38">
        <v>0</v>
      </c>
      <c r="H38">
        <v>2</v>
      </c>
      <c r="I38">
        <v>0</v>
      </c>
      <c r="J38">
        <v>5</v>
      </c>
      <c r="K38">
        <v>83.69</v>
      </c>
      <c r="L38">
        <v>84.42</v>
      </c>
    </row>
    <row r="39" spans="1:12" x14ac:dyDescent="0.2">
      <c r="A39" s="4">
        <v>38</v>
      </c>
      <c r="B39" t="s">
        <v>131</v>
      </c>
      <c r="C39">
        <v>83.92</v>
      </c>
      <c r="D39">
        <v>22</v>
      </c>
      <c r="E39">
        <v>9</v>
      </c>
      <c r="F39">
        <v>78.61</v>
      </c>
      <c r="G39">
        <v>0</v>
      </c>
      <c r="H39">
        <v>4</v>
      </c>
      <c r="I39">
        <v>1</v>
      </c>
      <c r="J39">
        <v>6</v>
      </c>
      <c r="K39">
        <v>84.78</v>
      </c>
      <c r="L39">
        <v>82.88</v>
      </c>
    </row>
    <row r="40" spans="1:12" x14ac:dyDescent="0.2">
      <c r="A40" s="4">
        <v>39</v>
      </c>
      <c r="B40" t="s">
        <v>69</v>
      </c>
      <c r="C40">
        <v>83.87</v>
      </c>
      <c r="D40">
        <v>20</v>
      </c>
      <c r="E40">
        <v>12</v>
      </c>
      <c r="F40">
        <v>79.31</v>
      </c>
      <c r="G40">
        <v>2</v>
      </c>
      <c r="H40">
        <v>3</v>
      </c>
      <c r="I40">
        <v>4</v>
      </c>
      <c r="J40">
        <v>7</v>
      </c>
      <c r="K40">
        <v>83.32</v>
      </c>
      <c r="L40">
        <v>84.17</v>
      </c>
    </row>
    <row r="41" spans="1:12" x14ac:dyDescent="0.2">
      <c r="A41" s="4">
        <v>40</v>
      </c>
      <c r="B41" t="s">
        <v>113</v>
      </c>
      <c r="C41">
        <v>83.85</v>
      </c>
      <c r="D41">
        <v>24</v>
      </c>
      <c r="E41">
        <v>8</v>
      </c>
      <c r="F41">
        <v>77.3</v>
      </c>
      <c r="G41">
        <v>0</v>
      </c>
      <c r="H41">
        <v>1</v>
      </c>
      <c r="I41">
        <v>0</v>
      </c>
      <c r="J41">
        <v>1</v>
      </c>
      <c r="K41">
        <v>84.94</v>
      </c>
      <c r="L41">
        <v>82.63</v>
      </c>
    </row>
    <row r="42" spans="1:12" x14ac:dyDescent="0.2">
      <c r="A42" s="4">
        <v>41</v>
      </c>
      <c r="B42" t="s">
        <v>33</v>
      </c>
      <c r="C42">
        <v>83.83</v>
      </c>
      <c r="D42">
        <v>21</v>
      </c>
      <c r="E42">
        <v>12</v>
      </c>
      <c r="F42">
        <v>79.37</v>
      </c>
      <c r="G42">
        <v>0</v>
      </c>
      <c r="H42">
        <v>3</v>
      </c>
      <c r="I42">
        <v>2</v>
      </c>
      <c r="J42">
        <v>7</v>
      </c>
      <c r="K42">
        <v>83.48</v>
      </c>
      <c r="L42">
        <v>83.91</v>
      </c>
    </row>
    <row r="43" spans="1:12" x14ac:dyDescent="0.2">
      <c r="A43" s="4">
        <v>42</v>
      </c>
      <c r="B43" t="s">
        <v>42</v>
      </c>
      <c r="C43">
        <v>83.53</v>
      </c>
      <c r="D43">
        <v>17</v>
      </c>
      <c r="E43">
        <v>12</v>
      </c>
      <c r="F43">
        <v>80.099999999999994</v>
      </c>
      <c r="G43">
        <v>1</v>
      </c>
      <c r="H43">
        <v>1</v>
      </c>
      <c r="I43">
        <v>3</v>
      </c>
      <c r="J43">
        <v>4</v>
      </c>
      <c r="K43">
        <v>82.56</v>
      </c>
      <c r="L43">
        <v>84.35</v>
      </c>
    </row>
    <row r="44" spans="1:12" x14ac:dyDescent="0.2">
      <c r="A44" s="4">
        <v>43</v>
      </c>
      <c r="B44" t="s">
        <v>147</v>
      </c>
      <c r="C44">
        <v>83.04</v>
      </c>
      <c r="D44">
        <v>19</v>
      </c>
      <c r="E44">
        <v>15</v>
      </c>
      <c r="F44">
        <v>78.400000000000006</v>
      </c>
      <c r="G44">
        <v>0</v>
      </c>
      <c r="H44">
        <v>6</v>
      </c>
      <c r="I44">
        <v>0</v>
      </c>
      <c r="J44">
        <v>8</v>
      </c>
      <c r="K44">
        <v>81.760000000000005</v>
      </c>
      <c r="L44">
        <v>84.27</v>
      </c>
    </row>
    <row r="45" spans="1:12" x14ac:dyDescent="0.2">
      <c r="A45" s="4">
        <v>44</v>
      </c>
      <c r="B45" t="s">
        <v>122</v>
      </c>
      <c r="C45">
        <v>83</v>
      </c>
      <c r="D45">
        <v>19</v>
      </c>
      <c r="E45">
        <v>12</v>
      </c>
      <c r="F45">
        <v>79.680000000000007</v>
      </c>
      <c r="G45">
        <v>0</v>
      </c>
      <c r="H45">
        <v>2</v>
      </c>
      <c r="I45">
        <v>1</v>
      </c>
      <c r="J45">
        <v>5</v>
      </c>
      <c r="K45">
        <v>83.06</v>
      </c>
      <c r="L45">
        <v>82.67</v>
      </c>
    </row>
    <row r="46" spans="1:12" x14ac:dyDescent="0.2">
      <c r="A46" s="4">
        <v>45</v>
      </c>
      <c r="B46" t="s">
        <v>249</v>
      </c>
      <c r="C46">
        <v>82.71</v>
      </c>
      <c r="D46">
        <v>23</v>
      </c>
      <c r="E46">
        <v>8</v>
      </c>
      <c r="F46">
        <v>75.260000000000005</v>
      </c>
      <c r="G46">
        <v>0</v>
      </c>
      <c r="H46">
        <v>0</v>
      </c>
      <c r="I46">
        <v>2</v>
      </c>
      <c r="J46">
        <v>4</v>
      </c>
      <c r="K46">
        <v>83.46</v>
      </c>
      <c r="L46">
        <v>81.75</v>
      </c>
    </row>
    <row r="47" spans="1:12" x14ac:dyDescent="0.2">
      <c r="A47" s="4">
        <v>46</v>
      </c>
      <c r="B47" t="s">
        <v>792</v>
      </c>
      <c r="C47">
        <v>82.66</v>
      </c>
      <c r="D47">
        <v>18</v>
      </c>
      <c r="E47">
        <v>13</v>
      </c>
      <c r="F47">
        <v>78.58</v>
      </c>
      <c r="G47">
        <v>1</v>
      </c>
      <c r="H47">
        <v>2</v>
      </c>
      <c r="I47">
        <v>2</v>
      </c>
      <c r="J47">
        <v>6</v>
      </c>
      <c r="K47">
        <v>82.27</v>
      </c>
      <c r="L47">
        <v>82.78</v>
      </c>
    </row>
    <row r="48" spans="1:12" x14ac:dyDescent="0.2">
      <c r="A48" s="4">
        <v>47</v>
      </c>
      <c r="B48" t="s">
        <v>99</v>
      </c>
      <c r="C48">
        <v>82.6</v>
      </c>
      <c r="D48">
        <v>17</v>
      </c>
      <c r="E48">
        <v>12</v>
      </c>
      <c r="F48">
        <v>79.099999999999994</v>
      </c>
      <c r="G48">
        <v>1</v>
      </c>
      <c r="H48">
        <v>3</v>
      </c>
      <c r="I48">
        <v>2</v>
      </c>
      <c r="J48">
        <v>5</v>
      </c>
      <c r="K48">
        <v>81.59</v>
      </c>
      <c r="L48">
        <v>83.45</v>
      </c>
    </row>
    <row r="49" spans="1:12" x14ac:dyDescent="0.2">
      <c r="A49" s="4">
        <v>48</v>
      </c>
      <c r="B49" t="s">
        <v>243</v>
      </c>
      <c r="C49">
        <v>82.5</v>
      </c>
      <c r="D49">
        <v>24</v>
      </c>
      <c r="E49">
        <v>7</v>
      </c>
      <c r="F49">
        <v>75.97</v>
      </c>
      <c r="G49">
        <v>0</v>
      </c>
      <c r="H49">
        <v>1</v>
      </c>
      <c r="I49">
        <v>1</v>
      </c>
      <c r="J49">
        <v>1</v>
      </c>
      <c r="K49">
        <v>84.37</v>
      </c>
      <c r="L49">
        <v>80.73</v>
      </c>
    </row>
    <row r="50" spans="1:12" x14ac:dyDescent="0.2">
      <c r="A50" s="4">
        <v>49</v>
      </c>
      <c r="B50" t="s">
        <v>130</v>
      </c>
      <c r="C50">
        <v>82.27</v>
      </c>
      <c r="D50">
        <v>16</v>
      </c>
      <c r="E50">
        <v>15</v>
      </c>
      <c r="F50">
        <v>79.569999999999993</v>
      </c>
      <c r="G50">
        <v>0</v>
      </c>
      <c r="H50">
        <v>3</v>
      </c>
      <c r="I50">
        <v>2</v>
      </c>
      <c r="J50">
        <v>7</v>
      </c>
      <c r="K50">
        <v>81.150000000000006</v>
      </c>
      <c r="L50">
        <v>83.26</v>
      </c>
    </row>
    <row r="51" spans="1:12" x14ac:dyDescent="0.2">
      <c r="A51" s="4">
        <v>50</v>
      </c>
      <c r="B51" t="s">
        <v>287</v>
      </c>
      <c r="C51">
        <v>82.05</v>
      </c>
      <c r="D51">
        <v>22</v>
      </c>
      <c r="E51">
        <v>6</v>
      </c>
      <c r="F51">
        <v>72.81</v>
      </c>
      <c r="G51">
        <v>0</v>
      </c>
      <c r="H51">
        <v>0</v>
      </c>
      <c r="I51">
        <v>0</v>
      </c>
      <c r="J51">
        <v>2</v>
      </c>
      <c r="K51">
        <v>82.19</v>
      </c>
      <c r="L51">
        <v>81.63</v>
      </c>
    </row>
    <row r="52" spans="1:12" x14ac:dyDescent="0.2">
      <c r="A52" s="4">
        <v>51</v>
      </c>
      <c r="B52" t="s">
        <v>136</v>
      </c>
      <c r="C52">
        <v>82.05</v>
      </c>
      <c r="D52">
        <v>24</v>
      </c>
      <c r="E52">
        <v>7</v>
      </c>
      <c r="F52">
        <v>75.17</v>
      </c>
      <c r="G52">
        <v>0</v>
      </c>
      <c r="H52">
        <v>0</v>
      </c>
      <c r="I52">
        <v>1</v>
      </c>
      <c r="J52">
        <v>3</v>
      </c>
      <c r="K52">
        <v>83.21</v>
      </c>
      <c r="L52">
        <v>80.760000000000005</v>
      </c>
    </row>
    <row r="53" spans="1:12" x14ac:dyDescent="0.2">
      <c r="A53" s="4">
        <v>52</v>
      </c>
      <c r="B53" t="s">
        <v>36</v>
      </c>
      <c r="C53">
        <v>81.98</v>
      </c>
      <c r="D53">
        <v>19</v>
      </c>
      <c r="E53">
        <v>16</v>
      </c>
      <c r="F53">
        <v>80.709999999999994</v>
      </c>
      <c r="G53">
        <v>2</v>
      </c>
      <c r="H53">
        <v>3</v>
      </c>
      <c r="I53">
        <v>5</v>
      </c>
      <c r="J53">
        <v>8</v>
      </c>
      <c r="K53">
        <v>82.2</v>
      </c>
      <c r="L53">
        <v>81.48</v>
      </c>
    </row>
    <row r="54" spans="1:12" x14ac:dyDescent="0.2">
      <c r="A54" s="4">
        <v>53</v>
      </c>
      <c r="B54" t="s">
        <v>13</v>
      </c>
      <c r="C54">
        <v>81.900000000000006</v>
      </c>
      <c r="D54">
        <v>17</v>
      </c>
      <c r="E54">
        <v>12</v>
      </c>
      <c r="F54">
        <v>79.06</v>
      </c>
      <c r="G54">
        <v>0</v>
      </c>
      <c r="H54">
        <v>3</v>
      </c>
      <c r="I54">
        <v>3</v>
      </c>
      <c r="J54">
        <v>5</v>
      </c>
      <c r="K54">
        <v>82.18</v>
      </c>
      <c r="L54">
        <v>81.349999999999994</v>
      </c>
    </row>
    <row r="55" spans="1:12" x14ac:dyDescent="0.2">
      <c r="A55" s="4">
        <v>54</v>
      </c>
      <c r="B55" t="s">
        <v>44</v>
      </c>
      <c r="C55">
        <v>81.849999999999994</v>
      </c>
      <c r="D55">
        <v>18</v>
      </c>
      <c r="E55">
        <v>14</v>
      </c>
      <c r="F55">
        <v>79.44</v>
      </c>
      <c r="G55">
        <v>0</v>
      </c>
      <c r="H55">
        <v>2</v>
      </c>
      <c r="I55">
        <v>1</v>
      </c>
      <c r="J55">
        <v>4</v>
      </c>
      <c r="K55">
        <v>80.84</v>
      </c>
      <c r="L55">
        <v>82.7</v>
      </c>
    </row>
    <row r="56" spans="1:12" x14ac:dyDescent="0.2">
      <c r="A56" s="4">
        <v>55</v>
      </c>
      <c r="B56" t="s">
        <v>55</v>
      </c>
      <c r="C56">
        <v>81.819999999999993</v>
      </c>
      <c r="D56">
        <v>21</v>
      </c>
      <c r="E56">
        <v>13</v>
      </c>
      <c r="F56">
        <v>78.55</v>
      </c>
      <c r="G56">
        <v>1</v>
      </c>
      <c r="H56">
        <v>1</v>
      </c>
      <c r="I56">
        <v>3</v>
      </c>
      <c r="J56">
        <v>4</v>
      </c>
      <c r="K56">
        <v>81.98</v>
      </c>
      <c r="L56">
        <v>81.38</v>
      </c>
    </row>
    <row r="57" spans="1:12" x14ac:dyDescent="0.2">
      <c r="A57" s="4">
        <v>56</v>
      </c>
      <c r="B57" t="s">
        <v>154</v>
      </c>
      <c r="C57">
        <v>81.77</v>
      </c>
      <c r="D57">
        <v>24</v>
      </c>
      <c r="E57">
        <v>7</v>
      </c>
      <c r="F57">
        <v>71.73</v>
      </c>
      <c r="G57">
        <v>0</v>
      </c>
      <c r="H57">
        <v>0</v>
      </c>
      <c r="I57">
        <v>0</v>
      </c>
      <c r="J57">
        <v>2</v>
      </c>
      <c r="K57">
        <v>80.86</v>
      </c>
      <c r="L57">
        <v>82.49</v>
      </c>
    </row>
    <row r="58" spans="1:12" x14ac:dyDescent="0.2">
      <c r="A58" s="4">
        <v>57</v>
      </c>
      <c r="B58" t="s">
        <v>149</v>
      </c>
      <c r="C58">
        <v>81.709999999999994</v>
      </c>
      <c r="D58">
        <v>23</v>
      </c>
      <c r="E58">
        <v>10</v>
      </c>
      <c r="F58">
        <v>74.75</v>
      </c>
      <c r="G58">
        <v>0</v>
      </c>
      <c r="H58">
        <v>1</v>
      </c>
      <c r="I58">
        <v>0</v>
      </c>
      <c r="J58">
        <v>2</v>
      </c>
      <c r="K58">
        <v>80.930000000000007</v>
      </c>
      <c r="L58">
        <v>82.27</v>
      </c>
    </row>
    <row r="59" spans="1:12" x14ac:dyDescent="0.2">
      <c r="A59" s="4">
        <v>58</v>
      </c>
      <c r="B59" t="s">
        <v>48</v>
      </c>
      <c r="C59">
        <v>81.709999999999994</v>
      </c>
      <c r="D59">
        <v>17</v>
      </c>
      <c r="E59">
        <v>13</v>
      </c>
      <c r="F59">
        <v>79.89</v>
      </c>
      <c r="G59">
        <v>1</v>
      </c>
      <c r="H59">
        <v>5</v>
      </c>
      <c r="I59">
        <v>2</v>
      </c>
      <c r="J59">
        <v>7</v>
      </c>
      <c r="K59">
        <v>82.68</v>
      </c>
      <c r="L59">
        <v>80.56</v>
      </c>
    </row>
    <row r="60" spans="1:12" x14ac:dyDescent="0.2">
      <c r="A60" s="4">
        <v>59</v>
      </c>
      <c r="B60" t="s">
        <v>221</v>
      </c>
      <c r="C60">
        <v>80.92</v>
      </c>
      <c r="D60">
        <v>21</v>
      </c>
      <c r="E60">
        <v>9</v>
      </c>
      <c r="F60">
        <v>74.819999999999993</v>
      </c>
      <c r="G60">
        <v>0</v>
      </c>
      <c r="H60">
        <v>0</v>
      </c>
      <c r="I60">
        <v>0</v>
      </c>
      <c r="J60">
        <v>2</v>
      </c>
      <c r="K60">
        <v>81.22</v>
      </c>
      <c r="L60">
        <v>80.34</v>
      </c>
    </row>
    <row r="61" spans="1:12" x14ac:dyDescent="0.2">
      <c r="A61" s="4">
        <v>60</v>
      </c>
      <c r="B61" t="s">
        <v>121</v>
      </c>
      <c r="C61">
        <v>80.84</v>
      </c>
      <c r="D61">
        <v>23</v>
      </c>
      <c r="E61">
        <v>9</v>
      </c>
      <c r="F61">
        <v>74.44</v>
      </c>
      <c r="G61">
        <v>0</v>
      </c>
      <c r="H61">
        <v>1</v>
      </c>
      <c r="I61">
        <v>0</v>
      </c>
      <c r="J61">
        <v>3</v>
      </c>
      <c r="K61">
        <v>80.67</v>
      </c>
      <c r="L61">
        <v>80.72</v>
      </c>
    </row>
    <row r="62" spans="1:12" x14ac:dyDescent="0.2">
      <c r="A62" s="4">
        <v>61</v>
      </c>
      <c r="B62" t="s">
        <v>816</v>
      </c>
      <c r="C62">
        <v>80.8</v>
      </c>
      <c r="D62">
        <v>25</v>
      </c>
      <c r="E62">
        <v>5</v>
      </c>
      <c r="F62">
        <v>72.52</v>
      </c>
      <c r="G62">
        <v>0</v>
      </c>
      <c r="H62">
        <v>0</v>
      </c>
      <c r="I62">
        <v>0</v>
      </c>
      <c r="J62">
        <v>1</v>
      </c>
      <c r="K62">
        <v>83.29</v>
      </c>
      <c r="L62">
        <v>78.569999999999993</v>
      </c>
    </row>
    <row r="63" spans="1:12" x14ac:dyDescent="0.2">
      <c r="A63" s="4">
        <v>62</v>
      </c>
      <c r="B63" t="s">
        <v>39</v>
      </c>
      <c r="C63">
        <v>80.78</v>
      </c>
      <c r="D63">
        <v>17</v>
      </c>
      <c r="E63">
        <v>13</v>
      </c>
      <c r="F63">
        <v>78.94</v>
      </c>
      <c r="G63">
        <v>0</v>
      </c>
      <c r="H63">
        <v>1</v>
      </c>
      <c r="I63">
        <v>3</v>
      </c>
      <c r="J63">
        <v>5</v>
      </c>
      <c r="K63">
        <v>80.58</v>
      </c>
      <c r="L63">
        <v>80.69</v>
      </c>
    </row>
    <row r="64" spans="1:12" x14ac:dyDescent="0.2">
      <c r="A64" s="4">
        <v>63</v>
      </c>
      <c r="B64" t="s">
        <v>103</v>
      </c>
      <c r="C64">
        <v>80.77</v>
      </c>
      <c r="D64">
        <v>19</v>
      </c>
      <c r="E64">
        <v>14</v>
      </c>
      <c r="F64">
        <v>78.040000000000006</v>
      </c>
      <c r="G64">
        <v>0</v>
      </c>
      <c r="H64">
        <v>0</v>
      </c>
      <c r="I64">
        <v>3</v>
      </c>
      <c r="J64">
        <v>7</v>
      </c>
      <c r="K64">
        <v>81.099999999999994</v>
      </c>
      <c r="L64">
        <v>80.180000000000007</v>
      </c>
    </row>
    <row r="65" spans="1:12" x14ac:dyDescent="0.2">
      <c r="A65" s="4">
        <v>64</v>
      </c>
      <c r="B65" t="s">
        <v>115</v>
      </c>
      <c r="C65">
        <v>80.67</v>
      </c>
      <c r="D65">
        <v>21</v>
      </c>
      <c r="E65">
        <v>11</v>
      </c>
      <c r="F65">
        <v>76.3</v>
      </c>
      <c r="G65">
        <v>0</v>
      </c>
      <c r="H65">
        <v>0</v>
      </c>
      <c r="I65">
        <v>0</v>
      </c>
      <c r="J65">
        <v>2</v>
      </c>
      <c r="K65">
        <v>80.89</v>
      </c>
      <c r="L65">
        <v>80.180000000000007</v>
      </c>
    </row>
    <row r="66" spans="1:12" x14ac:dyDescent="0.2">
      <c r="A66" s="4">
        <v>65</v>
      </c>
      <c r="B66" t="s">
        <v>11</v>
      </c>
      <c r="C66">
        <v>80.64</v>
      </c>
      <c r="D66">
        <v>15</v>
      </c>
      <c r="E66">
        <v>16</v>
      </c>
      <c r="F66">
        <v>79.81</v>
      </c>
      <c r="G66">
        <v>0</v>
      </c>
      <c r="H66">
        <v>2</v>
      </c>
      <c r="I66">
        <v>2</v>
      </c>
      <c r="J66">
        <v>5</v>
      </c>
      <c r="K66">
        <v>79.790000000000006</v>
      </c>
      <c r="L66">
        <v>81.28</v>
      </c>
    </row>
    <row r="67" spans="1:12" x14ac:dyDescent="0.2">
      <c r="A67" s="4">
        <v>66</v>
      </c>
      <c r="B67" t="s">
        <v>809</v>
      </c>
      <c r="C67">
        <v>80.31</v>
      </c>
      <c r="D67">
        <v>17</v>
      </c>
      <c r="E67">
        <v>15</v>
      </c>
      <c r="F67">
        <v>79.53</v>
      </c>
      <c r="G67">
        <v>0</v>
      </c>
      <c r="H67">
        <v>3</v>
      </c>
      <c r="I67">
        <v>3</v>
      </c>
      <c r="J67">
        <v>9</v>
      </c>
      <c r="K67">
        <v>81.33</v>
      </c>
      <c r="L67">
        <v>79.11</v>
      </c>
    </row>
    <row r="68" spans="1:12" x14ac:dyDescent="0.2">
      <c r="A68" s="4">
        <v>67</v>
      </c>
      <c r="B68" t="s">
        <v>97</v>
      </c>
      <c r="C68">
        <v>80.260000000000005</v>
      </c>
      <c r="D68">
        <v>16</v>
      </c>
      <c r="E68">
        <v>13</v>
      </c>
      <c r="F68">
        <v>78.53</v>
      </c>
      <c r="G68">
        <v>1</v>
      </c>
      <c r="H68">
        <v>3</v>
      </c>
      <c r="I68">
        <v>1</v>
      </c>
      <c r="J68">
        <v>5</v>
      </c>
      <c r="K68">
        <v>80.36</v>
      </c>
      <c r="L68">
        <v>79.88</v>
      </c>
    </row>
    <row r="69" spans="1:12" x14ac:dyDescent="0.2">
      <c r="A69" s="4">
        <v>68</v>
      </c>
      <c r="B69" t="s">
        <v>551</v>
      </c>
      <c r="C69">
        <v>80.239999999999995</v>
      </c>
      <c r="D69">
        <v>19</v>
      </c>
      <c r="E69">
        <v>10</v>
      </c>
      <c r="F69">
        <v>75.08</v>
      </c>
      <c r="G69">
        <v>0</v>
      </c>
      <c r="H69">
        <v>0</v>
      </c>
      <c r="I69">
        <v>1</v>
      </c>
      <c r="J69">
        <v>0</v>
      </c>
      <c r="K69">
        <v>79.72</v>
      </c>
      <c r="L69">
        <v>80.5</v>
      </c>
    </row>
    <row r="70" spans="1:12" x14ac:dyDescent="0.2">
      <c r="A70" s="4">
        <v>69</v>
      </c>
      <c r="B70" t="s">
        <v>263</v>
      </c>
      <c r="C70">
        <v>80.22</v>
      </c>
      <c r="D70">
        <v>25</v>
      </c>
      <c r="E70">
        <v>5</v>
      </c>
      <c r="F70">
        <v>69.75</v>
      </c>
      <c r="G70">
        <v>0</v>
      </c>
      <c r="H70">
        <v>2</v>
      </c>
      <c r="I70">
        <v>0</v>
      </c>
      <c r="J70">
        <v>2</v>
      </c>
      <c r="K70">
        <v>80.62</v>
      </c>
      <c r="L70">
        <v>79.56</v>
      </c>
    </row>
    <row r="71" spans="1:12" x14ac:dyDescent="0.2">
      <c r="A71" s="4">
        <v>70</v>
      </c>
      <c r="B71" t="s">
        <v>214</v>
      </c>
      <c r="C71">
        <v>80.17</v>
      </c>
      <c r="D71">
        <v>23</v>
      </c>
      <c r="E71">
        <v>7</v>
      </c>
      <c r="F71">
        <v>72.27</v>
      </c>
      <c r="G71">
        <v>0</v>
      </c>
      <c r="H71">
        <v>2</v>
      </c>
      <c r="I71">
        <v>0</v>
      </c>
      <c r="J71">
        <v>2</v>
      </c>
      <c r="K71">
        <v>81.03</v>
      </c>
      <c r="L71">
        <v>79.11</v>
      </c>
    </row>
    <row r="72" spans="1:12" x14ac:dyDescent="0.2">
      <c r="A72" s="4">
        <v>71</v>
      </c>
      <c r="B72" t="s">
        <v>66</v>
      </c>
      <c r="C72">
        <v>80.05</v>
      </c>
      <c r="D72">
        <v>20</v>
      </c>
      <c r="E72">
        <v>13</v>
      </c>
      <c r="F72">
        <v>76</v>
      </c>
      <c r="G72">
        <v>1</v>
      </c>
      <c r="H72">
        <v>2</v>
      </c>
      <c r="I72">
        <v>1</v>
      </c>
      <c r="J72">
        <v>5</v>
      </c>
      <c r="K72">
        <v>79.94</v>
      </c>
      <c r="L72">
        <v>79.86</v>
      </c>
    </row>
    <row r="73" spans="1:12" x14ac:dyDescent="0.2">
      <c r="A73" s="4">
        <v>72</v>
      </c>
      <c r="B73" t="s">
        <v>795</v>
      </c>
      <c r="C73">
        <v>79.959999999999994</v>
      </c>
      <c r="D73">
        <v>16</v>
      </c>
      <c r="E73">
        <v>14</v>
      </c>
      <c r="F73">
        <v>77.17</v>
      </c>
      <c r="G73">
        <v>0</v>
      </c>
      <c r="H73">
        <v>5</v>
      </c>
      <c r="I73">
        <v>1</v>
      </c>
      <c r="J73">
        <v>8</v>
      </c>
      <c r="K73">
        <v>79.069999999999993</v>
      </c>
      <c r="L73">
        <v>80.64</v>
      </c>
    </row>
    <row r="74" spans="1:12" x14ac:dyDescent="0.2">
      <c r="A74" s="4">
        <v>73</v>
      </c>
      <c r="B74" t="s">
        <v>70</v>
      </c>
      <c r="C74">
        <v>79.959999999999994</v>
      </c>
      <c r="D74">
        <v>15</v>
      </c>
      <c r="E74">
        <v>16</v>
      </c>
      <c r="F74">
        <v>80.3</v>
      </c>
      <c r="G74">
        <v>1</v>
      </c>
      <c r="H74">
        <v>3</v>
      </c>
      <c r="I74">
        <v>4</v>
      </c>
      <c r="J74">
        <v>5</v>
      </c>
      <c r="K74">
        <v>80.400000000000006</v>
      </c>
      <c r="L74">
        <v>79.25</v>
      </c>
    </row>
    <row r="75" spans="1:12" x14ac:dyDescent="0.2">
      <c r="A75" s="4">
        <v>74</v>
      </c>
      <c r="B75" t="s">
        <v>245</v>
      </c>
      <c r="C75">
        <v>79.94</v>
      </c>
      <c r="D75">
        <v>20</v>
      </c>
      <c r="E75">
        <v>11</v>
      </c>
      <c r="F75">
        <v>75.2</v>
      </c>
      <c r="G75">
        <v>0</v>
      </c>
      <c r="H75">
        <v>0</v>
      </c>
      <c r="I75">
        <v>0</v>
      </c>
      <c r="J75">
        <v>0</v>
      </c>
      <c r="K75">
        <v>79.569999999999993</v>
      </c>
      <c r="L75">
        <v>80.05</v>
      </c>
    </row>
    <row r="76" spans="1:12" x14ac:dyDescent="0.2">
      <c r="A76" s="4">
        <v>75</v>
      </c>
      <c r="B76" t="s">
        <v>100</v>
      </c>
      <c r="C76">
        <v>79.5</v>
      </c>
      <c r="D76">
        <v>14</v>
      </c>
      <c r="E76">
        <v>15</v>
      </c>
      <c r="F76">
        <v>77.8</v>
      </c>
      <c r="G76">
        <v>0</v>
      </c>
      <c r="H76">
        <v>1</v>
      </c>
      <c r="I76">
        <v>0</v>
      </c>
      <c r="J76">
        <v>7</v>
      </c>
      <c r="K76">
        <v>78.16</v>
      </c>
      <c r="L76">
        <v>80.709999999999994</v>
      </c>
    </row>
    <row r="77" spans="1:12" x14ac:dyDescent="0.2">
      <c r="A77" s="4">
        <v>76</v>
      </c>
      <c r="B77" t="s">
        <v>74</v>
      </c>
      <c r="C77">
        <v>79.45</v>
      </c>
      <c r="D77">
        <v>16</v>
      </c>
      <c r="E77">
        <v>14</v>
      </c>
      <c r="F77">
        <v>78.680000000000007</v>
      </c>
      <c r="G77">
        <v>1</v>
      </c>
      <c r="H77">
        <v>4</v>
      </c>
      <c r="I77">
        <v>2</v>
      </c>
      <c r="J77">
        <v>5</v>
      </c>
      <c r="K77">
        <v>79.900000000000006</v>
      </c>
      <c r="L77">
        <v>78.73</v>
      </c>
    </row>
    <row r="78" spans="1:12" x14ac:dyDescent="0.2">
      <c r="A78" s="4">
        <v>77</v>
      </c>
      <c r="B78" t="s">
        <v>793</v>
      </c>
      <c r="C78">
        <v>79.44</v>
      </c>
      <c r="D78">
        <v>14</v>
      </c>
      <c r="E78">
        <v>15</v>
      </c>
      <c r="F78">
        <v>78.42</v>
      </c>
      <c r="G78">
        <v>1</v>
      </c>
      <c r="H78">
        <v>1</v>
      </c>
      <c r="I78">
        <v>1</v>
      </c>
      <c r="J78">
        <v>7</v>
      </c>
      <c r="K78">
        <v>78.760000000000005</v>
      </c>
      <c r="L78">
        <v>79.87</v>
      </c>
    </row>
    <row r="79" spans="1:12" x14ac:dyDescent="0.2">
      <c r="A79" s="4">
        <v>78</v>
      </c>
      <c r="B79" t="s">
        <v>32</v>
      </c>
      <c r="C79">
        <v>79.430000000000007</v>
      </c>
      <c r="D79">
        <v>17</v>
      </c>
      <c r="E79">
        <v>14</v>
      </c>
      <c r="F79">
        <v>77.069999999999993</v>
      </c>
      <c r="G79">
        <v>0</v>
      </c>
      <c r="H79">
        <v>0</v>
      </c>
      <c r="I79">
        <v>2</v>
      </c>
      <c r="J79">
        <v>5</v>
      </c>
      <c r="K79">
        <v>79.319999999999993</v>
      </c>
      <c r="L79">
        <v>79.25</v>
      </c>
    </row>
    <row r="80" spans="1:12" x14ac:dyDescent="0.2">
      <c r="A80" s="4">
        <v>79</v>
      </c>
      <c r="B80" t="s">
        <v>112</v>
      </c>
      <c r="C80">
        <v>79.39</v>
      </c>
      <c r="D80">
        <v>18</v>
      </c>
      <c r="E80">
        <v>16</v>
      </c>
      <c r="F80">
        <v>78.81</v>
      </c>
      <c r="G80">
        <v>0</v>
      </c>
      <c r="H80">
        <v>0</v>
      </c>
      <c r="I80">
        <v>1</v>
      </c>
      <c r="J80">
        <v>6</v>
      </c>
      <c r="K80">
        <v>79.67</v>
      </c>
      <c r="L80">
        <v>78.849999999999994</v>
      </c>
    </row>
    <row r="81" spans="1:12" x14ac:dyDescent="0.2">
      <c r="A81" s="4">
        <v>80</v>
      </c>
      <c r="B81" t="s">
        <v>800</v>
      </c>
      <c r="C81">
        <v>79.36</v>
      </c>
      <c r="D81">
        <v>25</v>
      </c>
      <c r="E81">
        <v>6</v>
      </c>
      <c r="F81">
        <v>70.44</v>
      </c>
      <c r="G81">
        <v>0</v>
      </c>
      <c r="H81">
        <v>0</v>
      </c>
      <c r="I81">
        <v>0</v>
      </c>
      <c r="J81">
        <v>1</v>
      </c>
      <c r="K81">
        <v>80.84</v>
      </c>
      <c r="L81">
        <v>77.78</v>
      </c>
    </row>
    <row r="82" spans="1:12" x14ac:dyDescent="0.2">
      <c r="A82" s="4">
        <v>81</v>
      </c>
      <c r="B82" t="s">
        <v>803</v>
      </c>
      <c r="C82">
        <v>79.34</v>
      </c>
      <c r="D82">
        <v>20</v>
      </c>
      <c r="E82">
        <v>10</v>
      </c>
      <c r="F82">
        <v>74.91</v>
      </c>
      <c r="G82">
        <v>0</v>
      </c>
      <c r="H82">
        <v>0</v>
      </c>
      <c r="I82">
        <v>0</v>
      </c>
      <c r="J82">
        <v>0</v>
      </c>
      <c r="K82">
        <v>79.900000000000006</v>
      </c>
      <c r="L82">
        <v>78.52</v>
      </c>
    </row>
    <row r="83" spans="1:12" x14ac:dyDescent="0.2">
      <c r="A83" s="4">
        <v>82</v>
      </c>
      <c r="B83" t="s">
        <v>804</v>
      </c>
      <c r="C83">
        <v>79.13</v>
      </c>
      <c r="D83">
        <v>20</v>
      </c>
      <c r="E83">
        <v>8</v>
      </c>
      <c r="F83">
        <v>73.52</v>
      </c>
      <c r="G83">
        <v>0</v>
      </c>
      <c r="H83">
        <v>0</v>
      </c>
      <c r="I83">
        <v>0</v>
      </c>
      <c r="J83">
        <v>2</v>
      </c>
      <c r="K83">
        <v>80.12</v>
      </c>
      <c r="L83">
        <v>77.95</v>
      </c>
    </row>
    <row r="84" spans="1:12" x14ac:dyDescent="0.2">
      <c r="A84" s="4">
        <v>83</v>
      </c>
      <c r="B84" t="s">
        <v>92</v>
      </c>
      <c r="C84">
        <v>78.959999999999994</v>
      </c>
      <c r="D84">
        <v>20</v>
      </c>
      <c r="E84">
        <v>11</v>
      </c>
      <c r="F84">
        <v>75.78</v>
      </c>
      <c r="G84">
        <v>0</v>
      </c>
      <c r="H84">
        <v>1</v>
      </c>
      <c r="I84">
        <v>1</v>
      </c>
      <c r="J84">
        <v>1</v>
      </c>
      <c r="K84">
        <v>80.260000000000005</v>
      </c>
      <c r="L84">
        <v>77.510000000000005</v>
      </c>
    </row>
    <row r="85" spans="1:12" x14ac:dyDescent="0.2">
      <c r="A85" s="4">
        <v>84</v>
      </c>
      <c r="B85" t="s">
        <v>96</v>
      </c>
      <c r="C85">
        <v>78.87</v>
      </c>
      <c r="D85">
        <v>12</v>
      </c>
      <c r="E85">
        <v>16</v>
      </c>
      <c r="F85">
        <v>80.569999999999993</v>
      </c>
      <c r="G85">
        <v>0</v>
      </c>
      <c r="H85">
        <v>2</v>
      </c>
      <c r="I85">
        <v>0</v>
      </c>
      <c r="J85">
        <v>7</v>
      </c>
      <c r="K85">
        <v>78.430000000000007</v>
      </c>
      <c r="L85">
        <v>79.03</v>
      </c>
    </row>
    <row r="86" spans="1:12" x14ac:dyDescent="0.2">
      <c r="A86" s="4">
        <v>85</v>
      </c>
      <c r="B86" t="s">
        <v>550</v>
      </c>
      <c r="C86">
        <v>78.87</v>
      </c>
      <c r="D86">
        <v>17</v>
      </c>
      <c r="E86">
        <v>12</v>
      </c>
      <c r="F86">
        <v>74.78</v>
      </c>
      <c r="G86">
        <v>0</v>
      </c>
      <c r="H86">
        <v>0</v>
      </c>
      <c r="I86">
        <v>0</v>
      </c>
      <c r="J86">
        <v>3</v>
      </c>
      <c r="K86">
        <v>77.709999999999994</v>
      </c>
      <c r="L86">
        <v>79.83</v>
      </c>
    </row>
    <row r="87" spans="1:12" x14ac:dyDescent="0.2">
      <c r="A87" s="4">
        <v>86</v>
      </c>
      <c r="B87" t="s">
        <v>802</v>
      </c>
      <c r="C87">
        <v>78.790000000000006</v>
      </c>
      <c r="D87">
        <v>13</v>
      </c>
      <c r="E87">
        <v>17</v>
      </c>
      <c r="F87">
        <v>77.89</v>
      </c>
      <c r="G87">
        <v>0</v>
      </c>
      <c r="H87">
        <v>4</v>
      </c>
      <c r="I87">
        <v>1</v>
      </c>
      <c r="J87">
        <v>7</v>
      </c>
      <c r="K87">
        <v>76.319999999999993</v>
      </c>
      <c r="L87">
        <v>81.510000000000005</v>
      </c>
    </row>
    <row r="88" spans="1:12" x14ac:dyDescent="0.2">
      <c r="A88" s="4">
        <v>87</v>
      </c>
      <c r="B88" t="s">
        <v>302</v>
      </c>
      <c r="C88">
        <v>78.48</v>
      </c>
      <c r="D88">
        <v>17</v>
      </c>
      <c r="E88">
        <v>12</v>
      </c>
      <c r="F88">
        <v>76.08</v>
      </c>
      <c r="G88">
        <v>0</v>
      </c>
      <c r="H88">
        <v>0</v>
      </c>
      <c r="I88">
        <v>0</v>
      </c>
      <c r="J88">
        <v>2</v>
      </c>
      <c r="K88">
        <v>78.510000000000005</v>
      </c>
      <c r="L88">
        <v>78.16</v>
      </c>
    </row>
    <row r="89" spans="1:12" x14ac:dyDescent="0.2">
      <c r="A89" s="4">
        <v>88</v>
      </c>
      <c r="B89" t="s">
        <v>57</v>
      </c>
      <c r="C89">
        <v>78.430000000000007</v>
      </c>
      <c r="D89">
        <v>14</v>
      </c>
      <c r="E89">
        <v>14</v>
      </c>
      <c r="F89">
        <v>78.77</v>
      </c>
      <c r="G89">
        <v>0</v>
      </c>
      <c r="H89">
        <v>5</v>
      </c>
      <c r="I89">
        <v>2</v>
      </c>
      <c r="J89">
        <v>8</v>
      </c>
      <c r="K89">
        <v>78.63</v>
      </c>
      <c r="L89">
        <v>77.94</v>
      </c>
    </row>
    <row r="90" spans="1:12" x14ac:dyDescent="0.2">
      <c r="A90" s="4">
        <v>89</v>
      </c>
      <c r="B90" t="s">
        <v>119</v>
      </c>
      <c r="C90">
        <v>78.2</v>
      </c>
      <c r="D90">
        <v>17</v>
      </c>
      <c r="E90">
        <v>14</v>
      </c>
      <c r="F90">
        <v>75.599999999999994</v>
      </c>
      <c r="G90">
        <v>0</v>
      </c>
      <c r="H90">
        <v>0</v>
      </c>
      <c r="I90">
        <v>0</v>
      </c>
      <c r="J90">
        <v>1</v>
      </c>
      <c r="K90">
        <v>77.36</v>
      </c>
      <c r="L90">
        <v>78.790000000000006</v>
      </c>
    </row>
    <row r="91" spans="1:12" x14ac:dyDescent="0.2">
      <c r="A91" s="4">
        <v>90</v>
      </c>
      <c r="B91" t="s">
        <v>810</v>
      </c>
      <c r="C91">
        <v>78.12</v>
      </c>
      <c r="D91">
        <v>17</v>
      </c>
      <c r="E91">
        <v>14</v>
      </c>
      <c r="F91">
        <v>76.52</v>
      </c>
      <c r="G91">
        <v>0</v>
      </c>
      <c r="H91">
        <v>1</v>
      </c>
      <c r="I91">
        <v>0</v>
      </c>
      <c r="J91">
        <v>2</v>
      </c>
      <c r="K91">
        <v>78.599999999999994</v>
      </c>
      <c r="L91">
        <v>77.38</v>
      </c>
    </row>
    <row r="92" spans="1:12" x14ac:dyDescent="0.2">
      <c r="A92" s="4">
        <v>91</v>
      </c>
      <c r="B92" t="s">
        <v>285</v>
      </c>
      <c r="C92">
        <v>78.02</v>
      </c>
      <c r="D92">
        <v>13</v>
      </c>
      <c r="E92">
        <v>16</v>
      </c>
      <c r="F92">
        <v>79.05</v>
      </c>
      <c r="G92">
        <v>0</v>
      </c>
      <c r="H92">
        <v>4</v>
      </c>
      <c r="I92">
        <v>0</v>
      </c>
      <c r="J92">
        <v>4</v>
      </c>
      <c r="K92">
        <v>77.81</v>
      </c>
      <c r="L92">
        <v>77.94</v>
      </c>
    </row>
    <row r="93" spans="1:12" x14ac:dyDescent="0.2">
      <c r="A93" s="4">
        <v>92</v>
      </c>
      <c r="B93" t="s">
        <v>78</v>
      </c>
      <c r="C93">
        <v>78.010000000000005</v>
      </c>
      <c r="D93">
        <v>15</v>
      </c>
      <c r="E93">
        <v>13</v>
      </c>
      <c r="F93">
        <v>76.680000000000007</v>
      </c>
      <c r="G93">
        <v>0</v>
      </c>
      <c r="H93">
        <v>2</v>
      </c>
      <c r="I93">
        <v>0</v>
      </c>
      <c r="J93">
        <v>6</v>
      </c>
      <c r="K93">
        <v>78.56</v>
      </c>
      <c r="L93">
        <v>77.209999999999994</v>
      </c>
    </row>
    <row r="94" spans="1:12" x14ac:dyDescent="0.2">
      <c r="A94" s="4">
        <v>93</v>
      </c>
      <c r="B94" t="s">
        <v>284</v>
      </c>
      <c r="C94">
        <v>78.010000000000005</v>
      </c>
      <c r="D94">
        <v>20</v>
      </c>
      <c r="E94">
        <v>11</v>
      </c>
      <c r="F94">
        <v>73.17</v>
      </c>
      <c r="G94">
        <v>0</v>
      </c>
      <c r="H94">
        <v>1</v>
      </c>
      <c r="I94">
        <v>0</v>
      </c>
      <c r="J94">
        <v>4</v>
      </c>
      <c r="K94">
        <v>77.78</v>
      </c>
      <c r="L94">
        <v>77.95</v>
      </c>
    </row>
    <row r="95" spans="1:12" x14ac:dyDescent="0.2">
      <c r="A95" s="4">
        <v>94</v>
      </c>
      <c r="B95" t="s">
        <v>157</v>
      </c>
      <c r="C95">
        <v>77.989999999999995</v>
      </c>
      <c r="D95">
        <v>23</v>
      </c>
      <c r="E95">
        <v>8</v>
      </c>
      <c r="F95">
        <v>71.819999999999993</v>
      </c>
      <c r="G95">
        <v>0</v>
      </c>
      <c r="H95">
        <v>0</v>
      </c>
      <c r="I95">
        <v>1</v>
      </c>
      <c r="J95">
        <v>0</v>
      </c>
      <c r="K95">
        <v>80.569999999999993</v>
      </c>
      <c r="L95">
        <v>75.53</v>
      </c>
    </row>
    <row r="96" spans="1:12" x14ac:dyDescent="0.2">
      <c r="A96" s="4">
        <v>95</v>
      </c>
      <c r="B96" t="s">
        <v>806</v>
      </c>
      <c r="C96">
        <v>77.959999999999994</v>
      </c>
      <c r="D96">
        <v>13</v>
      </c>
      <c r="E96">
        <v>17</v>
      </c>
      <c r="F96">
        <v>78.599999999999994</v>
      </c>
      <c r="G96">
        <v>0</v>
      </c>
      <c r="H96">
        <v>2</v>
      </c>
      <c r="I96">
        <v>1</v>
      </c>
      <c r="J96">
        <v>5</v>
      </c>
      <c r="K96">
        <v>76.989999999999995</v>
      </c>
      <c r="L96">
        <v>78.69</v>
      </c>
    </row>
    <row r="97" spans="1:12" x14ac:dyDescent="0.2">
      <c r="A97" s="4">
        <v>96</v>
      </c>
      <c r="B97" t="s">
        <v>76</v>
      </c>
      <c r="C97">
        <v>77.930000000000007</v>
      </c>
      <c r="D97">
        <v>11</v>
      </c>
      <c r="E97">
        <v>18</v>
      </c>
      <c r="F97">
        <v>80.78</v>
      </c>
      <c r="G97">
        <v>0</v>
      </c>
      <c r="H97">
        <v>3</v>
      </c>
      <c r="I97">
        <v>1</v>
      </c>
      <c r="J97">
        <v>9</v>
      </c>
      <c r="K97">
        <v>77.28</v>
      </c>
      <c r="L97">
        <v>78.319999999999993</v>
      </c>
    </row>
    <row r="98" spans="1:12" x14ac:dyDescent="0.2">
      <c r="A98" s="4">
        <v>97</v>
      </c>
      <c r="B98" t="s">
        <v>556</v>
      </c>
      <c r="C98">
        <v>77.92</v>
      </c>
      <c r="D98">
        <v>19</v>
      </c>
      <c r="E98">
        <v>12</v>
      </c>
      <c r="F98">
        <v>74.7</v>
      </c>
      <c r="G98">
        <v>0</v>
      </c>
      <c r="H98">
        <v>0</v>
      </c>
      <c r="I98">
        <v>1</v>
      </c>
      <c r="J98">
        <v>0</v>
      </c>
      <c r="K98">
        <v>78.400000000000006</v>
      </c>
      <c r="L98">
        <v>77.17</v>
      </c>
    </row>
    <row r="99" spans="1:12" x14ac:dyDescent="0.2">
      <c r="A99" s="4">
        <v>98</v>
      </c>
      <c r="B99" t="s">
        <v>8</v>
      </c>
      <c r="C99">
        <v>77.900000000000006</v>
      </c>
      <c r="D99">
        <v>14</v>
      </c>
      <c r="E99">
        <v>14</v>
      </c>
      <c r="F99">
        <v>76.95</v>
      </c>
      <c r="G99">
        <v>0</v>
      </c>
      <c r="H99">
        <v>5</v>
      </c>
      <c r="I99">
        <v>2</v>
      </c>
      <c r="J99">
        <v>9</v>
      </c>
      <c r="K99">
        <v>77.56</v>
      </c>
      <c r="L99">
        <v>77.95</v>
      </c>
    </row>
    <row r="100" spans="1:12" x14ac:dyDescent="0.2">
      <c r="A100" s="4">
        <v>99</v>
      </c>
      <c r="B100" t="s">
        <v>796</v>
      </c>
      <c r="C100">
        <v>77.819999999999993</v>
      </c>
      <c r="D100">
        <v>22</v>
      </c>
      <c r="E100">
        <v>9</v>
      </c>
      <c r="F100">
        <v>72.27</v>
      </c>
      <c r="G100">
        <v>0</v>
      </c>
      <c r="H100">
        <v>1</v>
      </c>
      <c r="I100">
        <v>0</v>
      </c>
      <c r="J100">
        <v>1</v>
      </c>
      <c r="K100">
        <v>77.81</v>
      </c>
      <c r="L100">
        <v>77.540000000000006</v>
      </c>
    </row>
    <row r="101" spans="1:12" x14ac:dyDescent="0.2">
      <c r="A101" s="4">
        <v>100</v>
      </c>
      <c r="B101" t="s">
        <v>819</v>
      </c>
      <c r="C101">
        <v>77.77</v>
      </c>
      <c r="D101">
        <v>19</v>
      </c>
      <c r="E101">
        <v>9</v>
      </c>
      <c r="F101">
        <v>72.150000000000006</v>
      </c>
      <c r="G101">
        <v>0</v>
      </c>
      <c r="H101">
        <v>0</v>
      </c>
      <c r="I101">
        <v>0</v>
      </c>
      <c r="J101">
        <v>1</v>
      </c>
      <c r="K101">
        <v>77.55</v>
      </c>
      <c r="L101">
        <v>77.709999999999994</v>
      </c>
    </row>
    <row r="102" spans="1:12" x14ac:dyDescent="0.2">
      <c r="A102" s="4">
        <v>101</v>
      </c>
      <c r="B102" t="s">
        <v>68</v>
      </c>
      <c r="C102">
        <v>77.739999999999995</v>
      </c>
      <c r="D102">
        <v>13</v>
      </c>
      <c r="E102">
        <v>14</v>
      </c>
      <c r="F102">
        <v>77.41</v>
      </c>
      <c r="G102">
        <v>0</v>
      </c>
      <c r="H102">
        <v>0</v>
      </c>
      <c r="I102">
        <v>0</v>
      </c>
      <c r="J102">
        <v>4</v>
      </c>
      <c r="K102">
        <v>76.75</v>
      </c>
      <c r="L102">
        <v>78.489999999999995</v>
      </c>
    </row>
    <row r="103" spans="1:12" x14ac:dyDescent="0.2">
      <c r="A103" s="4">
        <v>102</v>
      </c>
      <c r="B103" t="s">
        <v>72</v>
      </c>
      <c r="C103">
        <v>77.58</v>
      </c>
      <c r="D103">
        <v>14</v>
      </c>
      <c r="E103">
        <v>15</v>
      </c>
      <c r="F103">
        <v>78.81</v>
      </c>
      <c r="G103">
        <v>0</v>
      </c>
      <c r="H103">
        <v>4</v>
      </c>
      <c r="I103">
        <v>1</v>
      </c>
      <c r="J103">
        <v>6</v>
      </c>
      <c r="K103">
        <v>78.599999999999994</v>
      </c>
      <c r="L103">
        <v>76.349999999999994</v>
      </c>
    </row>
    <row r="104" spans="1:12" x14ac:dyDescent="0.2">
      <c r="A104" s="4">
        <v>103</v>
      </c>
      <c r="B104" t="s">
        <v>129</v>
      </c>
      <c r="C104">
        <v>77.510000000000005</v>
      </c>
      <c r="D104">
        <v>19</v>
      </c>
      <c r="E104">
        <v>12</v>
      </c>
      <c r="F104">
        <v>75.709999999999994</v>
      </c>
      <c r="G104">
        <v>0</v>
      </c>
      <c r="H104">
        <v>1</v>
      </c>
      <c r="I104">
        <v>1</v>
      </c>
      <c r="J104">
        <v>3</v>
      </c>
      <c r="K104">
        <v>78.73</v>
      </c>
      <c r="L104">
        <v>76.099999999999994</v>
      </c>
    </row>
    <row r="105" spans="1:12" x14ac:dyDescent="0.2">
      <c r="A105" s="4">
        <v>104</v>
      </c>
      <c r="B105" t="s">
        <v>71</v>
      </c>
      <c r="C105">
        <v>77.459999999999994</v>
      </c>
      <c r="D105">
        <v>12</v>
      </c>
      <c r="E105">
        <v>16</v>
      </c>
      <c r="F105">
        <v>78.58</v>
      </c>
      <c r="G105">
        <v>1</v>
      </c>
      <c r="H105">
        <v>3</v>
      </c>
      <c r="I105">
        <v>2</v>
      </c>
      <c r="J105">
        <v>5</v>
      </c>
      <c r="K105">
        <v>77.59</v>
      </c>
      <c r="L105">
        <v>77.05</v>
      </c>
    </row>
    <row r="106" spans="1:12" x14ac:dyDescent="0.2">
      <c r="A106" s="4">
        <v>105</v>
      </c>
      <c r="B106" t="s">
        <v>860</v>
      </c>
      <c r="C106">
        <v>77.44</v>
      </c>
      <c r="D106">
        <v>17</v>
      </c>
      <c r="E106">
        <v>12</v>
      </c>
      <c r="F106">
        <v>73.930000000000007</v>
      </c>
      <c r="G106">
        <v>0</v>
      </c>
      <c r="H106">
        <v>0</v>
      </c>
      <c r="I106">
        <v>0</v>
      </c>
      <c r="J106">
        <v>2</v>
      </c>
      <c r="K106">
        <v>76.209999999999994</v>
      </c>
      <c r="L106">
        <v>78.459999999999994</v>
      </c>
    </row>
    <row r="107" spans="1:12" x14ac:dyDescent="0.2">
      <c r="A107" s="4">
        <v>106</v>
      </c>
      <c r="B107" t="s">
        <v>80</v>
      </c>
      <c r="C107">
        <v>77.349999999999994</v>
      </c>
      <c r="D107">
        <v>15</v>
      </c>
      <c r="E107">
        <v>14</v>
      </c>
      <c r="F107">
        <v>76.13</v>
      </c>
      <c r="G107">
        <v>0</v>
      </c>
      <c r="H107">
        <v>0</v>
      </c>
      <c r="I107">
        <v>2</v>
      </c>
      <c r="J107">
        <v>3</v>
      </c>
      <c r="K107">
        <v>76.489999999999995</v>
      </c>
      <c r="L107">
        <v>77.97</v>
      </c>
    </row>
    <row r="108" spans="1:12" x14ac:dyDescent="0.2">
      <c r="A108" s="4">
        <v>107</v>
      </c>
      <c r="B108" t="s">
        <v>300</v>
      </c>
      <c r="C108">
        <v>77.16</v>
      </c>
      <c r="D108">
        <v>17</v>
      </c>
      <c r="E108">
        <v>10</v>
      </c>
      <c r="F108">
        <v>74.06</v>
      </c>
      <c r="G108">
        <v>0</v>
      </c>
      <c r="H108">
        <v>0</v>
      </c>
      <c r="I108">
        <v>0</v>
      </c>
      <c r="J108">
        <v>1</v>
      </c>
      <c r="K108">
        <v>77.95</v>
      </c>
      <c r="L108">
        <v>76.13</v>
      </c>
    </row>
    <row r="109" spans="1:12" x14ac:dyDescent="0.2">
      <c r="A109" s="4">
        <v>108</v>
      </c>
      <c r="B109" t="s">
        <v>805</v>
      </c>
      <c r="C109">
        <v>77.14</v>
      </c>
      <c r="D109">
        <v>15</v>
      </c>
      <c r="E109">
        <v>14</v>
      </c>
      <c r="F109">
        <v>76.45</v>
      </c>
      <c r="G109">
        <v>0</v>
      </c>
      <c r="H109">
        <v>1</v>
      </c>
      <c r="I109">
        <v>0</v>
      </c>
      <c r="J109">
        <v>3</v>
      </c>
      <c r="K109">
        <v>77.069999999999993</v>
      </c>
      <c r="L109">
        <v>76.94</v>
      </c>
    </row>
    <row r="110" spans="1:12" x14ac:dyDescent="0.2">
      <c r="A110" s="4">
        <v>109</v>
      </c>
      <c r="B110" t="s">
        <v>228</v>
      </c>
      <c r="C110">
        <v>77.03</v>
      </c>
      <c r="D110">
        <v>20</v>
      </c>
      <c r="E110">
        <v>8</v>
      </c>
      <c r="F110">
        <v>73.13</v>
      </c>
      <c r="G110">
        <v>0</v>
      </c>
      <c r="H110">
        <v>1</v>
      </c>
      <c r="I110">
        <v>1</v>
      </c>
      <c r="J110">
        <v>2</v>
      </c>
      <c r="K110">
        <v>80.56</v>
      </c>
      <c r="L110">
        <v>73.81</v>
      </c>
    </row>
    <row r="111" spans="1:12" x14ac:dyDescent="0.2">
      <c r="A111" s="4">
        <v>110</v>
      </c>
      <c r="B111" t="s">
        <v>872</v>
      </c>
      <c r="C111">
        <v>76.959999999999994</v>
      </c>
      <c r="D111">
        <v>11</v>
      </c>
      <c r="E111">
        <v>17</v>
      </c>
      <c r="F111">
        <v>77.19</v>
      </c>
      <c r="G111">
        <v>0</v>
      </c>
      <c r="H111">
        <v>1</v>
      </c>
      <c r="I111">
        <v>1</v>
      </c>
      <c r="J111">
        <v>3</v>
      </c>
      <c r="K111">
        <v>75.5</v>
      </c>
      <c r="L111">
        <v>78.239999999999995</v>
      </c>
    </row>
    <row r="112" spans="1:12" x14ac:dyDescent="0.2">
      <c r="A112" s="4">
        <v>111</v>
      </c>
      <c r="B112" t="s">
        <v>183</v>
      </c>
      <c r="C112">
        <v>76.83</v>
      </c>
      <c r="D112">
        <v>14</v>
      </c>
      <c r="E112">
        <v>14</v>
      </c>
      <c r="F112">
        <v>77.02</v>
      </c>
      <c r="G112">
        <v>0</v>
      </c>
      <c r="H112">
        <v>1</v>
      </c>
      <c r="I112">
        <v>1</v>
      </c>
      <c r="J112">
        <v>5</v>
      </c>
      <c r="K112">
        <v>76.930000000000007</v>
      </c>
      <c r="L112">
        <v>76.459999999999994</v>
      </c>
    </row>
    <row r="113" spans="1:12" x14ac:dyDescent="0.2">
      <c r="A113" s="4">
        <v>112</v>
      </c>
      <c r="B113" t="s">
        <v>110</v>
      </c>
      <c r="C113">
        <v>76.760000000000005</v>
      </c>
      <c r="D113">
        <v>15</v>
      </c>
      <c r="E113">
        <v>15</v>
      </c>
      <c r="F113">
        <v>74.98</v>
      </c>
      <c r="G113">
        <v>0</v>
      </c>
      <c r="H113">
        <v>3</v>
      </c>
      <c r="I113">
        <v>0</v>
      </c>
      <c r="J113">
        <v>5</v>
      </c>
      <c r="K113">
        <v>75.650000000000006</v>
      </c>
      <c r="L113">
        <v>77.64</v>
      </c>
    </row>
    <row r="114" spans="1:12" x14ac:dyDescent="0.2">
      <c r="A114" s="4">
        <v>113</v>
      </c>
      <c r="B114" t="s">
        <v>184</v>
      </c>
      <c r="C114">
        <v>76.63</v>
      </c>
      <c r="D114">
        <v>17</v>
      </c>
      <c r="E114">
        <v>13</v>
      </c>
      <c r="F114">
        <v>74.010000000000005</v>
      </c>
      <c r="G114">
        <v>0</v>
      </c>
      <c r="H114">
        <v>0</v>
      </c>
      <c r="I114">
        <v>0</v>
      </c>
      <c r="J114">
        <v>1</v>
      </c>
      <c r="K114">
        <v>76.180000000000007</v>
      </c>
      <c r="L114">
        <v>76.81</v>
      </c>
    </row>
    <row r="115" spans="1:12" x14ac:dyDescent="0.2">
      <c r="A115" s="4">
        <v>114</v>
      </c>
      <c r="B115" t="s">
        <v>134</v>
      </c>
      <c r="C115">
        <v>76.489999999999995</v>
      </c>
      <c r="D115">
        <v>19</v>
      </c>
      <c r="E115">
        <v>9</v>
      </c>
      <c r="F115">
        <v>72.150000000000006</v>
      </c>
      <c r="G115">
        <v>0</v>
      </c>
      <c r="H115">
        <v>1</v>
      </c>
      <c r="I115">
        <v>0</v>
      </c>
      <c r="J115">
        <v>2</v>
      </c>
      <c r="K115">
        <v>76.97</v>
      </c>
      <c r="L115">
        <v>75.739999999999995</v>
      </c>
    </row>
    <row r="116" spans="1:12" x14ac:dyDescent="0.2">
      <c r="A116" s="4">
        <v>115</v>
      </c>
      <c r="B116" t="s">
        <v>798</v>
      </c>
      <c r="C116">
        <v>76.34</v>
      </c>
      <c r="D116">
        <v>15</v>
      </c>
      <c r="E116">
        <v>12</v>
      </c>
      <c r="F116">
        <v>72.87</v>
      </c>
      <c r="G116">
        <v>0</v>
      </c>
      <c r="H116">
        <v>0</v>
      </c>
      <c r="I116">
        <v>0</v>
      </c>
      <c r="J116">
        <v>1</v>
      </c>
      <c r="K116">
        <v>75.97</v>
      </c>
      <c r="L116">
        <v>76.42</v>
      </c>
    </row>
    <row r="117" spans="1:12" x14ac:dyDescent="0.2">
      <c r="A117" s="4">
        <v>116</v>
      </c>
      <c r="B117" t="s">
        <v>236</v>
      </c>
      <c r="C117">
        <v>76.31</v>
      </c>
      <c r="D117">
        <v>17</v>
      </c>
      <c r="E117">
        <v>14</v>
      </c>
      <c r="F117">
        <v>75.599999999999994</v>
      </c>
      <c r="G117">
        <v>0</v>
      </c>
      <c r="H117">
        <v>0</v>
      </c>
      <c r="I117">
        <v>0</v>
      </c>
      <c r="J117">
        <v>1</v>
      </c>
      <c r="K117">
        <v>77.25</v>
      </c>
      <c r="L117">
        <v>75.12</v>
      </c>
    </row>
    <row r="118" spans="1:12" x14ac:dyDescent="0.2">
      <c r="A118" s="4">
        <v>117</v>
      </c>
      <c r="B118" t="s">
        <v>30</v>
      </c>
      <c r="C118">
        <v>76.27</v>
      </c>
      <c r="D118">
        <v>10</v>
      </c>
      <c r="E118">
        <v>19</v>
      </c>
      <c r="F118">
        <v>80.22</v>
      </c>
      <c r="G118">
        <v>1</v>
      </c>
      <c r="H118">
        <v>4</v>
      </c>
      <c r="I118">
        <v>1</v>
      </c>
      <c r="J118">
        <v>6</v>
      </c>
      <c r="K118">
        <v>74.849999999999994</v>
      </c>
      <c r="L118">
        <v>77.47</v>
      </c>
    </row>
    <row r="119" spans="1:12" x14ac:dyDescent="0.2">
      <c r="A119" s="4">
        <v>118</v>
      </c>
      <c r="B119" t="s">
        <v>162</v>
      </c>
      <c r="C119">
        <v>76.260000000000005</v>
      </c>
      <c r="D119">
        <v>18</v>
      </c>
      <c r="E119">
        <v>12</v>
      </c>
      <c r="F119">
        <v>73.2</v>
      </c>
      <c r="G119">
        <v>0</v>
      </c>
      <c r="H119">
        <v>0</v>
      </c>
      <c r="I119">
        <v>0</v>
      </c>
      <c r="J119">
        <v>1</v>
      </c>
      <c r="K119">
        <v>75.94</v>
      </c>
      <c r="L119">
        <v>76.31</v>
      </c>
    </row>
    <row r="120" spans="1:12" x14ac:dyDescent="0.2">
      <c r="A120" s="4">
        <v>119</v>
      </c>
      <c r="B120" t="s">
        <v>220</v>
      </c>
      <c r="C120">
        <v>76.260000000000005</v>
      </c>
      <c r="D120">
        <v>17</v>
      </c>
      <c r="E120">
        <v>12</v>
      </c>
      <c r="F120">
        <v>72.77</v>
      </c>
      <c r="G120">
        <v>0</v>
      </c>
      <c r="H120">
        <v>0</v>
      </c>
      <c r="I120">
        <v>0</v>
      </c>
      <c r="J120">
        <v>1</v>
      </c>
      <c r="K120">
        <v>76.72</v>
      </c>
      <c r="L120">
        <v>75.53</v>
      </c>
    </row>
    <row r="121" spans="1:12" x14ac:dyDescent="0.2">
      <c r="A121" s="4">
        <v>120</v>
      </c>
      <c r="B121" t="s">
        <v>196</v>
      </c>
      <c r="C121">
        <v>76.010000000000005</v>
      </c>
      <c r="D121">
        <v>21</v>
      </c>
      <c r="E121">
        <v>11</v>
      </c>
      <c r="F121">
        <v>71.38</v>
      </c>
      <c r="G121">
        <v>0</v>
      </c>
      <c r="H121">
        <v>0</v>
      </c>
      <c r="I121">
        <v>0</v>
      </c>
      <c r="J121">
        <v>1</v>
      </c>
      <c r="K121">
        <v>76.05</v>
      </c>
      <c r="L121">
        <v>75.69</v>
      </c>
    </row>
    <row r="122" spans="1:12" x14ac:dyDescent="0.2">
      <c r="A122" s="4">
        <v>121</v>
      </c>
      <c r="B122" t="s">
        <v>85</v>
      </c>
      <c r="C122">
        <v>76.010000000000005</v>
      </c>
      <c r="D122">
        <v>19</v>
      </c>
      <c r="E122">
        <v>9</v>
      </c>
      <c r="F122">
        <v>71.61</v>
      </c>
      <c r="G122">
        <v>0</v>
      </c>
      <c r="H122">
        <v>0</v>
      </c>
      <c r="I122">
        <v>0</v>
      </c>
      <c r="J122">
        <v>0</v>
      </c>
      <c r="K122">
        <v>77.319999999999993</v>
      </c>
      <c r="L122">
        <v>74.489999999999995</v>
      </c>
    </row>
    <row r="123" spans="1:12" x14ac:dyDescent="0.2">
      <c r="A123" s="4">
        <v>122</v>
      </c>
      <c r="B123" t="s">
        <v>61</v>
      </c>
      <c r="C123">
        <v>76</v>
      </c>
      <c r="D123">
        <v>17</v>
      </c>
      <c r="E123">
        <v>13</v>
      </c>
      <c r="F123">
        <v>74.98</v>
      </c>
      <c r="G123">
        <v>0</v>
      </c>
      <c r="H123">
        <v>0</v>
      </c>
      <c r="I123">
        <v>0</v>
      </c>
      <c r="J123">
        <v>2</v>
      </c>
      <c r="K123">
        <v>76.849999999999994</v>
      </c>
      <c r="L123">
        <v>74.91</v>
      </c>
    </row>
    <row r="124" spans="1:12" x14ac:dyDescent="0.2">
      <c r="A124" s="4">
        <v>123</v>
      </c>
      <c r="B124" t="s">
        <v>812</v>
      </c>
      <c r="C124">
        <v>75.97</v>
      </c>
      <c r="D124">
        <v>12</v>
      </c>
      <c r="E124">
        <v>15</v>
      </c>
      <c r="F124">
        <v>77.709999999999994</v>
      </c>
      <c r="G124">
        <v>0</v>
      </c>
      <c r="H124">
        <v>2</v>
      </c>
      <c r="I124">
        <v>0</v>
      </c>
      <c r="J124">
        <v>4</v>
      </c>
      <c r="K124">
        <v>75.599999999999994</v>
      </c>
      <c r="L124">
        <v>76.05</v>
      </c>
    </row>
    <row r="125" spans="1:12" x14ac:dyDescent="0.2">
      <c r="A125" s="4">
        <v>124</v>
      </c>
      <c r="B125" t="s">
        <v>801</v>
      </c>
      <c r="C125">
        <v>75.900000000000006</v>
      </c>
      <c r="D125">
        <v>18</v>
      </c>
      <c r="E125">
        <v>12</v>
      </c>
      <c r="F125">
        <v>73.39</v>
      </c>
      <c r="G125">
        <v>0</v>
      </c>
      <c r="H125">
        <v>0</v>
      </c>
      <c r="I125">
        <v>1</v>
      </c>
      <c r="J125">
        <v>3</v>
      </c>
      <c r="K125">
        <v>76.09</v>
      </c>
      <c r="L125">
        <v>75.42</v>
      </c>
    </row>
    <row r="126" spans="1:12" x14ac:dyDescent="0.2">
      <c r="A126" s="4">
        <v>125</v>
      </c>
      <c r="B126" t="s">
        <v>799</v>
      </c>
      <c r="C126">
        <v>75.77</v>
      </c>
      <c r="D126">
        <v>17</v>
      </c>
      <c r="E126">
        <v>11</v>
      </c>
      <c r="F126">
        <v>73.150000000000006</v>
      </c>
      <c r="G126">
        <v>0</v>
      </c>
      <c r="H126">
        <v>0</v>
      </c>
      <c r="I126">
        <v>0</v>
      </c>
      <c r="J126">
        <v>1</v>
      </c>
      <c r="K126">
        <v>77.44</v>
      </c>
      <c r="L126">
        <v>73.91</v>
      </c>
    </row>
    <row r="127" spans="1:12" x14ac:dyDescent="0.2">
      <c r="A127" s="4">
        <v>126</v>
      </c>
      <c r="B127" t="s">
        <v>820</v>
      </c>
      <c r="C127">
        <v>75.77</v>
      </c>
      <c r="D127">
        <v>17</v>
      </c>
      <c r="E127">
        <v>9</v>
      </c>
      <c r="F127">
        <v>71.59</v>
      </c>
      <c r="G127">
        <v>0</v>
      </c>
      <c r="H127">
        <v>0</v>
      </c>
      <c r="I127">
        <v>0</v>
      </c>
      <c r="J127">
        <v>0</v>
      </c>
      <c r="K127">
        <v>77.319999999999993</v>
      </c>
      <c r="L127">
        <v>74.02</v>
      </c>
    </row>
    <row r="128" spans="1:12" x14ac:dyDescent="0.2">
      <c r="A128" s="4">
        <v>127</v>
      </c>
      <c r="B128" t="s">
        <v>873</v>
      </c>
      <c r="C128">
        <v>75.7</v>
      </c>
      <c r="D128">
        <v>12</v>
      </c>
      <c r="E128">
        <v>15</v>
      </c>
      <c r="F128">
        <v>77.08</v>
      </c>
      <c r="G128">
        <v>0</v>
      </c>
      <c r="H128">
        <v>0</v>
      </c>
      <c r="I128">
        <v>0</v>
      </c>
      <c r="J128">
        <v>4</v>
      </c>
      <c r="K128">
        <v>75.88</v>
      </c>
      <c r="L128">
        <v>75.239999999999995</v>
      </c>
    </row>
    <row r="129" spans="1:12" x14ac:dyDescent="0.2">
      <c r="A129" s="4">
        <v>128</v>
      </c>
      <c r="B129" t="s">
        <v>143</v>
      </c>
      <c r="C129">
        <v>75.61</v>
      </c>
      <c r="D129">
        <v>18</v>
      </c>
      <c r="E129">
        <v>14</v>
      </c>
      <c r="F129">
        <v>72.819999999999993</v>
      </c>
      <c r="G129">
        <v>0</v>
      </c>
      <c r="H129">
        <v>0</v>
      </c>
      <c r="I129">
        <v>0</v>
      </c>
      <c r="J129">
        <v>0</v>
      </c>
      <c r="K129">
        <v>74.27</v>
      </c>
      <c r="L129">
        <v>76.72</v>
      </c>
    </row>
    <row r="130" spans="1:12" x14ac:dyDescent="0.2">
      <c r="A130" s="4">
        <v>129</v>
      </c>
      <c r="B130" t="s">
        <v>35</v>
      </c>
      <c r="C130">
        <v>75.58</v>
      </c>
      <c r="D130">
        <v>9</v>
      </c>
      <c r="E130">
        <v>19</v>
      </c>
      <c r="F130">
        <v>80.37</v>
      </c>
      <c r="G130">
        <v>0</v>
      </c>
      <c r="H130">
        <v>1</v>
      </c>
      <c r="I130">
        <v>1</v>
      </c>
      <c r="J130">
        <v>7</v>
      </c>
      <c r="K130">
        <v>74.819999999999993</v>
      </c>
      <c r="L130">
        <v>76.069999999999993</v>
      </c>
    </row>
    <row r="131" spans="1:12" x14ac:dyDescent="0.2">
      <c r="A131" s="4">
        <v>130</v>
      </c>
      <c r="B131" t="s">
        <v>50</v>
      </c>
      <c r="C131">
        <v>75.540000000000006</v>
      </c>
      <c r="D131">
        <v>15</v>
      </c>
      <c r="E131">
        <v>16</v>
      </c>
      <c r="F131">
        <v>75.709999999999994</v>
      </c>
      <c r="G131">
        <v>0</v>
      </c>
      <c r="H131">
        <v>0</v>
      </c>
      <c r="I131">
        <v>1</v>
      </c>
      <c r="J131">
        <v>2</v>
      </c>
      <c r="K131">
        <v>75.34</v>
      </c>
      <c r="L131">
        <v>75.45</v>
      </c>
    </row>
    <row r="132" spans="1:12" x14ac:dyDescent="0.2">
      <c r="A132" s="4">
        <v>131</v>
      </c>
      <c r="B132" t="s">
        <v>47</v>
      </c>
      <c r="C132">
        <v>75.5</v>
      </c>
      <c r="D132">
        <v>14</v>
      </c>
      <c r="E132">
        <v>14</v>
      </c>
      <c r="F132">
        <v>74.930000000000007</v>
      </c>
      <c r="G132">
        <v>0</v>
      </c>
      <c r="H132">
        <v>0</v>
      </c>
      <c r="I132">
        <v>0</v>
      </c>
      <c r="J132">
        <v>0</v>
      </c>
      <c r="K132">
        <v>75.23</v>
      </c>
      <c r="L132">
        <v>75.48</v>
      </c>
    </row>
    <row r="133" spans="1:12" x14ac:dyDescent="0.2">
      <c r="A133" s="4">
        <v>132</v>
      </c>
      <c r="B133" t="s">
        <v>93</v>
      </c>
      <c r="C133">
        <v>75.459999999999994</v>
      </c>
      <c r="D133">
        <v>13</v>
      </c>
      <c r="E133">
        <v>16</v>
      </c>
      <c r="F133">
        <v>76.37</v>
      </c>
      <c r="G133">
        <v>0</v>
      </c>
      <c r="H133">
        <v>0</v>
      </c>
      <c r="I133">
        <v>1</v>
      </c>
      <c r="J133">
        <v>0</v>
      </c>
      <c r="K133">
        <v>74.989999999999995</v>
      </c>
      <c r="L133">
        <v>75.650000000000006</v>
      </c>
    </row>
    <row r="134" spans="1:12" x14ac:dyDescent="0.2">
      <c r="A134" s="4">
        <v>133</v>
      </c>
      <c r="B134" t="s">
        <v>894</v>
      </c>
      <c r="C134">
        <v>75.42</v>
      </c>
      <c r="D134">
        <v>20</v>
      </c>
      <c r="E134">
        <v>11</v>
      </c>
      <c r="F134">
        <v>71.290000000000006</v>
      </c>
      <c r="G134">
        <v>0</v>
      </c>
      <c r="H134">
        <v>1</v>
      </c>
      <c r="I134">
        <v>0</v>
      </c>
      <c r="J134">
        <v>3</v>
      </c>
      <c r="K134">
        <v>74.91</v>
      </c>
      <c r="L134">
        <v>75.66</v>
      </c>
    </row>
    <row r="135" spans="1:12" x14ac:dyDescent="0.2">
      <c r="A135" s="4">
        <v>134</v>
      </c>
      <c r="B135" t="s">
        <v>282</v>
      </c>
      <c r="C135">
        <v>75.39</v>
      </c>
      <c r="D135">
        <v>22</v>
      </c>
      <c r="E135">
        <v>6</v>
      </c>
      <c r="F135">
        <v>68.040000000000006</v>
      </c>
      <c r="G135">
        <v>0</v>
      </c>
      <c r="H135">
        <v>0</v>
      </c>
      <c r="I135">
        <v>0</v>
      </c>
      <c r="J135">
        <v>0</v>
      </c>
      <c r="K135">
        <v>78.44</v>
      </c>
      <c r="L135">
        <v>72.33</v>
      </c>
    </row>
    <row r="136" spans="1:12" x14ac:dyDescent="0.2">
      <c r="A136" s="4">
        <v>135</v>
      </c>
      <c r="B136" t="s">
        <v>120</v>
      </c>
      <c r="C136">
        <v>75.39</v>
      </c>
      <c r="D136">
        <v>11</v>
      </c>
      <c r="E136">
        <v>18</v>
      </c>
      <c r="F136">
        <v>79.41</v>
      </c>
      <c r="G136">
        <v>0</v>
      </c>
      <c r="H136">
        <v>4</v>
      </c>
      <c r="I136">
        <v>0</v>
      </c>
      <c r="J136">
        <v>10</v>
      </c>
      <c r="K136">
        <v>75.56</v>
      </c>
      <c r="L136">
        <v>74.930000000000007</v>
      </c>
    </row>
    <row r="137" spans="1:12" x14ac:dyDescent="0.2">
      <c r="A137" s="4">
        <v>136</v>
      </c>
      <c r="B137" t="s">
        <v>111</v>
      </c>
      <c r="C137">
        <v>75.349999999999994</v>
      </c>
      <c r="D137">
        <v>10</v>
      </c>
      <c r="E137">
        <v>17</v>
      </c>
      <c r="F137">
        <v>78.459999999999994</v>
      </c>
      <c r="G137">
        <v>0</v>
      </c>
      <c r="H137">
        <v>2</v>
      </c>
      <c r="I137">
        <v>1</v>
      </c>
      <c r="J137">
        <v>3</v>
      </c>
      <c r="K137">
        <v>73.88</v>
      </c>
      <c r="L137">
        <v>76.59</v>
      </c>
    </row>
    <row r="138" spans="1:12" x14ac:dyDescent="0.2">
      <c r="A138" s="4">
        <v>137</v>
      </c>
      <c r="B138" t="s">
        <v>64</v>
      </c>
      <c r="C138">
        <v>75.25</v>
      </c>
      <c r="D138">
        <v>14</v>
      </c>
      <c r="E138">
        <v>10</v>
      </c>
      <c r="F138">
        <v>73.05</v>
      </c>
      <c r="G138">
        <v>0</v>
      </c>
      <c r="H138">
        <v>2</v>
      </c>
      <c r="I138">
        <v>0</v>
      </c>
      <c r="J138">
        <v>2</v>
      </c>
      <c r="K138">
        <v>75.62</v>
      </c>
      <c r="L138">
        <v>74.61</v>
      </c>
    </row>
    <row r="139" spans="1:12" x14ac:dyDescent="0.2">
      <c r="A139" s="4">
        <v>138</v>
      </c>
      <c r="B139" t="s">
        <v>118</v>
      </c>
      <c r="C139">
        <v>75.09</v>
      </c>
      <c r="D139">
        <v>16</v>
      </c>
      <c r="E139">
        <v>12</v>
      </c>
      <c r="F139">
        <v>72.650000000000006</v>
      </c>
      <c r="G139">
        <v>0</v>
      </c>
      <c r="H139">
        <v>1</v>
      </c>
      <c r="I139">
        <v>0</v>
      </c>
      <c r="J139">
        <v>1</v>
      </c>
      <c r="K139">
        <v>74</v>
      </c>
      <c r="L139">
        <v>75.91</v>
      </c>
    </row>
    <row r="140" spans="1:12" x14ac:dyDescent="0.2">
      <c r="A140" s="4">
        <v>139</v>
      </c>
      <c r="B140" t="s">
        <v>874</v>
      </c>
      <c r="C140">
        <v>75.06</v>
      </c>
      <c r="D140">
        <v>20</v>
      </c>
      <c r="E140">
        <v>11</v>
      </c>
      <c r="F140">
        <v>70.28</v>
      </c>
      <c r="G140">
        <v>0</v>
      </c>
      <c r="H140">
        <v>0</v>
      </c>
      <c r="I140">
        <v>0</v>
      </c>
      <c r="J140">
        <v>0</v>
      </c>
      <c r="K140">
        <v>75.13</v>
      </c>
      <c r="L140">
        <v>74.709999999999994</v>
      </c>
    </row>
    <row r="141" spans="1:12" x14ac:dyDescent="0.2">
      <c r="A141" s="4">
        <v>140</v>
      </c>
      <c r="B141" t="s">
        <v>784</v>
      </c>
      <c r="C141">
        <v>75.03</v>
      </c>
      <c r="D141">
        <v>18</v>
      </c>
      <c r="E141">
        <v>10</v>
      </c>
      <c r="F141">
        <v>69.95</v>
      </c>
      <c r="G141">
        <v>0</v>
      </c>
      <c r="H141">
        <v>0</v>
      </c>
      <c r="I141">
        <v>0</v>
      </c>
      <c r="J141">
        <v>0</v>
      </c>
      <c r="K141">
        <v>74.12</v>
      </c>
      <c r="L141">
        <v>75.67</v>
      </c>
    </row>
    <row r="142" spans="1:12" x14ac:dyDescent="0.2">
      <c r="A142" s="4">
        <v>141</v>
      </c>
      <c r="B142" t="s">
        <v>187</v>
      </c>
      <c r="C142">
        <v>75.010000000000005</v>
      </c>
      <c r="D142">
        <v>12</v>
      </c>
      <c r="E142">
        <v>17</v>
      </c>
      <c r="F142">
        <v>76.569999999999993</v>
      </c>
      <c r="G142">
        <v>0</v>
      </c>
      <c r="H142">
        <v>1</v>
      </c>
      <c r="I142">
        <v>1</v>
      </c>
      <c r="J142">
        <v>6</v>
      </c>
      <c r="K142">
        <v>73.540000000000006</v>
      </c>
      <c r="L142">
        <v>76.25</v>
      </c>
    </row>
    <row r="143" spans="1:12" x14ac:dyDescent="0.2">
      <c r="A143" s="4">
        <v>142</v>
      </c>
      <c r="B143" t="s">
        <v>124</v>
      </c>
      <c r="C143">
        <v>75</v>
      </c>
      <c r="D143">
        <v>15</v>
      </c>
      <c r="E143">
        <v>11</v>
      </c>
      <c r="F143">
        <v>72.47</v>
      </c>
      <c r="G143">
        <v>0</v>
      </c>
      <c r="H143">
        <v>2</v>
      </c>
      <c r="I143">
        <v>0</v>
      </c>
      <c r="J143">
        <v>2</v>
      </c>
      <c r="K143">
        <v>74.61</v>
      </c>
      <c r="L143">
        <v>75.11</v>
      </c>
    </row>
    <row r="144" spans="1:12" x14ac:dyDescent="0.2">
      <c r="A144" s="4">
        <v>143</v>
      </c>
      <c r="B144" t="s">
        <v>786</v>
      </c>
      <c r="C144">
        <v>74.91</v>
      </c>
      <c r="D144">
        <v>14</v>
      </c>
      <c r="E144">
        <v>16</v>
      </c>
      <c r="F144">
        <v>76.78</v>
      </c>
      <c r="G144">
        <v>0</v>
      </c>
      <c r="H144">
        <v>1</v>
      </c>
      <c r="I144">
        <v>0</v>
      </c>
      <c r="J144">
        <v>2</v>
      </c>
      <c r="K144">
        <v>75.989999999999995</v>
      </c>
      <c r="L144">
        <v>73.569999999999993</v>
      </c>
    </row>
    <row r="145" spans="1:12" x14ac:dyDescent="0.2">
      <c r="A145" s="4">
        <v>144</v>
      </c>
      <c r="B145" t="s">
        <v>837</v>
      </c>
      <c r="C145">
        <v>74.72</v>
      </c>
      <c r="D145">
        <v>21</v>
      </c>
      <c r="E145">
        <v>7</v>
      </c>
      <c r="F145">
        <v>68.599999999999994</v>
      </c>
      <c r="G145">
        <v>0</v>
      </c>
      <c r="H145">
        <v>0</v>
      </c>
      <c r="I145">
        <v>0</v>
      </c>
      <c r="J145">
        <v>1</v>
      </c>
      <c r="K145">
        <v>75.930000000000007</v>
      </c>
      <c r="L145">
        <v>73.27</v>
      </c>
    </row>
    <row r="146" spans="1:12" x14ac:dyDescent="0.2">
      <c r="A146" s="4">
        <v>145</v>
      </c>
      <c r="B146" t="s">
        <v>875</v>
      </c>
      <c r="C146">
        <v>74.67</v>
      </c>
      <c r="D146">
        <v>14</v>
      </c>
      <c r="E146">
        <v>15</v>
      </c>
      <c r="F146">
        <v>74.290000000000006</v>
      </c>
      <c r="G146">
        <v>0</v>
      </c>
      <c r="H146">
        <v>0</v>
      </c>
      <c r="I146">
        <v>0</v>
      </c>
      <c r="J146">
        <v>1</v>
      </c>
      <c r="K146">
        <v>73.88</v>
      </c>
      <c r="L146">
        <v>75.17</v>
      </c>
    </row>
    <row r="147" spans="1:12" x14ac:dyDescent="0.2">
      <c r="A147" s="4">
        <v>146</v>
      </c>
      <c r="B147" t="s">
        <v>201</v>
      </c>
      <c r="C147">
        <v>74.58</v>
      </c>
      <c r="D147">
        <v>15</v>
      </c>
      <c r="E147">
        <v>13</v>
      </c>
      <c r="F147">
        <v>74.37</v>
      </c>
      <c r="G147">
        <v>0</v>
      </c>
      <c r="H147">
        <v>0</v>
      </c>
      <c r="I147">
        <v>0</v>
      </c>
      <c r="J147">
        <v>0</v>
      </c>
      <c r="K147">
        <v>75.209999999999994</v>
      </c>
      <c r="L147">
        <v>73.67</v>
      </c>
    </row>
    <row r="148" spans="1:12" x14ac:dyDescent="0.2">
      <c r="A148" s="4">
        <v>147</v>
      </c>
      <c r="B148" t="s">
        <v>128</v>
      </c>
      <c r="C148">
        <v>74.56</v>
      </c>
      <c r="D148">
        <v>14</v>
      </c>
      <c r="E148">
        <v>14</v>
      </c>
      <c r="F148">
        <v>74.650000000000006</v>
      </c>
      <c r="G148">
        <v>0</v>
      </c>
      <c r="H148">
        <v>0</v>
      </c>
      <c r="I148">
        <v>0</v>
      </c>
      <c r="J148">
        <v>1</v>
      </c>
      <c r="K148">
        <v>74.239999999999995</v>
      </c>
      <c r="L148">
        <v>74.59</v>
      </c>
    </row>
    <row r="149" spans="1:12" x14ac:dyDescent="0.2">
      <c r="A149" s="4">
        <v>148</v>
      </c>
      <c r="B149" t="s">
        <v>826</v>
      </c>
      <c r="C149">
        <v>74.52</v>
      </c>
      <c r="D149">
        <v>16</v>
      </c>
      <c r="E149">
        <v>10</v>
      </c>
      <c r="F149">
        <v>72.06</v>
      </c>
      <c r="G149">
        <v>0</v>
      </c>
      <c r="H149">
        <v>1</v>
      </c>
      <c r="I149">
        <v>0</v>
      </c>
      <c r="J149">
        <v>2</v>
      </c>
      <c r="K149">
        <v>75.739999999999995</v>
      </c>
      <c r="L149">
        <v>73.05</v>
      </c>
    </row>
    <row r="150" spans="1:12" x14ac:dyDescent="0.2">
      <c r="A150" s="4">
        <v>149</v>
      </c>
      <c r="B150" t="s">
        <v>216</v>
      </c>
      <c r="C150">
        <v>74.489999999999995</v>
      </c>
      <c r="D150">
        <v>12</v>
      </c>
      <c r="E150">
        <v>16</v>
      </c>
      <c r="F150">
        <v>74.89</v>
      </c>
      <c r="G150">
        <v>0</v>
      </c>
      <c r="H150">
        <v>1</v>
      </c>
      <c r="I150">
        <v>0</v>
      </c>
      <c r="J150">
        <v>1</v>
      </c>
      <c r="K150">
        <v>73.680000000000007</v>
      </c>
      <c r="L150">
        <v>75.03</v>
      </c>
    </row>
    <row r="151" spans="1:12" x14ac:dyDescent="0.2">
      <c r="A151" s="4">
        <v>150</v>
      </c>
      <c r="B151" t="s">
        <v>813</v>
      </c>
      <c r="C151">
        <v>74.459999999999994</v>
      </c>
      <c r="D151">
        <v>13</v>
      </c>
      <c r="E151">
        <v>17</v>
      </c>
      <c r="F151">
        <v>76.599999999999994</v>
      </c>
      <c r="G151">
        <v>0</v>
      </c>
      <c r="H151">
        <v>0</v>
      </c>
      <c r="I151">
        <v>0</v>
      </c>
      <c r="J151">
        <v>2</v>
      </c>
      <c r="K151">
        <v>75.02</v>
      </c>
      <c r="L151">
        <v>73.63</v>
      </c>
    </row>
    <row r="152" spans="1:12" x14ac:dyDescent="0.2">
      <c r="A152" s="4">
        <v>151</v>
      </c>
      <c r="B152" t="s">
        <v>188</v>
      </c>
      <c r="C152">
        <v>74.44</v>
      </c>
      <c r="D152">
        <v>19</v>
      </c>
      <c r="E152">
        <v>12</v>
      </c>
      <c r="F152">
        <v>72.53</v>
      </c>
      <c r="G152">
        <v>0</v>
      </c>
      <c r="H152">
        <v>1</v>
      </c>
      <c r="I152">
        <v>0</v>
      </c>
      <c r="J152">
        <v>1</v>
      </c>
      <c r="K152">
        <v>75.73</v>
      </c>
      <c r="L152">
        <v>72.91</v>
      </c>
    </row>
    <row r="153" spans="1:12" x14ac:dyDescent="0.2">
      <c r="A153" s="4">
        <v>152</v>
      </c>
      <c r="B153" t="s">
        <v>275</v>
      </c>
      <c r="C153">
        <v>74.44</v>
      </c>
      <c r="D153">
        <v>10</v>
      </c>
      <c r="E153">
        <v>15</v>
      </c>
      <c r="F153">
        <v>77.599999999999994</v>
      </c>
      <c r="G153">
        <v>1</v>
      </c>
      <c r="H153">
        <v>3</v>
      </c>
      <c r="I153">
        <v>1</v>
      </c>
      <c r="J153">
        <v>4</v>
      </c>
      <c r="K153">
        <v>74.430000000000007</v>
      </c>
      <c r="L153">
        <v>74.17</v>
      </c>
    </row>
    <row r="154" spans="1:12" x14ac:dyDescent="0.2">
      <c r="A154" s="4">
        <v>153</v>
      </c>
      <c r="B154" t="s">
        <v>241</v>
      </c>
      <c r="C154">
        <v>74.22</v>
      </c>
      <c r="D154">
        <v>17</v>
      </c>
      <c r="E154">
        <v>15</v>
      </c>
      <c r="F154">
        <v>72.87</v>
      </c>
      <c r="G154">
        <v>0</v>
      </c>
      <c r="H154">
        <v>0</v>
      </c>
      <c r="I154">
        <v>0</v>
      </c>
      <c r="J154">
        <v>0</v>
      </c>
      <c r="K154">
        <v>73.33</v>
      </c>
      <c r="L154">
        <v>74.83</v>
      </c>
    </row>
    <row r="155" spans="1:12" x14ac:dyDescent="0.2">
      <c r="A155" s="4">
        <v>154</v>
      </c>
      <c r="B155" t="s">
        <v>41</v>
      </c>
      <c r="C155">
        <v>74.17</v>
      </c>
      <c r="D155">
        <v>11</v>
      </c>
      <c r="E155">
        <v>18</v>
      </c>
      <c r="F155">
        <v>77.31</v>
      </c>
      <c r="G155">
        <v>0</v>
      </c>
      <c r="H155">
        <v>1</v>
      </c>
      <c r="I155">
        <v>1</v>
      </c>
      <c r="J155">
        <v>3</v>
      </c>
      <c r="K155">
        <v>74.16</v>
      </c>
      <c r="L155">
        <v>73.89</v>
      </c>
    </row>
    <row r="156" spans="1:12" x14ac:dyDescent="0.2">
      <c r="A156" s="4">
        <v>155</v>
      </c>
      <c r="B156" t="s">
        <v>87</v>
      </c>
      <c r="C156">
        <v>74.06</v>
      </c>
      <c r="D156">
        <v>16</v>
      </c>
      <c r="E156">
        <v>12</v>
      </c>
      <c r="F156">
        <v>72.099999999999994</v>
      </c>
      <c r="G156">
        <v>0</v>
      </c>
      <c r="H156">
        <v>0</v>
      </c>
      <c r="I156">
        <v>0</v>
      </c>
      <c r="J156">
        <v>3</v>
      </c>
      <c r="K156">
        <v>74.78</v>
      </c>
      <c r="L156">
        <v>73.069999999999993</v>
      </c>
    </row>
    <row r="157" spans="1:12" x14ac:dyDescent="0.2">
      <c r="A157" s="4">
        <v>156</v>
      </c>
      <c r="B157" t="s">
        <v>298</v>
      </c>
      <c r="C157">
        <v>74.05</v>
      </c>
      <c r="D157">
        <v>17</v>
      </c>
      <c r="E157">
        <v>12</v>
      </c>
      <c r="F157">
        <v>72.08</v>
      </c>
      <c r="G157">
        <v>0</v>
      </c>
      <c r="H157">
        <v>0</v>
      </c>
      <c r="I157">
        <v>0</v>
      </c>
      <c r="J157">
        <v>0</v>
      </c>
      <c r="K157">
        <v>74.77</v>
      </c>
      <c r="L157">
        <v>73.06</v>
      </c>
    </row>
    <row r="158" spans="1:12" x14ac:dyDescent="0.2">
      <c r="A158" s="4">
        <v>157</v>
      </c>
      <c r="B158" t="s">
        <v>158</v>
      </c>
      <c r="C158">
        <v>74.03</v>
      </c>
      <c r="D158">
        <v>12</v>
      </c>
      <c r="E158">
        <v>14</v>
      </c>
      <c r="F158">
        <v>75.040000000000006</v>
      </c>
      <c r="G158">
        <v>0</v>
      </c>
      <c r="H158">
        <v>1</v>
      </c>
      <c r="I158">
        <v>0</v>
      </c>
      <c r="J158">
        <v>3</v>
      </c>
      <c r="K158">
        <v>73.23</v>
      </c>
      <c r="L158">
        <v>74.55</v>
      </c>
    </row>
    <row r="159" spans="1:12" x14ac:dyDescent="0.2">
      <c r="A159" s="4">
        <v>158</v>
      </c>
      <c r="B159" t="s">
        <v>255</v>
      </c>
      <c r="C159">
        <v>74.02</v>
      </c>
      <c r="D159">
        <v>13</v>
      </c>
      <c r="E159">
        <v>16</v>
      </c>
      <c r="F159">
        <v>76.08</v>
      </c>
      <c r="G159">
        <v>0</v>
      </c>
      <c r="H159">
        <v>1</v>
      </c>
      <c r="I159">
        <v>1</v>
      </c>
      <c r="J159">
        <v>2</v>
      </c>
      <c r="K159">
        <v>74.62</v>
      </c>
      <c r="L159">
        <v>73.13</v>
      </c>
    </row>
    <row r="160" spans="1:12" x14ac:dyDescent="0.2">
      <c r="A160" s="4">
        <v>159</v>
      </c>
      <c r="B160" t="s">
        <v>139</v>
      </c>
      <c r="C160">
        <v>74.010000000000005</v>
      </c>
      <c r="D160">
        <v>19</v>
      </c>
      <c r="E160">
        <v>8</v>
      </c>
      <c r="F160">
        <v>67.959999999999994</v>
      </c>
      <c r="G160">
        <v>0</v>
      </c>
      <c r="H160">
        <v>1</v>
      </c>
      <c r="I160">
        <v>0</v>
      </c>
      <c r="J160">
        <v>1</v>
      </c>
      <c r="K160">
        <v>73.66</v>
      </c>
      <c r="L160">
        <v>74.069999999999993</v>
      </c>
    </row>
    <row r="161" spans="1:12" x14ac:dyDescent="0.2">
      <c r="A161" s="4">
        <v>160</v>
      </c>
      <c r="B161" t="s">
        <v>89</v>
      </c>
      <c r="C161">
        <v>73.97</v>
      </c>
      <c r="D161">
        <v>19</v>
      </c>
      <c r="E161">
        <v>11</v>
      </c>
      <c r="F161">
        <v>70.239999999999995</v>
      </c>
      <c r="G161">
        <v>0</v>
      </c>
      <c r="H161">
        <v>1</v>
      </c>
      <c r="I161">
        <v>0</v>
      </c>
      <c r="J161">
        <v>1</v>
      </c>
      <c r="K161">
        <v>73.64</v>
      </c>
      <c r="L161">
        <v>74.010000000000005</v>
      </c>
    </row>
    <row r="162" spans="1:12" x14ac:dyDescent="0.2">
      <c r="A162" s="4">
        <v>161</v>
      </c>
      <c r="B162" t="s">
        <v>207</v>
      </c>
      <c r="C162">
        <v>73.95</v>
      </c>
      <c r="D162">
        <v>11</v>
      </c>
      <c r="E162">
        <v>16</v>
      </c>
      <c r="F162">
        <v>76.959999999999994</v>
      </c>
      <c r="G162">
        <v>0</v>
      </c>
      <c r="H162">
        <v>0</v>
      </c>
      <c r="I162">
        <v>0</v>
      </c>
      <c r="J162">
        <v>0</v>
      </c>
      <c r="K162">
        <v>74.94</v>
      </c>
      <c r="L162">
        <v>72.7</v>
      </c>
    </row>
    <row r="163" spans="1:12" x14ac:dyDescent="0.2">
      <c r="A163" s="4">
        <v>162</v>
      </c>
      <c r="B163" t="s">
        <v>144</v>
      </c>
      <c r="C163">
        <v>73.92</v>
      </c>
      <c r="D163">
        <v>13</v>
      </c>
      <c r="E163">
        <v>13</v>
      </c>
      <c r="F163">
        <v>73.22</v>
      </c>
      <c r="G163">
        <v>0</v>
      </c>
      <c r="H163">
        <v>0</v>
      </c>
      <c r="I163">
        <v>0</v>
      </c>
      <c r="J163">
        <v>3</v>
      </c>
      <c r="K163">
        <v>73.17</v>
      </c>
      <c r="L163">
        <v>74.38</v>
      </c>
    </row>
    <row r="164" spans="1:12" x14ac:dyDescent="0.2">
      <c r="A164" s="4">
        <v>163</v>
      </c>
      <c r="B164" t="s">
        <v>79</v>
      </c>
      <c r="C164">
        <v>73.91</v>
      </c>
      <c r="D164">
        <v>12</v>
      </c>
      <c r="E164">
        <v>17</v>
      </c>
      <c r="F164">
        <v>76.540000000000006</v>
      </c>
      <c r="G164">
        <v>0</v>
      </c>
      <c r="H164">
        <v>0</v>
      </c>
      <c r="I164">
        <v>1</v>
      </c>
      <c r="J164">
        <v>6</v>
      </c>
      <c r="K164">
        <v>74.540000000000006</v>
      </c>
      <c r="L164">
        <v>73.010000000000005</v>
      </c>
    </row>
    <row r="165" spans="1:12" x14ac:dyDescent="0.2">
      <c r="A165" s="4">
        <v>164</v>
      </c>
      <c r="B165" t="s">
        <v>160</v>
      </c>
      <c r="C165">
        <v>73.819999999999993</v>
      </c>
      <c r="D165">
        <v>17</v>
      </c>
      <c r="E165">
        <v>10</v>
      </c>
      <c r="F165">
        <v>68.959999999999994</v>
      </c>
      <c r="G165">
        <v>0</v>
      </c>
      <c r="H165">
        <v>0</v>
      </c>
      <c r="I165">
        <v>0</v>
      </c>
      <c r="J165">
        <v>0</v>
      </c>
      <c r="K165">
        <v>72.28</v>
      </c>
      <c r="L165">
        <v>75.08</v>
      </c>
    </row>
    <row r="166" spans="1:12" x14ac:dyDescent="0.2">
      <c r="A166" s="4">
        <v>165</v>
      </c>
      <c r="B166" t="s">
        <v>181</v>
      </c>
      <c r="C166">
        <v>73.77</v>
      </c>
      <c r="D166">
        <v>13</v>
      </c>
      <c r="E166">
        <v>15</v>
      </c>
      <c r="F166">
        <v>74.13</v>
      </c>
      <c r="G166">
        <v>0</v>
      </c>
      <c r="H166">
        <v>0</v>
      </c>
      <c r="I166">
        <v>0</v>
      </c>
      <c r="J166">
        <v>0</v>
      </c>
      <c r="K166">
        <v>74.06</v>
      </c>
      <c r="L166">
        <v>73.2</v>
      </c>
    </row>
    <row r="167" spans="1:12" x14ac:dyDescent="0.2">
      <c r="A167" s="4">
        <v>166</v>
      </c>
      <c r="B167" t="s">
        <v>552</v>
      </c>
      <c r="C167">
        <v>73.760000000000005</v>
      </c>
      <c r="D167">
        <v>16</v>
      </c>
      <c r="E167">
        <v>12</v>
      </c>
      <c r="F167">
        <v>72.97</v>
      </c>
      <c r="G167">
        <v>0</v>
      </c>
      <c r="H167">
        <v>0</v>
      </c>
      <c r="I167">
        <v>0</v>
      </c>
      <c r="J167">
        <v>1</v>
      </c>
      <c r="K167">
        <v>74.790000000000006</v>
      </c>
      <c r="L167">
        <v>72.45</v>
      </c>
    </row>
    <row r="168" spans="1:12" x14ac:dyDescent="0.2">
      <c r="A168" s="4">
        <v>167</v>
      </c>
      <c r="B168" t="s">
        <v>272</v>
      </c>
      <c r="C168">
        <v>73.66</v>
      </c>
      <c r="D168">
        <v>19</v>
      </c>
      <c r="E168">
        <v>14</v>
      </c>
      <c r="F168">
        <v>72.430000000000007</v>
      </c>
      <c r="G168">
        <v>0</v>
      </c>
      <c r="H168">
        <v>1</v>
      </c>
      <c r="I168">
        <v>0</v>
      </c>
      <c r="J168">
        <v>3</v>
      </c>
      <c r="K168">
        <v>74.45</v>
      </c>
      <c r="L168">
        <v>72.59</v>
      </c>
    </row>
    <row r="169" spans="1:12" x14ac:dyDescent="0.2">
      <c r="A169" s="4">
        <v>168</v>
      </c>
      <c r="B169" t="s">
        <v>234</v>
      </c>
      <c r="C169">
        <v>73.400000000000006</v>
      </c>
      <c r="D169">
        <v>12</v>
      </c>
      <c r="E169">
        <v>16</v>
      </c>
      <c r="F169">
        <v>76.03</v>
      </c>
      <c r="G169">
        <v>0</v>
      </c>
      <c r="H169">
        <v>0</v>
      </c>
      <c r="I169">
        <v>1</v>
      </c>
      <c r="J169">
        <v>2</v>
      </c>
      <c r="K169">
        <v>73.84</v>
      </c>
      <c r="L169">
        <v>72.67</v>
      </c>
    </row>
    <row r="170" spans="1:12" x14ac:dyDescent="0.2">
      <c r="A170" s="4">
        <v>169</v>
      </c>
      <c r="B170" t="s">
        <v>180</v>
      </c>
      <c r="C170">
        <v>73.349999999999994</v>
      </c>
      <c r="D170">
        <v>17</v>
      </c>
      <c r="E170">
        <v>12</v>
      </c>
      <c r="F170">
        <v>72.150000000000006</v>
      </c>
      <c r="G170">
        <v>0</v>
      </c>
      <c r="H170">
        <v>0</v>
      </c>
      <c r="I170">
        <v>0</v>
      </c>
      <c r="J170">
        <v>0</v>
      </c>
      <c r="K170">
        <v>74.709999999999994</v>
      </c>
      <c r="L170">
        <v>71.709999999999994</v>
      </c>
    </row>
    <row r="171" spans="1:12" x14ac:dyDescent="0.2">
      <c r="A171" s="4">
        <v>170</v>
      </c>
      <c r="B171" t="s">
        <v>178</v>
      </c>
      <c r="C171">
        <v>73.23</v>
      </c>
      <c r="D171">
        <v>12</v>
      </c>
      <c r="E171">
        <v>17</v>
      </c>
      <c r="F171">
        <v>75.98</v>
      </c>
      <c r="G171">
        <v>0</v>
      </c>
      <c r="H171">
        <v>0</v>
      </c>
      <c r="I171">
        <v>0</v>
      </c>
      <c r="J171">
        <v>4</v>
      </c>
      <c r="K171">
        <v>73.099999999999994</v>
      </c>
      <c r="L171">
        <v>73.08</v>
      </c>
    </row>
    <row r="172" spans="1:12" x14ac:dyDescent="0.2">
      <c r="A172" s="4">
        <v>171</v>
      </c>
      <c r="B172" t="s">
        <v>548</v>
      </c>
      <c r="C172">
        <v>73.2</v>
      </c>
      <c r="D172">
        <v>17</v>
      </c>
      <c r="E172">
        <v>12</v>
      </c>
      <c r="F172">
        <v>70.180000000000007</v>
      </c>
      <c r="G172">
        <v>0</v>
      </c>
      <c r="H172">
        <v>0</v>
      </c>
      <c r="I172">
        <v>0</v>
      </c>
      <c r="J172">
        <v>0</v>
      </c>
      <c r="K172">
        <v>73.319999999999993</v>
      </c>
      <c r="L172">
        <v>72.8</v>
      </c>
    </row>
    <row r="173" spans="1:12" x14ac:dyDescent="0.2">
      <c r="A173" s="4">
        <v>172</v>
      </c>
      <c r="B173" t="s">
        <v>133</v>
      </c>
      <c r="C173">
        <v>73.150000000000006</v>
      </c>
      <c r="D173">
        <v>13</v>
      </c>
      <c r="E173">
        <v>14</v>
      </c>
      <c r="F173">
        <v>73.44</v>
      </c>
      <c r="G173">
        <v>0</v>
      </c>
      <c r="H173">
        <v>0</v>
      </c>
      <c r="I173">
        <v>0</v>
      </c>
      <c r="J173">
        <v>0</v>
      </c>
      <c r="K173">
        <v>73.41</v>
      </c>
      <c r="L173">
        <v>72.61</v>
      </c>
    </row>
    <row r="174" spans="1:12" x14ac:dyDescent="0.2">
      <c r="A174" s="4">
        <v>173</v>
      </c>
      <c r="B174" t="s">
        <v>114</v>
      </c>
      <c r="C174">
        <v>73.069999999999993</v>
      </c>
      <c r="D174">
        <v>11</v>
      </c>
      <c r="E174">
        <v>18</v>
      </c>
      <c r="F174">
        <v>74.819999999999993</v>
      </c>
      <c r="G174">
        <v>0</v>
      </c>
      <c r="H174">
        <v>0</v>
      </c>
      <c r="I174">
        <v>0</v>
      </c>
      <c r="J174">
        <v>3</v>
      </c>
      <c r="K174">
        <v>71.260000000000005</v>
      </c>
      <c r="L174">
        <v>74.569999999999993</v>
      </c>
    </row>
    <row r="175" spans="1:12" x14ac:dyDescent="0.2">
      <c r="A175" s="4">
        <v>174</v>
      </c>
      <c r="B175" t="s">
        <v>166</v>
      </c>
      <c r="C175">
        <v>72.94</v>
      </c>
      <c r="D175">
        <v>21</v>
      </c>
      <c r="E175">
        <v>11</v>
      </c>
      <c r="F175">
        <v>69.400000000000006</v>
      </c>
      <c r="G175">
        <v>0</v>
      </c>
      <c r="H175">
        <v>1</v>
      </c>
      <c r="I175">
        <v>0</v>
      </c>
      <c r="J175">
        <v>3</v>
      </c>
      <c r="K175">
        <v>73.41</v>
      </c>
      <c r="L175">
        <v>72.180000000000007</v>
      </c>
    </row>
    <row r="176" spans="1:12" x14ac:dyDescent="0.2">
      <c r="A176" s="4">
        <v>175</v>
      </c>
      <c r="B176" t="s">
        <v>219</v>
      </c>
      <c r="C176">
        <v>72.87</v>
      </c>
      <c r="D176">
        <v>13</v>
      </c>
      <c r="E176">
        <v>14</v>
      </c>
      <c r="F176">
        <v>73.55</v>
      </c>
      <c r="G176">
        <v>0</v>
      </c>
      <c r="H176">
        <v>0</v>
      </c>
      <c r="I176">
        <v>0</v>
      </c>
      <c r="J176">
        <v>1</v>
      </c>
      <c r="K176">
        <v>72.27</v>
      </c>
      <c r="L176">
        <v>73.17</v>
      </c>
    </row>
    <row r="177" spans="1:12" x14ac:dyDescent="0.2">
      <c r="A177" s="4">
        <v>176</v>
      </c>
      <c r="B177" t="s">
        <v>271</v>
      </c>
      <c r="C177">
        <v>72.73</v>
      </c>
      <c r="D177">
        <v>13</v>
      </c>
      <c r="E177">
        <v>15</v>
      </c>
      <c r="F177">
        <v>73.81</v>
      </c>
      <c r="G177">
        <v>0</v>
      </c>
      <c r="H177">
        <v>1</v>
      </c>
      <c r="I177">
        <v>0</v>
      </c>
      <c r="J177">
        <v>3</v>
      </c>
      <c r="K177">
        <v>73.44</v>
      </c>
      <c r="L177">
        <v>71.739999999999995</v>
      </c>
    </row>
    <row r="178" spans="1:12" x14ac:dyDescent="0.2">
      <c r="A178" s="4">
        <v>177</v>
      </c>
      <c r="B178" t="s">
        <v>101</v>
      </c>
      <c r="C178">
        <v>72.7</v>
      </c>
      <c r="D178">
        <v>10</v>
      </c>
      <c r="E178">
        <v>15</v>
      </c>
      <c r="F178">
        <v>76.12</v>
      </c>
      <c r="G178">
        <v>0</v>
      </c>
      <c r="H178">
        <v>1</v>
      </c>
      <c r="I178">
        <v>0</v>
      </c>
      <c r="J178">
        <v>3</v>
      </c>
      <c r="K178">
        <v>72.760000000000005</v>
      </c>
      <c r="L178">
        <v>72.349999999999994</v>
      </c>
    </row>
    <row r="179" spans="1:12" x14ac:dyDescent="0.2">
      <c r="A179" s="4">
        <v>178</v>
      </c>
      <c r="B179" t="s">
        <v>49</v>
      </c>
      <c r="C179">
        <v>72.7</v>
      </c>
      <c r="D179">
        <v>9</v>
      </c>
      <c r="E179">
        <v>19</v>
      </c>
      <c r="F179">
        <v>77.010000000000005</v>
      </c>
      <c r="G179">
        <v>0</v>
      </c>
      <c r="H179">
        <v>2</v>
      </c>
      <c r="I179">
        <v>0</v>
      </c>
      <c r="J179">
        <v>6</v>
      </c>
      <c r="K179">
        <v>71.569999999999993</v>
      </c>
      <c r="L179">
        <v>73.53</v>
      </c>
    </row>
    <row r="180" spans="1:12" x14ac:dyDescent="0.2">
      <c r="A180" s="4">
        <v>179</v>
      </c>
      <c r="B180" t="s">
        <v>150</v>
      </c>
      <c r="C180">
        <v>72.52</v>
      </c>
      <c r="D180">
        <v>15</v>
      </c>
      <c r="E180">
        <v>14</v>
      </c>
      <c r="F180">
        <v>72.2</v>
      </c>
      <c r="G180">
        <v>0</v>
      </c>
      <c r="H180">
        <v>0</v>
      </c>
      <c r="I180">
        <v>0</v>
      </c>
      <c r="J180">
        <v>1</v>
      </c>
      <c r="K180">
        <v>72.400000000000006</v>
      </c>
      <c r="L180">
        <v>72.36</v>
      </c>
    </row>
    <row r="181" spans="1:12" x14ac:dyDescent="0.2">
      <c r="A181" s="4">
        <v>180</v>
      </c>
      <c r="B181" t="s">
        <v>250</v>
      </c>
      <c r="C181">
        <v>72.430000000000007</v>
      </c>
      <c r="D181">
        <v>16</v>
      </c>
      <c r="E181">
        <v>14</v>
      </c>
      <c r="F181">
        <v>70.11</v>
      </c>
      <c r="G181">
        <v>0</v>
      </c>
      <c r="H181">
        <v>0</v>
      </c>
      <c r="I181">
        <v>0</v>
      </c>
      <c r="J181">
        <v>1</v>
      </c>
      <c r="K181">
        <v>70.69</v>
      </c>
      <c r="L181">
        <v>73.849999999999994</v>
      </c>
    </row>
    <row r="182" spans="1:12" x14ac:dyDescent="0.2">
      <c r="A182" s="4">
        <v>181</v>
      </c>
      <c r="B182" t="s">
        <v>829</v>
      </c>
      <c r="C182">
        <v>72.34</v>
      </c>
      <c r="D182">
        <v>19</v>
      </c>
      <c r="E182">
        <v>10</v>
      </c>
      <c r="F182">
        <v>68.239999999999995</v>
      </c>
      <c r="G182">
        <v>0</v>
      </c>
      <c r="H182">
        <v>0</v>
      </c>
      <c r="I182">
        <v>0</v>
      </c>
      <c r="J182">
        <v>1</v>
      </c>
      <c r="K182">
        <v>73.45</v>
      </c>
      <c r="L182">
        <v>70.930000000000007</v>
      </c>
    </row>
    <row r="183" spans="1:12" x14ac:dyDescent="0.2">
      <c r="A183" s="4">
        <v>182</v>
      </c>
      <c r="B183" t="s">
        <v>815</v>
      </c>
      <c r="C183">
        <v>72.22</v>
      </c>
      <c r="D183">
        <v>11</v>
      </c>
      <c r="E183">
        <v>15</v>
      </c>
      <c r="F183">
        <v>72.59</v>
      </c>
      <c r="G183">
        <v>0</v>
      </c>
      <c r="H183">
        <v>0</v>
      </c>
      <c r="I183">
        <v>0</v>
      </c>
      <c r="J183">
        <v>0</v>
      </c>
      <c r="K183">
        <v>70.66</v>
      </c>
      <c r="L183">
        <v>73.459999999999994</v>
      </c>
    </row>
    <row r="184" spans="1:12" x14ac:dyDescent="0.2">
      <c r="A184" s="4">
        <v>183</v>
      </c>
      <c r="B184" t="s">
        <v>238</v>
      </c>
      <c r="C184">
        <v>71.959999999999994</v>
      </c>
      <c r="D184">
        <v>12</v>
      </c>
      <c r="E184">
        <v>14</v>
      </c>
      <c r="F184">
        <v>73.69</v>
      </c>
      <c r="G184">
        <v>0</v>
      </c>
      <c r="H184">
        <v>0</v>
      </c>
      <c r="I184">
        <v>0</v>
      </c>
      <c r="J184">
        <v>0</v>
      </c>
      <c r="K184">
        <v>72.849999999999994</v>
      </c>
      <c r="L184">
        <v>70.78</v>
      </c>
    </row>
    <row r="185" spans="1:12" x14ac:dyDescent="0.2">
      <c r="A185" s="4">
        <v>184</v>
      </c>
      <c r="B185" t="s">
        <v>797</v>
      </c>
      <c r="C185">
        <v>71.959999999999994</v>
      </c>
      <c r="D185">
        <v>12</v>
      </c>
      <c r="E185">
        <v>16</v>
      </c>
      <c r="F185">
        <v>73.400000000000006</v>
      </c>
      <c r="G185">
        <v>0</v>
      </c>
      <c r="H185">
        <v>0</v>
      </c>
      <c r="I185">
        <v>0</v>
      </c>
      <c r="J185">
        <v>0</v>
      </c>
      <c r="K185">
        <v>71.680000000000007</v>
      </c>
      <c r="L185">
        <v>71.95</v>
      </c>
    </row>
    <row r="186" spans="1:12" x14ac:dyDescent="0.2">
      <c r="A186" s="4">
        <v>185</v>
      </c>
      <c r="B186" t="s">
        <v>850</v>
      </c>
      <c r="C186">
        <v>71.930000000000007</v>
      </c>
      <c r="D186">
        <v>15</v>
      </c>
      <c r="E186">
        <v>14</v>
      </c>
      <c r="F186">
        <v>72.16</v>
      </c>
      <c r="G186">
        <v>0</v>
      </c>
      <c r="H186">
        <v>0</v>
      </c>
      <c r="I186">
        <v>0</v>
      </c>
      <c r="J186">
        <v>0</v>
      </c>
      <c r="K186">
        <v>72.27</v>
      </c>
      <c r="L186">
        <v>71.3</v>
      </c>
    </row>
    <row r="187" spans="1:12" x14ac:dyDescent="0.2">
      <c r="A187" s="4">
        <v>186</v>
      </c>
      <c r="B187" t="s">
        <v>830</v>
      </c>
      <c r="C187">
        <v>71.650000000000006</v>
      </c>
      <c r="D187">
        <v>13</v>
      </c>
      <c r="E187">
        <v>14</v>
      </c>
      <c r="F187">
        <v>72.38</v>
      </c>
      <c r="G187">
        <v>0</v>
      </c>
      <c r="H187">
        <v>0</v>
      </c>
      <c r="I187">
        <v>0</v>
      </c>
      <c r="J187">
        <v>0</v>
      </c>
      <c r="K187">
        <v>71.75</v>
      </c>
      <c r="L187">
        <v>71.260000000000005</v>
      </c>
    </row>
    <row r="188" spans="1:12" x14ac:dyDescent="0.2">
      <c r="A188" s="4">
        <v>187</v>
      </c>
      <c r="B188" t="s">
        <v>280</v>
      </c>
      <c r="C188">
        <v>71.59</v>
      </c>
      <c r="D188">
        <v>12</v>
      </c>
      <c r="E188">
        <v>15</v>
      </c>
      <c r="F188">
        <v>71.41</v>
      </c>
      <c r="G188">
        <v>0</v>
      </c>
      <c r="H188">
        <v>0</v>
      </c>
      <c r="I188">
        <v>0</v>
      </c>
      <c r="J188">
        <v>1</v>
      </c>
      <c r="K188">
        <v>69.86</v>
      </c>
      <c r="L188">
        <v>72.97</v>
      </c>
    </row>
    <row r="189" spans="1:12" x14ac:dyDescent="0.2">
      <c r="A189" s="4">
        <v>188</v>
      </c>
      <c r="B189" t="s">
        <v>276</v>
      </c>
      <c r="C189">
        <v>71.52</v>
      </c>
      <c r="D189">
        <v>9</v>
      </c>
      <c r="E189">
        <v>18</v>
      </c>
      <c r="F189">
        <v>76.11</v>
      </c>
      <c r="G189">
        <v>0</v>
      </c>
      <c r="H189">
        <v>0</v>
      </c>
      <c r="I189">
        <v>0</v>
      </c>
      <c r="J189">
        <v>1</v>
      </c>
      <c r="K189">
        <v>71.099999999999994</v>
      </c>
      <c r="L189">
        <v>71.66</v>
      </c>
    </row>
    <row r="190" spans="1:12" x14ac:dyDescent="0.2">
      <c r="A190" s="4">
        <v>189</v>
      </c>
      <c r="B190" t="s">
        <v>878</v>
      </c>
      <c r="C190">
        <v>71.45</v>
      </c>
      <c r="D190">
        <v>15</v>
      </c>
      <c r="E190">
        <v>11</v>
      </c>
      <c r="F190">
        <v>69.56</v>
      </c>
      <c r="G190">
        <v>0</v>
      </c>
      <c r="H190">
        <v>0</v>
      </c>
      <c r="I190">
        <v>0</v>
      </c>
      <c r="J190">
        <v>1</v>
      </c>
      <c r="K190">
        <v>71.13</v>
      </c>
      <c r="L190">
        <v>71.48</v>
      </c>
    </row>
    <row r="191" spans="1:12" x14ac:dyDescent="0.2">
      <c r="A191" s="4">
        <v>190</v>
      </c>
      <c r="B191" t="s">
        <v>218</v>
      </c>
      <c r="C191">
        <v>71.400000000000006</v>
      </c>
      <c r="D191">
        <v>12</v>
      </c>
      <c r="E191">
        <v>16</v>
      </c>
      <c r="F191">
        <v>72.61</v>
      </c>
      <c r="G191">
        <v>0</v>
      </c>
      <c r="H191">
        <v>0</v>
      </c>
      <c r="I191">
        <v>1</v>
      </c>
      <c r="J191">
        <v>0</v>
      </c>
      <c r="K191">
        <v>70.19</v>
      </c>
      <c r="L191">
        <v>72.28</v>
      </c>
    </row>
    <row r="192" spans="1:12" x14ac:dyDescent="0.2">
      <c r="A192" s="4">
        <v>191</v>
      </c>
      <c r="B192" t="s">
        <v>254</v>
      </c>
      <c r="C192">
        <v>71.290000000000006</v>
      </c>
      <c r="D192">
        <v>13</v>
      </c>
      <c r="E192">
        <v>13</v>
      </c>
      <c r="F192">
        <v>71.75</v>
      </c>
      <c r="G192">
        <v>0</v>
      </c>
      <c r="H192">
        <v>1</v>
      </c>
      <c r="I192">
        <v>0</v>
      </c>
      <c r="J192">
        <v>1</v>
      </c>
      <c r="K192">
        <v>71.39</v>
      </c>
      <c r="L192">
        <v>70.900000000000006</v>
      </c>
    </row>
    <row r="193" spans="1:12" x14ac:dyDescent="0.2">
      <c r="A193" s="4">
        <v>192</v>
      </c>
      <c r="B193" t="s">
        <v>123</v>
      </c>
      <c r="C193">
        <v>71.28</v>
      </c>
      <c r="D193">
        <v>10</v>
      </c>
      <c r="E193">
        <v>15</v>
      </c>
      <c r="F193">
        <v>74.2</v>
      </c>
      <c r="G193">
        <v>0</v>
      </c>
      <c r="H193">
        <v>0</v>
      </c>
      <c r="I193">
        <v>0</v>
      </c>
      <c r="J193">
        <v>0</v>
      </c>
      <c r="K193">
        <v>71.84</v>
      </c>
      <c r="L193">
        <v>70.430000000000007</v>
      </c>
    </row>
    <row r="194" spans="1:12" x14ac:dyDescent="0.2">
      <c r="A194" s="4">
        <v>193</v>
      </c>
      <c r="B194" t="s">
        <v>102</v>
      </c>
      <c r="C194">
        <v>71.23</v>
      </c>
      <c r="D194">
        <v>10</v>
      </c>
      <c r="E194">
        <v>17</v>
      </c>
      <c r="F194">
        <v>74.959999999999994</v>
      </c>
      <c r="G194">
        <v>0</v>
      </c>
      <c r="H194">
        <v>0</v>
      </c>
      <c r="I194">
        <v>0</v>
      </c>
      <c r="J194">
        <v>2</v>
      </c>
      <c r="K194">
        <v>70.56</v>
      </c>
      <c r="L194">
        <v>71.59</v>
      </c>
    </row>
    <row r="195" spans="1:12" x14ac:dyDescent="0.2">
      <c r="A195" s="4">
        <v>194</v>
      </c>
      <c r="B195" t="s">
        <v>248</v>
      </c>
      <c r="C195">
        <v>71.11</v>
      </c>
      <c r="D195">
        <v>13</v>
      </c>
      <c r="E195">
        <v>15</v>
      </c>
      <c r="F195">
        <v>71.91</v>
      </c>
      <c r="G195">
        <v>0</v>
      </c>
      <c r="H195">
        <v>0</v>
      </c>
      <c r="I195">
        <v>0</v>
      </c>
      <c r="J195">
        <v>0</v>
      </c>
      <c r="K195">
        <v>70.349999999999994</v>
      </c>
      <c r="L195">
        <v>71.58</v>
      </c>
    </row>
    <row r="196" spans="1:12" x14ac:dyDescent="0.2">
      <c r="A196" s="4">
        <v>195</v>
      </c>
      <c r="B196" t="s">
        <v>192</v>
      </c>
      <c r="C196">
        <v>70.97</v>
      </c>
      <c r="D196">
        <v>12</v>
      </c>
      <c r="E196">
        <v>16</v>
      </c>
      <c r="F196">
        <v>73.180000000000007</v>
      </c>
      <c r="G196">
        <v>0</v>
      </c>
      <c r="H196">
        <v>0</v>
      </c>
      <c r="I196">
        <v>1</v>
      </c>
      <c r="J196">
        <v>2</v>
      </c>
      <c r="K196">
        <v>70.849999999999994</v>
      </c>
      <c r="L196">
        <v>70.8</v>
      </c>
    </row>
    <row r="197" spans="1:12" x14ac:dyDescent="0.2">
      <c r="A197" s="4">
        <v>196</v>
      </c>
      <c r="B197" t="s">
        <v>155</v>
      </c>
      <c r="C197">
        <v>70.95</v>
      </c>
      <c r="D197">
        <v>18</v>
      </c>
      <c r="E197">
        <v>10</v>
      </c>
      <c r="F197">
        <v>67.459999999999994</v>
      </c>
      <c r="G197">
        <v>0</v>
      </c>
      <c r="H197">
        <v>0</v>
      </c>
      <c r="I197">
        <v>0</v>
      </c>
      <c r="J197">
        <v>0</v>
      </c>
      <c r="K197">
        <v>72.8</v>
      </c>
      <c r="L197">
        <v>68.69</v>
      </c>
    </row>
    <row r="198" spans="1:12" x14ac:dyDescent="0.2">
      <c r="A198" s="4">
        <v>197</v>
      </c>
      <c r="B198" t="s">
        <v>165</v>
      </c>
      <c r="C198">
        <v>70.760000000000005</v>
      </c>
      <c r="D198">
        <v>10</v>
      </c>
      <c r="E198">
        <v>18</v>
      </c>
      <c r="F198">
        <v>75.69</v>
      </c>
      <c r="G198">
        <v>0</v>
      </c>
      <c r="H198">
        <v>0</v>
      </c>
      <c r="I198">
        <v>0</v>
      </c>
      <c r="J198">
        <v>4</v>
      </c>
      <c r="K198">
        <v>70.87</v>
      </c>
      <c r="L198">
        <v>70.36</v>
      </c>
    </row>
    <row r="199" spans="1:12" x14ac:dyDescent="0.2">
      <c r="A199" s="4">
        <v>198</v>
      </c>
      <c r="B199" t="s">
        <v>861</v>
      </c>
      <c r="C199">
        <v>70.55</v>
      </c>
      <c r="D199">
        <v>15</v>
      </c>
      <c r="E199">
        <v>12</v>
      </c>
      <c r="F199">
        <v>68.39</v>
      </c>
      <c r="G199">
        <v>0</v>
      </c>
      <c r="H199">
        <v>0</v>
      </c>
      <c r="I199">
        <v>0</v>
      </c>
      <c r="J199">
        <v>0</v>
      </c>
      <c r="K199">
        <v>70.09</v>
      </c>
      <c r="L199">
        <v>70.709999999999994</v>
      </c>
    </row>
    <row r="200" spans="1:12" x14ac:dyDescent="0.2">
      <c r="A200" s="4">
        <v>199</v>
      </c>
      <c r="B200" t="s">
        <v>289</v>
      </c>
      <c r="C200">
        <v>70.5</v>
      </c>
      <c r="D200">
        <v>12</v>
      </c>
      <c r="E200">
        <v>15</v>
      </c>
      <c r="F200">
        <v>72.16</v>
      </c>
      <c r="G200">
        <v>0</v>
      </c>
      <c r="H200">
        <v>0</v>
      </c>
      <c r="I200">
        <v>0</v>
      </c>
      <c r="J200">
        <v>0</v>
      </c>
      <c r="K200">
        <v>70.930000000000007</v>
      </c>
      <c r="L200">
        <v>69.78</v>
      </c>
    </row>
    <row r="201" spans="1:12" x14ac:dyDescent="0.2">
      <c r="A201" s="4">
        <v>200</v>
      </c>
      <c r="B201" t="s">
        <v>896</v>
      </c>
      <c r="C201">
        <v>70.42</v>
      </c>
      <c r="D201">
        <v>17</v>
      </c>
      <c r="E201">
        <v>9</v>
      </c>
      <c r="F201">
        <v>66.53</v>
      </c>
      <c r="G201">
        <v>0</v>
      </c>
      <c r="H201">
        <v>0</v>
      </c>
      <c r="I201">
        <v>0</v>
      </c>
      <c r="J201">
        <v>0</v>
      </c>
      <c r="K201">
        <v>72.64</v>
      </c>
      <c r="L201">
        <v>67.7</v>
      </c>
    </row>
    <row r="202" spans="1:12" x14ac:dyDescent="0.2">
      <c r="A202" s="4">
        <v>201</v>
      </c>
      <c r="B202" t="s">
        <v>817</v>
      </c>
      <c r="C202">
        <v>70.37</v>
      </c>
      <c r="D202">
        <v>7</v>
      </c>
      <c r="E202">
        <v>21</v>
      </c>
      <c r="F202">
        <v>78.91</v>
      </c>
      <c r="G202">
        <v>0</v>
      </c>
      <c r="H202">
        <v>1</v>
      </c>
      <c r="I202">
        <v>1</v>
      </c>
      <c r="J202">
        <v>6</v>
      </c>
      <c r="K202">
        <v>70.61</v>
      </c>
      <c r="L202">
        <v>69.849999999999994</v>
      </c>
    </row>
    <row r="203" spans="1:12" x14ac:dyDescent="0.2">
      <c r="A203" s="4">
        <v>202</v>
      </c>
      <c r="B203" t="s">
        <v>191</v>
      </c>
      <c r="C203">
        <v>70.36</v>
      </c>
      <c r="D203">
        <v>14</v>
      </c>
      <c r="E203">
        <v>13</v>
      </c>
      <c r="F203">
        <v>70.08</v>
      </c>
      <c r="G203">
        <v>0</v>
      </c>
      <c r="H203">
        <v>1</v>
      </c>
      <c r="I203">
        <v>0</v>
      </c>
      <c r="J203">
        <v>2</v>
      </c>
      <c r="K203">
        <v>70.17</v>
      </c>
      <c r="L203">
        <v>70.260000000000005</v>
      </c>
    </row>
    <row r="204" spans="1:12" x14ac:dyDescent="0.2">
      <c r="A204" s="4">
        <v>203</v>
      </c>
      <c r="B204" t="s">
        <v>172</v>
      </c>
      <c r="C204">
        <v>70.33</v>
      </c>
      <c r="D204">
        <v>11</v>
      </c>
      <c r="E204">
        <v>19</v>
      </c>
      <c r="F204">
        <v>73.75</v>
      </c>
      <c r="G204">
        <v>0</v>
      </c>
      <c r="H204">
        <v>0</v>
      </c>
      <c r="I204">
        <v>0</v>
      </c>
      <c r="J204">
        <v>0</v>
      </c>
      <c r="K204">
        <v>70.349999999999994</v>
      </c>
      <c r="L204">
        <v>70.03</v>
      </c>
    </row>
    <row r="205" spans="1:12" x14ac:dyDescent="0.2">
      <c r="A205" s="4">
        <v>204</v>
      </c>
      <c r="B205" t="s">
        <v>807</v>
      </c>
      <c r="C205">
        <v>70.33</v>
      </c>
      <c r="D205">
        <v>7</v>
      </c>
      <c r="E205">
        <v>20</v>
      </c>
      <c r="F205">
        <v>78.069999999999993</v>
      </c>
      <c r="G205">
        <v>0</v>
      </c>
      <c r="H205">
        <v>2</v>
      </c>
      <c r="I205">
        <v>0</v>
      </c>
      <c r="J205">
        <v>4</v>
      </c>
      <c r="K205">
        <v>69.81</v>
      </c>
      <c r="L205">
        <v>70.569999999999993</v>
      </c>
    </row>
    <row r="206" spans="1:12" x14ac:dyDescent="0.2">
      <c r="A206" s="4">
        <v>205</v>
      </c>
      <c r="B206" t="s">
        <v>814</v>
      </c>
      <c r="C206">
        <v>70.31</v>
      </c>
      <c r="D206">
        <v>9</v>
      </c>
      <c r="E206">
        <v>18</v>
      </c>
      <c r="F206">
        <v>74.959999999999994</v>
      </c>
      <c r="G206">
        <v>0</v>
      </c>
      <c r="H206">
        <v>0</v>
      </c>
      <c r="I206">
        <v>0</v>
      </c>
      <c r="J206">
        <v>2</v>
      </c>
      <c r="K206">
        <v>70.239999999999995</v>
      </c>
      <c r="L206">
        <v>70.099999999999994</v>
      </c>
    </row>
    <row r="207" spans="1:12" x14ac:dyDescent="0.2">
      <c r="A207" s="4">
        <v>206</v>
      </c>
      <c r="B207" t="s">
        <v>177</v>
      </c>
      <c r="C207">
        <v>70.14</v>
      </c>
      <c r="D207">
        <v>10</v>
      </c>
      <c r="E207">
        <v>17</v>
      </c>
      <c r="F207">
        <v>74.680000000000007</v>
      </c>
      <c r="G207">
        <v>0</v>
      </c>
      <c r="H207">
        <v>0</v>
      </c>
      <c r="I207">
        <v>0</v>
      </c>
      <c r="J207">
        <v>0</v>
      </c>
      <c r="K207">
        <v>70.91</v>
      </c>
      <c r="L207">
        <v>69.069999999999993</v>
      </c>
    </row>
    <row r="208" spans="1:12" x14ac:dyDescent="0.2">
      <c r="A208" s="4">
        <v>207</v>
      </c>
      <c r="B208" t="s">
        <v>88</v>
      </c>
      <c r="C208">
        <v>70.13</v>
      </c>
      <c r="D208">
        <v>12</v>
      </c>
      <c r="E208">
        <v>15</v>
      </c>
      <c r="F208">
        <v>73.069999999999993</v>
      </c>
      <c r="G208">
        <v>0</v>
      </c>
      <c r="H208">
        <v>0</v>
      </c>
      <c r="I208">
        <v>0</v>
      </c>
      <c r="J208">
        <v>0</v>
      </c>
      <c r="K208">
        <v>71.069999999999993</v>
      </c>
      <c r="L208">
        <v>68.86</v>
      </c>
    </row>
    <row r="209" spans="1:12" x14ac:dyDescent="0.2">
      <c r="A209" s="4">
        <v>208</v>
      </c>
      <c r="B209" t="s">
        <v>259</v>
      </c>
      <c r="C209">
        <v>70.13</v>
      </c>
      <c r="D209">
        <v>9</v>
      </c>
      <c r="E209">
        <v>19</v>
      </c>
      <c r="F209">
        <v>75.040000000000006</v>
      </c>
      <c r="G209">
        <v>0</v>
      </c>
      <c r="H209">
        <v>0</v>
      </c>
      <c r="I209">
        <v>0</v>
      </c>
      <c r="J209">
        <v>4</v>
      </c>
      <c r="K209">
        <v>69.58</v>
      </c>
      <c r="L209">
        <v>70.37</v>
      </c>
    </row>
    <row r="210" spans="1:12" x14ac:dyDescent="0.2">
      <c r="A210" s="4">
        <v>209</v>
      </c>
      <c r="B210" t="s">
        <v>4</v>
      </c>
      <c r="C210">
        <v>70.11</v>
      </c>
      <c r="D210">
        <v>8</v>
      </c>
      <c r="E210">
        <v>20</v>
      </c>
      <c r="F210">
        <v>77.09</v>
      </c>
      <c r="G210">
        <v>0</v>
      </c>
      <c r="H210">
        <v>1</v>
      </c>
      <c r="I210">
        <v>0</v>
      </c>
      <c r="J210">
        <v>4</v>
      </c>
      <c r="K210">
        <v>70.62</v>
      </c>
      <c r="L210">
        <v>69.3</v>
      </c>
    </row>
    <row r="211" spans="1:12" x14ac:dyDescent="0.2">
      <c r="A211" s="4">
        <v>210</v>
      </c>
      <c r="B211" t="s">
        <v>891</v>
      </c>
      <c r="C211">
        <v>70.03</v>
      </c>
      <c r="D211">
        <v>10</v>
      </c>
      <c r="E211">
        <v>14</v>
      </c>
      <c r="F211">
        <v>72.91</v>
      </c>
      <c r="G211">
        <v>0</v>
      </c>
      <c r="H211">
        <v>0</v>
      </c>
      <c r="I211">
        <v>0</v>
      </c>
      <c r="J211">
        <v>0</v>
      </c>
      <c r="K211">
        <v>71.61</v>
      </c>
      <c r="L211">
        <v>68.05</v>
      </c>
    </row>
    <row r="212" spans="1:12" x14ac:dyDescent="0.2">
      <c r="A212" s="4">
        <v>211</v>
      </c>
      <c r="B212" t="s">
        <v>200</v>
      </c>
      <c r="C212">
        <v>70</v>
      </c>
      <c r="D212">
        <v>13</v>
      </c>
      <c r="E212">
        <v>13</v>
      </c>
      <c r="F212">
        <v>70.599999999999994</v>
      </c>
      <c r="G212">
        <v>0</v>
      </c>
      <c r="H212">
        <v>0</v>
      </c>
      <c r="I212">
        <v>0</v>
      </c>
      <c r="J212">
        <v>0</v>
      </c>
      <c r="K212">
        <v>71.510000000000005</v>
      </c>
      <c r="L212">
        <v>68.099999999999994</v>
      </c>
    </row>
    <row r="213" spans="1:12" x14ac:dyDescent="0.2">
      <c r="A213" s="4">
        <v>212</v>
      </c>
      <c r="B213" t="s">
        <v>190</v>
      </c>
      <c r="C213">
        <v>69.88</v>
      </c>
      <c r="D213">
        <v>13</v>
      </c>
      <c r="E213">
        <v>16</v>
      </c>
      <c r="F213">
        <v>71.709999999999994</v>
      </c>
      <c r="G213">
        <v>0</v>
      </c>
      <c r="H213">
        <v>0</v>
      </c>
      <c r="I213">
        <v>0</v>
      </c>
      <c r="J213">
        <v>0</v>
      </c>
      <c r="K213">
        <v>70.819999999999993</v>
      </c>
      <c r="L213">
        <v>68.62</v>
      </c>
    </row>
    <row r="214" spans="1:12" x14ac:dyDescent="0.2">
      <c r="A214" s="4">
        <v>213</v>
      </c>
      <c r="B214" t="s">
        <v>222</v>
      </c>
      <c r="C214">
        <v>69.81</v>
      </c>
      <c r="D214">
        <v>15</v>
      </c>
      <c r="E214">
        <v>13</v>
      </c>
      <c r="F214">
        <v>69.42</v>
      </c>
      <c r="G214">
        <v>0</v>
      </c>
      <c r="H214">
        <v>1</v>
      </c>
      <c r="I214">
        <v>0</v>
      </c>
      <c r="J214">
        <v>2</v>
      </c>
      <c r="K214">
        <v>69.36</v>
      </c>
      <c r="L214">
        <v>69.959999999999994</v>
      </c>
    </row>
    <row r="215" spans="1:12" x14ac:dyDescent="0.2">
      <c r="A215" s="4">
        <v>214</v>
      </c>
      <c r="B215" t="s">
        <v>901</v>
      </c>
      <c r="C215">
        <v>69.790000000000006</v>
      </c>
      <c r="D215">
        <v>14</v>
      </c>
      <c r="E215">
        <v>13</v>
      </c>
      <c r="F215">
        <v>69.78</v>
      </c>
      <c r="G215">
        <v>0</v>
      </c>
      <c r="H215">
        <v>1</v>
      </c>
      <c r="I215">
        <v>0</v>
      </c>
      <c r="J215">
        <v>1</v>
      </c>
      <c r="K215">
        <v>69.33</v>
      </c>
      <c r="L215">
        <v>69.97</v>
      </c>
    </row>
    <row r="216" spans="1:12" x14ac:dyDescent="0.2">
      <c r="A216" s="4">
        <v>215</v>
      </c>
      <c r="B216" t="s">
        <v>833</v>
      </c>
      <c r="C216">
        <v>69.78</v>
      </c>
      <c r="D216">
        <v>13</v>
      </c>
      <c r="E216">
        <v>14</v>
      </c>
      <c r="F216">
        <v>70.900000000000006</v>
      </c>
      <c r="G216">
        <v>0</v>
      </c>
      <c r="H216">
        <v>1</v>
      </c>
      <c r="I216">
        <v>0</v>
      </c>
      <c r="J216">
        <v>2</v>
      </c>
      <c r="K216">
        <v>69.959999999999994</v>
      </c>
      <c r="L216">
        <v>69.319999999999993</v>
      </c>
    </row>
    <row r="217" spans="1:12" x14ac:dyDescent="0.2">
      <c r="A217" s="4">
        <v>216</v>
      </c>
      <c r="B217" t="s">
        <v>257</v>
      </c>
      <c r="C217">
        <v>69.69</v>
      </c>
      <c r="D217">
        <v>12</v>
      </c>
      <c r="E217">
        <v>15</v>
      </c>
      <c r="F217">
        <v>71.319999999999993</v>
      </c>
      <c r="G217">
        <v>0</v>
      </c>
      <c r="H217">
        <v>0</v>
      </c>
      <c r="I217">
        <v>0</v>
      </c>
      <c r="J217">
        <v>0</v>
      </c>
      <c r="K217">
        <v>69.55</v>
      </c>
      <c r="L217">
        <v>69.55</v>
      </c>
    </row>
    <row r="218" spans="1:12" x14ac:dyDescent="0.2">
      <c r="A218" s="4">
        <v>217</v>
      </c>
      <c r="B218" t="s">
        <v>194</v>
      </c>
      <c r="C218">
        <v>69.61</v>
      </c>
      <c r="D218">
        <v>14</v>
      </c>
      <c r="E218">
        <v>15</v>
      </c>
      <c r="F218">
        <v>69.97</v>
      </c>
      <c r="G218">
        <v>0</v>
      </c>
      <c r="H218">
        <v>0</v>
      </c>
      <c r="I218">
        <v>0</v>
      </c>
      <c r="J218">
        <v>0</v>
      </c>
      <c r="K218">
        <v>69.11</v>
      </c>
      <c r="L218">
        <v>69.819999999999993</v>
      </c>
    </row>
    <row r="219" spans="1:12" x14ac:dyDescent="0.2">
      <c r="A219" s="4">
        <v>218</v>
      </c>
      <c r="B219" t="s">
        <v>297</v>
      </c>
      <c r="C219">
        <v>69.61</v>
      </c>
      <c r="D219">
        <v>11</v>
      </c>
      <c r="E219">
        <v>15</v>
      </c>
      <c r="F219">
        <v>71.489999999999995</v>
      </c>
      <c r="G219">
        <v>0</v>
      </c>
      <c r="H219">
        <v>0</v>
      </c>
      <c r="I219">
        <v>0</v>
      </c>
      <c r="J219">
        <v>0</v>
      </c>
      <c r="K219">
        <v>69.19</v>
      </c>
      <c r="L219">
        <v>69.739999999999995</v>
      </c>
    </row>
    <row r="220" spans="1:12" x14ac:dyDescent="0.2">
      <c r="A220" s="4">
        <v>219</v>
      </c>
      <c r="B220" t="s">
        <v>823</v>
      </c>
      <c r="C220">
        <v>69.599999999999994</v>
      </c>
      <c r="D220">
        <v>9</v>
      </c>
      <c r="E220">
        <v>16</v>
      </c>
      <c r="F220">
        <v>72.569999999999993</v>
      </c>
      <c r="G220">
        <v>0</v>
      </c>
      <c r="H220">
        <v>0</v>
      </c>
      <c r="I220">
        <v>0</v>
      </c>
      <c r="J220">
        <v>0</v>
      </c>
      <c r="K220">
        <v>69.06</v>
      </c>
      <c r="L220">
        <v>69.849999999999994</v>
      </c>
    </row>
    <row r="221" spans="1:12" x14ac:dyDescent="0.2">
      <c r="A221" s="4">
        <v>220</v>
      </c>
      <c r="B221" t="s">
        <v>267</v>
      </c>
      <c r="C221">
        <v>69.53</v>
      </c>
      <c r="D221">
        <v>12</v>
      </c>
      <c r="E221">
        <v>16</v>
      </c>
      <c r="F221">
        <v>69.98</v>
      </c>
      <c r="G221">
        <v>0</v>
      </c>
      <c r="H221">
        <v>0</v>
      </c>
      <c r="I221">
        <v>0</v>
      </c>
      <c r="J221">
        <v>0</v>
      </c>
      <c r="K221">
        <v>67.599999999999994</v>
      </c>
      <c r="L221">
        <v>71</v>
      </c>
    </row>
    <row r="222" spans="1:12" x14ac:dyDescent="0.2">
      <c r="A222" s="4">
        <v>221</v>
      </c>
      <c r="B222" t="s">
        <v>818</v>
      </c>
      <c r="C222">
        <v>69.36</v>
      </c>
      <c r="D222">
        <v>8</v>
      </c>
      <c r="E222">
        <v>21</v>
      </c>
      <c r="F222">
        <v>75.61</v>
      </c>
      <c r="G222">
        <v>0</v>
      </c>
      <c r="H222">
        <v>0</v>
      </c>
      <c r="I222">
        <v>0</v>
      </c>
      <c r="J222">
        <v>2</v>
      </c>
      <c r="K222">
        <v>68.7</v>
      </c>
      <c r="L222">
        <v>69.709999999999994</v>
      </c>
    </row>
    <row r="223" spans="1:12" x14ac:dyDescent="0.2">
      <c r="A223" s="4">
        <v>222</v>
      </c>
      <c r="B223" t="s">
        <v>205</v>
      </c>
      <c r="C223">
        <v>69.27</v>
      </c>
      <c r="D223">
        <v>9</v>
      </c>
      <c r="E223">
        <v>21</v>
      </c>
      <c r="F223">
        <v>75.430000000000007</v>
      </c>
      <c r="G223">
        <v>0</v>
      </c>
      <c r="H223">
        <v>1</v>
      </c>
      <c r="I223">
        <v>0</v>
      </c>
      <c r="J223">
        <v>5</v>
      </c>
      <c r="K223">
        <v>68.3</v>
      </c>
      <c r="L223">
        <v>69.92</v>
      </c>
    </row>
    <row r="224" spans="1:12" x14ac:dyDescent="0.2">
      <c r="A224" s="4">
        <v>223</v>
      </c>
      <c r="B224" t="s">
        <v>203</v>
      </c>
      <c r="C224">
        <v>69.23</v>
      </c>
      <c r="D224">
        <v>16</v>
      </c>
      <c r="E224">
        <v>12</v>
      </c>
      <c r="F224">
        <v>67.87</v>
      </c>
      <c r="G224">
        <v>0</v>
      </c>
      <c r="H224">
        <v>0</v>
      </c>
      <c r="I224">
        <v>0</v>
      </c>
      <c r="J224">
        <v>1</v>
      </c>
      <c r="K224">
        <v>69.650000000000006</v>
      </c>
      <c r="L224">
        <v>68.52</v>
      </c>
    </row>
    <row r="225" spans="1:12" x14ac:dyDescent="0.2">
      <c r="A225" s="4">
        <v>224</v>
      </c>
      <c r="B225" t="s">
        <v>174</v>
      </c>
      <c r="C225">
        <v>69.17</v>
      </c>
      <c r="D225">
        <v>12</v>
      </c>
      <c r="E225">
        <v>17</v>
      </c>
      <c r="F225">
        <v>71.349999999999994</v>
      </c>
      <c r="G225">
        <v>0</v>
      </c>
      <c r="H225">
        <v>0</v>
      </c>
      <c r="I225">
        <v>0</v>
      </c>
      <c r="J225">
        <v>0</v>
      </c>
      <c r="K225">
        <v>68.58</v>
      </c>
      <c r="L225">
        <v>69.47</v>
      </c>
    </row>
    <row r="226" spans="1:12" x14ac:dyDescent="0.2">
      <c r="A226" s="4">
        <v>225</v>
      </c>
      <c r="B226" t="s">
        <v>808</v>
      </c>
      <c r="C226">
        <v>69.05</v>
      </c>
      <c r="D226">
        <v>13</v>
      </c>
      <c r="E226">
        <v>15</v>
      </c>
      <c r="F226">
        <v>69.98</v>
      </c>
      <c r="G226">
        <v>0</v>
      </c>
      <c r="H226">
        <v>1</v>
      </c>
      <c r="I226">
        <v>0</v>
      </c>
      <c r="J226">
        <v>2</v>
      </c>
      <c r="K226">
        <v>69.09</v>
      </c>
      <c r="L226">
        <v>68.72</v>
      </c>
    </row>
    <row r="227" spans="1:12" x14ac:dyDescent="0.2">
      <c r="A227" s="4">
        <v>226</v>
      </c>
      <c r="B227" t="s">
        <v>212</v>
      </c>
      <c r="C227">
        <v>69.010000000000005</v>
      </c>
      <c r="D227">
        <v>10</v>
      </c>
      <c r="E227">
        <v>18</v>
      </c>
      <c r="F227">
        <v>71.69</v>
      </c>
      <c r="G227">
        <v>0</v>
      </c>
      <c r="H227">
        <v>1</v>
      </c>
      <c r="I227">
        <v>0</v>
      </c>
      <c r="J227">
        <v>3</v>
      </c>
      <c r="K227">
        <v>67.3</v>
      </c>
      <c r="L227">
        <v>70.290000000000006</v>
      </c>
    </row>
    <row r="228" spans="1:12" x14ac:dyDescent="0.2">
      <c r="A228" s="4">
        <v>227</v>
      </c>
      <c r="B228" t="s">
        <v>91</v>
      </c>
      <c r="C228">
        <v>68.89</v>
      </c>
      <c r="D228">
        <v>8</v>
      </c>
      <c r="E228">
        <v>20</v>
      </c>
      <c r="F228">
        <v>74.86</v>
      </c>
      <c r="G228">
        <v>0</v>
      </c>
      <c r="H228">
        <v>0</v>
      </c>
      <c r="I228">
        <v>0</v>
      </c>
      <c r="J228">
        <v>2</v>
      </c>
      <c r="K228">
        <v>68</v>
      </c>
      <c r="L228">
        <v>69.45</v>
      </c>
    </row>
    <row r="229" spans="1:12" x14ac:dyDescent="0.2">
      <c r="A229" s="4">
        <v>228</v>
      </c>
      <c r="B229" t="s">
        <v>237</v>
      </c>
      <c r="C229">
        <v>68.760000000000005</v>
      </c>
      <c r="D229">
        <v>14</v>
      </c>
      <c r="E229">
        <v>12</v>
      </c>
      <c r="F229">
        <v>68.41</v>
      </c>
      <c r="G229">
        <v>0</v>
      </c>
      <c r="H229">
        <v>0</v>
      </c>
      <c r="I229">
        <v>0</v>
      </c>
      <c r="J229">
        <v>1</v>
      </c>
      <c r="K229">
        <v>68.569999999999993</v>
      </c>
      <c r="L229">
        <v>68.67</v>
      </c>
    </row>
    <row r="230" spans="1:12" x14ac:dyDescent="0.2">
      <c r="A230" s="4">
        <v>229</v>
      </c>
      <c r="B230" t="s">
        <v>195</v>
      </c>
      <c r="C230">
        <v>68.56</v>
      </c>
      <c r="D230">
        <v>12</v>
      </c>
      <c r="E230">
        <v>16</v>
      </c>
      <c r="F230">
        <v>70.58</v>
      </c>
      <c r="G230">
        <v>0</v>
      </c>
      <c r="H230">
        <v>0</v>
      </c>
      <c r="I230">
        <v>0</v>
      </c>
      <c r="J230">
        <v>0</v>
      </c>
      <c r="K230">
        <v>68.8</v>
      </c>
      <c r="L230">
        <v>68.03</v>
      </c>
    </row>
    <row r="231" spans="1:12" x14ac:dyDescent="0.2">
      <c r="A231" s="4">
        <v>230</v>
      </c>
      <c r="B231" t="s">
        <v>827</v>
      </c>
      <c r="C231">
        <v>68.55</v>
      </c>
      <c r="D231">
        <v>20</v>
      </c>
      <c r="E231">
        <v>11</v>
      </c>
      <c r="F231">
        <v>65.900000000000006</v>
      </c>
      <c r="G231">
        <v>0</v>
      </c>
      <c r="H231">
        <v>1</v>
      </c>
      <c r="I231">
        <v>0</v>
      </c>
      <c r="J231">
        <v>2</v>
      </c>
      <c r="K231">
        <v>69.489999999999995</v>
      </c>
      <c r="L231">
        <v>67.25</v>
      </c>
    </row>
    <row r="232" spans="1:12" x14ac:dyDescent="0.2">
      <c r="A232" s="4">
        <v>231</v>
      </c>
      <c r="B232" t="s">
        <v>161</v>
      </c>
      <c r="C232">
        <v>68.42</v>
      </c>
      <c r="D232">
        <v>15</v>
      </c>
      <c r="E232">
        <v>13</v>
      </c>
      <c r="F232">
        <v>68.31</v>
      </c>
      <c r="G232">
        <v>0</v>
      </c>
      <c r="H232">
        <v>0</v>
      </c>
      <c r="I232">
        <v>0</v>
      </c>
      <c r="J232">
        <v>0</v>
      </c>
      <c r="K232">
        <v>69.13</v>
      </c>
      <c r="L232">
        <v>67.39</v>
      </c>
    </row>
    <row r="233" spans="1:12" x14ac:dyDescent="0.2">
      <c r="A233" s="4">
        <v>232</v>
      </c>
      <c r="B233" t="s">
        <v>840</v>
      </c>
      <c r="C233">
        <v>68.12</v>
      </c>
      <c r="D233">
        <v>8</v>
      </c>
      <c r="E233">
        <v>22</v>
      </c>
      <c r="F233">
        <v>75.09</v>
      </c>
      <c r="G233">
        <v>0</v>
      </c>
      <c r="H233">
        <v>0</v>
      </c>
      <c r="I233">
        <v>0</v>
      </c>
      <c r="J233">
        <v>3</v>
      </c>
      <c r="K233">
        <v>67.959999999999994</v>
      </c>
      <c r="L233">
        <v>67.98</v>
      </c>
    </row>
    <row r="234" spans="1:12" x14ac:dyDescent="0.2">
      <c r="A234" s="4">
        <v>233</v>
      </c>
      <c r="B234" t="s">
        <v>252</v>
      </c>
      <c r="C234">
        <v>68.03</v>
      </c>
      <c r="D234">
        <v>13</v>
      </c>
      <c r="E234">
        <v>15</v>
      </c>
      <c r="F234">
        <v>69.95</v>
      </c>
      <c r="G234">
        <v>0</v>
      </c>
      <c r="H234">
        <v>0</v>
      </c>
      <c r="I234">
        <v>0</v>
      </c>
      <c r="J234">
        <v>1</v>
      </c>
      <c r="K234">
        <v>67.86</v>
      </c>
      <c r="L234">
        <v>67.92</v>
      </c>
    </row>
    <row r="235" spans="1:12" x14ac:dyDescent="0.2">
      <c r="A235" s="4">
        <v>234</v>
      </c>
      <c r="B235" t="s">
        <v>787</v>
      </c>
      <c r="C235">
        <v>67.88</v>
      </c>
      <c r="D235">
        <v>15</v>
      </c>
      <c r="E235">
        <v>13</v>
      </c>
      <c r="F235">
        <v>67.55</v>
      </c>
      <c r="G235">
        <v>0</v>
      </c>
      <c r="H235">
        <v>0</v>
      </c>
      <c r="I235">
        <v>0</v>
      </c>
      <c r="J235">
        <v>1</v>
      </c>
      <c r="K235">
        <v>68.349999999999994</v>
      </c>
      <c r="L235">
        <v>67.099999999999994</v>
      </c>
    </row>
    <row r="236" spans="1:12" x14ac:dyDescent="0.2">
      <c r="A236" s="4">
        <v>235</v>
      </c>
      <c r="B236" t="s">
        <v>235</v>
      </c>
      <c r="C236">
        <v>67.87</v>
      </c>
      <c r="D236">
        <v>17</v>
      </c>
      <c r="E236">
        <v>12</v>
      </c>
      <c r="F236">
        <v>67.37</v>
      </c>
      <c r="G236">
        <v>0</v>
      </c>
      <c r="H236">
        <v>1</v>
      </c>
      <c r="I236">
        <v>0</v>
      </c>
      <c r="J236">
        <v>1</v>
      </c>
      <c r="K236">
        <v>69.16</v>
      </c>
      <c r="L236">
        <v>66.150000000000006</v>
      </c>
    </row>
    <row r="237" spans="1:12" x14ac:dyDescent="0.2">
      <c r="A237" s="4">
        <v>236</v>
      </c>
      <c r="B237" t="s">
        <v>95</v>
      </c>
      <c r="C237">
        <v>67.81</v>
      </c>
      <c r="D237">
        <v>11</v>
      </c>
      <c r="E237">
        <v>17</v>
      </c>
      <c r="F237">
        <v>72.16</v>
      </c>
      <c r="G237">
        <v>0</v>
      </c>
      <c r="H237">
        <v>1</v>
      </c>
      <c r="I237">
        <v>0</v>
      </c>
      <c r="J237">
        <v>4</v>
      </c>
      <c r="K237">
        <v>68.2</v>
      </c>
      <c r="L237">
        <v>67.11</v>
      </c>
    </row>
    <row r="238" spans="1:12" x14ac:dyDescent="0.2">
      <c r="A238" s="4">
        <v>237</v>
      </c>
      <c r="B238" t="s">
        <v>253</v>
      </c>
      <c r="C238">
        <v>67.760000000000005</v>
      </c>
      <c r="D238">
        <v>19</v>
      </c>
      <c r="E238">
        <v>11</v>
      </c>
      <c r="F238">
        <v>64.5</v>
      </c>
      <c r="G238">
        <v>0</v>
      </c>
      <c r="H238">
        <v>0</v>
      </c>
      <c r="I238">
        <v>0</v>
      </c>
      <c r="J238">
        <v>1</v>
      </c>
      <c r="K238">
        <v>67.569999999999993</v>
      </c>
      <c r="L238">
        <v>67.67</v>
      </c>
    </row>
    <row r="239" spans="1:12" x14ac:dyDescent="0.2">
      <c r="A239" s="4">
        <v>238</v>
      </c>
      <c r="B239" t="s">
        <v>822</v>
      </c>
      <c r="C239">
        <v>67.67</v>
      </c>
      <c r="D239">
        <v>11</v>
      </c>
      <c r="E239">
        <v>17</v>
      </c>
      <c r="F239">
        <v>72.86</v>
      </c>
      <c r="G239">
        <v>0</v>
      </c>
      <c r="H239">
        <v>0</v>
      </c>
      <c r="I239">
        <v>0</v>
      </c>
      <c r="J239">
        <v>1</v>
      </c>
      <c r="K239">
        <v>69.599999999999994</v>
      </c>
      <c r="L239">
        <v>65.11</v>
      </c>
    </row>
    <row r="240" spans="1:12" x14ac:dyDescent="0.2">
      <c r="A240" s="4">
        <v>239</v>
      </c>
      <c r="B240" t="s">
        <v>83</v>
      </c>
      <c r="C240">
        <v>67.66</v>
      </c>
      <c r="D240">
        <v>5</v>
      </c>
      <c r="E240">
        <v>21</v>
      </c>
      <c r="F240">
        <v>77.28</v>
      </c>
      <c r="G240">
        <v>0</v>
      </c>
      <c r="H240">
        <v>0</v>
      </c>
      <c r="I240">
        <v>0</v>
      </c>
      <c r="J240">
        <v>0</v>
      </c>
      <c r="K240">
        <v>67.8</v>
      </c>
      <c r="L240">
        <v>67.239999999999995</v>
      </c>
    </row>
    <row r="241" spans="1:12" x14ac:dyDescent="0.2">
      <c r="A241" s="4">
        <v>240</v>
      </c>
      <c r="B241" t="s">
        <v>169</v>
      </c>
      <c r="C241">
        <v>67.64</v>
      </c>
      <c r="D241">
        <v>10</v>
      </c>
      <c r="E241">
        <v>19</v>
      </c>
      <c r="F241">
        <v>71.41</v>
      </c>
      <c r="G241">
        <v>0</v>
      </c>
      <c r="H241">
        <v>0</v>
      </c>
      <c r="I241">
        <v>0</v>
      </c>
      <c r="J241">
        <v>0</v>
      </c>
      <c r="K241">
        <v>67.36</v>
      </c>
      <c r="L241">
        <v>67.63</v>
      </c>
    </row>
    <row r="242" spans="1:12" x14ac:dyDescent="0.2">
      <c r="A242" s="4">
        <v>241</v>
      </c>
      <c r="B242" t="s">
        <v>268</v>
      </c>
      <c r="C242">
        <v>67.569999999999993</v>
      </c>
      <c r="D242">
        <v>12</v>
      </c>
      <c r="E242">
        <v>14</v>
      </c>
      <c r="F242">
        <v>69.28</v>
      </c>
      <c r="G242">
        <v>0</v>
      </c>
      <c r="H242">
        <v>0</v>
      </c>
      <c r="I242">
        <v>0</v>
      </c>
      <c r="J242">
        <v>1</v>
      </c>
      <c r="K242">
        <v>68.98</v>
      </c>
      <c r="L242">
        <v>65.680000000000007</v>
      </c>
    </row>
    <row r="243" spans="1:12" x14ac:dyDescent="0.2">
      <c r="A243" s="4">
        <v>242</v>
      </c>
      <c r="B243" t="s">
        <v>182</v>
      </c>
      <c r="C243">
        <v>67.53</v>
      </c>
      <c r="D243">
        <v>14</v>
      </c>
      <c r="E243">
        <v>17</v>
      </c>
      <c r="F243">
        <v>71.930000000000007</v>
      </c>
      <c r="G243">
        <v>0</v>
      </c>
      <c r="H243">
        <v>3</v>
      </c>
      <c r="I243">
        <v>0</v>
      </c>
      <c r="J243">
        <v>5</v>
      </c>
      <c r="K243">
        <v>70.599999999999994</v>
      </c>
      <c r="L243">
        <v>63.09</v>
      </c>
    </row>
    <row r="244" spans="1:12" x14ac:dyDescent="0.2">
      <c r="A244" s="4">
        <v>243</v>
      </c>
      <c r="B244" t="s">
        <v>892</v>
      </c>
      <c r="C244">
        <v>67.510000000000005</v>
      </c>
      <c r="D244">
        <v>14</v>
      </c>
      <c r="E244">
        <v>16</v>
      </c>
      <c r="F244">
        <v>68.31</v>
      </c>
      <c r="G244">
        <v>0</v>
      </c>
      <c r="H244">
        <v>0</v>
      </c>
      <c r="I244">
        <v>0</v>
      </c>
      <c r="J244">
        <v>0</v>
      </c>
      <c r="K244">
        <v>67.5</v>
      </c>
      <c r="L244">
        <v>67.239999999999995</v>
      </c>
    </row>
    <row r="245" spans="1:12" x14ac:dyDescent="0.2">
      <c r="A245" s="4">
        <v>244</v>
      </c>
      <c r="B245" t="s">
        <v>140</v>
      </c>
      <c r="C245">
        <v>67.39</v>
      </c>
      <c r="D245">
        <v>12</v>
      </c>
      <c r="E245">
        <v>14</v>
      </c>
      <c r="F245">
        <v>68.94</v>
      </c>
      <c r="G245">
        <v>0</v>
      </c>
      <c r="H245">
        <v>1</v>
      </c>
      <c r="I245">
        <v>0</v>
      </c>
      <c r="J245">
        <v>1</v>
      </c>
      <c r="K245">
        <v>66.86</v>
      </c>
      <c r="L245">
        <v>67.63</v>
      </c>
    </row>
    <row r="246" spans="1:12" x14ac:dyDescent="0.2">
      <c r="A246" s="4">
        <v>245</v>
      </c>
      <c r="B246" t="s">
        <v>889</v>
      </c>
      <c r="C246">
        <v>67.3</v>
      </c>
      <c r="D246">
        <v>9</v>
      </c>
      <c r="E246">
        <v>19</v>
      </c>
      <c r="F246">
        <v>72.58</v>
      </c>
      <c r="G246">
        <v>0</v>
      </c>
      <c r="H246">
        <v>0</v>
      </c>
      <c r="I246">
        <v>0</v>
      </c>
      <c r="J246">
        <v>1</v>
      </c>
      <c r="K246">
        <v>67.959999999999994</v>
      </c>
      <c r="L246">
        <v>66.319999999999993</v>
      </c>
    </row>
    <row r="247" spans="1:12" x14ac:dyDescent="0.2">
      <c r="A247" s="4">
        <v>246</v>
      </c>
      <c r="B247" t="s">
        <v>296</v>
      </c>
      <c r="C247">
        <v>67.25</v>
      </c>
      <c r="D247">
        <v>12</v>
      </c>
      <c r="E247">
        <v>16</v>
      </c>
      <c r="F247">
        <v>69.900000000000006</v>
      </c>
      <c r="G247">
        <v>0</v>
      </c>
      <c r="H247">
        <v>0</v>
      </c>
      <c r="I247">
        <v>0</v>
      </c>
      <c r="J247">
        <v>1</v>
      </c>
      <c r="K247">
        <v>68.459999999999994</v>
      </c>
      <c r="L247">
        <v>65.599999999999994</v>
      </c>
    </row>
    <row r="248" spans="1:12" x14ac:dyDescent="0.2">
      <c r="A248" s="4">
        <v>247</v>
      </c>
      <c r="B248" t="s">
        <v>881</v>
      </c>
      <c r="C248">
        <v>67.23</v>
      </c>
      <c r="D248">
        <v>7</v>
      </c>
      <c r="E248">
        <v>21</v>
      </c>
      <c r="F248">
        <v>73.400000000000006</v>
      </c>
      <c r="G248">
        <v>0</v>
      </c>
      <c r="H248">
        <v>0</v>
      </c>
      <c r="I248">
        <v>0</v>
      </c>
      <c r="J248">
        <v>0</v>
      </c>
      <c r="K248">
        <v>65.59</v>
      </c>
      <c r="L248">
        <v>68.39</v>
      </c>
    </row>
    <row r="249" spans="1:12" x14ac:dyDescent="0.2">
      <c r="A249" s="4">
        <v>248</v>
      </c>
      <c r="B249" t="s">
        <v>821</v>
      </c>
      <c r="C249">
        <v>67.17</v>
      </c>
      <c r="D249">
        <v>7</v>
      </c>
      <c r="E249">
        <v>24</v>
      </c>
      <c r="F249">
        <v>75.59</v>
      </c>
      <c r="G249">
        <v>0</v>
      </c>
      <c r="H249">
        <v>0</v>
      </c>
      <c r="I249">
        <v>0</v>
      </c>
      <c r="J249">
        <v>4</v>
      </c>
      <c r="K249">
        <v>67.06</v>
      </c>
      <c r="L249">
        <v>66.989999999999995</v>
      </c>
    </row>
    <row r="250" spans="1:12" x14ac:dyDescent="0.2">
      <c r="A250" s="4">
        <v>249</v>
      </c>
      <c r="B250" t="s">
        <v>262</v>
      </c>
      <c r="C250">
        <v>67.12</v>
      </c>
      <c r="D250">
        <v>12</v>
      </c>
      <c r="E250">
        <v>14</v>
      </c>
      <c r="F250">
        <v>68.16</v>
      </c>
      <c r="G250">
        <v>0</v>
      </c>
      <c r="H250">
        <v>0</v>
      </c>
      <c r="I250">
        <v>0</v>
      </c>
      <c r="J250">
        <v>0</v>
      </c>
      <c r="K250">
        <v>67.2</v>
      </c>
      <c r="L250">
        <v>66.760000000000005</v>
      </c>
    </row>
    <row r="251" spans="1:12" x14ac:dyDescent="0.2">
      <c r="A251" s="4">
        <v>250</v>
      </c>
      <c r="B251" t="s">
        <v>831</v>
      </c>
      <c r="C251">
        <v>67.12</v>
      </c>
      <c r="D251">
        <v>7</v>
      </c>
      <c r="E251">
        <v>20</v>
      </c>
      <c r="F251">
        <v>74.45</v>
      </c>
      <c r="G251">
        <v>0</v>
      </c>
      <c r="H251">
        <v>0</v>
      </c>
      <c r="I251">
        <v>0</v>
      </c>
      <c r="J251">
        <v>2</v>
      </c>
      <c r="K251">
        <v>67.31</v>
      </c>
      <c r="L251">
        <v>66.64</v>
      </c>
    </row>
    <row r="252" spans="1:12" x14ac:dyDescent="0.2">
      <c r="A252" s="4">
        <v>251</v>
      </c>
      <c r="B252" t="s">
        <v>244</v>
      </c>
      <c r="C252">
        <v>66.849999999999994</v>
      </c>
      <c r="D252">
        <v>11</v>
      </c>
      <c r="E252">
        <v>16</v>
      </c>
      <c r="F252">
        <v>69.459999999999994</v>
      </c>
      <c r="G252">
        <v>0</v>
      </c>
      <c r="H252">
        <v>0</v>
      </c>
      <c r="I252">
        <v>0</v>
      </c>
      <c r="J252">
        <v>0</v>
      </c>
      <c r="K252">
        <v>66.41</v>
      </c>
      <c r="L252">
        <v>66.989999999999995</v>
      </c>
    </row>
    <row r="253" spans="1:12" x14ac:dyDescent="0.2">
      <c r="A253" s="4">
        <v>252</v>
      </c>
      <c r="B253" t="s">
        <v>563</v>
      </c>
      <c r="C253">
        <v>66.849999999999994</v>
      </c>
      <c r="D253">
        <v>10</v>
      </c>
      <c r="E253">
        <v>14</v>
      </c>
      <c r="F253">
        <v>71.099999999999994</v>
      </c>
      <c r="G253">
        <v>0</v>
      </c>
      <c r="H253">
        <v>0</v>
      </c>
      <c r="I253">
        <v>0</v>
      </c>
      <c r="J253">
        <v>1</v>
      </c>
      <c r="K253">
        <v>67.400000000000006</v>
      </c>
      <c r="L253">
        <v>65.97</v>
      </c>
    </row>
    <row r="254" spans="1:12" x14ac:dyDescent="0.2">
      <c r="A254" s="4">
        <v>253</v>
      </c>
      <c r="B254" t="s">
        <v>159</v>
      </c>
      <c r="C254">
        <v>66.84</v>
      </c>
      <c r="D254">
        <v>11</v>
      </c>
      <c r="E254">
        <v>15</v>
      </c>
      <c r="F254">
        <v>69.599999999999994</v>
      </c>
      <c r="G254">
        <v>0</v>
      </c>
      <c r="H254">
        <v>0</v>
      </c>
      <c r="I254">
        <v>0</v>
      </c>
      <c r="J254">
        <v>1</v>
      </c>
      <c r="K254">
        <v>68.39</v>
      </c>
      <c r="L254">
        <v>64.75</v>
      </c>
    </row>
    <row r="255" spans="1:12" x14ac:dyDescent="0.2">
      <c r="A255" s="4">
        <v>254</v>
      </c>
      <c r="B255" t="s">
        <v>127</v>
      </c>
      <c r="C255">
        <v>66.819999999999993</v>
      </c>
      <c r="D255">
        <v>10</v>
      </c>
      <c r="E255">
        <v>19</v>
      </c>
      <c r="F255">
        <v>71.489999999999995</v>
      </c>
      <c r="G255">
        <v>0</v>
      </c>
      <c r="H255">
        <v>0</v>
      </c>
      <c r="I255">
        <v>0</v>
      </c>
      <c r="J255">
        <v>1</v>
      </c>
      <c r="K255">
        <v>66.97</v>
      </c>
      <c r="L255">
        <v>66.38</v>
      </c>
    </row>
    <row r="256" spans="1:12" x14ac:dyDescent="0.2">
      <c r="A256" s="4">
        <v>255</v>
      </c>
      <c r="B256" t="s">
        <v>887</v>
      </c>
      <c r="C256">
        <v>66.8</v>
      </c>
      <c r="D256">
        <v>11</v>
      </c>
      <c r="E256">
        <v>15</v>
      </c>
      <c r="F256">
        <v>70.22</v>
      </c>
      <c r="G256">
        <v>0</v>
      </c>
      <c r="H256">
        <v>0</v>
      </c>
      <c r="I256">
        <v>0</v>
      </c>
      <c r="J256">
        <v>1</v>
      </c>
      <c r="K256">
        <v>67.62</v>
      </c>
      <c r="L256">
        <v>65.62</v>
      </c>
    </row>
    <row r="257" spans="1:12" x14ac:dyDescent="0.2">
      <c r="A257" s="4">
        <v>256</v>
      </c>
      <c r="B257" t="s">
        <v>835</v>
      </c>
      <c r="C257">
        <v>66.790000000000006</v>
      </c>
      <c r="D257">
        <v>15</v>
      </c>
      <c r="E257">
        <v>12</v>
      </c>
      <c r="F257">
        <v>66.290000000000006</v>
      </c>
      <c r="G257">
        <v>0</v>
      </c>
      <c r="H257">
        <v>0</v>
      </c>
      <c r="I257">
        <v>0</v>
      </c>
      <c r="J257">
        <v>1</v>
      </c>
      <c r="K257">
        <v>66.709999999999994</v>
      </c>
      <c r="L257">
        <v>66.599999999999994</v>
      </c>
    </row>
    <row r="258" spans="1:12" x14ac:dyDescent="0.2">
      <c r="A258" s="4">
        <v>257</v>
      </c>
      <c r="B258" t="s">
        <v>893</v>
      </c>
      <c r="C258">
        <v>66.62</v>
      </c>
      <c r="D258">
        <v>14</v>
      </c>
      <c r="E258">
        <v>14</v>
      </c>
      <c r="F258">
        <v>67.78</v>
      </c>
      <c r="G258">
        <v>0</v>
      </c>
      <c r="H258">
        <v>1</v>
      </c>
      <c r="I258">
        <v>0</v>
      </c>
      <c r="J258">
        <v>1</v>
      </c>
      <c r="K258">
        <v>67.209999999999994</v>
      </c>
      <c r="L258">
        <v>65.7</v>
      </c>
    </row>
    <row r="259" spans="1:12" x14ac:dyDescent="0.2">
      <c r="A259" s="4">
        <v>258</v>
      </c>
      <c r="B259" t="s">
        <v>890</v>
      </c>
      <c r="C259">
        <v>66.58</v>
      </c>
      <c r="D259">
        <v>11</v>
      </c>
      <c r="E259">
        <v>16</v>
      </c>
      <c r="F259">
        <v>69.650000000000006</v>
      </c>
      <c r="G259">
        <v>0</v>
      </c>
      <c r="H259">
        <v>0</v>
      </c>
      <c r="I259">
        <v>0</v>
      </c>
      <c r="J259">
        <v>0</v>
      </c>
      <c r="K259">
        <v>67.03</v>
      </c>
      <c r="L259">
        <v>65.83</v>
      </c>
    </row>
    <row r="260" spans="1:12" x14ac:dyDescent="0.2">
      <c r="A260" s="4">
        <v>259</v>
      </c>
      <c r="B260" t="s">
        <v>846</v>
      </c>
      <c r="C260">
        <v>66.36</v>
      </c>
      <c r="D260">
        <v>14</v>
      </c>
      <c r="E260">
        <v>13</v>
      </c>
      <c r="F260">
        <v>65.709999999999994</v>
      </c>
      <c r="G260">
        <v>0</v>
      </c>
      <c r="H260">
        <v>0</v>
      </c>
      <c r="I260">
        <v>0</v>
      </c>
      <c r="J260">
        <v>0</v>
      </c>
      <c r="K260">
        <v>65.61</v>
      </c>
      <c r="L260">
        <v>66.790000000000006</v>
      </c>
    </row>
    <row r="261" spans="1:12" x14ac:dyDescent="0.2">
      <c r="A261" s="4">
        <v>260</v>
      </c>
      <c r="B261" t="s">
        <v>258</v>
      </c>
      <c r="C261">
        <v>66.25</v>
      </c>
      <c r="D261">
        <v>12</v>
      </c>
      <c r="E261">
        <v>16</v>
      </c>
      <c r="F261">
        <v>69.19</v>
      </c>
      <c r="G261">
        <v>0</v>
      </c>
      <c r="H261">
        <v>0</v>
      </c>
      <c r="I261">
        <v>0</v>
      </c>
      <c r="J261">
        <v>0</v>
      </c>
      <c r="K261">
        <v>66.95</v>
      </c>
      <c r="L261">
        <v>65.22</v>
      </c>
    </row>
    <row r="262" spans="1:12" x14ac:dyDescent="0.2">
      <c r="A262" s="4">
        <v>261</v>
      </c>
      <c r="B262" t="s">
        <v>299</v>
      </c>
      <c r="C262">
        <v>66.17</v>
      </c>
      <c r="D262">
        <v>18</v>
      </c>
      <c r="E262">
        <v>13</v>
      </c>
      <c r="F262">
        <v>64.510000000000005</v>
      </c>
      <c r="G262">
        <v>0</v>
      </c>
      <c r="H262">
        <v>0</v>
      </c>
      <c r="I262">
        <v>0</v>
      </c>
      <c r="J262">
        <v>1</v>
      </c>
      <c r="K262">
        <v>65.89</v>
      </c>
      <c r="L262">
        <v>66.150000000000006</v>
      </c>
    </row>
    <row r="263" spans="1:12" x14ac:dyDescent="0.2">
      <c r="A263" s="4">
        <v>262</v>
      </c>
      <c r="B263" t="s">
        <v>557</v>
      </c>
      <c r="C263">
        <v>65.86</v>
      </c>
      <c r="D263">
        <v>9</v>
      </c>
      <c r="E263">
        <v>20</v>
      </c>
      <c r="F263">
        <v>72.989999999999995</v>
      </c>
      <c r="G263">
        <v>0</v>
      </c>
      <c r="H263">
        <v>0</v>
      </c>
      <c r="I263">
        <v>0</v>
      </c>
      <c r="J263">
        <v>1</v>
      </c>
      <c r="K263">
        <v>66.489999999999995</v>
      </c>
      <c r="L263">
        <v>64.88</v>
      </c>
    </row>
    <row r="264" spans="1:12" x14ac:dyDescent="0.2">
      <c r="A264" s="4">
        <v>263</v>
      </c>
      <c r="B264" t="s">
        <v>164</v>
      </c>
      <c r="C264">
        <v>65.83</v>
      </c>
      <c r="D264">
        <v>9</v>
      </c>
      <c r="E264">
        <v>17</v>
      </c>
      <c r="F264">
        <v>71.05</v>
      </c>
      <c r="G264">
        <v>0</v>
      </c>
      <c r="H264">
        <v>0</v>
      </c>
      <c r="I264">
        <v>0</v>
      </c>
      <c r="J264">
        <v>0</v>
      </c>
      <c r="K264">
        <v>66</v>
      </c>
      <c r="L264">
        <v>65.38</v>
      </c>
    </row>
    <row r="265" spans="1:12" x14ac:dyDescent="0.2">
      <c r="A265" s="4">
        <v>264</v>
      </c>
      <c r="B265" t="s">
        <v>227</v>
      </c>
      <c r="C265">
        <v>65.83</v>
      </c>
      <c r="D265">
        <v>9</v>
      </c>
      <c r="E265">
        <v>16</v>
      </c>
      <c r="F265">
        <v>70.69</v>
      </c>
      <c r="G265">
        <v>0</v>
      </c>
      <c r="H265">
        <v>1</v>
      </c>
      <c r="I265">
        <v>0</v>
      </c>
      <c r="J265">
        <v>1</v>
      </c>
      <c r="K265">
        <v>65.989999999999995</v>
      </c>
      <c r="L265">
        <v>65.37</v>
      </c>
    </row>
    <row r="266" spans="1:12" x14ac:dyDescent="0.2">
      <c r="A266" s="4">
        <v>265</v>
      </c>
      <c r="B266" t="s">
        <v>116</v>
      </c>
      <c r="C266">
        <v>65.78</v>
      </c>
      <c r="D266">
        <v>5</v>
      </c>
      <c r="E266">
        <v>23</v>
      </c>
      <c r="F266">
        <v>74.25</v>
      </c>
      <c r="G266">
        <v>0</v>
      </c>
      <c r="H266">
        <v>0</v>
      </c>
      <c r="I266">
        <v>0</v>
      </c>
      <c r="J266">
        <v>0</v>
      </c>
      <c r="K266">
        <v>64.77</v>
      </c>
      <c r="L266">
        <v>66.430000000000007</v>
      </c>
    </row>
    <row r="267" spans="1:12" x14ac:dyDescent="0.2">
      <c r="A267" s="4">
        <v>266</v>
      </c>
      <c r="B267" t="s">
        <v>907</v>
      </c>
      <c r="C267">
        <v>65.7</v>
      </c>
      <c r="D267">
        <v>11</v>
      </c>
      <c r="E267">
        <v>15</v>
      </c>
      <c r="F267">
        <v>68.760000000000005</v>
      </c>
      <c r="G267">
        <v>0</v>
      </c>
      <c r="H267">
        <v>0</v>
      </c>
      <c r="I267">
        <v>0</v>
      </c>
      <c r="J267">
        <v>0</v>
      </c>
      <c r="K267">
        <v>65.290000000000006</v>
      </c>
      <c r="L267">
        <v>65.819999999999993</v>
      </c>
    </row>
    <row r="268" spans="1:12" x14ac:dyDescent="0.2">
      <c r="A268" s="4">
        <v>267</v>
      </c>
      <c r="B268" t="s">
        <v>266</v>
      </c>
      <c r="C268">
        <v>65.69</v>
      </c>
      <c r="D268">
        <v>15</v>
      </c>
      <c r="E268">
        <v>14</v>
      </c>
      <c r="F268">
        <v>66.27</v>
      </c>
      <c r="G268">
        <v>0</v>
      </c>
      <c r="H268">
        <v>0</v>
      </c>
      <c r="I268">
        <v>0</v>
      </c>
      <c r="J268">
        <v>0</v>
      </c>
      <c r="K268">
        <v>66.59</v>
      </c>
      <c r="L268">
        <v>64.39</v>
      </c>
    </row>
    <row r="269" spans="1:12" x14ac:dyDescent="0.2">
      <c r="A269" s="4">
        <v>268</v>
      </c>
      <c r="B269" t="s">
        <v>202</v>
      </c>
      <c r="C269">
        <v>65.63</v>
      </c>
      <c r="D269">
        <v>10</v>
      </c>
      <c r="E269">
        <v>15</v>
      </c>
      <c r="F269">
        <v>70.34</v>
      </c>
      <c r="G269">
        <v>0</v>
      </c>
      <c r="H269">
        <v>1</v>
      </c>
      <c r="I269">
        <v>0</v>
      </c>
      <c r="J269">
        <v>2</v>
      </c>
      <c r="K269">
        <v>67.97</v>
      </c>
      <c r="L269">
        <v>62.16</v>
      </c>
    </row>
    <row r="270" spans="1:12" x14ac:dyDescent="0.2">
      <c r="A270" s="4">
        <v>269</v>
      </c>
      <c r="B270" t="s">
        <v>247</v>
      </c>
      <c r="C270">
        <v>65.61</v>
      </c>
      <c r="D270">
        <v>17</v>
      </c>
      <c r="E270">
        <v>12</v>
      </c>
      <c r="F270">
        <v>65.290000000000006</v>
      </c>
      <c r="G270">
        <v>0</v>
      </c>
      <c r="H270">
        <v>0</v>
      </c>
      <c r="I270">
        <v>0</v>
      </c>
      <c r="J270">
        <v>2</v>
      </c>
      <c r="K270">
        <v>65.739999999999995</v>
      </c>
      <c r="L270">
        <v>65.19</v>
      </c>
    </row>
    <row r="271" spans="1:12" x14ac:dyDescent="0.2">
      <c r="A271" s="4">
        <v>270</v>
      </c>
      <c r="B271" t="s">
        <v>278</v>
      </c>
      <c r="C271">
        <v>65.599999999999994</v>
      </c>
      <c r="D271">
        <v>6</v>
      </c>
      <c r="E271">
        <v>22</v>
      </c>
      <c r="F271">
        <v>73.099999999999994</v>
      </c>
      <c r="G271">
        <v>0</v>
      </c>
      <c r="H271">
        <v>2</v>
      </c>
      <c r="I271">
        <v>0</v>
      </c>
      <c r="J271">
        <v>2</v>
      </c>
      <c r="K271">
        <v>63.94</v>
      </c>
      <c r="L271">
        <v>66.75</v>
      </c>
    </row>
    <row r="272" spans="1:12" x14ac:dyDescent="0.2">
      <c r="A272" s="4">
        <v>271</v>
      </c>
      <c r="B272" t="s">
        <v>142</v>
      </c>
      <c r="C272">
        <v>65.569999999999993</v>
      </c>
      <c r="D272">
        <v>8</v>
      </c>
      <c r="E272">
        <v>21</v>
      </c>
      <c r="F272">
        <v>71.989999999999995</v>
      </c>
      <c r="G272">
        <v>0</v>
      </c>
      <c r="H272">
        <v>0</v>
      </c>
      <c r="I272">
        <v>0</v>
      </c>
      <c r="J272">
        <v>0</v>
      </c>
      <c r="K272">
        <v>64.8</v>
      </c>
      <c r="L272">
        <v>66.010000000000005</v>
      </c>
    </row>
    <row r="273" spans="1:12" x14ac:dyDescent="0.2">
      <c r="A273" s="4">
        <v>272</v>
      </c>
      <c r="B273" t="s">
        <v>834</v>
      </c>
      <c r="C273">
        <v>65.489999999999995</v>
      </c>
      <c r="D273">
        <v>13</v>
      </c>
      <c r="E273">
        <v>15</v>
      </c>
      <c r="F273">
        <v>66.430000000000007</v>
      </c>
      <c r="G273">
        <v>0</v>
      </c>
      <c r="H273">
        <v>0</v>
      </c>
      <c r="I273">
        <v>0</v>
      </c>
      <c r="J273">
        <v>0</v>
      </c>
      <c r="K273">
        <v>64.87</v>
      </c>
      <c r="L273">
        <v>65.790000000000006</v>
      </c>
    </row>
    <row r="274" spans="1:12" x14ac:dyDescent="0.2">
      <c r="A274" s="4">
        <v>273</v>
      </c>
      <c r="B274" t="s">
        <v>564</v>
      </c>
      <c r="C274">
        <v>65.42</v>
      </c>
      <c r="D274">
        <v>9</v>
      </c>
      <c r="E274">
        <v>17</v>
      </c>
      <c r="F274">
        <v>70.760000000000005</v>
      </c>
      <c r="G274">
        <v>0</v>
      </c>
      <c r="H274">
        <v>1</v>
      </c>
      <c r="I274">
        <v>0</v>
      </c>
      <c r="J274">
        <v>1</v>
      </c>
      <c r="K274">
        <v>65.77</v>
      </c>
      <c r="L274">
        <v>64.77</v>
      </c>
    </row>
    <row r="275" spans="1:12" x14ac:dyDescent="0.2">
      <c r="A275" s="4">
        <v>274</v>
      </c>
      <c r="B275" t="s">
        <v>828</v>
      </c>
      <c r="C275">
        <v>65.42</v>
      </c>
      <c r="D275">
        <v>5</v>
      </c>
      <c r="E275">
        <v>21</v>
      </c>
      <c r="F275">
        <v>74.14</v>
      </c>
      <c r="G275">
        <v>0</v>
      </c>
      <c r="H275">
        <v>0</v>
      </c>
      <c r="I275">
        <v>0</v>
      </c>
      <c r="J275">
        <v>0</v>
      </c>
      <c r="K275">
        <v>64.89</v>
      </c>
      <c r="L275">
        <v>65.64</v>
      </c>
    </row>
    <row r="276" spans="1:12" x14ac:dyDescent="0.2">
      <c r="A276" s="4">
        <v>275</v>
      </c>
      <c r="B276" t="s">
        <v>137</v>
      </c>
      <c r="C276">
        <v>65.34</v>
      </c>
      <c r="D276">
        <v>14</v>
      </c>
      <c r="E276">
        <v>15</v>
      </c>
      <c r="F276">
        <v>67.290000000000006</v>
      </c>
      <c r="G276">
        <v>0</v>
      </c>
      <c r="H276">
        <v>0</v>
      </c>
      <c r="I276">
        <v>0</v>
      </c>
      <c r="J276">
        <v>0</v>
      </c>
      <c r="K276">
        <v>67.7</v>
      </c>
      <c r="L276">
        <v>61.79</v>
      </c>
    </row>
    <row r="277" spans="1:12" x14ac:dyDescent="0.2">
      <c r="A277" s="4">
        <v>276</v>
      </c>
      <c r="B277" t="s">
        <v>199</v>
      </c>
      <c r="C277">
        <v>65.3</v>
      </c>
      <c r="D277">
        <v>7</v>
      </c>
      <c r="E277">
        <v>17</v>
      </c>
      <c r="F277">
        <v>71.569999999999993</v>
      </c>
      <c r="G277">
        <v>0</v>
      </c>
      <c r="H277">
        <v>1</v>
      </c>
      <c r="I277">
        <v>0</v>
      </c>
      <c r="J277">
        <v>2</v>
      </c>
      <c r="K277">
        <v>65.41</v>
      </c>
      <c r="L277">
        <v>64.91</v>
      </c>
    </row>
    <row r="278" spans="1:12" x14ac:dyDescent="0.2">
      <c r="A278" s="4">
        <v>277</v>
      </c>
      <c r="B278" t="s">
        <v>168</v>
      </c>
      <c r="C278">
        <v>65.22</v>
      </c>
      <c r="D278">
        <v>5</v>
      </c>
      <c r="E278">
        <v>18</v>
      </c>
      <c r="F278">
        <v>73.650000000000006</v>
      </c>
      <c r="G278">
        <v>0</v>
      </c>
      <c r="H278">
        <v>0</v>
      </c>
      <c r="I278">
        <v>0</v>
      </c>
      <c r="J278">
        <v>0</v>
      </c>
      <c r="K278">
        <v>64.67</v>
      </c>
      <c r="L278">
        <v>65.459999999999994</v>
      </c>
    </row>
    <row r="279" spans="1:12" x14ac:dyDescent="0.2">
      <c r="A279" s="4">
        <v>278</v>
      </c>
      <c r="B279" t="s">
        <v>226</v>
      </c>
      <c r="C279">
        <v>65.17</v>
      </c>
      <c r="D279">
        <v>6</v>
      </c>
      <c r="E279">
        <v>18</v>
      </c>
      <c r="F279">
        <v>72.540000000000006</v>
      </c>
      <c r="G279">
        <v>0</v>
      </c>
      <c r="H279">
        <v>0</v>
      </c>
      <c r="I279">
        <v>0</v>
      </c>
      <c r="J279">
        <v>0</v>
      </c>
      <c r="K279">
        <v>65.819999999999993</v>
      </c>
      <c r="L279">
        <v>64.17</v>
      </c>
    </row>
    <row r="280" spans="1:12" x14ac:dyDescent="0.2">
      <c r="A280" s="4">
        <v>279</v>
      </c>
      <c r="B280" t="s">
        <v>558</v>
      </c>
      <c r="C280">
        <v>64.930000000000007</v>
      </c>
      <c r="D280">
        <v>9</v>
      </c>
      <c r="E280">
        <v>20</v>
      </c>
      <c r="F280">
        <v>71.63</v>
      </c>
      <c r="G280">
        <v>0</v>
      </c>
      <c r="H280">
        <v>1</v>
      </c>
      <c r="I280">
        <v>0</v>
      </c>
      <c r="J280">
        <v>2</v>
      </c>
      <c r="K280">
        <v>64.87</v>
      </c>
      <c r="L280">
        <v>64.7</v>
      </c>
    </row>
    <row r="281" spans="1:12" x14ac:dyDescent="0.2">
      <c r="A281" s="4">
        <v>280</v>
      </c>
      <c r="B281" t="s">
        <v>825</v>
      </c>
      <c r="C281">
        <v>64.86</v>
      </c>
      <c r="D281">
        <v>4</v>
      </c>
      <c r="E281">
        <v>21</v>
      </c>
      <c r="F281">
        <v>74.16</v>
      </c>
      <c r="G281">
        <v>0</v>
      </c>
      <c r="H281">
        <v>0</v>
      </c>
      <c r="I281">
        <v>0</v>
      </c>
      <c r="J281">
        <v>0</v>
      </c>
      <c r="K281">
        <v>64.05</v>
      </c>
      <c r="L281">
        <v>65.319999999999993</v>
      </c>
    </row>
    <row r="282" spans="1:12" x14ac:dyDescent="0.2">
      <c r="A282" s="4">
        <v>281</v>
      </c>
      <c r="B282" t="s">
        <v>224</v>
      </c>
      <c r="C282">
        <v>64.84</v>
      </c>
      <c r="D282">
        <v>13</v>
      </c>
      <c r="E282">
        <v>17</v>
      </c>
      <c r="F282">
        <v>65.930000000000007</v>
      </c>
      <c r="G282">
        <v>0</v>
      </c>
      <c r="H282">
        <v>0</v>
      </c>
      <c r="I282">
        <v>0</v>
      </c>
      <c r="J282">
        <v>0</v>
      </c>
      <c r="K282">
        <v>63.23</v>
      </c>
      <c r="L282">
        <v>65.930000000000007</v>
      </c>
    </row>
    <row r="283" spans="1:12" x14ac:dyDescent="0.2">
      <c r="A283" s="4">
        <v>282</v>
      </c>
      <c r="B283" t="s">
        <v>279</v>
      </c>
      <c r="C283">
        <v>64.66</v>
      </c>
      <c r="D283">
        <v>8</v>
      </c>
      <c r="E283">
        <v>19</v>
      </c>
      <c r="F283">
        <v>71.92</v>
      </c>
      <c r="G283">
        <v>0</v>
      </c>
      <c r="H283">
        <v>0</v>
      </c>
      <c r="I283">
        <v>0</v>
      </c>
      <c r="J283">
        <v>0</v>
      </c>
      <c r="K283">
        <v>66.34</v>
      </c>
      <c r="L283">
        <v>62.24</v>
      </c>
    </row>
    <row r="284" spans="1:12" x14ac:dyDescent="0.2">
      <c r="A284" s="4">
        <v>283</v>
      </c>
      <c r="B284" t="s">
        <v>842</v>
      </c>
      <c r="C284">
        <v>64.63</v>
      </c>
      <c r="D284">
        <v>14</v>
      </c>
      <c r="E284">
        <v>19</v>
      </c>
      <c r="F284">
        <v>68.17</v>
      </c>
      <c r="G284">
        <v>0</v>
      </c>
      <c r="H284">
        <v>1</v>
      </c>
      <c r="I284">
        <v>0</v>
      </c>
      <c r="J284">
        <v>1</v>
      </c>
      <c r="K284">
        <v>64.930000000000007</v>
      </c>
      <c r="L284">
        <v>64.03</v>
      </c>
    </row>
    <row r="285" spans="1:12" x14ac:dyDescent="0.2">
      <c r="A285" s="4">
        <v>284</v>
      </c>
      <c r="B285" t="s">
        <v>832</v>
      </c>
      <c r="C285">
        <v>64.38</v>
      </c>
      <c r="D285">
        <v>11</v>
      </c>
      <c r="E285">
        <v>17</v>
      </c>
      <c r="F285">
        <v>68.41</v>
      </c>
      <c r="G285">
        <v>0</v>
      </c>
      <c r="H285">
        <v>2</v>
      </c>
      <c r="I285">
        <v>0</v>
      </c>
      <c r="J285">
        <v>3</v>
      </c>
      <c r="K285">
        <v>62.85</v>
      </c>
      <c r="L285">
        <v>65.41</v>
      </c>
    </row>
    <row r="286" spans="1:12" x14ac:dyDescent="0.2">
      <c r="A286" s="4">
        <v>285</v>
      </c>
      <c r="B286" t="s">
        <v>148</v>
      </c>
      <c r="C286">
        <v>64.14</v>
      </c>
      <c r="D286">
        <v>6</v>
      </c>
      <c r="E286">
        <v>21</v>
      </c>
      <c r="F286">
        <v>72.31</v>
      </c>
      <c r="G286">
        <v>0</v>
      </c>
      <c r="H286">
        <v>0</v>
      </c>
      <c r="I286">
        <v>0</v>
      </c>
      <c r="J286">
        <v>0</v>
      </c>
      <c r="K286">
        <v>64.22</v>
      </c>
      <c r="L286">
        <v>63.78</v>
      </c>
    </row>
    <row r="287" spans="1:12" x14ac:dyDescent="0.2">
      <c r="A287" s="4">
        <v>286</v>
      </c>
      <c r="B287" t="s">
        <v>295</v>
      </c>
      <c r="C287">
        <v>64.09</v>
      </c>
      <c r="D287">
        <v>8</v>
      </c>
      <c r="E287">
        <v>18</v>
      </c>
      <c r="F287">
        <v>71.05</v>
      </c>
      <c r="G287">
        <v>0</v>
      </c>
      <c r="H287">
        <v>1</v>
      </c>
      <c r="I287">
        <v>0</v>
      </c>
      <c r="J287">
        <v>1</v>
      </c>
      <c r="K287">
        <v>63.87</v>
      </c>
      <c r="L287">
        <v>64.010000000000005</v>
      </c>
    </row>
    <row r="288" spans="1:12" x14ac:dyDescent="0.2">
      <c r="A288" s="4">
        <v>287</v>
      </c>
      <c r="B288" t="s">
        <v>838</v>
      </c>
      <c r="C288">
        <v>63.94</v>
      </c>
      <c r="D288">
        <v>10</v>
      </c>
      <c r="E288">
        <v>18</v>
      </c>
      <c r="F288">
        <v>68.39</v>
      </c>
      <c r="G288">
        <v>0</v>
      </c>
      <c r="H288">
        <v>0</v>
      </c>
      <c r="I288">
        <v>0</v>
      </c>
      <c r="J288">
        <v>1</v>
      </c>
      <c r="K288">
        <v>63.06</v>
      </c>
      <c r="L288">
        <v>64.459999999999994</v>
      </c>
    </row>
    <row r="289" spans="1:12" x14ac:dyDescent="0.2">
      <c r="A289" s="4">
        <v>288</v>
      </c>
      <c r="B289" t="s">
        <v>173</v>
      </c>
      <c r="C289">
        <v>63.85</v>
      </c>
      <c r="D289">
        <v>7</v>
      </c>
      <c r="E289">
        <v>19</v>
      </c>
      <c r="F289">
        <v>69.98</v>
      </c>
      <c r="G289">
        <v>0</v>
      </c>
      <c r="H289">
        <v>0</v>
      </c>
      <c r="I289">
        <v>0</v>
      </c>
      <c r="J289">
        <v>0</v>
      </c>
      <c r="K289">
        <v>62.23</v>
      </c>
      <c r="L289">
        <v>64.94</v>
      </c>
    </row>
    <row r="290" spans="1:12" x14ac:dyDescent="0.2">
      <c r="A290" s="4">
        <v>289</v>
      </c>
      <c r="B290" t="s">
        <v>554</v>
      </c>
      <c r="C290">
        <v>63.74</v>
      </c>
      <c r="D290">
        <v>9</v>
      </c>
      <c r="E290">
        <v>19</v>
      </c>
      <c r="F290">
        <v>69.11</v>
      </c>
      <c r="G290">
        <v>0</v>
      </c>
      <c r="H290">
        <v>0</v>
      </c>
      <c r="I290">
        <v>0</v>
      </c>
      <c r="J290">
        <v>0</v>
      </c>
      <c r="K290">
        <v>64.349999999999994</v>
      </c>
      <c r="L290">
        <v>62.79</v>
      </c>
    </row>
    <row r="291" spans="1:12" x14ac:dyDescent="0.2">
      <c r="A291" s="4">
        <v>290</v>
      </c>
      <c r="B291" t="s">
        <v>283</v>
      </c>
      <c r="C291">
        <v>63.63</v>
      </c>
      <c r="D291">
        <v>7</v>
      </c>
      <c r="E291">
        <v>19</v>
      </c>
      <c r="F291">
        <v>69.92</v>
      </c>
      <c r="G291">
        <v>0</v>
      </c>
      <c r="H291">
        <v>0</v>
      </c>
      <c r="I291">
        <v>0</v>
      </c>
      <c r="J291">
        <v>0</v>
      </c>
      <c r="K291">
        <v>63.13</v>
      </c>
      <c r="L291">
        <v>63.82</v>
      </c>
    </row>
    <row r="292" spans="1:12" x14ac:dyDescent="0.2">
      <c r="A292" s="4">
        <v>291</v>
      </c>
      <c r="B292" t="s">
        <v>251</v>
      </c>
      <c r="C292">
        <v>63.53</v>
      </c>
      <c r="D292">
        <v>9</v>
      </c>
      <c r="E292">
        <v>17</v>
      </c>
      <c r="F292">
        <v>67.91</v>
      </c>
      <c r="G292">
        <v>0</v>
      </c>
      <c r="H292">
        <v>1</v>
      </c>
      <c r="I292">
        <v>0</v>
      </c>
      <c r="J292">
        <v>1</v>
      </c>
      <c r="K292">
        <v>63.41</v>
      </c>
      <c r="L292">
        <v>63.36</v>
      </c>
    </row>
    <row r="293" spans="1:12" x14ac:dyDescent="0.2">
      <c r="A293" s="4">
        <v>292</v>
      </c>
      <c r="B293" t="s">
        <v>291</v>
      </c>
      <c r="C293">
        <v>63.49</v>
      </c>
      <c r="D293">
        <v>4</v>
      </c>
      <c r="E293">
        <v>24</v>
      </c>
      <c r="F293">
        <v>73.22</v>
      </c>
      <c r="G293">
        <v>0</v>
      </c>
      <c r="H293">
        <v>0</v>
      </c>
      <c r="I293">
        <v>0</v>
      </c>
      <c r="J293">
        <v>0</v>
      </c>
      <c r="K293">
        <v>61.69</v>
      </c>
      <c r="L293">
        <v>64.67</v>
      </c>
    </row>
    <row r="294" spans="1:12" x14ac:dyDescent="0.2">
      <c r="A294" s="4">
        <v>293</v>
      </c>
      <c r="B294" t="s">
        <v>288</v>
      </c>
      <c r="C294">
        <v>63.37</v>
      </c>
      <c r="D294">
        <v>2</v>
      </c>
      <c r="E294">
        <v>26</v>
      </c>
      <c r="F294">
        <v>76.84</v>
      </c>
      <c r="G294">
        <v>0</v>
      </c>
      <c r="H294">
        <v>0</v>
      </c>
      <c r="I294">
        <v>0</v>
      </c>
      <c r="J294">
        <v>3</v>
      </c>
      <c r="K294">
        <v>61.95</v>
      </c>
      <c r="L294">
        <v>64.3</v>
      </c>
    </row>
    <row r="295" spans="1:12" x14ac:dyDescent="0.2">
      <c r="A295" s="4">
        <v>294</v>
      </c>
      <c r="B295" t="s">
        <v>213</v>
      </c>
      <c r="C295">
        <v>63.32</v>
      </c>
      <c r="D295">
        <v>11</v>
      </c>
      <c r="E295">
        <v>16</v>
      </c>
      <c r="F295">
        <v>68.06</v>
      </c>
      <c r="G295">
        <v>0</v>
      </c>
      <c r="H295">
        <v>1</v>
      </c>
      <c r="I295">
        <v>0</v>
      </c>
      <c r="J295">
        <v>1</v>
      </c>
      <c r="K295">
        <v>64.33</v>
      </c>
      <c r="L295">
        <v>61.84</v>
      </c>
    </row>
    <row r="296" spans="1:12" x14ac:dyDescent="0.2">
      <c r="A296" s="4">
        <v>295</v>
      </c>
      <c r="B296" t="s">
        <v>223</v>
      </c>
      <c r="C296">
        <v>62.75</v>
      </c>
      <c r="D296">
        <v>10</v>
      </c>
      <c r="E296">
        <v>20</v>
      </c>
      <c r="F296">
        <v>68.72</v>
      </c>
      <c r="G296">
        <v>0</v>
      </c>
      <c r="H296">
        <v>0</v>
      </c>
      <c r="I296">
        <v>0</v>
      </c>
      <c r="J296">
        <v>0</v>
      </c>
      <c r="K296">
        <v>65.59</v>
      </c>
      <c r="L296">
        <v>57.16</v>
      </c>
    </row>
    <row r="297" spans="1:12" x14ac:dyDescent="0.2">
      <c r="A297" s="4">
        <v>296</v>
      </c>
      <c r="B297" t="s">
        <v>198</v>
      </c>
      <c r="C297">
        <v>62.54</v>
      </c>
      <c r="D297">
        <v>4</v>
      </c>
      <c r="E297">
        <v>20</v>
      </c>
      <c r="F297">
        <v>72.11</v>
      </c>
      <c r="G297">
        <v>0</v>
      </c>
      <c r="H297">
        <v>0</v>
      </c>
      <c r="I297">
        <v>0</v>
      </c>
      <c r="J297">
        <v>1</v>
      </c>
      <c r="K297">
        <v>60.93</v>
      </c>
      <c r="L297">
        <v>63.59</v>
      </c>
    </row>
    <row r="298" spans="1:12" x14ac:dyDescent="0.2">
      <c r="A298" s="4">
        <v>297</v>
      </c>
      <c r="B298" t="s">
        <v>206</v>
      </c>
      <c r="C298">
        <v>62.28</v>
      </c>
      <c r="D298">
        <v>5</v>
      </c>
      <c r="E298">
        <v>21</v>
      </c>
      <c r="F298">
        <v>72.209999999999994</v>
      </c>
      <c r="G298">
        <v>0</v>
      </c>
      <c r="H298">
        <v>0</v>
      </c>
      <c r="I298">
        <v>0</v>
      </c>
      <c r="J298">
        <v>1</v>
      </c>
      <c r="K298">
        <v>61.89</v>
      </c>
      <c r="L298">
        <v>62.37</v>
      </c>
    </row>
    <row r="299" spans="1:12" x14ac:dyDescent="0.2">
      <c r="A299" s="4">
        <v>298</v>
      </c>
      <c r="B299" t="s">
        <v>211</v>
      </c>
      <c r="C299">
        <v>62.19</v>
      </c>
      <c r="D299">
        <v>7</v>
      </c>
      <c r="E299">
        <v>20</v>
      </c>
      <c r="F299">
        <v>69.099999999999994</v>
      </c>
      <c r="G299">
        <v>0</v>
      </c>
      <c r="H299">
        <v>1</v>
      </c>
      <c r="I299">
        <v>0</v>
      </c>
      <c r="J299">
        <v>1</v>
      </c>
      <c r="K299">
        <v>62.9</v>
      </c>
      <c r="L299">
        <v>61.08</v>
      </c>
    </row>
    <row r="300" spans="1:12" x14ac:dyDescent="0.2">
      <c r="A300" s="4">
        <v>299</v>
      </c>
      <c r="B300" t="s">
        <v>839</v>
      </c>
      <c r="C300">
        <v>62.13</v>
      </c>
      <c r="D300">
        <v>4</v>
      </c>
      <c r="E300">
        <v>22</v>
      </c>
      <c r="F300">
        <v>73.02</v>
      </c>
      <c r="G300">
        <v>0</v>
      </c>
      <c r="H300">
        <v>0</v>
      </c>
      <c r="I300">
        <v>0</v>
      </c>
      <c r="J300">
        <v>0</v>
      </c>
      <c r="K300">
        <v>62.03</v>
      </c>
      <c r="L300">
        <v>61.94</v>
      </c>
    </row>
    <row r="301" spans="1:12" x14ac:dyDescent="0.2">
      <c r="A301" s="4">
        <v>300</v>
      </c>
      <c r="B301" t="s">
        <v>163</v>
      </c>
      <c r="C301">
        <v>62.1</v>
      </c>
      <c r="D301">
        <v>5</v>
      </c>
      <c r="E301">
        <v>24</v>
      </c>
      <c r="F301">
        <v>72.930000000000007</v>
      </c>
      <c r="G301">
        <v>0</v>
      </c>
      <c r="H301">
        <v>0</v>
      </c>
      <c r="I301">
        <v>0</v>
      </c>
      <c r="J301">
        <v>1</v>
      </c>
      <c r="K301">
        <v>61.24</v>
      </c>
      <c r="L301">
        <v>62.58</v>
      </c>
    </row>
    <row r="302" spans="1:12" x14ac:dyDescent="0.2">
      <c r="A302" s="4">
        <v>301</v>
      </c>
      <c r="B302" t="s">
        <v>843</v>
      </c>
      <c r="C302">
        <v>62.07</v>
      </c>
      <c r="D302">
        <v>14</v>
      </c>
      <c r="E302">
        <v>15</v>
      </c>
      <c r="F302">
        <v>63.91</v>
      </c>
      <c r="G302">
        <v>0</v>
      </c>
      <c r="H302">
        <v>1</v>
      </c>
      <c r="I302">
        <v>0</v>
      </c>
      <c r="J302">
        <v>1</v>
      </c>
      <c r="K302">
        <v>61.71</v>
      </c>
      <c r="L302">
        <v>62.14</v>
      </c>
    </row>
    <row r="303" spans="1:12" x14ac:dyDescent="0.2">
      <c r="A303" s="4">
        <v>302</v>
      </c>
      <c r="B303" t="s">
        <v>867</v>
      </c>
      <c r="C303">
        <v>61.54</v>
      </c>
      <c r="D303">
        <v>10</v>
      </c>
      <c r="E303">
        <v>18</v>
      </c>
      <c r="F303">
        <v>68.88</v>
      </c>
      <c r="G303">
        <v>0</v>
      </c>
      <c r="H303">
        <v>1</v>
      </c>
      <c r="I303">
        <v>0</v>
      </c>
      <c r="J303">
        <v>1</v>
      </c>
      <c r="K303">
        <v>62.57</v>
      </c>
      <c r="L303">
        <v>59.98</v>
      </c>
    </row>
    <row r="304" spans="1:12" x14ac:dyDescent="0.2">
      <c r="A304" s="4">
        <v>303</v>
      </c>
      <c r="B304" t="s">
        <v>847</v>
      </c>
      <c r="C304">
        <v>61.14</v>
      </c>
      <c r="D304">
        <v>7</v>
      </c>
      <c r="E304">
        <v>20</v>
      </c>
      <c r="F304">
        <v>68.37</v>
      </c>
      <c r="G304">
        <v>0</v>
      </c>
      <c r="H304">
        <v>0</v>
      </c>
      <c r="I304">
        <v>0</v>
      </c>
      <c r="J304">
        <v>1</v>
      </c>
      <c r="K304">
        <v>60.7</v>
      </c>
      <c r="L304">
        <v>61.27</v>
      </c>
    </row>
    <row r="305" spans="1:12" x14ac:dyDescent="0.2">
      <c r="A305" s="4">
        <v>304</v>
      </c>
      <c r="B305" t="s">
        <v>233</v>
      </c>
      <c r="C305">
        <v>61.07</v>
      </c>
      <c r="D305">
        <v>6</v>
      </c>
      <c r="E305">
        <v>20</v>
      </c>
      <c r="F305">
        <v>70.53</v>
      </c>
      <c r="G305">
        <v>0</v>
      </c>
      <c r="H305">
        <v>0</v>
      </c>
      <c r="I305">
        <v>0</v>
      </c>
      <c r="J305">
        <v>0</v>
      </c>
      <c r="K305">
        <v>61.05</v>
      </c>
      <c r="L305">
        <v>60.81</v>
      </c>
    </row>
    <row r="306" spans="1:12" x14ac:dyDescent="0.2">
      <c r="A306" s="4">
        <v>305</v>
      </c>
      <c r="B306" t="s">
        <v>868</v>
      </c>
      <c r="C306">
        <v>60.85</v>
      </c>
      <c r="D306">
        <v>6</v>
      </c>
      <c r="E306">
        <v>21</v>
      </c>
      <c r="F306">
        <v>69.53</v>
      </c>
      <c r="G306">
        <v>0</v>
      </c>
      <c r="H306">
        <v>0</v>
      </c>
      <c r="I306">
        <v>0</v>
      </c>
      <c r="J306">
        <v>1</v>
      </c>
      <c r="K306">
        <v>60.63</v>
      </c>
      <c r="L306">
        <v>60.78</v>
      </c>
    </row>
    <row r="307" spans="1:12" x14ac:dyDescent="0.2">
      <c r="A307" s="4">
        <v>306</v>
      </c>
      <c r="B307" t="s">
        <v>246</v>
      </c>
      <c r="C307">
        <v>60.79</v>
      </c>
      <c r="D307">
        <v>7</v>
      </c>
      <c r="E307">
        <v>21</v>
      </c>
      <c r="F307">
        <v>68.94</v>
      </c>
      <c r="G307">
        <v>0</v>
      </c>
      <c r="H307">
        <v>0</v>
      </c>
      <c r="I307">
        <v>0</v>
      </c>
      <c r="J307">
        <v>1</v>
      </c>
      <c r="K307">
        <v>60.97</v>
      </c>
      <c r="L307">
        <v>60.31</v>
      </c>
    </row>
    <row r="308" spans="1:12" x14ac:dyDescent="0.2">
      <c r="A308" s="4">
        <v>307</v>
      </c>
      <c r="B308" t="s">
        <v>903</v>
      </c>
      <c r="C308">
        <v>60.76</v>
      </c>
      <c r="D308">
        <v>7</v>
      </c>
      <c r="E308">
        <v>21</v>
      </c>
      <c r="F308">
        <v>69.7</v>
      </c>
      <c r="G308">
        <v>0</v>
      </c>
      <c r="H308">
        <v>1</v>
      </c>
      <c r="I308">
        <v>0</v>
      </c>
      <c r="J308">
        <v>2</v>
      </c>
      <c r="K308">
        <v>60.66</v>
      </c>
      <c r="L308">
        <v>60.58</v>
      </c>
    </row>
    <row r="309" spans="1:12" x14ac:dyDescent="0.2">
      <c r="A309" s="4">
        <v>308</v>
      </c>
      <c r="B309" t="s">
        <v>897</v>
      </c>
      <c r="C309">
        <v>60.53</v>
      </c>
      <c r="D309">
        <v>6</v>
      </c>
      <c r="E309">
        <v>20</v>
      </c>
      <c r="F309">
        <v>69.23</v>
      </c>
      <c r="G309">
        <v>0</v>
      </c>
      <c r="H309">
        <v>0</v>
      </c>
      <c r="I309">
        <v>0</v>
      </c>
      <c r="J309">
        <v>1</v>
      </c>
      <c r="K309">
        <v>58.93</v>
      </c>
      <c r="L309">
        <v>61.53</v>
      </c>
    </row>
    <row r="310" spans="1:12" x14ac:dyDescent="0.2">
      <c r="A310" s="4">
        <v>309</v>
      </c>
      <c r="B310" t="s">
        <v>824</v>
      </c>
      <c r="C310">
        <v>59.99</v>
      </c>
      <c r="D310">
        <v>3</v>
      </c>
      <c r="E310">
        <v>27</v>
      </c>
      <c r="F310">
        <v>72.17</v>
      </c>
      <c r="G310">
        <v>0</v>
      </c>
      <c r="H310">
        <v>0</v>
      </c>
      <c r="I310">
        <v>0</v>
      </c>
      <c r="J310">
        <v>1</v>
      </c>
      <c r="K310">
        <v>57.08</v>
      </c>
      <c r="L310">
        <v>61.64</v>
      </c>
    </row>
    <row r="311" spans="1:12" x14ac:dyDescent="0.2">
      <c r="A311" s="4">
        <v>310</v>
      </c>
      <c r="B311" t="s">
        <v>197</v>
      </c>
      <c r="C311">
        <v>59.82</v>
      </c>
      <c r="D311">
        <v>5</v>
      </c>
      <c r="E311">
        <v>23</v>
      </c>
      <c r="F311">
        <v>70.599999999999994</v>
      </c>
      <c r="G311">
        <v>0</v>
      </c>
      <c r="H311">
        <v>0</v>
      </c>
      <c r="I311">
        <v>0</v>
      </c>
      <c r="J311">
        <v>1</v>
      </c>
      <c r="K311">
        <v>60.26</v>
      </c>
      <c r="L311">
        <v>59.03</v>
      </c>
    </row>
    <row r="312" spans="1:12" x14ac:dyDescent="0.2">
      <c r="A312" s="4">
        <v>311</v>
      </c>
      <c r="B312" t="s">
        <v>209</v>
      </c>
      <c r="C312">
        <v>59.5</v>
      </c>
      <c r="D312">
        <v>6</v>
      </c>
      <c r="E312">
        <v>20</v>
      </c>
      <c r="F312">
        <v>66.67</v>
      </c>
      <c r="G312">
        <v>0</v>
      </c>
      <c r="H312">
        <v>0</v>
      </c>
      <c r="I312">
        <v>0</v>
      </c>
      <c r="J312">
        <v>0</v>
      </c>
      <c r="K312">
        <v>56.44</v>
      </c>
      <c r="L312">
        <v>61.19</v>
      </c>
    </row>
    <row r="313" spans="1:12" x14ac:dyDescent="0.2">
      <c r="A313" s="4">
        <v>312</v>
      </c>
      <c r="B313" t="s">
        <v>260</v>
      </c>
      <c r="C313">
        <v>58.87</v>
      </c>
      <c r="D313">
        <v>7</v>
      </c>
      <c r="E313">
        <v>19</v>
      </c>
      <c r="F313">
        <v>64.84</v>
      </c>
      <c r="G313">
        <v>0</v>
      </c>
      <c r="H313">
        <v>0</v>
      </c>
      <c r="I313">
        <v>0</v>
      </c>
      <c r="J313">
        <v>1</v>
      </c>
      <c r="K313">
        <v>56.58</v>
      </c>
      <c r="L313">
        <v>60.2</v>
      </c>
    </row>
    <row r="314" spans="1:12" x14ac:dyDescent="0.2">
      <c r="A314" s="4">
        <v>313</v>
      </c>
      <c r="B314" t="s">
        <v>217</v>
      </c>
      <c r="C314">
        <v>58.21</v>
      </c>
      <c r="D314">
        <v>4</v>
      </c>
      <c r="E314">
        <v>24</v>
      </c>
      <c r="F314">
        <v>70.400000000000006</v>
      </c>
      <c r="G314">
        <v>0</v>
      </c>
      <c r="H314">
        <v>0</v>
      </c>
      <c r="I314">
        <v>0</v>
      </c>
      <c r="J314">
        <v>1</v>
      </c>
      <c r="K314">
        <v>57.99</v>
      </c>
      <c r="L314">
        <v>58.15</v>
      </c>
    </row>
    <row r="315" spans="1:12" x14ac:dyDescent="0.2">
      <c r="A315" s="4">
        <v>314</v>
      </c>
      <c r="B315" t="s">
        <v>898</v>
      </c>
      <c r="C315">
        <v>57.34</v>
      </c>
      <c r="D315">
        <v>7</v>
      </c>
      <c r="E315">
        <v>20</v>
      </c>
      <c r="F315">
        <v>62.95</v>
      </c>
      <c r="G315">
        <v>0</v>
      </c>
      <c r="H315">
        <v>0</v>
      </c>
      <c r="I315">
        <v>0</v>
      </c>
      <c r="J315">
        <v>0</v>
      </c>
      <c r="K315">
        <v>55.16</v>
      </c>
      <c r="L315">
        <v>58.58</v>
      </c>
    </row>
    <row r="316" spans="1:12" x14ac:dyDescent="0.2">
      <c r="A316" s="4">
        <v>315</v>
      </c>
      <c r="B316" t="s">
        <v>189</v>
      </c>
      <c r="C316">
        <v>57.29</v>
      </c>
      <c r="D316">
        <v>4</v>
      </c>
      <c r="E316">
        <v>22</v>
      </c>
      <c r="F316">
        <v>69.040000000000006</v>
      </c>
      <c r="G316">
        <v>0</v>
      </c>
      <c r="H316">
        <v>0</v>
      </c>
      <c r="I316">
        <v>0</v>
      </c>
      <c r="J316">
        <v>0</v>
      </c>
      <c r="K316">
        <v>57.95</v>
      </c>
      <c r="L316">
        <v>56.21</v>
      </c>
    </row>
    <row r="317" spans="1:12" x14ac:dyDescent="0.2">
      <c r="A317" s="4">
        <v>316</v>
      </c>
      <c r="B317" t="s">
        <v>264</v>
      </c>
      <c r="C317">
        <v>56.93</v>
      </c>
      <c r="D317">
        <v>2</v>
      </c>
      <c r="E317">
        <v>25</v>
      </c>
      <c r="F317">
        <v>70.63</v>
      </c>
      <c r="G317">
        <v>0</v>
      </c>
      <c r="H317">
        <v>0</v>
      </c>
      <c r="I317">
        <v>0</v>
      </c>
      <c r="J317">
        <v>0</v>
      </c>
      <c r="K317">
        <v>53.37</v>
      </c>
      <c r="L317">
        <v>58.65</v>
      </c>
    </row>
    <row r="318" spans="1:12" x14ac:dyDescent="0.2">
      <c r="A318" s="4">
        <v>317</v>
      </c>
      <c r="B318" t="s">
        <v>895</v>
      </c>
      <c r="C318">
        <v>56.92</v>
      </c>
      <c r="D318">
        <v>8</v>
      </c>
      <c r="E318">
        <v>22</v>
      </c>
      <c r="F318">
        <v>65.510000000000005</v>
      </c>
      <c r="G318">
        <v>0</v>
      </c>
      <c r="H318">
        <v>0</v>
      </c>
      <c r="I318">
        <v>0</v>
      </c>
      <c r="J318">
        <v>2</v>
      </c>
      <c r="K318">
        <v>55.15</v>
      </c>
      <c r="L318">
        <v>57.94</v>
      </c>
    </row>
    <row r="319" spans="1:12" x14ac:dyDescent="0.2">
      <c r="A319" s="4">
        <v>318</v>
      </c>
      <c r="B319" t="s">
        <v>108</v>
      </c>
      <c r="C319">
        <v>56.88</v>
      </c>
      <c r="D319">
        <v>4</v>
      </c>
      <c r="E319">
        <v>24</v>
      </c>
      <c r="F319">
        <v>70.44</v>
      </c>
      <c r="G319">
        <v>0</v>
      </c>
      <c r="H319">
        <v>0</v>
      </c>
      <c r="I319">
        <v>0</v>
      </c>
      <c r="J319">
        <v>0</v>
      </c>
      <c r="K319">
        <v>56.82</v>
      </c>
      <c r="L319">
        <v>56.66</v>
      </c>
    </row>
    <row r="320" spans="1:12" x14ac:dyDescent="0.2">
      <c r="A320" s="4">
        <v>319</v>
      </c>
      <c r="B320" t="s">
        <v>549</v>
      </c>
      <c r="C320">
        <v>56.32</v>
      </c>
      <c r="D320">
        <v>3</v>
      </c>
      <c r="E320">
        <v>22</v>
      </c>
      <c r="F320">
        <v>69.44</v>
      </c>
      <c r="G320">
        <v>0</v>
      </c>
      <c r="H320">
        <v>1</v>
      </c>
      <c r="I320">
        <v>0</v>
      </c>
      <c r="J320">
        <v>1</v>
      </c>
      <c r="K320">
        <v>55.65</v>
      </c>
      <c r="L320">
        <v>56.65</v>
      </c>
    </row>
    <row r="321" spans="1:12" x14ac:dyDescent="0.2">
      <c r="A321" s="4">
        <v>320</v>
      </c>
      <c r="B321" t="s">
        <v>886</v>
      </c>
      <c r="C321">
        <v>56.01</v>
      </c>
      <c r="D321">
        <v>5</v>
      </c>
      <c r="E321">
        <v>23</v>
      </c>
      <c r="F321">
        <v>64.819999999999993</v>
      </c>
      <c r="G321">
        <v>0</v>
      </c>
      <c r="H321">
        <v>0</v>
      </c>
      <c r="I321">
        <v>0</v>
      </c>
      <c r="J321">
        <v>0</v>
      </c>
      <c r="K321">
        <v>53.5</v>
      </c>
      <c r="L321">
        <v>57.34</v>
      </c>
    </row>
    <row r="322" spans="1:12" x14ac:dyDescent="0.2">
      <c r="A322" s="4">
        <v>321</v>
      </c>
      <c r="B322" t="s">
        <v>841</v>
      </c>
      <c r="C322">
        <v>55.28</v>
      </c>
      <c r="D322">
        <v>7</v>
      </c>
      <c r="E322">
        <v>22</v>
      </c>
      <c r="F322">
        <v>63.32</v>
      </c>
      <c r="G322">
        <v>0</v>
      </c>
      <c r="H322">
        <v>0</v>
      </c>
      <c r="I322">
        <v>0</v>
      </c>
      <c r="J322">
        <v>0</v>
      </c>
      <c r="K322">
        <v>54.21</v>
      </c>
      <c r="L322">
        <v>55.87</v>
      </c>
    </row>
    <row r="323" spans="1:12" x14ac:dyDescent="0.2">
      <c r="A323" s="4">
        <v>322</v>
      </c>
      <c r="B323" t="s">
        <v>845</v>
      </c>
      <c r="C323">
        <v>54.93</v>
      </c>
      <c r="D323">
        <v>2</v>
      </c>
      <c r="E323">
        <v>25</v>
      </c>
      <c r="F323">
        <v>70.790000000000006</v>
      </c>
      <c r="G323">
        <v>0</v>
      </c>
      <c r="H323">
        <v>0</v>
      </c>
      <c r="I323">
        <v>0</v>
      </c>
      <c r="J323">
        <v>1</v>
      </c>
      <c r="K323">
        <v>53.97</v>
      </c>
      <c r="L323">
        <v>55.45</v>
      </c>
    </row>
    <row r="324" spans="1:12" x14ac:dyDescent="0.2">
      <c r="A324" s="4">
        <v>323</v>
      </c>
      <c r="B324" t="s">
        <v>270</v>
      </c>
      <c r="C324">
        <v>54.33</v>
      </c>
      <c r="D324">
        <v>4</v>
      </c>
      <c r="E324">
        <v>24</v>
      </c>
      <c r="F324">
        <v>70.959999999999994</v>
      </c>
      <c r="G324">
        <v>0</v>
      </c>
      <c r="H324">
        <v>1</v>
      </c>
      <c r="I324">
        <v>0</v>
      </c>
      <c r="J324">
        <v>3</v>
      </c>
      <c r="K324">
        <v>55.31</v>
      </c>
      <c r="L324">
        <v>52.63</v>
      </c>
    </row>
    <row r="325" spans="1:12" x14ac:dyDescent="0.2">
      <c r="A325" s="4">
        <v>324</v>
      </c>
      <c r="B325" t="s">
        <v>848</v>
      </c>
      <c r="C325">
        <v>54.3</v>
      </c>
      <c r="D325">
        <v>6</v>
      </c>
      <c r="E325">
        <v>20</v>
      </c>
      <c r="F325">
        <v>66.19</v>
      </c>
      <c r="G325">
        <v>0</v>
      </c>
      <c r="H325">
        <v>0</v>
      </c>
      <c r="I325">
        <v>0</v>
      </c>
      <c r="J325">
        <v>0</v>
      </c>
      <c r="K325">
        <v>54.42</v>
      </c>
      <c r="L325">
        <v>53.89</v>
      </c>
    </row>
    <row r="326" spans="1:12" x14ac:dyDescent="0.2">
      <c r="A326" s="4">
        <v>325</v>
      </c>
      <c r="B326" t="s">
        <v>844</v>
      </c>
      <c r="C326">
        <v>52.56</v>
      </c>
      <c r="D326">
        <v>3</v>
      </c>
      <c r="E326">
        <v>24</v>
      </c>
      <c r="F326">
        <v>68.930000000000007</v>
      </c>
      <c r="G326">
        <v>0</v>
      </c>
      <c r="H326">
        <v>0</v>
      </c>
      <c r="I326">
        <v>0</v>
      </c>
      <c r="J326">
        <v>0</v>
      </c>
      <c r="K326">
        <v>52.3</v>
      </c>
      <c r="L326">
        <v>52.54</v>
      </c>
    </row>
    <row r="327" spans="1:12" x14ac:dyDescent="0.2">
      <c r="A327" s="4">
        <v>326</v>
      </c>
      <c r="B327" t="s">
        <v>836</v>
      </c>
      <c r="C327">
        <v>52.52</v>
      </c>
      <c r="D327">
        <v>1</v>
      </c>
      <c r="E327">
        <v>24</v>
      </c>
      <c r="F327">
        <v>72.36</v>
      </c>
      <c r="G327">
        <v>0</v>
      </c>
      <c r="H327">
        <v>1</v>
      </c>
      <c r="I327">
        <v>0</v>
      </c>
      <c r="J327">
        <v>1</v>
      </c>
      <c r="K327">
        <v>51.4</v>
      </c>
      <c r="L327">
        <v>53.12</v>
      </c>
    </row>
    <row r="328" spans="1:12" x14ac:dyDescent="0.2">
      <c r="A328" s="4">
        <v>327</v>
      </c>
      <c r="B328" t="s">
        <v>888</v>
      </c>
      <c r="C328">
        <v>48.27</v>
      </c>
      <c r="D328">
        <v>1</v>
      </c>
      <c r="E328">
        <v>25</v>
      </c>
      <c r="F328">
        <v>67.84</v>
      </c>
      <c r="G328">
        <v>0</v>
      </c>
      <c r="H328">
        <v>1</v>
      </c>
      <c r="I328">
        <v>0</v>
      </c>
      <c r="J328">
        <v>2</v>
      </c>
      <c r="K328">
        <v>45.88</v>
      </c>
      <c r="L328">
        <v>49.36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F43-BB41-4BFE-9744-EB1B14B12F00}">
  <dimension ref="A1:N358"/>
  <sheetViews>
    <sheetView topLeftCell="A60" workbookViewId="0">
      <selection activeCell="N80" sqref="N80"/>
    </sheetView>
  </sheetViews>
  <sheetFormatPr baseColWidth="10" defaultColWidth="8.83203125" defaultRowHeight="15" x14ac:dyDescent="0.2"/>
  <cols>
    <col min="2" max="2" width="18.1640625" bestFit="1" customWidth="1"/>
  </cols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  <c r="N1" t="s">
        <v>305</v>
      </c>
    </row>
    <row r="2" spans="1:14" x14ac:dyDescent="0.2">
      <c r="A2" s="1">
        <v>1</v>
      </c>
      <c r="B2" t="s">
        <v>0</v>
      </c>
      <c r="C2">
        <f xml:space="preserve">  96.76</f>
        <v>96.76</v>
      </c>
      <c r="D2">
        <v>31</v>
      </c>
      <c r="E2">
        <v>1</v>
      </c>
      <c r="F2">
        <v>78.17</v>
      </c>
      <c r="G2">
        <v>10</v>
      </c>
      <c r="H2">
        <v>1</v>
      </c>
      <c r="I2">
        <v>11</v>
      </c>
      <c r="J2">
        <v>1</v>
      </c>
      <c r="K2">
        <v>96.4</v>
      </c>
      <c r="L2">
        <v>96.98</v>
      </c>
      <c r="M2">
        <v>97.4</v>
      </c>
      <c r="N2" t="s">
        <v>1</v>
      </c>
    </row>
    <row r="3" spans="1:14" x14ac:dyDescent="0.2">
      <c r="A3" s="1">
        <v>2</v>
      </c>
      <c r="B3" t="s">
        <v>8</v>
      </c>
      <c r="C3">
        <f xml:space="preserve">  95.54</f>
        <v>95.54</v>
      </c>
      <c r="D3">
        <v>28</v>
      </c>
      <c r="E3">
        <v>2</v>
      </c>
      <c r="F3">
        <v>80.58</v>
      </c>
      <c r="G3">
        <v>11</v>
      </c>
      <c r="H3">
        <v>1</v>
      </c>
      <c r="I3">
        <v>14</v>
      </c>
      <c r="J3">
        <v>2</v>
      </c>
      <c r="K3">
        <v>94.93</v>
      </c>
      <c r="L3">
        <v>95.84</v>
      </c>
      <c r="M3">
        <v>101.49</v>
      </c>
      <c r="N3" t="s">
        <v>3</v>
      </c>
    </row>
    <row r="4" spans="1:14" x14ac:dyDescent="0.2">
      <c r="A4" s="1">
        <v>3</v>
      </c>
      <c r="B4" t="s">
        <v>34</v>
      </c>
      <c r="C4">
        <f xml:space="preserve">  92.11</f>
        <v>92.11</v>
      </c>
      <c r="D4">
        <v>24</v>
      </c>
      <c r="E4">
        <v>7</v>
      </c>
      <c r="F4">
        <v>83.28</v>
      </c>
      <c r="G4">
        <v>7</v>
      </c>
      <c r="H4">
        <v>2</v>
      </c>
      <c r="I4">
        <v>14</v>
      </c>
      <c r="J4">
        <v>6</v>
      </c>
      <c r="K4">
        <v>92.22</v>
      </c>
      <c r="L4">
        <v>91.78</v>
      </c>
      <c r="M4">
        <v>93.93</v>
      </c>
      <c r="N4" t="s">
        <v>17</v>
      </c>
    </row>
    <row r="5" spans="1:14" x14ac:dyDescent="0.2">
      <c r="A5" s="1">
        <v>4</v>
      </c>
      <c r="B5" t="s">
        <v>39</v>
      </c>
      <c r="C5">
        <f xml:space="preserve">  91.76</f>
        <v>91.76</v>
      </c>
      <c r="D5">
        <v>23</v>
      </c>
      <c r="E5">
        <v>5</v>
      </c>
      <c r="F5">
        <v>82.4</v>
      </c>
      <c r="G5">
        <v>6</v>
      </c>
      <c r="H5">
        <v>3</v>
      </c>
      <c r="I5">
        <v>14</v>
      </c>
      <c r="J5">
        <v>4</v>
      </c>
      <c r="K5">
        <v>91.62</v>
      </c>
      <c r="L5">
        <v>91.71</v>
      </c>
      <c r="M5">
        <v>92.77</v>
      </c>
      <c r="N5" t="s">
        <v>17</v>
      </c>
    </row>
    <row r="6" spans="1:14" x14ac:dyDescent="0.2">
      <c r="A6" s="1">
        <v>5</v>
      </c>
      <c r="B6" t="s">
        <v>4</v>
      </c>
      <c r="C6">
        <f xml:space="preserve">  91.1</f>
        <v>91.1</v>
      </c>
      <c r="D6">
        <v>27</v>
      </c>
      <c r="E6">
        <v>4</v>
      </c>
      <c r="F6">
        <v>77.19</v>
      </c>
      <c r="G6">
        <v>1</v>
      </c>
      <c r="H6">
        <v>1</v>
      </c>
      <c r="I6">
        <v>5</v>
      </c>
      <c r="J6">
        <v>1</v>
      </c>
      <c r="K6">
        <v>91.24</v>
      </c>
      <c r="L6">
        <v>90.74</v>
      </c>
      <c r="M6">
        <v>92.55</v>
      </c>
      <c r="N6" t="s">
        <v>5</v>
      </c>
    </row>
    <row r="7" spans="1:14" x14ac:dyDescent="0.2">
      <c r="A7" s="1">
        <v>6</v>
      </c>
      <c r="B7" t="s">
        <v>32</v>
      </c>
      <c r="C7">
        <f xml:space="preserve">  90.47</f>
        <v>90.47</v>
      </c>
      <c r="D7">
        <v>22</v>
      </c>
      <c r="E7">
        <v>9</v>
      </c>
      <c r="F7">
        <v>82.38</v>
      </c>
      <c r="G7">
        <v>4</v>
      </c>
      <c r="H7">
        <v>6</v>
      </c>
      <c r="I7">
        <v>12</v>
      </c>
      <c r="J7">
        <v>8</v>
      </c>
      <c r="K7">
        <v>90.95</v>
      </c>
      <c r="L7">
        <v>90.19</v>
      </c>
      <c r="M7">
        <v>87.98</v>
      </c>
      <c r="N7" t="s">
        <v>17</v>
      </c>
    </row>
    <row r="8" spans="1:14" x14ac:dyDescent="0.2">
      <c r="A8" s="1">
        <v>7</v>
      </c>
      <c r="B8" t="s">
        <v>42</v>
      </c>
      <c r="C8">
        <f xml:space="preserve">  88.77</f>
        <v>88.77</v>
      </c>
      <c r="D8">
        <v>26</v>
      </c>
      <c r="E8">
        <v>7</v>
      </c>
      <c r="F8">
        <v>81.2</v>
      </c>
      <c r="G8">
        <v>6</v>
      </c>
      <c r="H8">
        <v>2</v>
      </c>
      <c r="I8">
        <v>10</v>
      </c>
      <c r="J8">
        <v>4</v>
      </c>
      <c r="K8">
        <v>88.49</v>
      </c>
      <c r="L8">
        <v>88.84</v>
      </c>
      <c r="M8">
        <v>89.86</v>
      </c>
      <c r="N8" t="s">
        <v>14</v>
      </c>
    </row>
    <row r="9" spans="1:14" x14ac:dyDescent="0.2">
      <c r="A9" s="1">
        <v>8</v>
      </c>
      <c r="B9" t="s">
        <v>877</v>
      </c>
      <c r="C9">
        <v>88.37</v>
      </c>
      <c r="D9">
        <v>25</v>
      </c>
      <c r="E9">
        <v>8</v>
      </c>
      <c r="F9">
        <v>80.84</v>
      </c>
      <c r="G9">
        <v>6</v>
      </c>
      <c r="H9">
        <v>4</v>
      </c>
      <c r="I9">
        <v>7</v>
      </c>
      <c r="J9">
        <v>6</v>
      </c>
      <c r="K9">
        <v>88.24</v>
      </c>
      <c r="L9">
        <v>88.16</v>
      </c>
      <c r="M9">
        <v>92.06</v>
      </c>
      <c r="N9" t="s">
        <v>7</v>
      </c>
    </row>
    <row r="10" spans="1:14" x14ac:dyDescent="0.2">
      <c r="A10" s="1">
        <v>9</v>
      </c>
      <c r="B10" t="s">
        <v>809</v>
      </c>
      <c r="C10">
        <f xml:space="preserve">  88.32</f>
        <v>88.32</v>
      </c>
      <c r="D10">
        <v>21</v>
      </c>
      <c r="E10">
        <v>10</v>
      </c>
      <c r="F10">
        <v>83.26</v>
      </c>
      <c r="G10">
        <v>5</v>
      </c>
      <c r="H10">
        <v>4</v>
      </c>
      <c r="I10">
        <v>13</v>
      </c>
      <c r="J10">
        <v>7</v>
      </c>
      <c r="K10">
        <v>88.2</v>
      </c>
      <c r="L10">
        <v>88.47</v>
      </c>
      <c r="M10">
        <v>86.81</v>
      </c>
      <c r="N10" t="s">
        <v>17</v>
      </c>
    </row>
    <row r="11" spans="1:14" x14ac:dyDescent="0.2">
      <c r="A11" s="1">
        <v>10</v>
      </c>
      <c r="B11" t="s">
        <v>11</v>
      </c>
      <c r="C11">
        <f xml:space="preserve">  88.2</f>
        <v>88.2</v>
      </c>
      <c r="D11">
        <v>18</v>
      </c>
      <c r="E11">
        <v>7</v>
      </c>
      <c r="F11">
        <v>80.75</v>
      </c>
      <c r="G11">
        <v>2</v>
      </c>
      <c r="H11">
        <v>2</v>
      </c>
      <c r="I11">
        <v>5</v>
      </c>
      <c r="J11">
        <v>3</v>
      </c>
      <c r="K11">
        <v>88.3</v>
      </c>
      <c r="L11">
        <v>88.15</v>
      </c>
      <c r="M11">
        <v>86.65</v>
      </c>
      <c r="N11" t="s">
        <v>12</v>
      </c>
    </row>
    <row r="12" spans="1:14" x14ac:dyDescent="0.2">
      <c r="A12" s="1">
        <v>11</v>
      </c>
      <c r="B12" t="s">
        <v>793</v>
      </c>
      <c r="C12">
        <f xml:space="preserve">  87.75</f>
        <v>87.75</v>
      </c>
      <c r="D12">
        <v>18</v>
      </c>
      <c r="E12">
        <v>7</v>
      </c>
      <c r="F12">
        <v>80.790000000000006</v>
      </c>
      <c r="G12">
        <v>2</v>
      </c>
      <c r="H12">
        <v>1</v>
      </c>
      <c r="I12">
        <v>9</v>
      </c>
      <c r="J12">
        <v>5</v>
      </c>
      <c r="K12">
        <v>87.71</v>
      </c>
      <c r="L12">
        <v>87.66</v>
      </c>
      <c r="M12">
        <v>87.67</v>
      </c>
      <c r="N12" t="s">
        <v>10</v>
      </c>
    </row>
    <row r="13" spans="1:14" x14ac:dyDescent="0.2">
      <c r="A13" s="1">
        <v>12</v>
      </c>
      <c r="B13" t="s">
        <v>70</v>
      </c>
      <c r="C13">
        <f xml:space="preserve">  87.7</f>
        <v>87.7</v>
      </c>
      <c r="D13">
        <v>18</v>
      </c>
      <c r="E13">
        <v>7</v>
      </c>
      <c r="F13">
        <v>79.709999999999994</v>
      </c>
      <c r="G13">
        <v>0</v>
      </c>
      <c r="H13">
        <v>2</v>
      </c>
      <c r="I13">
        <v>7</v>
      </c>
      <c r="J13">
        <v>4</v>
      </c>
      <c r="K13">
        <v>87.3</v>
      </c>
      <c r="L13">
        <v>88.41</v>
      </c>
      <c r="M13">
        <v>84.5</v>
      </c>
      <c r="N13" t="s">
        <v>10</v>
      </c>
    </row>
    <row r="14" spans="1:14" x14ac:dyDescent="0.2">
      <c r="A14" s="1">
        <v>13</v>
      </c>
      <c r="B14" t="s">
        <v>35</v>
      </c>
      <c r="C14">
        <f xml:space="preserve">  87.62</f>
        <v>87.62</v>
      </c>
      <c r="D14">
        <v>25</v>
      </c>
      <c r="E14">
        <v>7</v>
      </c>
      <c r="F14">
        <v>79.37</v>
      </c>
      <c r="G14">
        <v>3</v>
      </c>
      <c r="H14">
        <v>5</v>
      </c>
      <c r="I14">
        <v>5</v>
      </c>
      <c r="J14">
        <v>6</v>
      </c>
      <c r="K14">
        <v>87.65</v>
      </c>
      <c r="L14">
        <v>87.33</v>
      </c>
      <c r="M14">
        <v>89.5</v>
      </c>
      <c r="N14" t="s">
        <v>14</v>
      </c>
    </row>
    <row r="15" spans="1:14" x14ac:dyDescent="0.2">
      <c r="A15" s="1">
        <v>14</v>
      </c>
      <c r="B15" t="s">
        <v>2</v>
      </c>
      <c r="C15">
        <f xml:space="preserve">  87.59</f>
        <v>87.59</v>
      </c>
      <c r="D15">
        <v>20</v>
      </c>
      <c r="E15">
        <v>9</v>
      </c>
      <c r="F15">
        <v>82.26</v>
      </c>
      <c r="G15">
        <v>5</v>
      </c>
      <c r="H15">
        <v>7</v>
      </c>
      <c r="I15">
        <v>9</v>
      </c>
      <c r="J15">
        <v>9</v>
      </c>
      <c r="K15">
        <v>87.46</v>
      </c>
      <c r="L15">
        <v>87.95</v>
      </c>
      <c r="M15">
        <v>84.71</v>
      </c>
      <c r="N15" t="s">
        <v>3</v>
      </c>
    </row>
    <row r="16" spans="1:14" x14ac:dyDescent="0.2">
      <c r="A16" s="1">
        <v>15</v>
      </c>
      <c r="B16" t="s">
        <v>43</v>
      </c>
      <c r="C16">
        <f xml:space="preserve">  87.31</f>
        <v>87.31</v>
      </c>
      <c r="D16">
        <v>18</v>
      </c>
      <c r="E16">
        <v>13</v>
      </c>
      <c r="F16">
        <v>83.43</v>
      </c>
      <c r="G16">
        <v>0</v>
      </c>
      <c r="H16">
        <v>9</v>
      </c>
      <c r="I16">
        <v>9</v>
      </c>
      <c r="J16">
        <v>12</v>
      </c>
      <c r="K16">
        <v>87.49</v>
      </c>
      <c r="L16">
        <v>87.16</v>
      </c>
      <c r="M16">
        <v>85.87</v>
      </c>
      <c r="N16" t="s">
        <v>17</v>
      </c>
    </row>
    <row r="17" spans="1:14" x14ac:dyDescent="0.2">
      <c r="A17" s="1">
        <v>16</v>
      </c>
      <c r="B17" t="s">
        <v>69</v>
      </c>
      <c r="C17">
        <f xml:space="preserve">  87.3</f>
        <v>87.3</v>
      </c>
      <c r="D17">
        <v>23</v>
      </c>
      <c r="E17">
        <v>9</v>
      </c>
      <c r="F17">
        <v>80.2</v>
      </c>
      <c r="G17">
        <v>5</v>
      </c>
      <c r="H17">
        <v>4</v>
      </c>
      <c r="I17">
        <v>6</v>
      </c>
      <c r="J17">
        <v>5</v>
      </c>
      <c r="K17">
        <v>87.96</v>
      </c>
      <c r="L17">
        <v>86.65</v>
      </c>
      <c r="M17">
        <v>86.86</v>
      </c>
      <c r="N17" t="s">
        <v>7</v>
      </c>
    </row>
    <row r="18" spans="1:14" x14ac:dyDescent="0.2">
      <c r="A18" s="1">
        <v>17</v>
      </c>
      <c r="B18" t="s">
        <v>52</v>
      </c>
      <c r="C18">
        <f xml:space="preserve">  87.11</f>
        <v>87.11</v>
      </c>
      <c r="D18">
        <v>22</v>
      </c>
      <c r="E18">
        <v>9</v>
      </c>
      <c r="F18">
        <v>80.239999999999995</v>
      </c>
      <c r="G18">
        <v>1</v>
      </c>
      <c r="H18">
        <v>3</v>
      </c>
      <c r="I18">
        <v>6</v>
      </c>
      <c r="J18">
        <v>3</v>
      </c>
      <c r="K18">
        <v>87.41</v>
      </c>
      <c r="L18">
        <v>86.76</v>
      </c>
      <c r="M18">
        <v>86.61</v>
      </c>
      <c r="N18" t="s">
        <v>12</v>
      </c>
    </row>
    <row r="19" spans="1:14" x14ac:dyDescent="0.2">
      <c r="A19" s="1">
        <v>18</v>
      </c>
      <c r="B19" t="s">
        <v>31</v>
      </c>
      <c r="C19">
        <f xml:space="preserve">  87.1</f>
        <v>87.1</v>
      </c>
      <c r="D19">
        <v>18</v>
      </c>
      <c r="E19">
        <v>11</v>
      </c>
      <c r="F19">
        <v>80.510000000000005</v>
      </c>
      <c r="G19">
        <v>3</v>
      </c>
      <c r="H19">
        <v>9</v>
      </c>
      <c r="I19">
        <v>6</v>
      </c>
      <c r="J19">
        <v>11</v>
      </c>
      <c r="K19">
        <v>87.7</v>
      </c>
      <c r="L19">
        <v>86.59</v>
      </c>
      <c r="M19">
        <v>85.67</v>
      </c>
      <c r="N19" t="s">
        <v>3</v>
      </c>
    </row>
    <row r="20" spans="1:14" x14ac:dyDescent="0.2">
      <c r="A20" s="1">
        <v>19</v>
      </c>
      <c r="B20" t="s">
        <v>72</v>
      </c>
      <c r="C20">
        <f xml:space="preserve">  87.05</f>
        <v>87.05</v>
      </c>
      <c r="D20">
        <v>19</v>
      </c>
      <c r="E20">
        <v>10</v>
      </c>
      <c r="F20">
        <v>81.7</v>
      </c>
      <c r="G20">
        <v>4</v>
      </c>
      <c r="H20">
        <v>4</v>
      </c>
      <c r="I20">
        <v>5</v>
      </c>
      <c r="J20">
        <v>10</v>
      </c>
      <c r="K20">
        <v>86.79</v>
      </c>
      <c r="L20">
        <v>87.31</v>
      </c>
      <c r="M20">
        <v>85.92</v>
      </c>
      <c r="N20" t="s">
        <v>3</v>
      </c>
    </row>
    <row r="21" spans="1:14" x14ac:dyDescent="0.2">
      <c r="A21" s="1">
        <v>20</v>
      </c>
      <c r="B21" t="s">
        <v>30</v>
      </c>
      <c r="C21">
        <f xml:space="preserve">  86.85</f>
        <v>86.85</v>
      </c>
      <c r="D21">
        <v>22</v>
      </c>
      <c r="E21">
        <v>10</v>
      </c>
      <c r="F21">
        <v>81.650000000000006</v>
      </c>
      <c r="G21">
        <v>4</v>
      </c>
      <c r="H21">
        <v>6</v>
      </c>
      <c r="I21">
        <v>7</v>
      </c>
      <c r="J21">
        <v>7</v>
      </c>
      <c r="K21">
        <v>86.37</v>
      </c>
      <c r="L21">
        <v>86.95</v>
      </c>
      <c r="M21">
        <v>92.08</v>
      </c>
      <c r="N21" t="s">
        <v>7</v>
      </c>
    </row>
    <row r="22" spans="1:14" x14ac:dyDescent="0.2">
      <c r="A22" s="1">
        <v>21</v>
      </c>
      <c r="B22" t="s">
        <v>38</v>
      </c>
      <c r="C22">
        <f xml:space="preserve">  86.85</f>
        <v>86.85</v>
      </c>
      <c r="D22">
        <v>19</v>
      </c>
      <c r="E22">
        <v>8</v>
      </c>
      <c r="F22">
        <v>81.540000000000006</v>
      </c>
      <c r="G22">
        <v>4</v>
      </c>
      <c r="H22">
        <v>5</v>
      </c>
      <c r="I22">
        <v>9</v>
      </c>
      <c r="J22">
        <v>7</v>
      </c>
      <c r="K22">
        <v>86.19</v>
      </c>
      <c r="L22">
        <v>87.41</v>
      </c>
      <c r="M22">
        <v>87.44</v>
      </c>
      <c r="N22" t="s">
        <v>3</v>
      </c>
    </row>
    <row r="23" spans="1:14" x14ac:dyDescent="0.2">
      <c r="A23" s="1">
        <v>22</v>
      </c>
      <c r="B23" t="s">
        <v>13</v>
      </c>
      <c r="C23">
        <f xml:space="preserve">  86.47</f>
        <v>86.47</v>
      </c>
      <c r="D23">
        <v>18</v>
      </c>
      <c r="E23">
        <v>9</v>
      </c>
      <c r="F23">
        <v>79.930000000000007</v>
      </c>
      <c r="G23">
        <v>3</v>
      </c>
      <c r="H23">
        <v>3</v>
      </c>
      <c r="I23">
        <v>6</v>
      </c>
      <c r="J23">
        <v>5</v>
      </c>
      <c r="K23">
        <v>87.28</v>
      </c>
      <c r="L23">
        <v>86.09</v>
      </c>
      <c r="M23">
        <v>82.5</v>
      </c>
      <c r="N23" t="s">
        <v>14</v>
      </c>
    </row>
    <row r="24" spans="1:14" x14ac:dyDescent="0.2">
      <c r="A24" s="1">
        <v>23</v>
      </c>
      <c r="B24" t="s">
        <v>59</v>
      </c>
      <c r="C24">
        <f xml:space="preserve">  86.4</f>
        <v>86.4</v>
      </c>
      <c r="D24">
        <v>21</v>
      </c>
      <c r="E24">
        <v>7</v>
      </c>
      <c r="F24">
        <v>80.12</v>
      </c>
      <c r="G24">
        <v>3</v>
      </c>
      <c r="H24">
        <v>3</v>
      </c>
      <c r="I24">
        <v>6</v>
      </c>
      <c r="J24">
        <v>3</v>
      </c>
      <c r="K24">
        <v>85.92</v>
      </c>
      <c r="L24">
        <v>86.67</v>
      </c>
      <c r="M24">
        <v>87.89</v>
      </c>
      <c r="N24" t="s">
        <v>7</v>
      </c>
    </row>
    <row r="25" spans="1:14" x14ac:dyDescent="0.2">
      <c r="A25" s="1">
        <v>24</v>
      </c>
      <c r="B25" t="s">
        <v>273</v>
      </c>
      <c r="C25">
        <f xml:space="preserve">  86.33</f>
        <v>86.33</v>
      </c>
      <c r="D25">
        <v>19</v>
      </c>
      <c r="E25">
        <v>10</v>
      </c>
      <c r="F25">
        <v>80.88</v>
      </c>
      <c r="G25">
        <v>3</v>
      </c>
      <c r="H25">
        <v>6</v>
      </c>
      <c r="I25">
        <v>4</v>
      </c>
      <c r="J25">
        <v>8</v>
      </c>
      <c r="K25">
        <v>86.4</v>
      </c>
      <c r="L25">
        <v>86.01</v>
      </c>
      <c r="M25">
        <v>88.34</v>
      </c>
      <c r="N25" t="s">
        <v>14</v>
      </c>
    </row>
    <row r="26" spans="1:14" x14ac:dyDescent="0.2">
      <c r="A26" s="1">
        <v>25</v>
      </c>
      <c r="B26" t="s">
        <v>58</v>
      </c>
      <c r="C26">
        <f xml:space="preserve">  86.18</f>
        <v>86.18</v>
      </c>
      <c r="D26">
        <v>19</v>
      </c>
      <c r="E26">
        <v>7</v>
      </c>
      <c r="F26">
        <v>78.36</v>
      </c>
      <c r="G26">
        <v>0</v>
      </c>
      <c r="H26">
        <v>5</v>
      </c>
      <c r="I26">
        <v>2</v>
      </c>
      <c r="J26">
        <v>5</v>
      </c>
      <c r="K26">
        <v>86.08</v>
      </c>
      <c r="L26">
        <v>86.35</v>
      </c>
      <c r="M26">
        <v>84.31</v>
      </c>
      <c r="N26" t="s">
        <v>1</v>
      </c>
    </row>
    <row r="27" spans="1:14" x14ac:dyDescent="0.2">
      <c r="A27" s="1">
        <v>26</v>
      </c>
      <c r="B27" t="s">
        <v>16</v>
      </c>
      <c r="C27">
        <f xml:space="preserve">  85.9</f>
        <v>85.9</v>
      </c>
      <c r="D27">
        <v>18</v>
      </c>
      <c r="E27">
        <v>10</v>
      </c>
      <c r="F27">
        <v>82.43</v>
      </c>
      <c r="G27">
        <v>3</v>
      </c>
      <c r="H27">
        <v>4</v>
      </c>
      <c r="I27">
        <v>10</v>
      </c>
      <c r="J27">
        <v>7</v>
      </c>
      <c r="K27">
        <v>85.88</v>
      </c>
      <c r="L27">
        <v>86.05</v>
      </c>
      <c r="M27">
        <v>83.48</v>
      </c>
      <c r="N27" t="s">
        <v>17</v>
      </c>
    </row>
    <row r="28" spans="1:14" x14ac:dyDescent="0.2">
      <c r="A28" s="1">
        <v>27</v>
      </c>
      <c r="B28" t="s">
        <v>805</v>
      </c>
      <c r="C28">
        <f xml:space="preserve">  85.88</f>
        <v>85.88</v>
      </c>
      <c r="D28">
        <v>22</v>
      </c>
      <c r="E28">
        <v>5</v>
      </c>
      <c r="F28">
        <v>75.86</v>
      </c>
      <c r="G28">
        <v>1</v>
      </c>
      <c r="H28">
        <v>1</v>
      </c>
      <c r="I28">
        <v>2</v>
      </c>
      <c r="J28">
        <v>4</v>
      </c>
      <c r="K28">
        <v>85.46</v>
      </c>
      <c r="L28">
        <v>86.18</v>
      </c>
      <c r="M28">
        <v>86.06</v>
      </c>
      <c r="N28" t="s">
        <v>56</v>
      </c>
    </row>
    <row r="29" spans="1:14" x14ac:dyDescent="0.2">
      <c r="A29" s="1">
        <v>28</v>
      </c>
      <c r="B29" t="s">
        <v>36</v>
      </c>
      <c r="C29">
        <f xml:space="preserve">  85.79</f>
        <v>85.79</v>
      </c>
      <c r="D29">
        <v>18</v>
      </c>
      <c r="E29">
        <v>11</v>
      </c>
      <c r="F29">
        <v>81.790000000000006</v>
      </c>
      <c r="G29">
        <v>1</v>
      </c>
      <c r="H29">
        <v>6</v>
      </c>
      <c r="I29">
        <v>7</v>
      </c>
      <c r="J29">
        <v>9</v>
      </c>
      <c r="K29">
        <v>86</v>
      </c>
      <c r="L29">
        <v>85.95</v>
      </c>
      <c r="M29">
        <v>81.849999999999994</v>
      </c>
      <c r="N29" t="s">
        <v>10</v>
      </c>
    </row>
    <row r="30" spans="1:14" x14ac:dyDescent="0.2">
      <c r="A30" s="1">
        <v>29</v>
      </c>
      <c r="B30" t="s">
        <v>790</v>
      </c>
      <c r="C30">
        <f xml:space="preserve">  85.78</f>
        <v>85.78</v>
      </c>
      <c r="D30">
        <v>21</v>
      </c>
      <c r="E30">
        <v>9</v>
      </c>
      <c r="F30">
        <v>82.2</v>
      </c>
      <c r="G30">
        <v>8</v>
      </c>
      <c r="H30">
        <v>6</v>
      </c>
      <c r="I30">
        <v>10</v>
      </c>
      <c r="J30">
        <v>6</v>
      </c>
      <c r="K30">
        <v>84.85</v>
      </c>
      <c r="L30">
        <v>86.54</v>
      </c>
      <c r="M30">
        <v>88.12</v>
      </c>
      <c r="N30" t="s">
        <v>3</v>
      </c>
    </row>
    <row r="31" spans="1:14" x14ac:dyDescent="0.2">
      <c r="A31" s="1">
        <v>30</v>
      </c>
      <c r="B31" t="s">
        <v>37</v>
      </c>
      <c r="C31">
        <f xml:space="preserve">  85.41</f>
        <v>85.41</v>
      </c>
      <c r="D31">
        <v>15</v>
      </c>
      <c r="E31">
        <v>8</v>
      </c>
      <c r="F31">
        <v>80.59</v>
      </c>
      <c r="G31">
        <v>1</v>
      </c>
      <c r="H31">
        <v>4</v>
      </c>
      <c r="I31">
        <v>2</v>
      </c>
      <c r="J31">
        <v>6</v>
      </c>
      <c r="K31">
        <v>85.63</v>
      </c>
      <c r="L31">
        <v>85.13</v>
      </c>
      <c r="M31">
        <v>84.89</v>
      </c>
      <c r="N31" t="s">
        <v>12</v>
      </c>
    </row>
    <row r="32" spans="1:14" x14ac:dyDescent="0.2">
      <c r="A32" s="1">
        <v>31</v>
      </c>
      <c r="B32" t="s">
        <v>9</v>
      </c>
      <c r="C32">
        <f xml:space="preserve">  85.14</f>
        <v>85.14</v>
      </c>
      <c r="D32">
        <v>13</v>
      </c>
      <c r="E32">
        <v>11</v>
      </c>
      <c r="F32">
        <v>80.25</v>
      </c>
      <c r="G32">
        <v>1</v>
      </c>
      <c r="H32">
        <v>1</v>
      </c>
      <c r="I32">
        <v>5</v>
      </c>
      <c r="J32">
        <v>8</v>
      </c>
      <c r="K32">
        <v>85.06</v>
      </c>
      <c r="L32">
        <v>85.26</v>
      </c>
      <c r="M32">
        <v>83.65</v>
      </c>
      <c r="N32" t="s">
        <v>10</v>
      </c>
    </row>
    <row r="33" spans="1:14" x14ac:dyDescent="0.2">
      <c r="A33" s="1">
        <v>32</v>
      </c>
      <c r="B33" t="s">
        <v>40</v>
      </c>
      <c r="C33">
        <f xml:space="preserve">  84.93</f>
        <v>84.93</v>
      </c>
      <c r="D33">
        <v>20</v>
      </c>
      <c r="E33">
        <v>8</v>
      </c>
      <c r="F33">
        <v>76.91</v>
      </c>
      <c r="G33">
        <v>0</v>
      </c>
      <c r="H33">
        <v>2</v>
      </c>
      <c r="I33">
        <v>0</v>
      </c>
      <c r="J33">
        <v>2</v>
      </c>
      <c r="K33">
        <v>84.6</v>
      </c>
      <c r="L33">
        <v>84.85</v>
      </c>
      <c r="M33">
        <v>90.01</v>
      </c>
      <c r="N33" t="s">
        <v>5</v>
      </c>
    </row>
    <row r="34" spans="1:14" x14ac:dyDescent="0.2">
      <c r="A34" s="1">
        <v>33</v>
      </c>
      <c r="B34" t="s">
        <v>50</v>
      </c>
      <c r="C34">
        <f xml:space="preserve">  84.92</f>
        <v>84.92</v>
      </c>
      <c r="D34">
        <v>24</v>
      </c>
      <c r="E34">
        <v>5</v>
      </c>
      <c r="F34">
        <v>74.09</v>
      </c>
      <c r="G34">
        <v>1</v>
      </c>
      <c r="H34">
        <v>1</v>
      </c>
      <c r="I34">
        <v>2</v>
      </c>
      <c r="J34">
        <v>1</v>
      </c>
      <c r="K34">
        <v>84.35</v>
      </c>
      <c r="L34">
        <v>85.05</v>
      </c>
      <c r="M34">
        <v>92.03</v>
      </c>
      <c r="N34" t="s">
        <v>84</v>
      </c>
    </row>
    <row r="35" spans="1:14" x14ac:dyDescent="0.2">
      <c r="A35" s="1">
        <v>34</v>
      </c>
      <c r="B35" t="s">
        <v>71</v>
      </c>
      <c r="C35">
        <f xml:space="preserve">  84.83</f>
        <v>84.83</v>
      </c>
      <c r="D35">
        <v>16</v>
      </c>
      <c r="E35">
        <v>12</v>
      </c>
      <c r="F35">
        <v>83.62</v>
      </c>
      <c r="G35">
        <v>1</v>
      </c>
      <c r="H35">
        <v>8</v>
      </c>
      <c r="I35">
        <v>9</v>
      </c>
      <c r="J35">
        <v>11</v>
      </c>
      <c r="K35">
        <v>85.17</v>
      </c>
      <c r="L35">
        <v>84.67</v>
      </c>
      <c r="M35">
        <v>82.11</v>
      </c>
      <c r="N35" t="s">
        <v>17</v>
      </c>
    </row>
    <row r="36" spans="1:14" x14ac:dyDescent="0.2">
      <c r="A36" s="1">
        <v>35</v>
      </c>
      <c r="B36" t="s">
        <v>73</v>
      </c>
      <c r="C36">
        <f xml:space="preserve">  84.59</f>
        <v>84.59</v>
      </c>
      <c r="D36">
        <v>18</v>
      </c>
      <c r="E36">
        <v>10</v>
      </c>
      <c r="F36">
        <v>80.459999999999994</v>
      </c>
      <c r="G36">
        <v>1</v>
      </c>
      <c r="H36">
        <v>3</v>
      </c>
      <c r="I36">
        <v>5</v>
      </c>
      <c r="J36">
        <v>8</v>
      </c>
      <c r="K36">
        <v>84.42</v>
      </c>
      <c r="L36">
        <v>84.42</v>
      </c>
      <c r="M36">
        <v>88.04</v>
      </c>
      <c r="N36" t="s">
        <v>10</v>
      </c>
    </row>
    <row r="37" spans="1:14" x14ac:dyDescent="0.2">
      <c r="A37" s="1">
        <v>36</v>
      </c>
      <c r="B37" t="s">
        <v>45</v>
      </c>
      <c r="C37">
        <f xml:space="preserve">  84.54</f>
        <v>84.54</v>
      </c>
      <c r="D37">
        <v>16</v>
      </c>
      <c r="E37">
        <v>11</v>
      </c>
      <c r="F37">
        <v>81.48</v>
      </c>
      <c r="G37">
        <v>5</v>
      </c>
      <c r="H37">
        <v>7</v>
      </c>
      <c r="I37">
        <v>5</v>
      </c>
      <c r="J37">
        <v>9</v>
      </c>
      <c r="K37">
        <v>84.91</v>
      </c>
      <c r="L37">
        <v>84.35</v>
      </c>
      <c r="M37">
        <v>81.87</v>
      </c>
      <c r="N37" t="s">
        <v>3</v>
      </c>
    </row>
    <row r="38" spans="1:14" x14ac:dyDescent="0.2">
      <c r="A38" s="1">
        <v>37</v>
      </c>
      <c r="B38" t="s">
        <v>75</v>
      </c>
      <c r="C38">
        <f xml:space="preserve">  84.4</f>
        <v>84.4</v>
      </c>
      <c r="D38">
        <v>16</v>
      </c>
      <c r="E38">
        <v>14</v>
      </c>
      <c r="F38">
        <v>82.88</v>
      </c>
      <c r="G38">
        <v>2</v>
      </c>
      <c r="H38">
        <v>7</v>
      </c>
      <c r="I38">
        <v>7</v>
      </c>
      <c r="J38">
        <v>13</v>
      </c>
      <c r="K38">
        <v>84.44</v>
      </c>
      <c r="L38">
        <v>84.14</v>
      </c>
      <c r="M38">
        <v>85.96</v>
      </c>
      <c r="N38" t="s">
        <v>17</v>
      </c>
    </row>
    <row r="39" spans="1:14" x14ac:dyDescent="0.2">
      <c r="A39" s="1">
        <v>38</v>
      </c>
      <c r="B39" t="s">
        <v>6</v>
      </c>
      <c r="C39">
        <f xml:space="preserve">  84.16</f>
        <v>84.16</v>
      </c>
      <c r="D39">
        <v>17</v>
      </c>
      <c r="E39">
        <v>9</v>
      </c>
      <c r="F39">
        <v>78.849999999999994</v>
      </c>
      <c r="G39">
        <v>2</v>
      </c>
      <c r="H39">
        <v>6</v>
      </c>
      <c r="I39">
        <v>2</v>
      </c>
      <c r="J39">
        <v>6</v>
      </c>
      <c r="K39">
        <v>83.97</v>
      </c>
      <c r="L39">
        <v>84.36</v>
      </c>
      <c r="M39">
        <v>82.89</v>
      </c>
      <c r="N39" t="s">
        <v>7</v>
      </c>
    </row>
    <row r="40" spans="1:14" x14ac:dyDescent="0.2">
      <c r="A40" s="1">
        <v>39</v>
      </c>
      <c r="B40" t="s">
        <v>130</v>
      </c>
      <c r="C40">
        <f xml:space="preserve">  83.94</f>
        <v>83.94</v>
      </c>
      <c r="D40">
        <v>17</v>
      </c>
      <c r="E40">
        <v>9</v>
      </c>
      <c r="F40">
        <v>80.48</v>
      </c>
      <c r="G40">
        <v>2</v>
      </c>
      <c r="H40">
        <v>3</v>
      </c>
      <c r="I40">
        <v>8</v>
      </c>
      <c r="J40">
        <v>7</v>
      </c>
      <c r="K40">
        <v>83.57</v>
      </c>
      <c r="L40">
        <v>84.03</v>
      </c>
      <c r="M40">
        <v>86.16</v>
      </c>
      <c r="N40" t="s">
        <v>10</v>
      </c>
    </row>
    <row r="41" spans="1:14" x14ac:dyDescent="0.2">
      <c r="A41" s="1">
        <v>40</v>
      </c>
      <c r="B41" t="s">
        <v>78</v>
      </c>
      <c r="C41">
        <f xml:space="preserve">  83.92</f>
        <v>83.92</v>
      </c>
      <c r="D41">
        <v>16</v>
      </c>
      <c r="E41">
        <v>8</v>
      </c>
      <c r="F41">
        <v>81.64</v>
      </c>
      <c r="G41">
        <v>2</v>
      </c>
      <c r="H41">
        <v>2</v>
      </c>
      <c r="I41">
        <v>8</v>
      </c>
      <c r="J41">
        <v>7</v>
      </c>
      <c r="K41">
        <v>83.89</v>
      </c>
      <c r="L41">
        <v>84.31</v>
      </c>
      <c r="M41">
        <v>79.849999999999994</v>
      </c>
      <c r="N41" t="s">
        <v>10</v>
      </c>
    </row>
    <row r="42" spans="1:14" x14ac:dyDescent="0.2">
      <c r="A42" s="1">
        <v>41</v>
      </c>
      <c r="B42" t="s">
        <v>60</v>
      </c>
      <c r="C42">
        <f xml:space="preserve">  83.88</f>
        <v>83.88</v>
      </c>
      <c r="D42">
        <v>15</v>
      </c>
      <c r="E42">
        <v>10</v>
      </c>
      <c r="F42">
        <v>80.849999999999994</v>
      </c>
      <c r="G42">
        <v>3</v>
      </c>
      <c r="H42">
        <v>5</v>
      </c>
      <c r="I42">
        <v>5</v>
      </c>
      <c r="J42">
        <v>6</v>
      </c>
      <c r="K42">
        <v>83.92</v>
      </c>
      <c r="L42">
        <v>84.16</v>
      </c>
      <c r="M42">
        <v>80.13</v>
      </c>
      <c r="N42" t="s">
        <v>14</v>
      </c>
    </row>
    <row r="43" spans="1:14" x14ac:dyDescent="0.2">
      <c r="A43" s="1">
        <v>42</v>
      </c>
      <c r="B43" t="s">
        <v>104</v>
      </c>
      <c r="C43">
        <f xml:space="preserve">  83.57</f>
        <v>83.57</v>
      </c>
      <c r="D43">
        <v>13</v>
      </c>
      <c r="E43">
        <v>7</v>
      </c>
      <c r="F43">
        <v>80.709999999999994</v>
      </c>
      <c r="G43">
        <v>0</v>
      </c>
      <c r="H43">
        <v>3</v>
      </c>
      <c r="I43">
        <v>6</v>
      </c>
      <c r="J43">
        <v>6</v>
      </c>
      <c r="K43">
        <v>83.45</v>
      </c>
      <c r="L43">
        <v>84.12</v>
      </c>
      <c r="M43">
        <v>79</v>
      </c>
      <c r="N43" t="s">
        <v>10</v>
      </c>
    </row>
    <row r="44" spans="1:14" x14ac:dyDescent="0.2">
      <c r="A44" s="1">
        <v>43</v>
      </c>
      <c r="B44" t="s">
        <v>817</v>
      </c>
      <c r="C44">
        <f xml:space="preserve">  83.44</f>
        <v>83.44</v>
      </c>
      <c r="D44">
        <v>11</v>
      </c>
      <c r="E44">
        <v>14</v>
      </c>
      <c r="F44">
        <v>84.2</v>
      </c>
      <c r="G44">
        <v>1</v>
      </c>
      <c r="H44">
        <v>8</v>
      </c>
      <c r="I44">
        <v>5</v>
      </c>
      <c r="J44">
        <v>13</v>
      </c>
      <c r="K44">
        <v>83.73</v>
      </c>
      <c r="L44">
        <v>83.09</v>
      </c>
      <c r="M44">
        <v>82.94</v>
      </c>
      <c r="N44" t="s">
        <v>17</v>
      </c>
    </row>
    <row r="45" spans="1:14" x14ac:dyDescent="0.2">
      <c r="A45" s="1">
        <v>44</v>
      </c>
      <c r="B45" t="s">
        <v>794</v>
      </c>
      <c r="C45">
        <f xml:space="preserve">  83.29</f>
        <v>83.29</v>
      </c>
      <c r="D45">
        <v>15</v>
      </c>
      <c r="E45">
        <v>13</v>
      </c>
      <c r="F45">
        <v>83.12</v>
      </c>
      <c r="G45">
        <v>3</v>
      </c>
      <c r="H45">
        <v>6</v>
      </c>
      <c r="I45">
        <v>8</v>
      </c>
      <c r="J45">
        <v>11</v>
      </c>
      <c r="K45">
        <v>82.58</v>
      </c>
      <c r="L45">
        <v>84.06</v>
      </c>
      <c r="M45">
        <v>82.03</v>
      </c>
      <c r="N45" t="s">
        <v>17</v>
      </c>
    </row>
    <row r="46" spans="1:14" x14ac:dyDescent="0.2">
      <c r="A46" s="1">
        <v>45</v>
      </c>
      <c r="B46" t="s">
        <v>68</v>
      </c>
      <c r="C46">
        <f xml:space="preserve">  83.1</f>
        <v>83.1</v>
      </c>
      <c r="D46">
        <v>16</v>
      </c>
      <c r="E46">
        <v>5</v>
      </c>
      <c r="F46">
        <v>76.41</v>
      </c>
      <c r="G46">
        <v>0</v>
      </c>
      <c r="H46">
        <v>1</v>
      </c>
      <c r="I46">
        <v>0</v>
      </c>
      <c r="J46">
        <v>1</v>
      </c>
      <c r="K46">
        <v>83.13</v>
      </c>
      <c r="L46">
        <v>82.84</v>
      </c>
      <c r="M46">
        <v>84.51</v>
      </c>
      <c r="N46" t="s">
        <v>63</v>
      </c>
    </row>
    <row r="47" spans="1:14" x14ac:dyDescent="0.2">
      <c r="A47" s="1">
        <v>46</v>
      </c>
      <c r="B47" t="s">
        <v>46</v>
      </c>
      <c r="C47">
        <f xml:space="preserve">  82.9</f>
        <v>82.9</v>
      </c>
      <c r="D47">
        <v>12</v>
      </c>
      <c r="E47">
        <v>15</v>
      </c>
      <c r="F47">
        <v>83.82</v>
      </c>
      <c r="G47">
        <v>2</v>
      </c>
      <c r="H47">
        <v>7</v>
      </c>
      <c r="I47">
        <v>4</v>
      </c>
      <c r="J47">
        <v>14</v>
      </c>
      <c r="K47">
        <v>83.59</v>
      </c>
      <c r="L47">
        <v>82.87</v>
      </c>
      <c r="M47">
        <v>76.8</v>
      </c>
      <c r="N47" t="s">
        <v>17</v>
      </c>
    </row>
    <row r="48" spans="1:14" x14ac:dyDescent="0.2">
      <c r="A48" s="1">
        <v>47</v>
      </c>
      <c r="B48" t="s">
        <v>48</v>
      </c>
      <c r="C48">
        <f xml:space="preserve">  82.68</f>
        <v>82.68</v>
      </c>
      <c r="D48">
        <v>14</v>
      </c>
      <c r="E48">
        <v>13</v>
      </c>
      <c r="F48">
        <v>81.33</v>
      </c>
      <c r="G48">
        <v>0</v>
      </c>
      <c r="H48">
        <v>5</v>
      </c>
      <c r="I48">
        <v>2</v>
      </c>
      <c r="J48">
        <v>7</v>
      </c>
      <c r="K48">
        <v>82.82</v>
      </c>
      <c r="L48">
        <v>82.75</v>
      </c>
      <c r="M48">
        <v>79.66</v>
      </c>
      <c r="N48" t="s">
        <v>12</v>
      </c>
    </row>
    <row r="49" spans="1:14" x14ac:dyDescent="0.2">
      <c r="A49" s="1">
        <v>48</v>
      </c>
      <c r="B49" t="s">
        <v>15</v>
      </c>
      <c r="C49">
        <f xml:space="preserve">  82.67</f>
        <v>82.67</v>
      </c>
      <c r="D49">
        <v>9</v>
      </c>
      <c r="E49">
        <v>16</v>
      </c>
      <c r="F49">
        <v>82.54</v>
      </c>
      <c r="G49">
        <v>2</v>
      </c>
      <c r="H49">
        <v>5</v>
      </c>
      <c r="I49">
        <v>3</v>
      </c>
      <c r="J49">
        <v>9</v>
      </c>
      <c r="K49">
        <v>82.89</v>
      </c>
      <c r="L49">
        <v>82.49</v>
      </c>
      <c r="M49">
        <v>80.98</v>
      </c>
      <c r="N49" t="s">
        <v>14</v>
      </c>
    </row>
    <row r="50" spans="1:14" x14ac:dyDescent="0.2">
      <c r="A50" s="1">
        <v>49</v>
      </c>
      <c r="B50" t="s">
        <v>41</v>
      </c>
      <c r="C50">
        <f xml:space="preserve">  82.48</f>
        <v>82.48</v>
      </c>
      <c r="D50">
        <v>15</v>
      </c>
      <c r="E50">
        <v>7</v>
      </c>
      <c r="F50">
        <v>78.38</v>
      </c>
      <c r="G50">
        <v>2</v>
      </c>
      <c r="H50">
        <v>0</v>
      </c>
      <c r="I50">
        <v>4</v>
      </c>
      <c r="J50">
        <v>6</v>
      </c>
      <c r="K50">
        <v>82.68</v>
      </c>
      <c r="L50">
        <v>82.63</v>
      </c>
      <c r="M50">
        <v>78.28</v>
      </c>
      <c r="N50" t="s">
        <v>10</v>
      </c>
    </row>
    <row r="51" spans="1:14" x14ac:dyDescent="0.2">
      <c r="A51" s="1">
        <v>50</v>
      </c>
      <c r="B51" t="s">
        <v>796</v>
      </c>
      <c r="C51">
        <f xml:space="preserve">  82.37</f>
        <v>82.37</v>
      </c>
      <c r="D51">
        <v>19</v>
      </c>
      <c r="E51">
        <v>9</v>
      </c>
      <c r="F51">
        <v>74.86</v>
      </c>
      <c r="G51">
        <v>0</v>
      </c>
      <c r="H51">
        <v>2</v>
      </c>
      <c r="I51">
        <v>2</v>
      </c>
      <c r="J51">
        <v>3</v>
      </c>
      <c r="K51">
        <v>83.13</v>
      </c>
      <c r="L51">
        <v>81.59</v>
      </c>
      <c r="M51">
        <v>82.19</v>
      </c>
      <c r="N51" t="s">
        <v>56</v>
      </c>
    </row>
    <row r="52" spans="1:14" x14ac:dyDescent="0.2">
      <c r="A52" s="1">
        <v>51</v>
      </c>
      <c r="B52" t="s">
        <v>117</v>
      </c>
      <c r="C52">
        <f xml:space="preserve">  82.31</f>
        <v>82.31</v>
      </c>
      <c r="D52">
        <v>16</v>
      </c>
      <c r="E52">
        <v>10</v>
      </c>
      <c r="F52">
        <v>81.900000000000006</v>
      </c>
      <c r="G52">
        <v>5</v>
      </c>
      <c r="H52">
        <v>4</v>
      </c>
      <c r="I52">
        <v>7</v>
      </c>
      <c r="J52">
        <v>5</v>
      </c>
      <c r="K52">
        <v>82.26</v>
      </c>
      <c r="L52">
        <v>82.69</v>
      </c>
      <c r="M52">
        <v>78.27</v>
      </c>
      <c r="N52" t="s">
        <v>14</v>
      </c>
    </row>
    <row r="53" spans="1:14" x14ac:dyDescent="0.2">
      <c r="A53" s="1">
        <v>52</v>
      </c>
      <c r="B53" t="s">
        <v>61</v>
      </c>
      <c r="C53">
        <f xml:space="preserve">  82.01</f>
        <v>82.01</v>
      </c>
      <c r="D53">
        <v>11</v>
      </c>
      <c r="E53">
        <v>6</v>
      </c>
      <c r="F53">
        <v>76.88</v>
      </c>
      <c r="G53">
        <v>0</v>
      </c>
      <c r="H53">
        <v>2</v>
      </c>
      <c r="I53">
        <v>1</v>
      </c>
      <c r="J53">
        <v>3</v>
      </c>
      <c r="K53">
        <v>82.16</v>
      </c>
      <c r="L53">
        <v>81.96</v>
      </c>
      <c r="M53">
        <v>79.87</v>
      </c>
      <c r="N53" t="s">
        <v>5</v>
      </c>
    </row>
    <row r="54" spans="1:14" x14ac:dyDescent="0.2">
      <c r="A54" s="1">
        <v>53</v>
      </c>
      <c r="B54" t="s">
        <v>870</v>
      </c>
      <c r="C54">
        <f xml:space="preserve">  81.95</f>
        <v>81.95</v>
      </c>
      <c r="D54">
        <v>14</v>
      </c>
      <c r="E54">
        <v>11</v>
      </c>
      <c r="F54">
        <v>78.98</v>
      </c>
      <c r="G54">
        <v>1</v>
      </c>
      <c r="H54">
        <v>2</v>
      </c>
      <c r="I54">
        <v>2</v>
      </c>
      <c r="J54">
        <v>8</v>
      </c>
      <c r="K54">
        <v>82.45</v>
      </c>
      <c r="L54">
        <v>81.41</v>
      </c>
      <c r="M54">
        <v>81.599999999999994</v>
      </c>
      <c r="N54" t="s">
        <v>10</v>
      </c>
    </row>
    <row r="55" spans="1:14" x14ac:dyDescent="0.2">
      <c r="A55" s="1">
        <v>54</v>
      </c>
      <c r="B55" t="s">
        <v>797</v>
      </c>
      <c r="C55">
        <f xml:space="preserve">  81.71</f>
        <v>81.709999999999994</v>
      </c>
      <c r="D55">
        <v>18</v>
      </c>
      <c r="E55">
        <v>9</v>
      </c>
      <c r="F55">
        <v>75.08</v>
      </c>
      <c r="G55">
        <v>1</v>
      </c>
      <c r="H55">
        <v>1</v>
      </c>
      <c r="I55">
        <v>3</v>
      </c>
      <c r="J55">
        <v>4</v>
      </c>
      <c r="K55">
        <v>82.05</v>
      </c>
      <c r="L55">
        <v>81.64</v>
      </c>
      <c r="M55">
        <v>78.099999999999994</v>
      </c>
      <c r="N55" t="s">
        <v>56</v>
      </c>
    </row>
    <row r="56" spans="1:14" x14ac:dyDescent="0.2">
      <c r="A56" s="1">
        <v>55</v>
      </c>
      <c r="B56" t="s">
        <v>51</v>
      </c>
      <c r="C56">
        <f xml:space="preserve">  81.7</f>
        <v>81.7</v>
      </c>
      <c r="D56">
        <v>13</v>
      </c>
      <c r="E56">
        <v>8</v>
      </c>
      <c r="F56">
        <v>78.790000000000006</v>
      </c>
      <c r="G56">
        <v>1</v>
      </c>
      <c r="H56">
        <v>1</v>
      </c>
      <c r="I56">
        <v>2</v>
      </c>
      <c r="J56">
        <v>3</v>
      </c>
      <c r="K56">
        <v>81.62</v>
      </c>
      <c r="L56">
        <v>82.05</v>
      </c>
      <c r="M56">
        <v>77.989999999999995</v>
      </c>
      <c r="N56" t="s">
        <v>12</v>
      </c>
    </row>
    <row r="57" spans="1:14" x14ac:dyDescent="0.2">
      <c r="A57" s="1">
        <v>56</v>
      </c>
      <c r="B57" t="s">
        <v>100</v>
      </c>
      <c r="C57">
        <f xml:space="preserve">  81.64</f>
        <v>81.64</v>
      </c>
      <c r="D57">
        <v>16</v>
      </c>
      <c r="E57">
        <v>12</v>
      </c>
      <c r="F57">
        <v>78.41</v>
      </c>
      <c r="G57">
        <v>1</v>
      </c>
      <c r="H57">
        <v>4</v>
      </c>
      <c r="I57">
        <v>2</v>
      </c>
      <c r="J57">
        <v>5</v>
      </c>
      <c r="K57">
        <v>81.96</v>
      </c>
      <c r="L57">
        <v>81.349999999999994</v>
      </c>
      <c r="M57">
        <v>80.19</v>
      </c>
      <c r="N57" t="s">
        <v>14</v>
      </c>
    </row>
    <row r="58" spans="1:14" x14ac:dyDescent="0.2">
      <c r="A58" s="1">
        <v>57</v>
      </c>
      <c r="B58" t="s">
        <v>812</v>
      </c>
      <c r="C58">
        <f xml:space="preserve">  81.56</f>
        <v>81.56</v>
      </c>
      <c r="D58">
        <v>19</v>
      </c>
      <c r="E58">
        <v>13</v>
      </c>
      <c r="F58">
        <v>81.290000000000006</v>
      </c>
      <c r="G58">
        <v>6</v>
      </c>
      <c r="H58">
        <v>6</v>
      </c>
      <c r="I58">
        <v>8</v>
      </c>
      <c r="J58">
        <v>8</v>
      </c>
      <c r="K58">
        <v>80.88</v>
      </c>
      <c r="L58">
        <v>81.709999999999994</v>
      </c>
      <c r="M58">
        <v>92.23</v>
      </c>
      <c r="N58" t="s">
        <v>7</v>
      </c>
    </row>
    <row r="59" spans="1:14" x14ac:dyDescent="0.2">
      <c r="A59" s="1">
        <v>58</v>
      </c>
      <c r="B59" t="s">
        <v>33</v>
      </c>
      <c r="C59">
        <f xml:space="preserve">  81.46</f>
        <v>81.459999999999994</v>
      </c>
      <c r="D59">
        <v>13</v>
      </c>
      <c r="E59">
        <v>14</v>
      </c>
      <c r="F59">
        <v>80.81</v>
      </c>
      <c r="G59">
        <v>1</v>
      </c>
      <c r="H59">
        <v>7</v>
      </c>
      <c r="I59">
        <v>3</v>
      </c>
      <c r="J59">
        <v>9</v>
      </c>
      <c r="K59">
        <v>81.52</v>
      </c>
      <c r="L59">
        <v>81.430000000000007</v>
      </c>
      <c r="M59">
        <v>79.900000000000006</v>
      </c>
      <c r="N59" t="s">
        <v>14</v>
      </c>
    </row>
    <row r="60" spans="1:14" x14ac:dyDescent="0.2">
      <c r="A60" s="1">
        <v>59</v>
      </c>
      <c r="B60" t="s">
        <v>876</v>
      </c>
      <c r="C60">
        <v>81.42</v>
      </c>
      <c r="D60">
        <v>19</v>
      </c>
      <c r="E60">
        <v>7</v>
      </c>
      <c r="F60">
        <v>76.31</v>
      </c>
      <c r="G60">
        <v>0</v>
      </c>
      <c r="H60">
        <v>1</v>
      </c>
      <c r="I60">
        <v>3</v>
      </c>
      <c r="J60">
        <v>4</v>
      </c>
      <c r="K60">
        <v>81.33</v>
      </c>
      <c r="L60">
        <v>81.34</v>
      </c>
      <c r="M60">
        <v>81.99</v>
      </c>
      <c r="N60" t="s">
        <v>63</v>
      </c>
    </row>
    <row r="61" spans="1:14" x14ac:dyDescent="0.2">
      <c r="A61" s="1">
        <v>60</v>
      </c>
      <c r="B61" t="s">
        <v>74</v>
      </c>
      <c r="C61">
        <f xml:space="preserve">  81.39</f>
        <v>81.39</v>
      </c>
      <c r="D61">
        <v>14</v>
      </c>
      <c r="E61">
        <v>7</v>
      </c>
      <c r="F61">
        <v>74.36</v>
      </c>
      <c r="G61">
        <v>1</v>
      </c>
      <c r="H61">
        <v>0</v>
      </c>
      <c r="I61">
        <v>2</v>
      </c>
      <c r="J61">
        <v>1</v>
      </c>
      <c r="K61">
        <v>82.36</v>
      </c>
      <c r="L61">
        <v>80.77</v>
      </c>
      <c r="M61">
        <v>77.709999999999994</v>
      </c>
      <c r="N61" t="s">
        <v>63</v>
      </c>
    </row>
    <row r="62" spans="1:14" x14ac:dyDescent="0.2">
      <c r="A62" s="1">
        <v>61</v>
      </c>
      <c r="B62" t="s">
        <v>55</v>
      </c>
      <c r="C62">
        <f xml:space="preserve">  81.23</f>
        <v>81.23</v>
      </c>
      <c r="D62">
        <v>16</v>
      </c>
      <c r="E62">
        <v>11</v>
      </c>
      <c r="F62">
        <v>79.150000000000006</v>
      </c>
      <c r="G62">
        <v>1</v>
      </c>
      <c r="H62">
        <v>4</v>
      </c>
      <c r="I62">
        <v>3</v>
      </c>
      <c r="J62">
        <v>6</v>
      </c>
      <c r="K62">
        <v>80.89</v>
      </c>
      <c r="L62">
        <v>81.53</v>
      </c>
      <c r="M62">
        <v>80.349999999999994</v>
      </c>
      <c r="N62" t="s">
        <v>12</v>
      </c>
    </row>
    <row r="63" spans="1:14" x14ac:dyDescent="0.2">
      <c r="A63" s="1">
        <v>62</v>
      </c>
      <c r="B63" t="s">
        <v>103</v>
      </c>
      <c r="C63">
        <f xml:space="preserve">  81.15</f>
        <v>81.150000000000006</v>
      </c>
      <c r="D63">
        <v>14</v>
      </c>
      <c r="E63">
        <v>15</v>
      </c>
      <c r="F63">
        <v>82.48</v>
      </c>
      <c r="G63">
        <v>3</v>
      </c>
      <c r="H63">
        <v>6</v>
      </c>
      <c r="I63">
        <v>5</v>
      </c>
      <c r="J63">
        <v>13</v>
      </c>
      <c r="K63">
        <v>80.959999999999994</v>
      </c>
      <c r="L63">
        <v>81.98</v>
      </c>
      <c r="M63">
        <v>74.94</v>
      </c>
      <c r="N63" t="s">
        <v>17</v>
      </c>
    </row>
    <row r="64" spans="1:14" x14ac:dyDescent="0.2">
      <c r="A64" s="1">
        <v>63</v>
      </c>
      <c r="B64" t="s">
        <v>44</v>
      </c>
      <c r="C64">
        <f xml:space="preserve">  81.06</f>
        <v>81.06</v>
      </c>
      <c r="D64">
        <v>13</v>
      </c>
      <c r="E64">
        <v>13</v>
      </c>
      <c r="F64">
        <v>80.87</v>
      </c>
      <c r="G64">
        <v>2</v>
      </c>
      <c r="H64">
        <v>3</v>
      </c>
      <c r="I64">
        <v>4</v>
      </c>
      <c r="J64">
        <v>6</v>
      </c>
      <c r="K64">
        <v>81.290000000000006</v>
      </c>
      <c r="L64">
        <v>81.13</v>
      </c>
      <c r="M64">
        <v>77.099999999999994</v>
      </c>
      <c r="N64" t="s">
        <v>12</v>
      </c>
    </row>
    <row r="65" spans="1:14" x14ac:dyDescent="0.2">
      <c r="A65" s="1">
        <v>64</v>
      </c>
      <c r="B65" t="s">
        <v>801</v>
      </c>
      <c r="C65">
        <f xml:space="preserve">  80.99</f>
        <v>80.989999999999995</v>
      </c>
      <c r="D65">
        <v>14</v>
      </c>
      <c r="E65">
        <v>6</v>
      </c>
      <c r="F65">
        <v>77.959999999999994</v>
      </c>
      <c r="G65">
        <v>1</v>
      </c>
      <c r="H65">
        <v>1</v>
      </c>
      <c r="I65">
        <v>1</v>
      </c>
      <c r="J65">
        <v>3</v>
      </c>
      <c r="K65">
        <v>80.14</v>
      </c>
      <c r="L65">
        <v>81.72</v>
      </c>
      <c r="M65">
        <v>81.819999999999993</v>
      </c>
      <c r="N65" t="s">
        <v>5</v>
      </c>
    </row>
    <row r="66" spans="1:14" x14ac:dyDescent="0.2">
      <c r="A66" s="1">
        <v>65</v>
      </c>
      <c r="B66" t="s">
        <v>80</v>
      </c>
      <c r="C66">
        <f xml:space="preserve">  80.84</f>
        <v>80.84</v>
      </c>
      <c r="D66">
        <v>13</v>
      </c>
      <c r="E66">
        <v>9</v>
      </c>
      <c r="F66">
        <v>76.569999999999993</v>
      </c>
      <c r="G66">
        <v>0</v>
      </c>
      <c r="H66">
        <v>1</v>
      </c>
      <c r="I66">
        <v>2</v>
      </c>
      <c r="J66">
        <v>2</v>
      </c>
      <c r="K66">
        <v>81.040000000000006</v>
      </c>
      <c r="L66">
        <v>81.010000000000005</v>
      </c>
      <c r="M66">
        <v>76.3</v>
      </c>
      <c r="N66" t="s">
        <v>63</v>
      </c>
    </row>
    <row r="67" spans="1:14" x14ac:dyDescent="0.2">
      <c r="A67" s="1">
        <v>66</v>
      </c>
      <c r="B67" t="s">
        <v>875</v>
      </c>
      <c r="C67">
        <f xml:space="preserve">  80.8</f>
        <v>80.8</v>
      </c>
      <c r="D67">
        <v>14</v>
      </c>
      <c r="E67">
        <v>10</v>
      </c>
      <c r="F67">
        <v>77.430000000000007</v>
      </c>
      <c r="G67">
        <v>0</v>
      </c>
      <c r="H67">
        <v>5</v>
      </c>
      <c r="I67">
        <v>0</v>
      </c>
      <c r="J67">
        <v>7</v>
      </c>
      <c r="K67">
        <v>80.48</v>
      </c>
      <c r="L67">
        <v>81.040000000000006</v>
      </c>
      <c r="M67">
        <v>80.5</v>
      </c>
      <c r="N67" t="s">
        <v>1</v>
      </c>
    </row>
    <row r="68" spans="1:14" x14ac:dyDescent="0.2">
      <c r="A68" s="1">
        <v>67</v>
      </c>
      <c r="B68" t="s">
        <v>98</v>
      </c>
      <c r="C68">
        <f xml:space="preserve">  80.75</f>
        <v>80.75</v>
      </c>
      <c r="D68">
        <v>14</v>
      </c>
      <c r="E68">
        <v>13</v>
      </c>
      <c r="F68">
        <v>80.849999999999994</v>
      </c>
      <c r="G68">
        <v>2</v>
      </c>
      <c r="H68">
        <v>6</v>
      </c>
      <c r="I68">
        <v>4</v>
      </c>
      <c r="J68">
        <v>8</v>
      </c>
      <c r="K68">
        <v>81.33</v>
      </c>
      <c r="L68">
        <v>81.3</v>
      </c>
      <c r="M68">
        <v>70.8</v>
      </c>
      <c r="N68" t="s">
        <v>7</v>
      </c>
    </row>
    <row r="69" spans="1:14" x14ac:dyDescent="0.2">
      <c r="A69" s="1">
        <v>68</v>
      </c>
      <c r="B69" t="s">
        <v>65</v>
      </c>
      <c r="C69">
        <f xml:space="preserve">  80.73</f>
        <v>80.73</v>
      </c>
      <c r="D69">
        <v>13</v>
      </c>
      <c r="E69">
        <v>14</v>
      </c>
      <c r="F69">
        <v>81.27</v>
      </c>
      <c r="G69">
        <v>2</v>
      </c>
      <c r="H69">
        <v>4</v>
      </c>
      <c r="I69">
        <v>3</v>
      </c>
      <c r="J69">
        <v>9</v>
      </c>
      <c r="K69">
        <v>80.58</v>
      </c>
      <c r="L69">
        <v>80.849999999999994</v>
      </c>
      <c r="M69">
        <v>79.63</v>
      </c>
      <c r="N69" t="s">
        <v>12</v>
      </c>
    </row>
    <row r="70" spans="1:14" x14ac:dyDescent="0.2">
      <c r="A70" s="1">
        <v>69</v>
      </c>
      <c r="B70" t="s">
        <v>791</v>
      </c>
      <c r="C70">
        <f xml:space="preserve">  80.68</f>
        <v>80.680000000000007</v>
      </c>
      <c r="D70">
        <v>18</v>
      </c>
      <c r="E70">
        <v>15</v>
      </c>
      <c r="F70">
        <v>79.209999999999994</v>
      </c>
      <c r="G70">
        <v>0</v>
      </c>
      <c r="H70">
        <v>6</v>
      </c>
      <c r="I70">
        <v>2</v>
      </c>
      <c r="J70">
        <v>9</v>
      </c>
      <c r="K70">
        <v>80.760000000000005</v>
      </c>
      <c r="L70">
        <v>80.3</v>
      </c>
      <c r="M70">
        <v>83.35</v>
      </c>
      <c r="N70" t="s">
        <v>14</v>
      </c>
    </row>
    <row r="71" spans="1:14" x14ac:dyDescent="0.2">
      <c r="A71" s="1">
        <v>70</v>
      </c>
      <c r="B71" t="s">
        <v>113</v>
      </c>
      <c r="C71">
        <f xml:space="preserve">  80.45</f>
        <v>80.45</v>
      </c>
      <c r="D71">
        <v>12</v>
      </c>
      <c r="E71">
        <v>13</v>
      </c>
      <c r="F71">
        <v>80.38</v>
      </c>
      <c r="G71">
        <v>2</v>
      </c>
      <c r="H71">
        <v>8</v>
      </c>
      <c r="I71">
        <v>3</v>
      </c>
      <c r="J71">
        <v>8</v>
      </c>
      <c r="K71">
        <v>80.56</v>
      </c>
      <c r="L71">
        <v>80.22</v>
      </c>
      <c r="M71">
        <v>80.430000000000007</v>
      </c>
      <c r="N71" t="s">
        <v>7</v>
      </c>
    </row>
    <row r="72" spans="1:14" x14ac:dyDescent="0.2">
      <c r="A72" s="1">
        <v>71</v>
      </c>
      <c r="B72" t="s">
        <v>147</v>
      </c>
      <c r="C72">
        <f xml:space="preserve">  80.4</f>
        <v>80.400000000000006</v>
      </c>
      <c r="D72">
        <v>13</v>
      </c>
      <c r="E72">
        <v>13</v>
      </c>
      <c r="F72">
        <v>81.88</v>
      </c>
      <c r="G72">
        <v>3</v>
      </c>
      <c r="H72">
        <v>5</v>
      </c>
      <c r="I72">
        <v>5</v>
      </c>
      <c r="J72">
        <v>9</v>
      </c>
      <c r="K72">
        <v>80.03</v>
      </c>
      <c r="L72">
        <v>80.31</v>
      </c>
      <c r="M72">
        <v>86.13</v>
      </c>
      <c r="N72" t="s">
        <v>12</v>
      </c>
    </row>
    <row r="73" spans="1:14" x14ac:dyDescent="0.2">
      <c r="A73" s="1">
        <v>72</v>
      </c>
      <c r="B73" t="s">
        <v>91</v>
      </c>
      <c r="C73">
        <f xml:space="preserve">  79.89</f>
        <v>79.89</v>
      </c>
      <c r="D73">
        <v>24</v>
      </c>
      <c r="E73">
        <v>5</v>
      </c>
      <c r="F73">
        <v>72.44</v>
      </c>
      <c r="G73">
        <v>0</v>
      </c>
      <c r="H73">
        <v>1</v>
      </c>
      <c r="I73">
        <v>1</v>
      </c>
      <c r="J73">
        <v>3</v>
      </c>
      <c r="K73">
        <v>80.09</v>
      </c>
      <c r="L73">
        <v>79.78</v>
      </c>
      <c r="M73">
        <v>77.72</v>
      </c>
      <c r="N73" t="s">
        <v>84</v>
      </c>
    </row>
    <row r="74" spans="1:14" x14ac:dyDescent="0.2">
      <c r="A74" s="1">
        <v>73</v>
      </c>
      <c r="B74" t="s">
        <v>810</v>
      </c>
      <c r="C74">
        <f xml:space="preserve">  79.71</f>
        <v>79.709999999999994</v>
      </c>
      <c r="D74">
        <v>19</v>
      </c>
      <c r="E74">
        <v>8</v>
      </c>
      <c r="F74">
        <v>74.7</v>
      </c>
      <c r="G74">
        <v>0</v>
      </c>
      <c r="H74">
        <v>0</v>
      </c>
      <c r="I74">
        <v>2</v>
      </c>
      <c r="J74">
        <v>4</v>
      </c>
      <c r="K74">
        <v>79.53</v>
      </c>
      <c r="L74">
        <v>79.73</v>
      </c>
      <c r="M74">
        <v>80.19</v>
      </c>
      <c r="N74" t="s">
        <v>56</v>
      </c>
    </row>
    <row r="75" spans="1:14" x14ac:dyDescent="0.2">
      <c r="A75" s="1">
        <v>74</v>
      </c>
      <c r="B75" t="s">
        <v>79</v>
      </c>
      <c r="C75">
        <f xml:space="preserve">  79.53</f>
        <v>79.53</v>
      </c>
      <c r="D75">
        <v>8</v>
      </c>
      <c r="E75">
        <v>15</v>
      </c>
      <c r="F75">
        <v>84.26</v>
      </c>
      <c r="G75">
        <v>1</v>
      </c>
      <c r="H75">
        <v>8</v>
      </c>
      <c r="I75">
        <v>4</v>
      </c>
      <c r="J75">
        <v>13</v>
      </c>
      <c r="K75">
        <v>79.87</v>
      </c>
      <c r="L75">
        <v>79.19</v>
      </c>
      <c r="M75">
        <v>78.44</v>
      </c>
      <c r="N75" t="s">
        <v>17</v>
      </c>
    </row>
    <row r="76" spans="1:14" x14ac:dyDescent="0.2">
      <c r="A76" s="1">
        <v>75</v>
      </c>
      <c r="B76" t="s">
        <v>62</v>
      </c>
      <c r="C76">
        <f xml:space="preserve">  79.39</f>
        <v>79.39</v>
      </c>
      <c r="D76">
        <v>14</v>
      </c>
      <c r="E76">
        <v>10</v>
      </c>
      <c r="F76">
        <v>76.17</v>
      </c>
      <c r="G76">
        <v>0</v>
      </c>
      <c r="H76">
        <v>0</v>
      </c>
      <c r="I76">
        <v>1</v>
      </c>
      <c r="J76">
        <v>1</v>
      </c>
      <c r="K76">
        <v>79.06</v>
      </c>
      <c r="L76">
        <v>79.83</v>
      </c>
      <c r="M76">
        <v>77.02</v>
      </c>
      <c r="N76" t="s">
        <v>63</v>
      </c>
    </row>
    <row r="77" spans="1:14" x14ac:dyDescent="0.2">
      <c r="A77" s="1">
        <v>76</v>
      </c>
      <c r="B77" t="s">
        <v>811</v>
      </c>
      <c r="C77">
        <f xml:space="preserve">  79.18</f>
        <v>79.180000000000007</v>
      </c>
      <c r="D77">
        <v>11</v>
      </c>
      <c r="E77">
        <v>14</v>
      </c>
      <c r="F77">
        <v>80.510000000000005</v>
      </c>
      <c r="G77">
        <v>0</v>
      </c>
      <c r="H77">
        <v>8</v>
      </c>
      <c r="I77">
        <v>0</v>
      </c>
      <c r="J77">
        <v>11</v>
      </c>
      <c r="K77">
        <v>79.34</v>
      </c>
      <c r="L77">
        <v>79.09</v>
      </c>
      <c r="M77">
        <v>77.03</v>
      </c>
      <c r="N77" t="s">
        <v>7</v>
      </c>
    </row>
    <row r="78" spans="1:14" x14ac:dyDescent="0.2">
      <c r="A78" s="1">
        <v>77</v>
      </c>
      <c r="B78" t="s">
        <v>54</v>
      </c>
      <c r="C78">
        <f xml:space="preserve">  79.14</f>
        <v>79.14</v>
      </c>
      <c r="D78">
        <v>11</v>
      </c>
      <c r="E78">
        <v>15</v>
      </c>
      <c r="F78">
        <v>81.52</v>
      </c>
      <c r="G78">
        <v>1</v>
      </c>
      <c r="H78">
        <v>3</v>
      </c>
      <c r="I78">
        <v>3</v>
      </c>
      <c r="J78">
        <v>13</v>
      </c>
      <c r="K78">
        <v>79.16</v>
      </c>
      <c r="L78">
        <v>79.13</v>
      </c>
      <c r="M78">
        <v>77.680000000000007</v>
      </c>
      <c r="N78" t="s">
        <v>10</v>
      </c>
    </row>
    <row r="79" spans="1:14" x14ac:dyDescent="0.2">
      <c r="A79" s="1">
        <v>78</v>
      </c>
      <c r="B79" t="s">
        <v>64</v>
      </c>
      <c r="C79">
        <f xml:space="preserve">  79.04</f>
        <v>79.040000000000006</v>
      </c>
      <c r="D79">
        <v>12</v>
      </c>
      <c r="E79">
        <v>9</v>
      </c>
      <c r="F79">
        <v>75.5</v>
      </c>
      <c r="G79">
        <v>0</v>
      </c>
      <c r="H79">
        <v>1</v>
      </c>
      <c r="I79">
        <v>0</v>
      </c>
      <c r="J79">
        <v>3</v>
      </c>
      <c r="K79">
        <v>79.680000000000007</v>
      </c>
      <c r="L79">
        <v>78.36</v>
      </c>
      <c r="M79">
        <v>78.489999999999995</v>
      </c>
      <c r="N79" t="s">
        <v>63</v>
      </c>
    </row>
    <row r="80" spans="1:14" x14ac:dyDescent="0.2">
      <c r="A80" s="1">
        <v>79</v>
      </c>
      <c r="B80" t="s">
        <v>83</v>
      </c>
      <c r="C80">
        <f xml:space="preserve">  78.93</f>
        <v>78.930000000000007</v>
      </c>
      <c r="D80">
        <v>17</v>
      </c>
      <c r="E80">
        <v>10</v>
      </c>
      <c r="F80">
        <v>74.45</v>
      </c>
      <c r="G80">
        <v>0</v>
      </c>
      <c r="H80">
        <v>3</v>
      </c>
      <c r="I80">
        <v>1</v>
      </c>
      <c r="J80">
        <v>4</v>
      </c>
      <c r="K80">
        <v>79</v>
      </c>
      <c r="L80">
        <v>78.55</v>
      </c>
      <c r="M80">
        <v>81.53</v>
      </c>
      <c r="N80" t="s">
        <v>67</v>
      </c>
    </row>
    <row r="81" spans="1:14" x14ac:dyDescent="0.2">
      <c r="A81" s="1">
        <v>80</v>
      </c>
      <c r="B81" t="s">
        <v>93</v>
      </c>
      <c r="C81">
        <f xml:space="preserve">  78.44</f>
        <v>78.44</v>
      </c>
      <c r="D81">
        <v>21</v>
      </c>
      <c r="E81">
        <v>9</v>
      </c>
      <c r="F81">
        <v>71.61</v>
      </c>
      <c r="G81">
        <v>0</v>
      </c>
      <c r="H81">
        <v>1</v>
      </c>
      <c r="I81">
        <v>0</v>
      </c>
      <c r="J81">
        <v>1</v>
      </c>
      <c r="K81">
        <v>78.849999999999994</v>
      </c>
      <c r="L81">
        <v>78.39</v>
      </c>
      <c r="M81">
        <v>73.680000000000007</v>
      </c>
      <c r="N81" t="s">
        <v>94</v>
      </c>
    </row>
    <row r="82" spans="1:14" x14ac:dyDescent="0.2">
      <c r="A82" s="1">
        <v>81</v>
      </c>
      <c r="B82" t="s">
        <v>143</v>
      </c>
      <c r="C82">
        <f xml:space="preserve">  78.39</f>
        <v>78.39</v>
      </c>
      <c r="D82">
        <v>20</v>
      </c>
      <c r="E82">
        <v>5</v>
      </c>
      <c r="F82">
        <v>69.44</v>
      </c>
      <c r="G82">
        <v>0</v>
      </c>
      <c r="H82">
        <v>1</v>
      </c>
      <c r="I82">
        <v>0</v>
      </c>
      <c r="J82">
        <v>1</v>
      </c>
      <c r="K82">
        <v>78.13</v>
      </c>
      <c r="L82">
        <v>78.31</v>
      </c>
      <c r="M82">
        <v>81.41</v>
      </c>
      <c r="N82" t="s">
        <v>135</v>
      </c>
    </row>
    <row r="83" spans="1:14" x14ac:dyDescent="0.2">
      <c r="A83" s="1">
        <v>82</v>
      </c>
      <c r="B83" t="s">
        <v>153</v>
      </c>
      <c r="C83">
        <f xml:space="preserve">  78.39</f>
        <v>78.39</v>
      </c>
      <c r="D83">
        <v>10</v>
      </c>
      <c r="E83">
        <v>12</v>
      </c>
      <c r="F83">
        <v>79.2</v>
      </c>
      <c r="G83">
        <v>0</v>
      </c>
      <c r="H83">
        <v>2</v>
      </c>
      <c r="I83">
        <v>4</v>
      </c>
      <c r="J83">
        <v>6</v>
      </c>
      <c r="K83">
        <v>79.349999999999994</v>
      </c>
      <c r="L83">
        <v>77.89</v>
      </c>
      <c r="M83">
        <v>73.12</v>
      </c>
      <c r="N83" t="s">
        <v>10</v>
      </c>
    </row>
    <row r="84" spans="1:14" x14ac:dyDescent="0.2">
      <c r="A84" s="1">
        <v>83</v>
      </c>
      <c r="B84" t="s">
        <v>144</v>
      </c>
      <c r="C84">
        <f xml:space="preserve">  78.38</f>
        <v>78.38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78.39</v>
      </c>
      <c r="L84">
        <v>78.33</v>
      </c>
      <c r="M84">
        <v>77.45</v>
      </c>
      <c r="N84" t="s">
        <v>125</v>
      </c>
    </row>
    <row r="85" spans="1:14" x14ac:dyDescent="0.2">
      <c r="A85" s="1">
        <v>84</v>
      </c>
      <c r="B85" t="s">
        <v>101</v>
      </c>
      <c r="C85">
        <f xml:space="preserve">  78.38</f>
        <v>78.38</v>
      </c>
      <c r="D85">
        <v>23</v>
      </c>
      <c r="E85">
        <v>8</v>
      </c>
      <c r="F85">
        <v>72.260000000000005</v>
      </c>
      <c r="G85">
        <v>0</v>
      </c>
      <c r="H85">
        <v>1</v>
      </c>
      <c r="I85">
        <v>0</v>
      </c>
      <c r="J85">
        <v>1</v>
      </c>
      <c r="K85">
        <v>77.89</v>
      </c>
      <c r="L85">
        <v>78.540000000000006</v>
      </c>
      <c r="M85">
        <v>81.180000000000007</v>
      </c>
      <c r="N85" t="s">
        <v>67</v>
      </c>
    </row>
    <row r="86" spans="1:14" x14ac:dyDescent="0.2">
      <c r="A86" s="1">
        <v>85</v>
      </c>
      <c r="B86" t="s">
        <v>116</v>
      </c>
      <c r="C86">
        <f xml:space="preserve">  78.31</f>
        <v>78.31</v>
      </c>
      <c r="D86">
        <v>15</v>
      </c>
      <c r="E86">
        <v>9</v>
      </c>
      <c r="F86">
        <v>71.709999999999994</v>
      </c>
      <c r="G86">
        <v>0</v>
      </c>
      <c r="H86">
        <v>0</v>
      </c>
      <c r="I86">
        <v>0</v>
      </c>
      <c r="J86">
        <v>1</v>
      </c>
      <c r="K86">
        <v>78.680000000000007</v>
      </c>
      <c r="L86">
        <v>77.83</v>
      </c>
      <c r="M86">
        <v>78.27</v>
      </c>
      <c r="N86" t="s">
        <v>94</v>
      </c>
    </row>
    <row r="87" spans="1:14" x14ac:dyDescent="0.2">
      <c r="A87" s="1">
        <v>86</v>
      </c>
      <c r="B87" t="s">
        <v>814</v>
      </c>
      <c r="C87">
        <f xml:space="preserve">  78.3</f>
        <v>78.3</v>
      </c>
      <c r="D87">
        <v>18</v>
      </c>
      <c r="E87">
        <v>6</v>
      </c>
      <c r="F87">
        <v>67.22</v>
      </c>
      <c r="G87">
        <v>0</v>
      </c>
      <c r="H87">
        <v>0</v>
      </c>
      <c r="I87">
        <v>0</v>
      </c>
      <c r="J87">
        <v>0</v>
      </c>
      <c r="K87">
        <v>79.41</v>
      </c>
      <c r="L87">
        <v>77.34</v>
      </c>
      <c r="M87">
        <v>76.41</v>
      </c>
      <c r="N87" t="s">
        <v>186</v>
      </c>
    </row>
    <row r="88" spans="1:14" x14ac:dyDescent="0.2">
      <c r="A88" s="1">
        <v>87</v>
      </c>
      <c r="B88" t="s">
        <v>95</v>
      </c>
      <c r="C88">
        <f xml:space="preserve">  78.29</f>
        <v>78.290000000000006</v>
      </c>
      <c r="D88">
        <v>13</v>
      </c>
      <c r="E88">
        <v>9</v>
      </c>
      <c r="F88">
        <v>71.989999999999995</v>
      </c>
      <c r="G88">
        <v>0</v>
      </c>
      <c r="H88">
        <v>1</v>
      </c>
      <c r="I88">
        <v>0</v>
      </c>
      <c r="J88">
        <v>1</v>
      </c>
      <c r="K88">
        <v>78.7</v>
      </c>
      <c r="L88">
        <v>77.87</v>
      </c>
      <c r="M88">
        <v>77.17</v>
      </c>
      <c r="N88" t="s">
        <v>86</v>
      </c>
    </row>
    <row r="89" spans="1:14" x14ac:dyDescent="0.2">
      <c r="A89" s="1">
        <v>88</v>
      </c>
      <c r="B89" t="s">
        <v>121</v>
      </c>
      <c r="C89">
        <f xml:space="preserve">  78.18</f>
        <v>78.180000000000007</v>
      </c>
      <c r="D89">
        <v>21</v>
      </c>
      <c r="E89">
        <v>8</v>
      </c>
      <c r="F89">
        <v>73.33</v>
      </c>
      <c r="G89">
        <v>1</v>
      </c>
      <c r="H89">
        <v>2</v>
      </c>
      <c r="I89">
        <v>2</v>
      </c>
      <c r="J89">
        <v>3</v>
      </c>
      <c r="K89">
        <v>77.319999999999993</v>
      </c>
      <c r="L89">
        <v>78.83</v>
      </c>
      <c r="M89">
        <v>80.040000000000006</v>
      </c>
      <c r="N89" t="s">
        <v>67</v>
      </c>
    </row>
    <row r="90" spans="1:14" x14ac:dyDescent="0.2">
      <c r="A90" s="1">
        <v>89</v>
      </c>
      <c r="B90" t="s">
        <v>286</v>
      </c>
      <c r="C90">
        <f xml:space="preserve">  78.16</f>
        <v>78.16</v>
      </c>
      <c r="D90">
        <v>13</v>
      </c>
      <c r="E90">
        <v>12</v>
      </c>
      <c r="F90">
        <v>79.38</v>
      </c>
      <c r="G90">
        <v>1</v>
      </c>
      <c r="H90">
        <v>5</v>
      </c>
      <c r="I90">
        <v>2</v>
      </c>
      <c r="J90">
        <v>7</v>
      </c>
      <c r="K90">
        <v>78.22</v>
      </c>
      <c r="L90">
        <v>78.290000000000006</v>
      </c>
      <c r="M90">
        <v>74.930000000000007</v>
      </c>
      <c r="N90" t="s">
        <v>14</v>
      </c>
    </row>
    <row r="91" spans="1:14" x14ac:dyDescent="0.2">
      <c r="A91" s="1">
        <v>90</v>
      </c>
      <c r="B91" t="s">
        <v>119</v>
      </c>
      <c r="C91">
        <f xml:space="preserve">  77.95</f>
        <v>77.95</v>
      </c>
      <c r="D91">
        <v>15</v>
      </c>
      <c r="E91">
        <v>10</v>
      </c>
      <c r="F91">
        <v>74.819999999999993</v>
      </c>
      <c r="G91">
        <v>0</v>
      </c>
      <c r="H91">
        <v>0</v>
      </c>
      <c r="I91">
        <v>0</v>
      </c>
      <c r="J91">
        <v>5</v>
      </c>
      <c r="K91">
        <v>77.900000000000006</v>
      </c>
      <c r="L91">
        <v>77.67</v>
      </c>
      <c r="M91">
        <v>80.790000000000006</v>
      </c>
      <c r="N91" t="s">
        <v>56</v>
      </c>
    </row>
    <row r="92" spans="1:14" x14ac:dyDescent="0.2">
      <c r="A92" s="1">
        <v>91</v>
      </c>
      <c r="B92" t="s">
        <v>99</v>
      </c>
      <c r="C92">
        <f xml:space="preserve">  77.92</f>
        <v>77.92</v>
      </c>
      <c r="D92">
        <v>12</v>
      </c>
      <c r="E92">
        <v>11</v>
      </c>
      <c r="F92">
        <v>78.290000000000006</v>
      </c>
      <c r="G92">
        <v>0</v>
      </c>
      <c r="H92">
        <v>3</v>
      </c>
      <c r="I92">
        <v>0</v>
      </c>
      <c r="J92">
        <v>4</v>
      </c>
      <c r="K92">
        <v>77.22</v>
      </c>
      <c r="L92">
        <v>78.400000000000006</v>
      </c>
      <c r="M92">
        <v>79.650000000000006</v>
      </c>
      <c r="N92" t="s">
        <v>5</v>
      </c>
    </row>
    <row r="93" spans="1:14" x14ac:dyDescent="0.2">
      <c r="A93" s="1">
        <v>92</v>
      </c>
      <c r="B93" t="s">
        <v>278</v>
      </c>
      <c r="C93">
        <f xml:space="preserve">  77.88</f>
        <v>77.88</v>
      </c>
      <c r="D93">
        <v>21</v>
      </c>
      <c r="E93">
        <v>9</v>
      </c>
      <c r="F93">
        <v>71.03</v>
      </c>
      <c r="G93">
        <v>0</v>
      </c>
      <c r="H93">
        <v>1</v>
      </c>
      <c r="I93">
        <v>0</v>
      </c>
      <c r="J93">
        <v>1</v>
      </c>
      <c r="K93">
        <v>77.739999999999995</v>
      </c>
      <c r="L93">
        <v>77.790000000000006</v>
      </c>
      <c r="M93">
        <v>79.319999999999993</v>
      </c>
      <c r="N93" t="s">
        <v>86</v>
      </c>
    </row>
    <row r="94" spans="1:14" x14ac:dyDescent="0.2">
      <c r="A94" s="1">
        <v>93</v>
      </c>
      <c r="B94" t="s">
        <v>106</v>
      </c>
      <c r="C94">
        <f xml:space="preserve">  77.87</f>
        <v>77.87</v>
      </c>
      <c r="D94">
        <v>10</v>
      </c>
      <c r="E94">
        <v>15</v>
      </c>
      <c r="F94">
        <v>81.55</v>
      </c>
      <c r="G94">
        <v>2</v>
      </c>
      <c r="H94">
        <v>3</v>
      </c>
      <c r="I94">
        <v>3</v>
      </c>
      <c r="J94">
        <v>7</v>
      </c>
      <c r="K94">
        <v>77.209999999999994</v>
      </c>
      <c r="L94">
        <v>78.459999999999994</v>
      </c>
      <c r="M94">
        <v>77.64</v>
      </c>
      <c r="N94" t="s">
        <v>12</v>
      </c>
    </row>
    <row r="95" spans="1:14" x14ac:dyDescent="0.2">
      <c r="A95" s="1">
        <v>94</v>
      </c>
      <c r="B95" t="s">
        <v>155</v>
      </c>
      <c r="C95">
        <f xml:space="preserve">  77.85</f>
        <v>77.849999999999994</v>
      </c>
      <c r="D95">
        <v>23</v>
      </c>
      <c r="E95">
        <v>2</v>
      </c>
      <c r="F95">
        <v>65.739999999999995</v>
      </c>
      <c r="G95">
        <v>0</v>
      </c>
      <c r="H95">
        <v>1</v>
      </c>
      <c r="I95">
        <v>0</v>
      </c>
      <c r="J95">
        <v>1</v>
      </c>
      <c r="K95">
        <v>77</v>
      </c>
      <c r="L95">
        <v>78.430000000000007</v>
      </c>
      <c r="M95">
        <v>80.400000000000006</v>
      </c>
      <c r="N95" t="s">
        <v>306</v>
      </c>
    </row>
    <row r="96" spans="1:14" x14ac:dyDescent="0.2">
      <c r="A96" s="1">
        <v>95</v>
      </c>
      <c r="B96" t="s">
        <v>807</v>
      </c>
      <c r="C96">
        <f xml:space="preserve">  77.69</f>
        <v>77.69</v>
      </c>
      <c r="D96">
        <v>14</v>
      </c>
      <c r="E96">
        <v>13</v>
      </c>
      <c r="F96">
        <v>78.14</v>
      </c>
      <c r="G96">
        <v>2</v>
      </c>
      <c r="H96">
        <v>5</v>
      </c>
      <c r="I96">
        <v>2</v>
      </c>
      <c r="J96">
        <v>7</v>
      </c>
      <c r="K96">
        <v>77.58</v>
      </c>
      <c r="L96">
        <v>77.760000000000005</v>
      </c>
      <c r="M96">
        <v>76.92</v>
      </c>
      <c r="N96" t="s">
        <v>7</v>
      </c>
    </row>
    <row r="97" spans="1:14" x14ac:dyDescent="0.2">
      <c r="A97" s="1">
        <v>96</v>
      </c>
      <c r="B97" t="s">
        <v>874</v>
      </c>
      <c r="C97">
        <v>77.680000000000007</v>
      </c>
      <c r="D97">
        <v>11</v>
      </c>
      <c r="E97">
        <v>12</v>
      </c>
      <c r="F97">
        <v>79.47</v>
      </c>
      <c r="G97">
        <v>1</v>
      </c>
      <c r="H97">
        <v>3</v>
      </c>
      <c r="I97">
        <v>1</v>
      </c>
      <c r="J97">
        <v>6</v>
      </c>
      <c r="K97">
        <v>77.180000000000007</v>
      </c>
      <c r="L97">
        <v>77.89</v>
      </c>
      <c r="M97">
        <v>79.819999999999993</v>
      </c>
      <c r="N97" t="s">
        <v>5</v>
      </c>
    </row>
    <row r="98" spans="1:14" x14ac:dyDescent="0.2">
      <c r="A98" s="1">
        <v>97</v>
      </c>
      <c r="B98" t="s">
        <v>132</v>
      </c>
      <c r="C98">
        <f xml:space="preserve">  77.45</f>
        <v>77.45</v>
      </c>
      <c r="D98">
        <v>20</v>
      </c>
      <c r="E98">
        <v>5</v>
      </c>
      <c r="F98">
        <v>66</v>
      </c>
      <c r="G98">
        <v>1</v>
      </c>
      <c r="H98">
        <v>3</v>
      </c>
      <c r="I98">
        <v>1</v>
      </c>
      <c r="J98">
        <v>3</v>
      </c>
      <c r="K98">
        <v>77.69</v>
      </c>
      <c r="L98">
        <v>76.900000000000006</v>
      </c>
      <c r="M98">
        <v>80.260000000000005</v>
      </c>
      <c r="N98" t="s">
        <v>179</v>
      </c>
    </row>
    <row r="99" spans="1:14" x14ac:dyDescent="0.2">
      <c r="A99" s="1">
        <v>98</v>
      </c>
      <c r="B99" t="s">
        <v>140</v>
      </c>
      <c r="C99">
        <f xml:space="preserve">  77.45</f>
        <v>77.45</v>
      </c>
      <c r="D99">
        <v>14</v>
      </c>
      <c r="E99">
        <v>2</v>
      </c>
      <c r="F99">
        <v>65.64</v>
      </c>
      <c r="G99">
        <v>0</v>
      </c>
      <c r="H99">
        <v>1</v>
      </c>
      <c r="I99">
        <v>0</v>
      </c>
      <c r="J99">
        <v>1</v>
      </c>
      <c r="K99">
        <v>77.22</v>
      </c>
      <c r="L99">
        <v>77.28</v>
      </c>
      <c r="M99">
        <v>81.41</v>
      </c>
      <c r="N99" t="s">
        <v>141</v>
      </c>
    </row>
    <row r="100" spans="1:14" x14ac:dyDescent="0.2">
      <c r="A100" s="1">
        <v>99</v>
      </c>
      <c r="B100" t="s">
        <v>201</v>
      </c>
      <c r="C100">
        <f xml:space="preserve">  77.33</f>
        <v>77.33</v>
      </c>
      <c r="D100">
        <v>13</v>
      </c>
      <c r="E100">
        <v>12</v>
      </c>
      <c r="F100">
        <v>75.849999999999994</v>
      </c>
      <c r="G100">
        <v>1</v>
      </c>
      <c r="H100">
        <v>5</v>
      </c>
      <c r="I100">
        <v>1</v>
      </c>
      <c r="J100">
        <v>6</v>
      </c>
      <c r="K100">
        <v>77.709999999999994</v>
      </c>
      <c r="L100">
        <v>76.62</v>
      </c>
      <c r="M100">
        <v>80.31</v>
      </c>
      <c r="N100" t="s">
        <v>1</v>
      </c>
    </row>
    <row r="101" spans="1:14" x14ac:dyDescent="0.2">
      <c r="A101" s="1">
        <v>100</v>
      </c>
      <c r="B101" t="s">
        <v>181</v>
      </c>
      <c r="C101">
        <f xml:space="preserve">  77.16</f>
        <v>77.16</v>
      </c>
      <c r="D101">
        <v>15</v>
      </c>
      <c r="E101">
        <v>7</v>
      </c>
      <c r="F101">
        <v>71.47</v>
      </c>
      <c r="G101">
        <v>0</v>
      </c>
      <c r="H101">
        <v>0</v>
      </c>
      <c r="I101">
        <v>0</v>
      </c>
      <c r="J101">
        <v>0</v>
      </c>
      <c r="K101">
        <v>77.010000000000005</v>
      </c>
      <c r="L101">
        <v>77.34</v>
      </c>
      <c r="M101">
        <v>75.569999999999993</v>
      </c>
      <c r="N101" t="s">
        <v>67</v>
      </c>
    </row>
    <row r="102" spans="1:14" x14ac:dyDescent="0.2">
      <c r="A102" s="1">
        <v>101</v>
      </c>
      <c r="B102" t="s">
        <v>66</v>
      </c>
      <c r="C102">
        <f xml:space="preserve">  77.1</f>
        <v>77.099999999999994</v>
      </c>
      <c r="D102">
        <v>20</v>
      </c>
      <c r="E102">
        <v>7</v>
      </c>
      <c r="F102">
        <v>69.09</v>
      </c>
      <c r="G102">
        <v>0</v>
      </c>
      <c r="H102">
        <v>0</v>
      </c>
      <c r="I102">
        <v>0</v>
      </c>
      <c r="J102">
        <v>0</v>
      </c>
      <c r="K102">
        <v>77.42</v>
      </c>
      <c r="L102">
        <v>76.55</v>
      </c>
      <c r="M102">
        <v>78.69</v>
      </c>
      <c r="N102" t="s">
        <v>67</v>
      </c>
    </row>
    <row r="103" spans="1:14" x14ac:dyDescent="0.2">
      <c r="A103" s="1">
        <v>102</v>
      </c>
      <c r="B103" t="s">
        <v>184</v>
      </c>
      <c r="C103">
        <f xml:space="preserve">  76.86</f>
        <v>76.86</v>
      </c>
      <c r="D103">
        <v>15</v>
      </c>
      <c r="E103">
        <v>8</v>
      </c>
      <c r="F103">
        <v>70.010000000000005</v>
      </c>
      <c r="G103">
        <v>0</v>
      </c>
      <c r="H103">
        <v>2</v>
      </c>
      <c r="I103">
        <v>0</v>
      </c>
      <c r="J103">
        <v>3</v>
      </c>
      <c r="K103">
        <v>76.87</v>
      </c>
      <c r="L103">
        <v>76.56</v>
      </c>
      <c r="M103">
        <v>78.91</v>
      </c>
      <c r="N103" t="s">
        <v>151</v>
      </c>
    </row>
    <row r="104" spans="1:14" x14ac:dyDescent="0.2">
      <c r="A104" s="1">
        <v>103</v>
      </c>
      <c r="B104" t="s">
        <v>126</v>
      </c>
      <c r="C104">
        <f xml:space="preserve">  76.67</f>
        <v>76.67</v>
      </c>
      <c r="D104">
        <v>16</v>
      </c>
      <c r="E104">
        <v>8</v>
      </c>
      <c r="F104">
        <v>73.260000000000005</v>
      </c>
      <c r="G104">
        <v>1</v>
      </c>
      <c r="H104">
        <v>2</v>
      </c>
      <c r="I104">
        <v>1</v>
      </c>
      <c r="J104">
        <v>2</v>
      </c>
      <c r="K104">
        <v>76.349999999999994</v>
      </c>
      <c r="L104">
        <v>76.48</v>
      </c>
      <c r="M104">
        <v>82.28</v>
      </c>
      <c r="N104" t="s">
        <v>94</v>
      </c>
    </row>
    <row r="105" spans="1:14" x14ac:dyDescent="0.2">
      <c r="A105" s="1">
        <v>104</v>
      </c>
      <c r="B105" t="s">
        <v>49</v>
      </c>
      <c r="C105">
        <f xml:space="preserve">  76.62</f>
        <v>76.62</v>
      </c>
      <c r="D105">
        <v>12</v>
      </c>
      <c r="E105">
        <v>14</v>
      </c>
      <c r="F105">
        <v>79.59</v>
      </c>
      <c r="G105">
        <v>0</v>
      </c>
      <c r="H105">
        <v>8</v>
      </c>
      <c r="I105">
        <v>2</v>
      </c>
      <c r="J105">
        <v>10</v>
      </c>
      <c r="K105">
        <v>76.599999999999994</v>
      </c>
      <c r="L105">
        <v>77.040000000000006</v>
      </c>
      <c r="M105">
        <v>70.989999999999995</v>
      </c>
      <c r="N105" t="s">
        <v>3</v>
      </c>
    </row>
    <row r="106" spans="1:14" x14ac:dyDescent="0.2">
      <c r="A106" s="1">
        <v>105</v>
      </c>
      <c r="B106" t="s">
        <v>860</v>
      </c>
      <c r="C106">
        <f xml:space="preserve">  76.61</f>
        <v>76.61</v>
      </c>
      <c r="D106">
        <v>15</v>
      </c>
      <c r="E106">
        <v>7</v>
      </c>
      <c r="F106">
        <v>72.27</v>
      </c>
      <c r="G106">
        <v>0</v>
      </c>
      <c r="H106">
        <v>0</v>
      </c>
      <c r="I106">
        <v>0</v>
      </c>
      <c r="J106">
        <v>2</v>
      </c>
      <c r="K106">
        <v>76.739999999999995</v>
      </c>
      <c r="L106">
        <v>76.430000000000007</v>
      </c>
      <c r="M106">
        <v>75.84</v>
      </c>
      <c r="N106" t="s">
        <v>84</v>
      </c>
    </row>
    <row r="107" spans="1:14" x14ac:dyDescent="0.2">
      <c r="A107" s="1">
        <v>106</v>
      </c>
      <c r="B107" t="s">
        <v>47</v>
      </c>
      <c r="C107">
        <f xml:space="preserve">  76.55</f>
        <v>76.55</v>
      </c>
      <c r="D107">
        <v>11</v>
      </c>
      <c r="E107">
        <v>14</v>
      </c>
      <c r="F107">
        <v>75.489999999999995</v>
      </c>
      <c r="G107">
        <v>1</v>
      </c>
      <c r="H107">
        <v>5</v>
      </c>
      <c r="I107">
        <v>1</v>
      </c>
      <c r="J107">
        <v>5</v>
      </c>
      <c r="K107">
        <v>77.400000000000006</v>
      </c>
      <c r="L107">
        <v>75.94</v>
      </c>
      <c r="M107">
        <v>72.989999999999995</v>
      </c>
      <c r="N107" t="s">
        <v>1</v>
      </c>
    </row>
    <row r="108" spans="1:14" x14ac:dyDescent="0.2">
      <c r="A108" s="1">
        <v>107</v>
      </c>
      <c r="B108" t="s">
        <v>76</v>
      </c>
      <c r="C108">
        <f xml:space="preserve">  76.44</f>
        <v>76.44</v>
      </c>
      <c r="D108">
        <v>9</v>
      </c>
      <c r="E108">
        <v>16</v>
      </c>
      <c r="F108">
        <v>79.88</v>
      </c>
      <c r="G108">
        <v>0</v>
      </c>
      <c r="H108">
        <v>5</v>
      </c>
      <c r="I108">
        <v>0</v>
      </c>
      <c r="J108">
        <v>10</v>
      </c>
      <c r="K108">
        <v>76.59</v>
      </c>
      <c r="L108">
        <v>76.040000000000006</v>
      </c>
      <c r="M108">
        <v>78.12</v>
      </c>
      <c r="N108" t="s">
        <v>14</v>
      </c>
    </row>
    <row r="109" spans="1:14" x14ac:dyDescent="0.2">
      <c r="A109" s="1">
        <v>108</v>
      </c>
      <c r="B109" t="s">
        <v>872</v>
      </c>
      <c r="C109">
        <f xml:space="preserve">  76.44</f>
        <v>76.44</v>
      </c>
      <c r="D109">
        <v>10</v>
      </c>
      <c r="E109">
        <v>17</v>
      </c>
      <c r="F109">
        <v>79.87</v>
      </c>
      <c r="G109">
        <v>0</v>
      </c>
      <c r="H109">
        <v>3</v>
      </c>
      <c r="I109">
        <v>4</v>
      </c>
      <c r="J109">
        <v>11</v>
      </c>
      <c r="K109">
        <v>76.55</v>
      </c>
      <c r="L109">
        <v>76.23</v>
      </c>
      <c r="M109">
        <v>76.03</v>
      </c>
      <c r="N109" t="s">
        <v>10</v>
      </c>
    </row>
    <row r="110" spans="1:14" x14ac:dyDescent="0.2">
      <c r="A110" s="1">
        <v>109</v>
      </c>
      <c r="B110" t="s">
        <v>120</v>
      </c>
      <c r="C110">
        <f xml:space="preserve">  76.37</f>
        <v>76.37</v>
      </c>
      <c r="D110">
        <v>6</v>
      </c>
      <c r="E110">
        <v>20</v>
      </c>
      <c r="F110">
        <v>83.59</v>
      </c>
      <c r="G110">
        <v>0</v>
      </c>
      <c r="H110">
        <v>8</v>
      </c>
      <c r="I110">
        <v>2</v>
      </c>
      <c r="J110">
        <v>17</v>
      </c>
      <c r="K110">
        <v>76.709999999999994</v>
      </c>
      <c r="L110">
        <v>75.84</v>
      </c>
      <c r="M110">
        <v>77.319999999999993</v>
      </c>
      <c r="N110" t="s">
        <v>17</v>
      </c>
    </row>
    <row r="111" spans="1:14" x14ac:dyDescent="0.2">
      <c r="A111" s="1">
        <v>110</v>
      </c>
      <c r="B111" t="s">
        <v>87</v>
      </c>
      <c r="C111">
        <f xml:space="preserve">  76.26</f>
        <v>76.260000000000005</v>
      </c>
      <c r="D111">
        <v>25</v>
      </c>
      <c r="E111">
        <v>4</v>
      </c>
      <c r="F111">
        <v>65.41</v>
      </c>
      <c r="G111">
        <v>0</v>
      </c>
      <c r="H111">
        <v>0</v>
      </c>
      <c r="I111">
        <v>0</v>
      </c>
      <c r="J111">
        <v>0</v>
      </c>
      <c r="K111">
        <v>76.260000000000005</v>
      </c>
      <c r="L111">
        <v>76.23</v>
      </c>
      <c r="M111">
        <v>75.11</v>
      </c>
      <c r="N111" t="s">
        <v>77</v>
      </c>
    </row>
    <row r="112" spans="1:14" x14ac:dyDescent="0.2">
      <c r="A112" s="1">
        <v>111</v>
      </c>
      <c r="B112" t="s">
        <v>129</v>
      </c>
      <c r="C112">
        <f xml:space="preserve">  76.24</f>
        <v>76.239999999999995</v>
      </c>
      <c r="D112">
        <v>10</v>
      </c>
      <c r="E112">
        <v>15</v>
      </c>
      <c r="F112">
        <v>77.09</v>
      </c>
      <c r="G112">
        <v>0</v>
      </c>
      <c r="H112">
        <v>1</v>
      </c>
      <c r="I112">
        <v>2</v>
      </c>
      <c r="J112">
        <v>1</v>
      </c>
      <c r="K112">
        <v>76.790000000000006</v>
      </c>
      <c r="L112">
        <v>76.22</v>
      </c>
      <c r="M112">
        <v>69.22</v>
      </c>
      <c r="N112" t="s">
        <v>63</v>
      </c>
    </row>
    <row r="113" spans="1:14" x14ac:dyDescent="0.2">
      <c r="A113" s="1">
        <v>112</v>
      </c>
      <c r="B113" t="s">
        <v>859</v>
      </c>
      <c r="C113">
        <f xml:space="preserve">  76.19</f>
        <v>76.19</v>
      </c>
      <c r="D113">
        <v>15</v>
      </c>
      <c r="E113">
        <v>7</v>
      </c>
      <c r="F113">
        <v>70.790000000000006</v>
      </c>
      <c r="G113">
        <v>0</v>
      </c>
      <c r="H113">
        <v>1</v>
      </c>
      <c r="I113">
        <v>1</v>
      </c>
      <c r="J113">
        <v>1</v>
      </c>
      <c r="K113">
        <v>75.91</v>
      </c>
      <c r="L113">
        <v>76.430000000000007</v>
      </c>
      <c r="M113">
        <v>75.19</v>
      </c>
      <c r="N113" t="s">
        <v>82</v>
      </c>
    </row>
    <row r="114" spans="1:14" x14ac:dyDescent="0.2">
      <c r="A114" s="1">
        <v>113</v>
      </c>
      <c r="B114" t="s">
        <v>172</v>
      </c>
      <c r="C114">
        <f xml:space="preserve">  76.13</f>
        <v>76.13</v>
      </c>
      <c r="D114">
        <v>13</v>
      </c>
      <c r="E114">
        <v>9</v>
      </c>
      <c r="F114">
        <v>75.599999999999994</v>
      </c>
      <c r="G114">
        <v>0</v>
      </c>
      <c r="H114">
        <v>2</v>
      </c>
      <c r="I114">
        <v>0</v>
      </c>
      <c r="J114">
        <v>2</v>
      </c>
      <c r="K114">
        <v>76.02</v>
      </c>
      <c r="L114">
        <v>75.959999999999994</v>
      </c>
      <c r="M114">
        <v>78.19</v>
      </c>
      <c r="N114" t="s">
        <v>1</v>
      </c>
    </row>
    <row r="115" spans="1:14" x14ac:dyDescent="0.2">
      <c r="A115" s="1">
        <v>114</v>
      </c>
      <c r="B115" t="s">
        <v>137</v>
      </c>
      <c r="C115">
        <f xml:space="preserve">  76.1</f>
        <v>76.099999999999994</v>
      </c>
      <c r="D115">
        <v>19</v>
      </c>
      <c r="E115">
        <v>6</v>
      </c>
      <c r="F115">
        <v>65.86</v>
      </c>
      <c r="G115">
        <v>0</v>
      </c>
      <c r="H115">
        <v>0</v>
      </c>
      <c r="I115">
        <v>0</v>
      </c>
      <c r="J115">
        <v>2</v>
      </c>
      <c r="K115">
        <v>75.69</v>
      </c>
      <c r="L115">
        <v>76.16</v>
      </c>
      <c r="M115">
        <v>79.34</v>
      </c>
      <c r="N115" t="s">
        <v>138</v>
      </c>
    </row>
    <row r="116" spans="1:14" x14ac:dyDescent="0.2">
      <c r="A116" s="1">
        <v>115</v>
      </c>
      <c r="B116" t="s">
        <v>133</v>
      </c>
      <c r="C116">
        <f xml:space="preserve">  75.91</f>
        <v>75.91</v>
      </c>
      <c r="D116">
        <v>13</v>
      </c>
      <c r="E116">
        <v>8</v>
      </c>
      <c r="F116">
        <v>72.33</v>
      </c>
      <c r="G116">
        <v>0</v>
      </c>
      <c r="H116">
        <v>0</v>
      </c>
      <c r="I116">
        <v>0</v>
      </c>
      <c r="J116">
        <v>1</v>
      </c>
      <c r="K116">
        <v>75.81</v>
      </c>
      <c r="L116">
        <v>76.010000000000005</v>
      </c>
      <c r="M116">
        <v>74.510000000000005</v>
      </c>
      <c r="N116" t="s">
        <v>94</v>
      </c>
    </row>
    <row r="117" spans="1:14" x14ac:dyDescent="0.2">
      <c r="A117" s="1">
        <v>116</v>
      </c>
      <c r="B117" t="s">
        <v>134</v>
      </c>
      <c r="C117">
        <f xml:space="preserve">  75.9</f>
        <v>75.900000000000006</v>
      </c>
      <c r="D117">
        <v>16</v>
      </c>
      <c r="E117">
        <v>9</v>
      </c>
      <c r="F117">
        <v>69.66</v>
      </c>
      <c r="G117">
        <v>0</v>
      </c>
      <c r="H117">
        <v>1</v>
      </c>
      <c r="I117">
        <v>0</v>
      </c>
      <c r="J117">
        <v>2</v>
      </c>
      <c r="K117">
        <v>75.36</v>
      </c>
      <c r="L117">
        <v>76.22</v>
      </c>
      <c r="M117">
        <v>77.22</v>
      </c>
      <c r="N117" t="s">
        <v>135</v>
      </c>
    </row>
    <row r="118" spans="1:14" x14ac:dyDescent="0.2">
      <c r="A118" s="1">
        <v>117</v>
      </c>
      <c r="B118" t="s">
        <v>96</v>
      </c>
      <c r="C118">
        <f xml:space="preserve">  75.8</f>
        <v>75.8</v>
      </c>
      <c r="D118">
        <v>6</v>
      </c>
      <c r="E118">
        <v>15</v>
      </c>
      <c r="F118">
        <v>81.22</v>
      </c>
      <c r="G118">
        <v>0</v>
      </c>
      <c r="H118">
        <v>5</v>
      </c>
      <c r="I118">
        <v>1</v>
      </c>
      <c r="J118">
        <v>6</v>
      </c>
      <c r="K118">
        <v>75.19</v>
      </c>
      <c r="L118">
        <v>76.41</v>
      </c>
      <c r="M118">
        <v>74.540000000000006</v>
      </c>
      <c r="N118" t="s">
        <v>14</v>
      </c>
    </row>
    <row r="119" spans="1:14" x14ac:dyDescent="0.2">
      <c r="A119" s="1">
        <v>118</v>
      </c>
      <c r="B119" t="s">
        <v>149</v>
      </c>
      <c r="C119">
        <f xml:space="preserve">  75.72</f>
        <v>75.72</v>
      </c>
      <c r="D119">
        <v>9</v>
      </c>
      <c r="E119">
        <v>12</v>
      </c>
      <c r="F119">
        <v>77.180000000000007</v>
      </c>
      <c r="G119">
        <v>1</v>
      </c>
      <c r="H119">
        <v>1</v>
      </c>
      <c r="I119">
        <v>3</v>
      </c>
      <c r="J119">
        <v>1</v>
      </c>
      <c r="K119">
        <v>76.14</v>
      </c>
      <c r="L119">
        <v>75.650000000000006</v>
      </c>
      <c r="M119">
        <v>70.63</v>
      </c>
      <c r="N119" t="s">
        <v>5</v>
      </c>
    </row>
    <row r="120" spans="1:14" x14ac:dyDescent="0.2">
      <c r="A120" s="1">
        <v>119</v>
      </c>
      <c r="B120" t="s">
        <v>297</v>
      </c>
      <c r="C120">
        <f xml:space="preserve">  75.58</f>
        <v>75.58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75.55</v>
      </c>
      <c r="L120">
        <v>75.52</v>
      </c>
      <c r="M120">
        <v>75.11</v>
      </c>
      <c r="N120" t="s">
        <v>125</v>
      </c>
    </row>
    <row r="121" spans="1:14" x14ac:dyDescent="0.2">
      <c r="A121" s="1">
        <v>120</v>
      </c>
      <c r="B121" t="s">
        <v>105</v>
      </c>
      <c r="C121">
        <f xml:space="preserve">  75.37</f>
        <v>75.37</v>
      </c>
      <c r="D121">
        <v>14</v>
      </c>
      <c r="E121">
        <v>7</v>
      </c>
      <c r="F121">
        <v>67.72</v>
      </c>
      <c r="G121">
        <v>0</v>
      </c>
      <c r="H121">
        <v>2</v>
      </c>
      <c r="I121">
        <v>0</v>
      </c>
      <c r="J121">
        <v>2</v>
      </c>
      <c r="K121">
        <v>75.5</v>
      </c>
      <c r="L121">
        <v>74.94</v>
      </c>
      <c r="M121">
        <v>77.69</v>
      </c>
      <c r="N121" t="s">
        <v>81</v>
      </c>
    </row>
    <row r="122" spans="1:14" x14ac:dyDescent="0.2">
      <c r="A122" s="1">
        <v>121</v>
      </c>
      <c r="B122" t="s">
        <v>165</v>
      </c>
      <c r="C122">
        <f xml:space="preserve">  75.22</f>
        <v>75.22</v>
      </c>
      <c r="D122">
        <v>8</v>
      </c>
      <c r="E122">
        <v>7</v>
      </c>
      <c r="F122">
        <v>72.77</v>
      </c>
      <c r="G122">
        <v>0</v>
      </c>
      <c r="H122">
        <v>0</v>
      </c>
      <c r="I122">
        <v>0</v>
      </c>
      <c r="J122">
        <v>0</v>
      </c>
      <c r="K122">
        <v>75.34</v>
      </c>
      <c r="L122">
        <v>74.86</v>
      </c>
      <c r="M122">
        <v>76.77</v>
      </c>
      <c r="N122" t="s">
        <v>63</v>
      </c>
    </row>
    <row r="123" spans="1:14" x14ac:dyDescent="0.2">
      <c r="A123" s="1">
        <v>122</v>
      </c>
      <c r="B123" t="s">
        <v>205</v>
      </c>
      <c r="C123">
        <f xml:space="preserve">  75.19</f>
        <v>75.19</v>
      </c>
      <c r="D123">
        <v>9</v>
      </c>
      <c r="E123">
        <v>9</v>
      </c>
      <c r="F123">
        <v>74.89</v>
      </c>
      <c r="G123">
        <v>0</v>
      </c>
      <c r="H123">
        <v>0</v>
      </c>
      <c r="I123">
        <v>0</v>
      </c>
      <c r="J123">
        <v>3</v>
      </c>
      <c r="K123">
        <v>75.349999999999994</v>
      </c>
      <c r="L123">
        <v>75.040000000000006</v>
      </c>
      <c r="M123">
        <v>73.62</v>
      </c>
      <c r="N123" t="s">
        <v>63</v>
      </c>
    </row>
    <row r="124" spans="1:14" x14ac:dyDescent="0.2">
      <c r="A124" s="1">
        <v>123</v>
      </c>
      <c r="B124" t="s">
        <v>803</v>
      </c>
      <c r="C124">
        <f xml:space="preserve">  75.17</f>
        <v>75.17</v>
      </c>
      <c r="D124">
        <v>14</v>
      </c>
      <c r="E124">
        <v>8</v>
      </c>
      <c r="F124">
        <v>72.13</v>
      </c>
      <c r="G124">
        <v>0</v>
      </c>
      <c r="H124">
        <v>1</v>
      </c>
      <c r="I124">
        <v>0</v>
      </c>
      <c r="J124">
        <v>1</v>
      </c>
      <c r="K124">
        <v>75.239999999999995</v>
      </c>
      <c r="L124">
        <v>75.31</v>
      </c>
      <c r="M124">
        <v>71.430000000000007</v>
      </c>
      <c r="N124" t="s">
        <v>94</v>
      </c>
    </row>
    <row r="125" spans="1:14" x14ac:dyDescent="0.2">
      <c r="A125" s="1">
        <v>124</v>
      </c>
      <c r="B125" t="s">
        <v>57</v>
      </c>
      <c r="C125">
        <f xml:space="preserve">  74.95</f>
        <v>74.95</v>
      </c>
      <c r="D125">
        <v>8</v>
      </c>
      <c r="E125">
        <v>10</v>
      </c>
      <c r="F125">
        <v>77.290000000000006</v>
      </c>
      <c r="G125">
        <v>0</v>
      </c>
      <c r="H125">
        <v>4</v>
      </c>
      <c r="I125">
        <v>0</v>
      </c>
      <c r="J125">
        <v>4</v>
      </c>
      <c r="K125">
        <v>74.89</v>
      </c>
      <c r="L125">
        <v>75.180000000000007</v>
      </c>
      <c r="M125">
        <v>71.81</v>
      </c>
      <c r="N125" t="s">
        <v>14</v>
      </c>
    </row>
    <row r="126" spans="1:14" x14ac:dyDescent="0.2">
      <c r="A126" s="1">
        <v>125</v>
      </c>
      <c r="B126" t="s">
        <v>131</v>
      </c>
      <c r="C126">
        <f xml:space="preserve">  74.93</f>
        <v>74.930000000000007</v>
      </c>
      <c r="D126">
        <v>8</v>
      </c>
      <c r="E126">
        <v>20</v>
      </c>
      <c r="F126">
        <v>80.41</v>
      </c>
      <c r="G126">
        <v>1</v>
      </c>
      <c r="H126">
        <v>7</v>
      </c>
      <c r="I126">
        <v>1</v>
      </c>
      <c r="J126">
        <v>8</v>
      </c>
      <c r="K126">
        <v>75.23</v>
      </c>
      <c r="L126">
        <v>74.540000000000006</v>
      </c>
      <c r="M126">
        <v>74.5</v>
      </c>
      <c r="N126" t="s">
        <v>7</v>
      </c>
    </row>
    <row r="127" spans="1:14" x14ac:dyDescent="0.2">
      <c r="A127" s="1">
        <v>126</v>
      </c>
      <c r="B127" t="s">
        <v>97</v>
      </c>
      <c r="C127">
        <f xml:space="preserve">  74.89</f>
        <v>74.89</v>
      </c>
      <c r="D127">
        <v>5</v>
      </c>
      <c r="E127">
        <v>14</v>
      </c>
      <c r="F127">
        <v>80.790000000000006</v>
      </c>
      <c r="G127">
        <v>0</v>
      </c>
      <c r="H127">
        <v>2</v>
      </c>
      <c r="I127">
        <v>0</v>
      </c>
      <c r="J127">
        <v>7</v>
      </c>
      <c r="K127">
        <v>74.8</v>
      </c>
      <c r="L127">
        <v>74.790000000000006</v>
      </c>
      <c r="M127">
        <v>75.569999999999993</v>
      </c>
      <c r="N127" t="s">
        <v>12</v>
      </c>
    </row>
    <row r="128" spans="1:14" x14ac:dyDescent="0.2">
      <c r="A128" s="1">
        <v>127</v>
      </c>
      <c r="B128" t="s">
        <v>160</v>
      </c>
      <c r="C128">
        <f xml:space="preserve">  74.73</f>
        <v>74.73</v>
      </c>
      <c r="D128">
        <v>15</v>
      </c>
      <c r="E128">
        <v>11</v>
      </c>
      <c r="F128">
        <v>72.680000000000007</v>
      </c>
      <c r="G128">
        <v>1</v>
      </c>
      <c r="H128">
        <v>2</v>
      </c>
      <c r="I128">
        <v>2</v>
      </c>
      <c r="J128">
        <v>4</v>
      </c>
      <c r="K128">
        <v>74.42</v>
      </c>
      <c r="L128">
        <v>74.53</v>
      </c>
      <c r="M128">
        <v>80.069999999999993</v>
      </c>
      <c r="N128" t="s">
        <v>82</v>
      </c>
    </row>
    <row r="129" spans="1:14" x14ac:dyDescent="0.2">
      <c r="A129" s="1">
        <v>128</v>
      </c>
      <c r="B129" t="s">
        <v>821</v>
      </c>
      <c r="C129">
        <f xml:space="preserve">  74.63</f>
        <v>74.63</v>
      </c>
      <c r="D129">
        <v>14</v>
      </c>
      <c r="E129">
        <v>10</v>
      </c>
      <c r="F129">
        <v>73.790000000000006</v>
      </c>
      <c r="G129">
        <v>0</v>
      </c>
      <c r="H129">
        <v>0</v>
      </c>
      <c r="I129">
        <v>1</v>
      </c>
      <c r="J129">
        <v>3</v>
      </c>
      <c r="K129">
        <v>74.150000000000006</v>
      </c>
      <c r="L129">
        <v>74.959999999999994</v>
      </c>
      <c r="M129">
        <v>75.069999999999993</v>
      </c>
      <c r="N129" t="s">
        <v>84</v>
      </c>
    </row>
    <row r="130" spans="1:14" x14ac:dyDescent="0.2">
      <c r="A130" s="1">
        <v>129</v>
      </c>
      <c r="B130" t="s">
        <v>89</v>
      </c>
      <c r="C130">
        <f xml:space="preserve">  74.59</f>
        <v>74.59</v>
      </c>
      <c r="D130">
        <v>10</v>
      </c>
      <c r="E130">
        <v>5</v>
      </c>
      <c r="F130">
        <v>65.150000000000006</v>
      </c>
      <c r="G130">
        <v>0</v>
      </c>
      <c r="H130">
        <v>0</v>
      </c>
      <c r="I130">
        <v>0</v>
      </c>
      <c r="J130">
        <v>0</v>
      </c>
      <c r="K130">
        <v>75.069999999999993</v>
      </c>
      <c r="L130">
        <v>74.239999999999995</v>
      </c>
      <c r="M130">
        <v>71.81</v>
      </c>
      <c r="N130" t="s">
        <v>90</v>
      </c>
    </row>
    <row r="131" spans="1:14" x14ac:dyDescent="0.2">
      <c r="A131" s="1">
        <v>130</v>
      </c>
      <c r="B131" t="s">
        <v>123</v>
      </c>
      <c r="C131">
        <f xml:space="preserve">  74.57</f>
        <v>74.569999999999993</v>
      </c>
      <c r="D131">
        <v>13</v>
      </c>
      <c r="E131">
        <v>9</v>
      </c>
      <c r="F131">
        <v>72.739999999999995</v>
      </c>
      <c r="G131">
        <v>0</v>
      </c>
      <c r="H131">
        <v>0</v>
      </c>
      <c r="I131">
        <v>0</v>
      </c>
      <c r="J131">
        <v>0</v>
      </c>
      <c r="K131">
        <v>74.53</v>
      </c>
      <c r="L131">
        <v>74.510000000000005</v>
      </c>
      <c r="M131">
        <v>74.48</v>
      </c>
      <c r="N131" t="s">
        <v>86</v>
      </c>
    </row>
    <row r="132" spans="1:14" x14ac:dyDescent="0.2">
      <c r="A132" s="1">
        <v>131</v>
      </c>
      <c r="B132" t="s">
        <v>553</v>
      </c>
      <c r="C132">
        <v>74.53</v>
      </c>
      <c r="D132">
        <v>11</v>
      </c>
      <c r="E132">
        <v>12</v>
      </c>
      <c r="F132">
        <v>72.849999999999994</v>
      </c>
      <c r="G132">
        <v>0</v>
      </c>
      <c r="H132">
        <v>1</v>
      </c>
      <c r="I132">
        <v>0</v>
      </c>
      <c r="J132">
        <v>1</v>
      </c>
      <c r="K132">
        <v>74.45</v>
      </c>
      <c r="L132">
        <v>74.650000000000006</v>
      </c>
      <c r="M132">
        <v>72.75</v>
      </c>
      <c r="N132" t="s">
        <v>86</v>
      </c>
    </row>
    <row r="133" spans="1:14" x14ac:dyDescent="0.2">
      <c r="A133" s="1">
        <v>132</v>
      </c>
      <c r="B133" t="s">
        <v>802</v>
      </c>
      <c r="C133">
        <f xml:space="preserve">  74.29</f>
        <v>74.290000000000006</v>
      </c>
      <c r="D133">
        <v>9</v>
      </c>
      <c r="E133">
        <v>19</v>
      </c>
      <c r="F133">
        <v>81.27</v>
      </c>
      <c r="G133">
        <v>0</v>
      </c>
      <c r="H133">
        <v>2</v>
      </c>
      <c r="I133">
        <v>1</v>
      </c>
      <c r="J133">
        <v>15</v>
      </c>
      <c r="K133">
        <v>73.52</v>
      </c>
      <c r="L133">
        <v>74.680000000000007</v>
      </c>
      <c r="M133">
        <v>77.84</v>
      </c>
      <c r="N133" t="s">
        <v>3</v>
      </c>
    </row>
    <row r="134" spans="1:14" x14ac:dyDescent="0.2">
      <c r="A134" s="1">
        <v>133</v>
      </c>
      <c r="B134" t="s">
        <v>218</v>
      </c>
      <c r="C134">
        <f xml:space="preserve">  74.12</f>
        <v>74.12</v>
      </c>
      <c r="D134">
        <v>8</v>
      </c>
      <c r="E134">
        <v>9</v>
      </c>
      <c r="F134">
        <v>76.44</v>
      </c>
      <c r="G134">
        <v>0</v>
      </c>
      <c r="H134">
        <v>4</v>
      </c>
      <c r="I134">
        <v>0</v>
      </c>
      <c r="J134">
        <v>4</v>
      </c>
      <c r="K134">
        <v>74.349999999999994</v>
      </c>
      <c r="L134">
        <v>73.849999999999994</v>
      </c>
      <c r="M134">
        <v>73.27</v>
      </c>
      <c r="N134" t="s">
        <v>1</v>
      </c>
    </row>
    <row r="135" spans="1:14" x14ac:dyDescent="0.2">
      <c r="A135" s="1">
        <v>134</v>
      </c>
      <c r="B135" t="s">
        <v>816</v>
      </c>
      <c r="C135">
        <f xml:space="preserve">  74.05</f>
        <v>74.05</v>
      </c>
      <c r="D135">
        <v>14</v>
      </c>
      <c r="E135">
        <v>6</v>
      </c>
      <c r="F135">
        <v>67.900000000000006</v>
      </c>
      <c r="G135">
        <v>0</v>
      </c>
      <c r="H135">
        <v>1</v>
      </c>
      <c r="I135">
        <v>0</v>
      </c>
      <c r="J135">
        <v>1</v>
      </c>
      <c r="K135">
        <v>74.31</v>
      </c>
      <c r="L135">
        <v>73.66</v>
      </c>
      <c r="M135">
        <v>74.31</v>
      </c>
      <c r="N135" t="s">
        <v>151</v>
      </c>
    </row>
    <row r="136" spans="1:14" x14ac:dyDescent="0.2">
      <c r="A136" s="1">
        <v>135</v>
      </c>
      <c r="B136" t="s">
        <v>808</v>
      </c>
      <c r="C136">
        <f xml:space="preserve">  73.99</f>
        <v>73.989999999999995</v>
      </c>
      <c r="D136">
        <v>14</v>
      </c>
      <c r="E136">
        <v>6</v>
      </c>
      <c r="F136">
        <v>70.09</v>
      </c>
      <c r="G136">
        <v>0</v>
      </c>
      <c r="H136">
        <v>0</v>
      </c>
      <c r="I136">
        <v>1</v>
      </c>
      <c r="J136">
        <v>0</v>
      </c>
      <c r="K136">
        <v>73.180000000000007</v>
      </c>
      <c r="L136">
        <v>74.56</v>
      </c>
      <c r="M136">
        <v>75.650000000000006</v>
      </c>
      <c r="N136" t="s">
        <v>307</v>
      </c>
    </row>
    <row r="137" spans="1:14" x14ac:dyDescent="0.2">
      <c r="A137" s="1">
        <v>136</v>
      </c>
      <c r="B137" t="s">
        <v>282</v>
      </c>
      <c r="C137">
        <f xml:space="preserve">  73.92</f>
        <v>73.92</v>
      </c>
      <c r="D137">
        <v>15</v>
      </c>
      <c r="E137">
        <v>11</v>
      </c>
      <c r="F137">
        <v>71.78</v>
      </c>
      <c r="G137">
        <v>0</v>
      </c>
      <c r="H137">
        <v>0</v>
      </c>
      <c r="I137">
        <v>1</v>
      </c>
      <c r="J137">
        <v>0</v>
      </c>
      <c r="K137">
        <v>73.89</v>
      </c>
      <c r="L137">
        <v>73.75</v>
      </c>
      <c r="M137">
        <v>74.959999999999994</v>
      </c>
      <c r="N137" t="s">
        <v>86</v>
      </c>
    </row>
    <row r="138" spans="1:14" x14ac:dyDescent="0.2">
      <c r="A138" s="1">
        <v>137</v>
      </c>
      <c r="B138" t="s">
        <v>287</v>
      </c>
      <c r="C138">
        <f xml:space="preserve">  73.77</f>
        <v>73.77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73.72</v>
      </c>
      <c r="L138">
        <v>73.72</v>
      </c>
      <c r="M138">
        <v>73.599999999999994</v>
      </c>
      <c r="N138" t="s">
        <v>125</v>
      </c>
    </row>
    <row r="139" spans="1:14" x14ac:dyDescent="0.2">
      <c r="A139" s="1">
        <v>138</v>
      </c>
      <c r="B139" t="s">
        <v>112</v>
      </c>
      <c r="C139">
        <f xml:space="preserve">  73.64</f>
        <v>73.64</v>
      </c>
      <c r="D139">
        <v>5</v>
      </c>
      <c r="E139">
        <v>11</v>
      </c>
      <c r="F139">
        <v>77.2</v>
      </c>
      <c r="G139">
        <v>0</v>
      </c>
      <c r="H139">
        <v>2</v>
      </c>
      <c r="I139">
        <v>0</v>
      </c>
      <c r="J139">
        <v>2</v>
      </c>
      <c r="K139">
        <v>74.17</v>
      </c>
      <c r="L139">
        <v>73.11</v>
      </c>
      <c r="M139">
        <v>72.209999999999994</v>
      </c>
      <c r="N139" t="s">
        <v>5</v>
      </c>
    </row>
    <row r="140" spans="1:14" x14ac:dyDescent="0.2">
      <c r="A140" s="1">
        <v>139</v>
      </c>
      <c r="B140" t="s">
        <v>183</v>
      </c>
      <c r="C140">
        <f xml:space="preserve">  73.49</f>
        <v>73.489999999999995</v>
      </c>
      <c r="D140">
        <v>8</v>
      </c>
      <c r="E140">
        <v>13</v>
      </c>
      <c r="F140">
        <v>77.5</v>
      </c>
      <c r="G140">
        <v>0</v>
      </c>
      <c r="H140">
        <v>2</v>
      </c>
      <c r="I140">
        <v>0</v>
      </c>
      <c r="J140">
        <v>5</v>
      </c>
      <c r="K140">
        <v>73.319999999999993</v>
      </c>
      <c r="L140">
        <v>73.790000000000006</v>
      </c>
      <c r="M140">
        <v>70.540000000000006</v>
      </c>
      <c r="N140" t="s">
        <v>5</v>
      </c>
    </row>
    <row r="141" spans="1:14" x14ac:dyDescent="0.2">
      <c r="A141" s="1">
        <v>140</v>
      </c>
      <c r="B141" t="s">
        <v>280</v>
      </c>
      <c r="C141">
        <f xml:space="preserve">  73.34</f>
        <v>73.34</v>
      </c>
      <c r="D141">
        <v>14</v>
      </c>
      <c r="E141">
        <v>8</v>
      </c>
      <c r="F141">
        <v>72.16</v>
      </c>
      <c r="G141">
        <v>0</v>
      </c>
      <c r="H141">
        <v>0</v>
      </c>
      <c r="I141">
        <v>0</v>
      </c>
      <c r="J141">
        <v>1</v>
      </c>
      <c r="K141">
        <v>72.739999999999995</v>
      </c>
      <c r="L141">
        <v>73.67</v>
      </c>
      <c r="M141">
        <v>75.25</v>
      </c>
      <c r="N141" t="s">
        <v>67</v>
      </c>
    </row>
    <row r="142" spans="1:14" x14ac:dyDescent="0.2">
      <c r="A142" s="1">
        <v>141</v>
      </c>
      <c r="B142" t="s">
        <v>168</v>
      </c>
      <c r="C142">
        <f xml:space="preserve">  73.31</f>
        <v>73.31</v>
      </c>
      <c r="D142">
        <v>14</v>
      </c>
      <c r="E142">
        <v>8</v>
      </c>
      <c r="F142">
        <v>68.38</v>
      </c>
      <c r="G142">
        <v>0</v>
      </c>
      <c r="H142">
        <v>1</v>
      </c>
      <c r="I142">
        <v>0</v>
      </c>
      <c r="J142">
        <v>1</v>
      </c>
      <c r="K142">
        <v>73.510000000000005</v>
      </c>
      <c r="L142">
        <v>72.790000000000006</v>
      </c>
      <c r="M142">
        <v>75.819999999999993</v>
      </c>
      <c r="N142" t="s">
        <v>135</v>
      </c>
    </row>
    <row r="143" spans="1:14" x14ac:dyDescent="0.2">
      <c r="A143" s="1">
        <v>142</v>
      </c>
      <c r="B143" t="s">
        <v>122</v>
      </c>
      <c r="C143">
        <f xml:space="preserve">  73.3</f>
        <v>73.3</v>
      </c>
      <c r="D143">
        <v>4</v>
      </c>
      <c r="E143">
        <v>16</v>
      </c>
      <c r="F143">
        <v>81.36</v>
      </c>
      <c r="G143">
        <v>0</v>
      </c>
      <c r="H143">
        <v>3</v>
      </c>
      <c r="I143">
        <v>0</v>
      </c>
      <c r="J143">
        <v>9</v>
      </c>
      <c r="K143">
        <v>73.89</v>
      </c>
      <c r="L143">
        <v>72.91</v>
      </c>
      <c r="M143">
        <v>69.53</v>
      </c>
      <c r="N143" t="s">
        <v>10</v>
      </c>
    </row>
    <row r="144" spans="1:14" x14ac:dyDescent="0.2">
      <c r="A144" s="1">
        <v>143</v>
      </c>
      <c r="B144" t="s">
        <v>819</v>
      </c>
      <c r="C144">
        <f xml:space="preserve">  73.29</f>
        <v>73.290000000000006</v>
      </c>
      <c r="D144">
        <v>9</v>
      </c>
      <c r="E144">
        <v>8</v>
      </c>
      <c r="F144">
        <v>66.52</v>
      </c>
      <c r="G144">
        <v>0</v>
      </c>
      <c r="H144">
        <v>0</v>
      </c>
      <c r="I144">
        <v>0</v>
      </c>
      <c r="J144">
        <v>0</v>
      </c>
      <c r="K144">
        <v>73.47</v>
      </c>
      <c r="L144">
        <v>73.14</v>
      </c>
      <c r="M144">
        <v>71.52</v>
      </c>
      <c r="N144" t="s">
        <v>81</v>
      </c>
    </row>
    <row r="145" spans="1:14" x14ac:dyDescent="0.2">
      <c r="A145" s="1">
        <v>144</v>
      </c>
      <c r="B145" t="s">
        <v>118</v>
      </c>
      <c r="C145">
        <f xml:space="preserve">  73.2</f>
        <v>73.2</v>
      </c>
      <c r="D145">
        <v>12</v>
      </c>
      <c r="E145">
        <v>9</v>
      </c>
      <c r="F145">
        <v>72.400000000000006</v>
      </c>
      <c r="G145">
        <v>0</v>
      </c>
      <c r="H145">
        <v>0</v>
      </c>
      <c r="I145">
        <v>0</v>
      </c>
      <c r="J145">
        <v>1</v>
      </c>
      <c r="K145">
        <v>72.89</v>
      </c>
      <c r="L145">
        <v>73.180000000000007</v>
      </c>
      <c r="M145">
        <v>75.900000000000006</v>
      </c>
      <c r="N145" t="s">
        <v>63</v>
      </c>
    </row>
    <row r="146" spans="1:14" x14ac:dyDescent="0.2">
      <c r="A146" s="1">
        <v>145</v>
      </c>
      <c r="B146" t="s">
        <v>53</v>
      </c>
      <c r="C146">
        <f xml:space="preserve">  73.2</f>
        <v>73.2</v>
      </c>
      <c r="D146">
        <v>5</v>
      </c>
      <c r="E146">
        <v>16</v>
      </c>
      <c r="F146">
        <v>80.95</v>
      </c>
      <c r="G146">
        <v>0</v>
      </c>
      <c r="H146">
        <v>2</v>
      </c>
      <c r="I146">
        <v>0</v>
      </c>
      <c r="J146">
        <v>11</v>
      </c>
      <c r="K146">
        <v>74.22</v>
      </c>
      <c r="L146">
        <v>72.5</v>
      </c>
      <c r="M146">
        <v>68.180000000000007</v>
      </c>
      <c r="N146" t="s">
        <v>10</v>
      </c>
    </row>
    <row r="147" spans="1:14" x14ac:dyDescent="0.2">
      <c r="A147" s="1">
        <v>146</v>
      </c>
      <c r="B147" t="s">
        <v>111</v>
      </c>
      <c r="C147">
        <f xml:space="preserve">  73.18</f>
        <v>73.180000000000007</v>
      </c>
      <c r="D147">
        <v>5</v>
      </c>
      <c r="E147">
        <v>21</v>
      </c>
      <c r="F147">
        <v>81.680000000000007</v>
      </c>
      <c r="G147">
        <v>1</v>
      </c>
      <c r="H147">
        <v>8</v>
      </c>
      <c r="I147">
        <v>1</v>
      </c>
      <c r="J147">
        <v>10</v>
      </c>
      <c r="K147">
        <v>73.599999999999994</v>
      </c>
      <c r="L147">
        <v>72.89</v>
      </c>
      <c r="M147">
        <v>70.36</v>
      </c>
      <c r="N147" t="s">
        <v>7</v>
      </c>
    </row>
    <row r="148" spans="1:14" x14ac:dyDescent="0.2">
      <c r="A148" s="1">
        <v>147</v>
      </c>
      <c r="B148" t="s">
        <v>164</v>
      </c>
      <c r="C148">
        <f xml:space="preserve">  73.16</f>
        <v>73.16</v>
      </c>
      <c r="D148">
        <v>15</v>
      </c>
      <c r="E148">
        <v>4</v>
      </c>
      <c r="F148">
        <v>67.41</v>
      </c>
      <c r="G148">
        <v>0</v>
      </c>
      <c r="H148">
        <v>0</v>
      </c>
      <c r="I148">
        <v>0</v>
      </c>
      <c r="J148">
        <v>0</v>
      </c>
      <c r="K148">
        <v>72.56</v>
      </c>
      <c r="L148">
        <v>73.430000000000007</v>
      </c>
      <c r="M148">
        <v>75.73</v>
      </c>
      <c r="N148" t="s">
        <v>151</v>
      </c>
    </row>
    <row r="149" spans="1:14" x14ac:dyDescent="0.2">
      <c r="A149" s="1">
        <v>148</v>
      </c>
      <c r="B149" t="s">
        <v>207</v>
      </c>
      <c r="C149">
        <f xml:space="preserve">  73.1</f>
        <v>73.099999999999994</v>
      </c>
      <c r="D149">
        <v>13</v>
      </c>
      <c r="E149">
        <v>12</v>
      </c>
      <c r="F149">
        <v>71.989999999999995</v>
      </c>
      <c r="G149">
        <v>0</v>
      </c>
      <c r="H149">
        <v>1</v>
      </c>
      <c r="I149">
        <v>0</v>
      </c>
      <c r="J149">
        <v>1</v>
      </c>
      <c r="K149">
        <v>73.37</v>
      </c>
      <c r="L149">
        <v>72.900000000000006</v>
      </c>
      <c r="M149">
        <v>70.87</v>
      </c>
      <c r="N149" t="s">
        <v>94</v>
      </c>
    </row>
    <row r="150" spans="1:14" x14ac:dyDescent="0.2">
      <c r="A150" s="1">
        <v>149</v>
      </c>
      <c r="B150" t="s">
        <v>88</v>
      </c>
      <c r="C150">
        <f xml:space="preserve">  73.04</f>
        <v>73.040000000000006</v>
      </c>
      <c r="D150">
        <v>11</v>
      </c>
      <c r="E150">
        <v>8</v>
      </c>
      <c r="F150">
        <v>73.099999999999994</v>
      </c>
      <c r="G150">
        <v>0</v>
      </c>
      <c r="H150">
        <v>2</v>
      </c>
      <c r="I150">
        <v>0</v>
      </c>
      <c r="J150">
        <v>2</v>
      </c>
      <c r="K150">
        <v>72.81</v>
      </c>
      <c r="L150">
        <v>73.209999999999994</v>
      </c>
      <c r="M150">
        <v>72.23</v>
      </c>
      <c r="N150" t="s">
        <v>1</v>
      </c>
    </row>
    <row r="151" spans="1:14" x14ac:dyDescent="0.2">
      <c r="A151" s="1">
        <v>150</v>
      </c>
      <c r="B151" t="s">
        <v>795</v>
      </c>
      <c r="C151">
        <f xml:space="preserve">  72.87</f>
        <v>72.87</v>
      </c>
      <c r="D151">
        <v>2</v>
      </c>
      <c r="E151">
        <v>22</v>
      </c>
      <c r="F151">
        <v>83.55</v>
      </c>
      <c r="G151">
        <v>0</v>
      </c>
      <c r="H151">
        <v>1</v>
      </c>
      <c r="I151">
        <v>0</v>
      </c>
      <c r="J151">
        <v>16</v>
      </c>
      <c r="K151">
        <v>73.77</v>
      </c>
      <c r="L151">
        <v>72.430000000000007</v>
      </c>
      <c r="M151">
        <v>65.67</v>
      </c>
      <c r="N151" t="s">
        <v>3</v>
      </c>
    </row>
    <row r="152" spans="1:14" x14ac:dyDescent="0.2">
      <c r="A152" s="1">
        <v>151</v>
      </c>
      <c r="B152" t="s">
        <v>162</v>
      </c>
      <c r="C152">
        <f xml:space="preserve">  72.78</f>
        <v>72.78</v>
      </c>
      <c r="D152">
        <v>12</v>
      </c>
      <c r="E152">
        <v>8</v>
      </c>
      <c r="F152">
        <v>69.48</v>
      </c>
      <c r="G152">
        <v>0</v>
      </c>
      <c r="H152">
        <v>1</v>
      </c>
      <c r="I152">
        <v>0</v>
      </c>
      <c r="J152">
        <v>1</v>
      </c>
      <c r="K152">
        <v>72.84</v>
      </c>
      <c r="L152">
        <v>72.260000000000005</v>
      </c>
      <c r="M152">
        <v>77.08</v>
      </c>
      <c r="N152" t="s">
        <v>109</v>
      </c>
    </row>
    <row r="153" spans="1:14" x14ac:dyDescent="0.2">
      <c r="A153" s="1">
        <v>152</v>
      </c>
      <c r="B153" t="s">
        <v>862</v>
      </c>
      <c r="C153">
        <f xml:space="preserve">  72.74</f>
        <v>72.739999999999995</v>
      </c>
      <c r="D153">
        <v>15</v>
      </c>
      <c r="E153">
        <v>12</v>
      </c>
      <c r="F153">
        <v>70.56</v>
      </c>
      <c r="G153">
        <v>0</v>
      </c>
      <c r="H153">
        <v>2</v>
      </c>
      <c r="I153">
        <v>0</v>
      </c>
      <c r="J153">
        <v>2</v>
      </c>
      <c r="K153">
        <v>72.790000000000006</v>
      </c>
      <c r="L153">
        <v>72.569999999999993</v>
      </c>
      <c r="M153">
        <v>72.78</v>
      </c>
      <c r="N153" t="s">
        <v>82</v>
      </c>
    </row>
    <row r="154" spans="1:14" x14ac:dyDescent="0.2">
      <c r="A154" s="1">
        <v>153</v>
      </c>
      <c r="B154" t="s">
        <v>102</v>
      </c>
      <c r="C154">
        <f xml:space="preserve">  72.73</f>
        <v>72.73</v>
      </c>
      <c r="D154">
        <v>8</v>
      </c>
      <c r="E154">
        <v>15</v>
      </c>
      <c r="F154">
        <v>74.36</v>
      </c>
      <c r="G154">
        <v>0</v>
      </c>
      <c r="H154">
        <v>0</v>
      </c>
      <c r="I154">
        <v>0</v>
      </c>
      <c r="J154">
        <v>3</v>
      </c>
      <c r="K154">
        <v>72.650000000000006</v>
      </c>
      <c r="L154">
        <v>72.540000000000006</v>
      </c>
      <c r="M154">
        <v>74.63</v>
      </c>
      <c r="N154" t="s">
        <v>84</v>
      </c>
    </row>
    <row r="155" spans="1:14" x14ac:dyDescent="0.2">
      <c r="A155" s="1">
        <v>154</v>
      </c>
      <c r="B155" t="s">
        <v>139</v>
      </c>
      <c r="C155">
        <f xml:space="preserve">  72.59</f>
        <v>72.59</v>
      </c>
      <c r="D155">
        <v>13</v>
      </c>
      <c r="E155">
        <v>5</v>
      </c>
      <c r="F155">
        <v>64.319999999999993</v>
      </c>
      <c r="G155">
        <v>0</v>
      </c>
      <c r="H155">
        <v>1</v>
      </c>
      <c r="I155">
        <v>0</v>
      </c>
      <c r="J155">
        <v>1</v>
      </c>
      <c r="K155">
        <v>72.400000000000006</v>
      </c>
      <c r="L155">
        <v>72.540000000000006</v>
      </c>
      <c r="M155">
        <v>73.849999999999994</v>
      </c>
      <c r="N155" t="s">
        <v>179</v>
      </c>
    </row>
    <row r="156" spans="1:14" x14ac:dyDescent="0.2">
      <c r="A156" s="1">
        <v>155</v>
      </c>
      <c r="B156" t="s">
        <v>115</v>
      </c>
      <c r="C156">
        <f xml:space="preserve">  72.58</f>
        <v>72.58</v>
      </c>
      <c r="D156">
        <v>10</v>
      </c>
      <c r="E156">
        <v>15</v>
      </c>
      <c r="F156">
        <v>74.709999999999994</v>
      </c>
      <c r="G156">
        <v>0</v>
      </c>
      <c r="H156">
        <v>1</v>
      </c>
      <c r="I156">
        <v>1</v>
      </c>
      <c r="J156">
        <v>5</v>
      </c>
      <c r="K156">
        <v>72.790000000000006</v>
      </c>
      <c r="L156">
        <v>72.47</v>
      </c>
      <c r="M156">
        <v>69.959999999999994</v>
      </c>
      <c r="N156" t="s">
        <v>56</v>
      </c>
    </row>
    <row r="157" spans="1:14" x14ac:dyDescent="0.2">
      <c r="A157" s="1">
        <v>156</v>
      </c>
      <c r="B157" t="s">
        <v>142</v>
      </c>
      <c r="C157">
        <f xml:space="preserve">  72.52</f>
        <v>72.52</v>
      </c>
      <c r="D157">
        <v>13</v>
      </c>
      <c r="E157">
        <v>10</v>
      </c>
      <c r="F157">
        <v>70.13</v>
      </c>
      <c r="G157">
        <v>0</v>
      </c>
      <c r="H157">
        <v>0</v>
      </c>
      <c r="I157">
        <v>0</v>
      </c>
      <c r="J157">
        <v>2</v>
      </c>
      <c r="K157">
        <v>72.38</v>
      </c>
      <c r="L157">
        <v>72.66</v>
      </c>
      <c r="M157">
        <v>71</v>
      </c>
      <c r="N157" t="s">
        <v>109</v>
      </c>
    </row>
    <row r="158" spans="1:14" x14ac:dyDescent="0.2">
      <c r="A158" s="1">
        <v>157</v>
      </c>
      <c r="B158" t="s">
        <v>163</v>
      </c>
      <c r="C158">
        <f xml:space="preserve">  72.42</f>
        <v>72.42</v>
      </c>
      <c r="D158">
        <v>9</v>
      </c>
      <c r="E158">
        <v>12</v>
      </c>
      <c r="F158">
        <v>73.69</v>
      </c>
      <c r="G158">
        <v>0</v>
      </c>
      <c r="H158">
        <v>1</v>
      </c>
      <c r="I158">
        <v>0</v>
      </c>
      <c r="J158">
        <v>2</v>
      </c>
      <c r="K158">
        <v>72.83</v>
      </c>
      <c r="L158">
        <v>71.97</v>
      </c>
      <c r="M158">
        <v>71.459999999999994</v>
      </c>
      <c r="N158" t="s">
        <v>67</v>
      </c>
    </row>
    <row r="159" spans="1:14" x14ac:dyDescent="0.2">
      <c r="A159" s="1">
        <v>158</v>
      </c>
      <c r="B159" t="s">
        <v>114</v>
      </c>
      <c r="C159">
        <f xml:space="preserve">  72.31</f>
        <v>72.31</v>
      </c>
      <c r="D159">
        <v>10</v>
      </c>
      <c r="E159">
        <v>16</v>
      </c>
      <c r="F159">
        <v>73.63</v>
      </c>
      <c r="G159">
        <v>0</v>
      </c>
      <c r="H159">
        <v>0</v>
      </c>
      <c r="I159">
        <v>0</v>
      </c>
      <c r="J159">
        <v>2</v>
      </c>
      <c r="K159">
        <v>73.2</v>
      </c>
      <c r="L159">
        <v>71.739999999999995</v>
      </c>
      <c r="M159">
        <v>67.03</v>
      </c>
      <c r="N159" t="s">
        <v>84</v>
      </c>
    </row>
    <row r="160" spans="1:14" x14ac:dyDescent="0.2">
      <c r="A160" s="1">
        <v>159</v>
      </c>
      <c r="B160" t="s">
        <v>194</v>
      </c>
      <c r="C160">
        <f xml:space="preserve">  72.29</f>
        <v>72.290000000000006</v>
      </c>
      <c r="D160">
        <v>10</v>
      </c>
      <c r="E160">
        <v>9</v>
      </c>
      <c r="F160">
        <v>73.11</v>
      </c>
      <c r="G160">
        <v>0</v>
      </c>
      <c r="H160">
        <v>1</v>
      </c>
      <c r="I160">
        <v>0</v>
      </c>
      <c r="J160">
        <v>3</v>
      </c>
      <c r="K160">
        <v>72.58</v>
      </c>
      <c r="L160">
        <v>72.05</v>
      </c>
      <c r="M160">
        <v>70.16</v>
      </c>
      <c r="N160" t="s">
        <v>109</v>
      </c>
    </row>
    <row r="161" spans="1:14" x14ac:dyDescent="0.2">
      <c r="A161" s="1">
        <v>160</v>
      </c>
      <c r="B161" t="s">
        <v>820</v>
      </c>
      <c r="C161">
        <f xml:space="preserve">  72.19</f>
        <v>72.19</v>
      </c>
      <c r="D161">
        <v>21</v>
      </c>
      <c r="E161">
        <v>8</v>
      </c>
      <c r="F161">
        <v>68.86</v>
      </c>
      <c r="G161">
        <v>0</v>
      </c>
      <c r="H161">
        <v>2</v>
      </c>
      <c r="I161">
        <v>0</v>
      </c>
      <c r="J161">
        <v>4</v>
      </c>
      <c r="K161">
        <v>70.900000000000006</v>
      </c>
      <c r="L161">
        <v>72.8</v>
      </c>
      <c r="M161">
        <v>79.87</v>
      </c>
      <c r="N161" t="s">
        <v>77</v>
      </c>
    </row>
    <row r="162" spans="1:14" x14ac:dyDescent="0.2">
      <c r="A162" s="1">
        <v>161</v>
      </c>
      <c r="B162" t="s">
        <v>193</v>
      </c>
      <c r="C162">
        <f xml:space="preserve">  72.11</f>
        <v>72.11</v>
      </c>
      <c r="D162">
        <v>14</v>
      </c>
      <c r="E162">
        <v>6</v>
      </c>
      <c r="F162">
        <v>67.37</v>
      </c>
      <c r="G162">
        <v>0</v>
      </c>
      <c r="H162">
        <v>0</v>
      </c>
      <c r="I162">
        <v>0</v>
      </c>
      <c r="J162">
        <v>0</v>
      </c>
      <c r="K162">
        <v>71.87</v>
      </c>
      <c r="L162">
        <v>72.13</v>
      </c>
      <c r="M162">
        <v>73.39</v>
      </c>
      <c r="N162" t="s">
        <v>90</v>
      </c>
    </row>
    <row r="163" spans="1:14" x14ac:dyDescent="0.2">
      <c r="A163" s="1">
        <v>162</v>
      </c>
      <c r="B163" t="s">
        <v>159</v>
      </c>
      <c r="C163">
        <f xml:space="preserve">  72.07</f>
        <v>72.069999999999993</v>
      </c>
      <c r="D163">
        <v>14</v>
      </c>
      <c r="E163">
        <v>8</v>
      </c>
      <c r="F163">
        <v>67.92</v>
      </c>
      <c r="G163">
        <v>0</v>
      </c>
      <c r="H163">
        <v>0</v>
      </c>
      <c r="I163">
        <v>0</v>
      </c>
      <c r="J163">
        <v>0</v>
      </c>
      <c r="K163">
        <v>71.64</v>
      </c>
      <c r="L163">
        <v>72.31</v>
      </c>
      <c r="M163">
        <v>72.91</v>
      </c>
      <c r="N163" t="s">
        <v>307</v>
      </c>
    </row>
    <row r="164" spans="1:14" x14ac:dyDescent="0.2">
      <c r="A164" s="1">
        <v>163</v>
      </c>
      <c r="B164" t="s">
        <v>124</v>
      </c>
      <c r="C164">
        <f xml:space="preserve">  72.03</f>
        <v>72.03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71.95</v>
      </c>
      <c r="L164">
        <v>71.98</v>
      </c>
      <c r="M164">
        <v>72.150000000000006</v>
      </c>
      <c r="N164" t="s">
        <v>125</v>
      </c>
    </row>
    <row r="165" spans="1:14" x14ac:dyDescent="0.2">
      <c r="A165" s="1">
        <v>164</v>
      </c>
      <c r="B165" t="s">
        <v>110</v>
      </c>
      <c r="C165">
        <f xml:space="preserve">  71.92</f>
        <v>71.92</v>
      </c>
      <c r="D165">
        <v>10</v>
      </c>
      <c r="E165">
        <v>13</v>
      </c>
      <c r="F165">
        <v>75.95</v>
      </c>
      <c r="G165">
        <v>0</v>
      </c>
      <c r="H165">
        <v>3</v>
      </c>
      <c r="I165">
        <v>0</v>
      </c>
      <c r="J165">
        <v>5</v>
      </c>
      <c r="K165">
        <v>71.540000000000006</v>
      </c>
      <c r="L165">
        <v>71.989999999999995</v>
      </c>
      <c r="M165">
        <v>74.400000000000006</v>
      </c>
      <c r="N165" t="s">
        <v>5</v>
      </c>
    </row>
    <row r="166" spans="1:14" x14ac:dyDescent="0.2">
      <c r="A166" s="1">
        <v>165</v>
      </c>
      <c r="B166" t="s">
        <v>85</v>
      </c>
      <c r="C166">
        <f xml:space="preserve">  71.82</f>
        <v>71.819999999999993</v>
      </c>
      <c r="D166">
        <v>16</v>
      </c>
      <c r="E166">
        <v>8</v>
      </c>
      <c r="F166">
        <v>70.38</v>
      </c>
      <c r="G166">
        <v>0</v>
      </c>
      <c r="H166">
        <v>0</v>
      </c>
      <c r="I166">
        <v>0</v>
      </c>
      <c r="J166">
        <v>0</v>
      </c>
      <c r="K166">
        <v>71.11</v>
      </c>
      <c r="L166">
        <v>72.36</v>
      </c>
      <c r="M166">
        <v>72.459999999999994</v>
      </c>
      <c r="N166" t="s">
        <v>86</v>
      </c>
    </row>
    <row r="167" spans="1:14" x14ac:dyDescent="0.2">
      <c r="A167" s="1">
        <v>166</v>
      </c>
      <c r="B167" t="s">
        <v>92</v>
      </c>
      <c r="C167">
        <f xml:space="preserve">  71.81</f>
        <v>71.81</v>
      </c>
      <c r="D167">
        <v>14</v>
      </c>
      <c r="E167">
        <v>11</v>
      </c>
      <c r="F167">
        <v>71.59</v>
      </c>
      <c r="G167">
        <v>0</v>
      </c>
      <c r="H167">
        <v>0</v>
      </c>
      <c r="I167">
        <v>0</v>
      </c>
      <c r="J167">
        <v>4</v>
      </c>
      <c r="K167">
        <v>71.41</v>
      </c>
      <c r="L167">
        <v>71.84</v>
      </c>
      <c r="M167">
        <v>74.760000000000005</v>
      </c>
      <c r="N167" t="s">
        <v>56</v>
      </c>
    </row>
    <row r="168" spans="1:14" x14ac:dyDescent="0.2">
      <c r="A168" s="1">
        <v>167</v>
      </c>
      <c r="B168" t="s">
        <v>275</v>
      </c>
      <c r="C168">
        <f xml:space="preserve">  71.73</f>
        <v>71.73</v>
      </c>
      <c r="D168">
        <v>7</v>
      </c>
      <c r="E168">
        <v>11</v>
      </c>
      <c r="F168">
        <v>74.900000000000006</v>
      </c>
      <c r="G168">
        <v>1</v>
      </c>
      <c r="H168">
        <v>0</v>
      </c>
      <c r="I168">
        <v>1</v>
      </c>
      <c r="J168">
        <v>2</v>
      </c>
      <c r="K168">
        <v>71.67</v>
      </c>
      <c r="L168">
        <v>71.8</v>
      </c>
      <c r="M168">
        <v>70.16</v>
      </c>
      <c r="N168" t="s">
        <v>5</v>
      </c>
    </row>
    <row r="169" spans="1:14" x14ac:dyDescent="0.2">
      <c r="A169" s="1">
        <v>168</v>
      </c>
      <c r="B169" t="s">
        <v>813</v>
      </c>
      <c r="C169">
        <f xml:space="preserve">  71.71</f>
        <v>71.709999999999994</v>
      </c>
      <c r="D169">
        <v>10</v>
      </c>
      <c r="E169">
        <v>13</v>
      </c>
      <c r="F169">
        <v>72.61</v>
      </c>
      <c r="G169">
        <v>0</v>
      </c>
      <c r="H169">
        <v>1</v>
      </c>
      <c r="I169">
        <v>0</v>
      </c>
      <c r="J169">
        <v>1</v>
      </c>
      <c r="K169">
        <v>71.2</v>
      </c>
      <c r="L169">
        <v>72.099999999999994</v>
      </c>
      <c r="M169">
        <v>71.819999999999993</v>
      </c>
      <c r="N169" t="s">
        <v>94</v>
      </c>
    </row>
    <row r="170" spans="1:14" x14ac:dyDescent="0.2">
      <c r="A170" s="1">
        <v>169</v>
      </c>
      <c r="B170" t="s">
        <v>548</v>
      </c>
      <c r="C170">
        <f xml:space="preserve">  71.44</f>
        <v>71.44</v>
      </c>
      <c r="D170">
        <v>12</v>
      </c>
      <c r="E170">
        <v>6</v>
      </c>
      <c r="F170">
        <v>66.75</v>
      </c>
      <c r="G170">
        <v>0</v>
      </c>
      <c r="H170">
        <v>1</v>
      </c>
      <c r="I170">
        <v>0</v>
      </c>
      <c r="J170">
        <v>2</v>
      </c>
      <c r="K170">
        <v>71.41</v>
      </c>
      <c r="L170">
        <v>71</v>
      </c>
      <c r="M170">
        <v>75.73</v>
      </c>
      <c r="N170" t="s">
        <v>107</v>
      </c>
    </row>
    <row r="171" spans="1:14" x14ac:dyDescent="0.2">
      <c r="A171" s="1">
        <v>170</v>
      </c>
      <c r="B171" t="s">
        <v>199</v>
      </c>
      <c r="C171">
        <f xml:space="preserve">  71.42</f>
        <v>71.42</v>
      </c>
      <c r="D171">
        <v>20</v>
      </c>
      <c r="E171">
        <v>7</v>
      </c>
      <c r="F171">
        <v>66.03</v>
      </c>
      <c r="G171">
        <v>0</v>
      </c>
      <c r="H171">
        <v>0</v>
      </c>
      <c r="I171">
        <v>0</v>
      </c>
      <c r="J171">
        <v>0</v>
      </c>
      <c r="K171">
        <v>71.25</v>
      </c>
      <c r="L171">
        <v>71.2</v>
      </c>
      <c r="M171">
        <v>74.84</v>
      </c>
      <c r="N171" t="s">
        <v>77</v>
      </c>
    </row>
    <row r="172" spans="1:14" x14ac:dyDescent="0.2">
      <c r="A172" s="1">
        <v>171</v>
      </c>
      <c r="B172" t="s">
        <v>232</v>
      </c>
      <c r="C172">
        <f xml:space="preserve">  71.21</f>
        <v>71.209999999999994</v>
      </c>
      <c r="D172">
        <v>11</v>
      </c>
      <c r="E172">
        <v>11</v>
      </c>
      <c r="F172">
        <v>72.180000000000007</v>
      </c>
      <c r="G172">
        <v>0</v>
      </c>
      <c r="H172">
        <v>0</v>
      </c>
      <c r="I172">
        <v>0</v>
      </c>
      <c r="J172">
        <v>1</v>
      </c>
      <c r="K172">
        <v>70.89</v>
      </c>
      <c r="L172">
        <v>71.150000000000006</v>
      </c>
      <c r="M172">
        <v>74.260000000000005</v>
      </c>
      <c r="N172" t="s">
        <v>67</v>
      </c>
    </row>
    <row r="173" spans="1:14" x14ac:dyDescent="0.2">
      <c r="A173" s="1">
        <v>172</v>
      </c>
      <c r="B173" t="s">
        <v>861</v>
      </c>
      <c r="C173">
        <f xml:space="preserve">  70.85</f>
        <v>70.849999999999994</v>
      </c>
      <c r="D173">
        <v>17</v>
      </c>
      <c r="E173">
        <v>6</v>
      </c>
      <c r="F173">
        <v>66.61</v>
      </c>
      <c r="G173">
        <v>0</v>
      </c>
      <c r="H173">
        <v>1</v>
      </c>
      <c r="I173">
        <v>0</v>
      </c>
      <c r="J173">
        <v>1</v>
      </c>
      <c r="K173">
        <v>69.34</v>
      </c>
      <c r="L173">
        <v>71.849999999999994</v>
      </c>
      <c r="M173">
        <v>75.510000000000005</v>
      </c>
      <c r="N173" t="s">
        <v>308</v>
      </c>
    </row>
    <row r="174" spans="1:14" x14ac:dyDescent="0.2">
      <c r="A174" s="1">
        <v>173</v>
      </c>
      <c r="B174" t="s">
        <v>829</v>
      </c>
      <c r="C174">
        <f xml:space="preserve">  70.84</f>
        <v>70.84</v>
      </c>
      <c r="D174">
        <v>16</v>
      </c>
      <c r="E174">
        <v>9</v>
      </c>
      <c r="F174">
        <v>68.040000000000006</v>
      </c>
      <c r="G174">
        <v>0</v>
      </c>
      <c r="H174">
        <v>1</v>
      </c>
      <c r="I174">
        <v>0</v>
      </c>
      <c r="J174">
        <v>1</v>
      </c>
      <c r="K174">
        <v>70.67</v>
      </c>
      <c r="L174">
        <v>70.73</v>
      </c>
      <c r="M174">
        <v>72.89</v>
      </c>
      <c r="N174" t="s">
        <v>77</v>
      </c>
    </row>
    <row r="175" spans="1:14" x14ac:dyDescent="0.2">
      <c r="A175" s="1">
        <v>174</v>
      </c>
      <c r="B175" t="s">
        <v>196</v>
      </c>
      <c r="C175">
        <f xml:space="preserve">  70.82</f>
        <v>70.819999999999993</v>
      </c>
      <c r="D175">
        <v>12</v>
      </c>
      <c r="E175">
        <v>5</v>
      </c>
      <c r="F175">
        <v>65.89</v>
      </c>
      <c r="G175">
        <v>0</v>
      </c>
      <c r="H175">
        <v>0</v>
      </c>
      <c r="I175">
        <v>0</v>
      </c>
      <c r="J175">
        <v>0</v>
      </c>
      <c r="K175">
        <v>69.91</v>
      </c>
      <c r="L175">
        <v>71.58</v>
      </c>
      <c r="M175">
        <v>71.150000000000006</v>
      </c>
      <c r="N175" t="s">
        <v>107</v>
      </c>
    </row>
    <row r="176" spans="1:14" x14ac:dyDescent="0.2">
      <c r="A176" s="1">
        <v>175</v>
      </c>
      <c r="B176" t="s">
        <v>303</v>
      </c>
      <c r="C176">
        <f xml:space="preserve">  70.78</f>
        <v>70.78</v>
      </c>
      <c r="D176">
        <v>13</v>
      </c>
      <c r="E176">
        <v>11</v>
      </c>
      <c r="F176">
        <v>69.680000000000007</v>
      </c>
      <c r="G176">
        <v>0</v>
      </c>
      <c r="H176">
        <v>1</v>
      </c>
      <c r="I176">
        <v>0</v>
      </c>
      <c r="J176">
        <v>1</v>
      </c>
      <c r="K176">
        <v>70.92</v>
      </c>
      <c r="L176">
        <v>70.7</v>
      </c>
      <c r="M176">
        <v>68.69</v>
      </c>
      <c r="N176" t="s">
        <v>82</v>
      </c>
    </row>
    <row r="177" spans="1:14" x14ac:dyDescent="0.2">
      <c r="A177" s="1">
        <v>176</v>
      </c>
      <c r="B177" t="s">
        <v>804</v>
      </c>
      <c r="C177">
        <f xml:space="preserve">  70.76</f>
        <v>70.760000000000005</v>
      </c>
      <c r="D177">
        <v>10</v>
      </c>
      <c r="E177">
        <v>12</v>
      </c>
      <c r="F177">
        <v>74.31</v>
      </c>
      <c r="G177">
        <v>0</v>
      </c>
      <c r="H177">
        <v>0</v>
      </c>
      <c r="I177">
        <v>0</v>
      </c>
      <c r="J177">
        <v>4</v>
      </c>
      <c r="K177">
        <v>69.75</v>
      </c>
      <c r="L177">
        <v>71.45</v>
      </c>
      <c r="M177">
        <v>73.05</v>
      </c>
      <c r="N177" t="s">
        <v>56</v>
      </c>
    </row>
    <row r="178" spans="1:14" x14ac:dyDescent="0.2">
      <c r="A178" s="1">
        <v>177</v>
      </c>
      <c r="B178" t="s">
        <v>798</v>
      </c>
      <c r="C178">
        <f xml:space="preserve">  70.75</f>
        <v>70.75</v>
      </c>
      <c r="D178">
        <v>11</v>
      </c>
      <c r="E178">
        <v>13</v>
      </c>
      <c r="F178">
        <v>66.150000000000006</v>
      </c>
      <c r="G178">
        <v>0</v>
      </c>
      <c r="H178">
        <v>0</v>
      </c>
      <c r="I178">
        <v>0</v>
      </c>
      <c r="J178">
        <v>0</v>
      </c>
      <c r="K178">
        <v>71.959999999999994</v>
      </c>
      <c r="L178">
        <v>69.900000000000006</v>
      </c>
      <c r="M178">
        <v>64.17</v>
      </c>
      <c r="N178" t="s">
        <v>77</v>
      </c>
    </row>
    <row r="179" spans="1:14" x14ac:dyDescent="0.2">
      <c r="A179" s="1">
        <v>178</v>
      </c>
      <c r="B179" t="s">
        <v>192</v>
      </c>
      <c r="C179">
        <f xml:space="preserve">  70.64</f>
        <v>70.64</v>
      </c>
      <c r="D179">
        <v>10</v>
      </c>
      <c r="E179">
        <v>13</v>
      </c>
      <c r="F179">
        <v>71.39</v>
      </c>
      <c r="G179">
        <v>0</v>
      </c>
      <c r="H179">
        <v>1</v>
      </c>
      <c r="I179">
        <v>0</v>
      </c>
      <c r="J179">
        <v>2</v>
      </c>
      <c r="K179">
        <v>70.430000000000007</v>
      </c>
      <c r="L179">
        <v>70.69</v>
      </c>
      <c r="M179">
        <v>71.03</v>
      </c>
      <c r="N179" t="s">
        <v>151</v>
      </c>
    </row>
    <row r="180" spans="1:14" x14ac:dyDescent="0.2">
      <c r="A180" s="1">
        <v>179</v>
      </c>
      <c r="B180" t="s">
        <v>283</v>
      </c>
      <c r="C180">
        <f xml:space="preserve">  70.57</f>
        <v>70.569999999999993</v>
      </c>
      <c r="D180">
        <v>15</v>
      </c>
      <c r="E180">
        <v>3</v>
      </c>
      <c r="F180">
        <v>66.22</v>
      </c>
      <c r="G180">
        <v>0</v>
      </c>
      <c r="H180">
        <v>0</v>
      </c>
      <c r="I180">
        <v>0</v>
      </c>
      <c r="J180">
        <v>1</v>
      </c>
      <c r="K180">
        <v>69.319999999999993</v>
      </c>
      <c r="L180">
        <v>71.48</v>
      </c>
      <c r="M180">
        <v>73.02</v>
      </c>
      <c r="N180" t="s">
        <v>141</v>
      </c>
    </row>
    <row r="181" spans="1:14" x14ac:dyDescent="0.2">
      <c r="A181" s="1">
        <v>180</v>
      </c>
      <c r="B181" t="s">
        <v>174</v>
      </c>
      <c r="C181">
        <f xml:space="preserve">  70.57</f>
        <v>70.569999999999993</v>
      </c>
      <c r="D181">
        <v>10</v>
      </c>
      <c r="E181">
        <v>7</v>
      </c>
      <c r="F181">
        <v>69.7</v>
      </c>
      <c r="G181">
        <v>0</v>
      </c>
      <c r="H181">
        <v>0</v>
      </c>
      <c r="I181">
        <v>0</v>
      </c>
      <c r="J181">
        <v>0</v>
      </c>
      <c r="K181">
        <v>70.83</v>
      </c>
      <c r="L181">
        <v>69.98</v>
      </c>
      <c r="M181">
        <v>72.95</v>
      </c>
      <c r="N181" t="s">
        <v>109</v>
      </c>
    </row>
    <row r="182" spans="1:14" x14ac:dyDescent="0.2">
      <c r="A182" s="1">
        <v>181</v>
      </c>
      <c r="B182" t="s">
        <v>840</v>
      </c>
      <c r="C182">
        <f xml:space="preserve">  70.54</f>
        <v>70.540000000000006</v>
      </c>
      <c r="D182">
        <v>19</v>
      </c>
      <c r="E182">
        <v>8</v>
      </c>
      <c r="F182">
        <v>68.62</v>
      </c>
      <c r="G182">
        <v>0</v>
      </c>
      <c r="H182">
        <v>2</v>
      </c>
      <c r="I182">
        <v>0</v>
      </c>
      <c r="J182">
        <v>2</v>
      </c>
      <c r="K182">
        <v>69.31</v>
      </c>
      <c r="L182">
        <v>71.239999999999995</v>
      </c>
      <c r="M182">
        <v>75.3</v>
      </c>
      <c r="N182" t="s">
        <v>186</v>
      </c>
    </row>
    <row r="183" spans="1:14" x14ac:dyDescent="0.2">
      <c r="A183" s="1">
        <v>182</v>
      </c>
      <c r="B183" t="s">
        <v>837</v>
      </c>
      <c r="C183">
        <f xml:space="preserve">  70.5</f>
        <v>70.5</v>
      </c>
      <c r="D183">
        <v>15</v>
      </c>
      <c r="E183">
        <v>9</v>
      </c>
      <c r="F183">
        <v>68.03</v>
      </c>
      <c r="G183">
        <v>0</v>
      </c>
      <c r="H183">
        <v>3</v>
      </c>
      <c r="I183">
        <v>0</v>
      </c>
      <c r="J183">
        <v>3</v>
      </c>
      <c r="K183">
        <v>69.8</v>
      </c>
      <c r="L183">
        <v>71.06</v>
      </c>
      <c r="M183">
        <v>70.739999999999995</v>
      </c>
      <c r="N183" t="s">
        <v>179</v>
      </c>
    </row>
    <row r="184" spans="1:14" x14ac:dyDescent="0.2">
      <c r="A184" s="1">
        <v>183</v>
      </c>
      <c r="B184" t="s">
        <v>873</v>
      </c>
      <c r="C184">
        <f xml:space="preserve">  70.36</f>
        <v>70.36</v>
      </c>
      <c r="D184">
        <v>11</v>
      </c>
      <c r="E184">
        <v>11</v>
      </c>
      <c r="F184">
        <v>71.53</v>
      </c>
      <c r="G184">
        <v>0</v>
      </c>
      <c r="H184">
        <v>0</v>
      </c>
      <c r="I184">
        <v>0</v>
      </c>
      <c r="J184">
        <v>0</v>
      </c>
      <c r="K184">
        <v>69.84</v>
      </c>
      <c r="L184">
        <v>70.61</v>
      </c>
      <c r="M184">
        <v>72.3</v>
      </c>
      <c r="N184" t="s">
        <v>94</v>
      </c>
    </row>
    <row r="185" spans="1:14" x14ac:dyDescent="0.2">
      <c r="A185" s="1">
        <v>184</v>
      </c>
      <c r="B185" t="s">
        <v>148</v>
      </c>
      <c r="C185">
        <f xml:space="preserve">  70.33</f>
        <v>70.33</v>
      </c>
      <c r="D185">
        <v>9</v>
      </c>
      <c r="E185">
        <v>10</v>
      </c>
      <c r="F185">
        <v>69.2</v>
      </c>
      <c r="G185">
        <v>0</v>
      </c>
      <c r="H185">
        <v>0</v>
      </c>
      <c r="I185">
        <v>0</v>
      </c>
      <c r="J185">
        <v>0</v>
      </c>
      <c r="K185">
        <v>70.62</v>
      </c>
      <c r="L185">
        <v>69.58</v>
      </c>
      <c r="M185">
        <v>74.47</v>
      </c>
      <c r="N185" t="s">
        <v>67</v>
      </c>
    </row>
    <row r="186" spans="1:14" x14ac:dyDescent="0.2">
      <c r="A186" s="1">
        <v>185</v>
      </c>
      <c r="B186" t="s">
        <v>136</v>
      </c>
      <c r="C186">
        <f xml:space="preserve">  70.14</f>
        <v>70.14</v>
      </c>
      <c r="D186">
        <v>11</v>
      </c>
      <c r="E186">
        <v>14</v>
      </c>
      <c r="F186">
        <v>72.760000000000005</v>
      </c>
      <c r="G186">
        <v>0</v>
      </c>
      <c r="H186">
        <v>0</v>
      </c>
      <c r="I186">
        <v>0</v>
      </c>
      <c r="J186">
        <v>3</v>
      </c>
      <c r="K186">
        <v>70.239999999999995</v>
      </c>
      <c r="L186">
        <v>70.03</v>
      </c>
      <c r="M186">
        <v>68.94</v>
      </c>
      <c r="N186" t="s">
        <v>84</v>
      </c>
    </row>
    <row r="187" spans="1:14" x14ac:dyDescent="0.2">
      <c r="A187" s="1">
        <v>186</v>
      </c>
      <c r="B187" t="s">
        <v>210</v>
      </c>
      <c r="C187">
        <f xml:space="preserve">  70.09</f>
        <v>70.09</v>
      </c>
      <c r="D187">
        <v>13</v>
      </c>
      <c r="E187">
        <v>11</v>
      </c>
      <c r="F187">
        <v>69.290000000000006</v>
      </c>
      <c r="G187">
        <v>0</v>
      </c>
      <c r="H187">
        <v>0</v>
      </c>
      <c r="I187">
        <v>0</v>
      </c>
      <c r="J187">
        <v>1</v>
      </c>
      <c r="K187">
        <v>69.7</v>
      </c>
      <c r="L187">
        <v>70.3</v>
      </c>
      <c r="M187">
        <v>70.84</v>
      </c>
      <c r="N187" t="s">
        <v>135</v>
      </c>
    </row>
    <row r="188" spans="1:14" x14ac:dyDescent="0.2">
      <c r="A188" s="1">
        <v>187</v>
      </c>
      <c r="B188" t="s">
        <v>279</v>
      </c>
      <c r="C188">
        <f xml:space="preserve">  69.94</f>
        <v>69.94</v>
      </c>
      <c r="D188">
        <v>10</v>
      </c>
      <c r="E188">
        <v>12</v>
      </c>
      <c r="F188">
        <v>72.31</v>
      </c>
      <c r="G188">
        <v>0</v>
      </c>
      <c r="H188">
        <v>0</v>
      </c>
      <c r="I188">
        <v>0</v>
      </c>
      <c r="J188">
        <v>2</v>
      </c>
      <c r="K188">
        <v>70.42</v>
      </c>
      <c r="L188">
        <v>69.099999999999994</v>
      </c>
      <c r="M188">
        <v>72.66</v>
      </c>
      <c r="N188" t="s">
        <v>86</v>
      </c>
    </row>
    <row r="189" spans="1:14" x14ac:dyDescent="0.2">
      <c r="A189" s="1">
        <v>188</v>
      </c>
      <c r="B189" t="s">
        <v>298</v>
      </c>
      <c r="C189">
        <f xml:space="preserve">  69.83</f>
        <v>69.83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69.72</v>
      </c>
      <c r="L189">
        <v>69.78</v>
      </c>
      <c r="M189">
        <v>70.31</v>
      </c>
      <c r="N189" t="s">
        <v>125</v>
      </c>
    </row>
    <row r="190" spans="1:14" x14ac:dyDescent="0.2">
      <c r="A190" s="1">
        <v>189</v>
      </c>
      <c r="B190" t="s">
        <v>175</v>
      </c>
      <c r="C190">
        <f xml:space="preserve">  69.79</f>
        <v>69.790000000000006</v>
      </c>
      <c r="D190">
        <v>14</v>
      </c>
      <c r="E190">
        <v>7</v>
      </c>
      <c r="F190">
        <v>65.67</v>
      </c>
      <c r="G190">
        <v>0</v>
      </c>
      <c r="H190">
        <v>0</v>
      </c>
      <c r="I190">
        <v>0</v>
      </c>
      <c r="J190">
        <v>1</v>
      </c>
      <c r="K190">
        <v>69.97</v>
      </c>
      <c r="L190">
        <v>69.510000000000005</v>
      </c>
      <c r="M190">
        <v>69.64</v>
      </c>
      <c r="N190" t="s">
        <v>167</v>
      </c>
    </row>
    <row r="191" spans="1:14" x14ac:dyDescent="0.2">
      <c r="A191" s="1">
        <v>190</v>
      </c>
      <c r="B191" t="s">
        <v>281</v>
      </c>
      <c r="C191">
        <f xml:space="preserve">  69.7</f>
        <v>69.7</v>
      </c>
      <c r="D191">
        <v>15</v>
      </c>
      <c r="E191">
        <v>9</v>
      </c>
      <c r="F191">
        <v>68.22</v>
      </c>
      <c r="G191">
        <v>0</v>
      </c>
      <c r="H191">
        <v>1</v>
      </c>
      <c r="I191">
        <v>0</v>
      </c>
      <c r="J191">
        <v>1</v>
      </c>
      <c r="K191">
        <v>68.900000000000006</v>
      </c>
      <c r="L191">
        <v>70.44</v>
      </c>
      <c r="M191">
        <v>68.78</v>
      </c>
      <c r="N191" t="s">
        <v>308</v>
      </c>
    </row>
    <row r="192" spans="1:14" x14ac:dyDescent="0.2">
      <c r="A192" s="1">
        <v>191</v>
      </c>
      <c r="B192" t="s">
        <v>826</v>
      </c>
      <c r="C192">
        <f xml:space="preserve">  69.67</f>
        <v>69.67</v>
      </c>
      <c r="D192">
        <v>13</v>
      </c>
      <c r="E192">
        <v>12</v>
      </c>
      <c r="F192">
        <v>69.400000000000006</v>
      </c>
      <c r="G192">
        <v>0</v>
      </c>
      <c r="H192">
        <v>1</v>
      </c>
      <c r="I192">
        <v>0</v>
      </c>
      <c r="J192">
        <v>1</v>
      </c>
      <c r="K192">
        <v>69.02</v>
      </c>
      <c r="L192">
        <v>69.81</v>
      </c>
      <c r="M192">
        <v>74.25</v>
      </c>
      <c r="N192" t="s">
        <v>307</v>
      </c>
    </row>
    <row r="193" spans="1:14" x14ac:dyDescent="0.2">
      <c r="A193" s="1">
        <v>192</v>
      </c>
      <c r="B193" t="s">
        <v>158</v>
      </c>
      <c r="C193">
        <f xml:space="preserve">  69.61</f>
        <v>69.61</v>
      </c>
      <c r="D193">
        <v>13</v>
      </c>
      <c r="E193">
        <v>11</v>
      </c>
      <c r="F193">
        <v>69.13</v>
      </c>
      <c r="G193">
        <v>0</v>
      </c>
      <c r="H193">
        <v>0</v>
      </c>
      <c r="I193">
        <v>0</v>
      </c>
      <c r="J193">
        <v>0</v>
      </c>
      <c r="K193">
        <v>69.34</v>
      </c>
      <c r="L193">
        <v>69.84</v>
      </c>
      <c r="M193">
        <v>68.7</v>
      </c>
      <c r="N193" t="s">
        <v>307</v>
      </c>
    </row>
    <row r="194" spans="1:14" x14ac:dyDescent="0.2">
      <c r="A194" s="1">
        <v>193</v>
      </c>
      <c r="B194" t="s">
        <v>300</v>
      </c>
      <c r="C194">
        <f xml:space="preserve">  69.47</f>
        <v>69.47</v>
      </c>
      <c r="D194">
        <v>12</v>
      </c>
      <c r="E194">
        <v>13</v>
      </c>
      <c r="F194">
        <v>71.75</v>
      </c>
      <c r="G194">
        <v>0</v>
      </c>
      <c r="H194">
        <v>0</v>
      </c>
      <c r="I194">
        <v>0</v>
      </c>
      <c r="J194">
        <v>0</v>
      </c>
      <c r="K194">
        <v>69.28</v>
      </c>
      <c r="L194">
        <v>69.34</v>
      </c>
      <c r="M194">
        <v>71.88</v>
      </c>
      <c r="N194" t="s">
        <v>67</v>
      </c>
    </row>
    <row r="195" spans="1:14" x14ac:dyDescent="0.2">
      <c r="A195" s="1">
        <v>194</v>
      </c>
      <c r="B195" t="s">
        <v>222</v>
      </c>
      <c r="C195">
        <f xml:space="preserve">  69.46</f>
        <v>69.459999999999994</v>
      </c>
      <c r="D195">
        <v>15</v>
      </c>
      <c r="E195">
        <v>9</v>
      </c>
      <c r="F195">
        <v>67.05</v>
      </c>
      <c r="G195">
        <v>0</v>
      </c>
      <c r="H195">
        <v>2</v>
      </c>
      <c r="I195">
        <v>0</v>
      </c>
      <c r="J195">
        <v>3</v>
      </c>
      <c r="K195">
        <v>68.989999999999995</v>
      </c>
      <c r="L195">
        <v>69.37</v>
      </c>
      <c r="M195">
        <v>74.650000000000006</v>
      </c>
      <c r="N195" t="s">
        <v>90</v>
      </c>
    </row>
    <row r="196" spans="1:14" x14ac:dyDescent="0.2">
      <c r="A196" s="1">
        <v>195</v>
      </c>
      <c r="B196" t="s">
        <v>202</v>
      </c>
      <c r="C196">
        <f xml:space="preserve">  69.42</f>
        <v>69.42</v>
      </c>
      <c r="D196">
        <v>9</v>
      </c>
      <c r="E196">
        <v>9</v>
      </c>
      <c r="F196">
        <v>69.91</v>
      </c>
      <c r="G196">
        <v>0</v>
      </c>
      <c r="H196">
        <v>0</v>
      </c>
      <c r="I196">
        <v>0</v>
      </c>
      <c r="J196">
        <v>0</v>
      </c>
      <c r="K196">
        <v>69.23</v>
      </c>
      <c r="L196">
        <v>69.03</v>
      </c>
      <c r="M196">
        <v>74.7</v>
      </c>
      <c r="N196" t="s">
        <v>109</v>
      </c>
    </row>
    <row r="197" spans="1:14" x14ac:dyDescent="0.2">
      <c r="A197" s="1">
        <v>196</v>
      </c>
      <c r="B197" t="s">
        <v>185</v>
      </c>
      <c r="C197">
        <f xml:space="preserve">  69.38</f>
        <v>69.38</v>
      </c>
      <c r="D197">
        <v>12</v>
      </c>
      <c r="E197">
        <v>10</v>
      </c>
      <c r="F197">
        <v>68.47</v>
      </c>
      <c r="G197">
        <v>0</v>
      </c>
      <c r="H197">
        <v>0</v>
      </c>
      <c r="I197">
        <v>0</v>
      </c>
      <c r="J197">
        <v>1</v>
      </c>
      <c r="K197">
        <v>69.33</v>
      </c>
      <c r="L197">
        <v>68.94</v>
      </c>
      <c r="M197">
        <v>73.819999999999993</v>
      </c>
      <c r="N197" t="s">
        <v>186</v>
      </c>
    </row>
    <row r="198" spans="1:14" x14ac:dyDescent="0.2">
      <c r="A198" s="1">
        <v>197</v>
      </c>
      <c r="B198" t="s">
        <v>845</v>
      </c>
      <c r="C198">
        <f xml:space="preserve">  69.31</f>
        <v>69.31</v>
      </c>
      <c r="D198">
        <v>17</v>
      </c>
      <c r="E198">
        <v>7</v>
      </c>
      <c r="F198">
        <v>64.8</v>
      </c>
      <c r="G198">
        <v>0</v>
      </c>
      <c r="H198">
        <v>1</v>
      </c>
      <c r="I198">
        <v>0</v>
      </c>
      <c r="J198">
        <v>1</v>
      </c>
      <c r="K198">
        <v>68.459999999999994</v>
      </c>
      <c r="L198">
        <v>69.81</v>
      </c>
      <c r="M198">
        <v>72.02</v>
      </c>
      <c r="N198" t="s">
        <v>179</v>
      </c>
    </row>
    <row r="199" spans="1:14" x14ac:dyDescent="0.2">
      <c r="A199" s="1">
        <v>198</v>
      </c>
      <c r="B199" t="s">
        <v>290</v>
      </c>
      <c r="C199">
        <f xml:space="preserve">  69.13</f>
        <v>69.13</v>
      </c>
      <c r="D199">
        <v>14</v>
      </c>
      <c r="E199">
        <v>11</v>
      </c>
      <c r="F199">
        <v>67.59</v>
      </c>
      <c r="G199">
        <v>0</v>
      </c>
      <c r="H199">
        <v>0</v>
      </c>
      <c r="I199">
        <v>0</v>
      </c>
      <c r="J199">
        <v>0</v>
      </c>
      <c r="K199">
        <v>68.48</v>
      </c>
      <c r="L199">
        <v>69.53</v>
      </c>
      <c r="M199">
        <v>70.459999999999994</v>
      </c>
      <c r="N199" t="s">
        <v>186</v>
      </c>
    </row>
    <row r="200" spans="1:14" x14ac:dyDescent="0.2">
      <c r="A200" s="1">
        <v>199</v>
      </c>
      <c r="B200" t="s">
        <v>284</v>
      </c>
      <c r="C200">
        <f xml:space="preserve">  69.1</f>
        <v>69.099999999999994</v>
      </c>
      <c r="D200">
        <v>8</v>
      </c>
      <c r="E200">
        <v>18</v>
      </c>
      <c r="F200">
        <v>73.94</v>
      </c>
      <c r="G200">
        <v>0</v>
      </c>
      <c r="H200">
        <v>0</v>
      </c>
      <c r="I200">
        <v>0</v>
      </c>
      <c r="J200">
        <v>3</v>
      </c>
      <c r="K200">
        <v>69.099999999999994</v>
      </c>
      <c r="L200">
        <v>68.88</v>
      </c>
      <c r="M200">
        <v>70.239999999999995</v>
      </c>
      <c r="N200" t="s">
        <v>84</v>
      </c>
    </row>
    <row r="201" spans="1:14" x14ac:dyDescent="0.2">
      <c r="A201" s="1">
        <v>200</v>
      </c>
      <c r="B201" t="s">
        <v>150</v>
      </c>
      <c r="C201">
        <f xml:space="preserve">  69.03</f>
        <v>69.03</v>
      </c>
      <c r="D201">
        <v>6</v>
      </c>
      <c r="E201">
        <v>8</v>
      </c>
      <c r="F201">
        <v>68.459999999999994</v>
      </c>
      <c r="G201">
        <v>0</v>
      </c>
      <c r="H201">
        <v>0</v>
      </c>
      <c r="I201">
        <v>0</v>
      </c>
      <c r="J201">
        <v>0</v>
      </c>
      <c r="K201">
        <v>68.790000000000006</v>
      </c>
      <c r="L201">
        <v>69.12</v>
      </c>
      <c r="M201">
        <v>69.39</v>
      </c>
      <c r="N201" t="s">
        <v>109</v>
      </c>
    </row>
    <row r="202" spans="1:14" x14ac:dyDescent="0.2">
      <c r="A202" s="1">
        <v>201</v>
      </c>
      <c r="B202" t="s">
        <v>823</v>
      </c>
      <c r="C202">
        <f xml:space="preserve">  68.95</f>
        <v>68.95</v>
      </c>
      <c r="D202">
        <v>11</v>
      </c>
      <c r="E202">
        <v>10</v>
      </c>
      <c r="F202">
        <v>69.16</v>
      </c>
      <c r="G202">
        <v>0</v>
      </c>
      <c r="H202">
        <v>0</v>
      </c>
      <c r="I202">
        <v>0</v>
      </c>
      <c r="J202">
        <v>0</v>
      </c>
      <c r="K202">
        <v>68.510000000000005</v>
      </c>
      <c r="L202">
        <v>69.239999999999995</v>
      </c>
      <c r="M202">
        <v>69.28</v>
      </c>
      <c r="N202" t="s">
        <v>151</v>
      </c>
    </row>
    <row r="203" spans="1:14" x14ac:dyDescent="0.2">
      <c r="A203" s="1">
        <v>202</v>
      </c>
      <c r="B203" t="s">
        <v>783</v>
      </c>
      <c r="C203">
        <f xml:space="preserve">  68.9</f>
        <v>68.900000000000006</v>
      </c>
      <c r="D203">
        <v>5</v>
      </c>
      <c r="E203">
        <v>15</v>
      </c>
      <c r="F203">
        <v>77.819999999999993</v>
      </c>
      <c r="G203">
        <v>0</v>
      </c>
      <c r="H203">
        <v>3</v>
      </c>
      <c r="I203">
        <v>0</v>
      </c>
      <c r="J203">
        <v>4</v>
      </c>
      <c r="K203">
        <v>68.489999999999995</v>
      </c>
      <c r="L203">
        <v>68.989999999999995</v>
      </c>
      <c r="M203">
        <v>71.34</v>
      </c>
      <c r="N203" t="s">
        <v>63</v>
      </c>
    </row>
    <row r="204" spans="1:14" x14ac:dyDescent="0.2">
      <c r="A204" s="1">
        <v>203</v>
      </c>
      <c r="B204" t="s">
        <v>178</v>
      </c>
      <c r="C204">
        <f xml:space="preserve">  68.76</f>
        <v>68.760000000000005</v>
      </c>
      <c r="D204">
        <v>8</v>
      </c>
      <c r="E204">
        <v>16</v>
      </c>
      <c r="F204">
        <v>75.16</v>
      </c>
      <c r="G204">
        <v>0</v>
      </c>
      <c r="H204">
        <v>0</v>
      </c>
      <c r="I204">
        <v>0</v>
      </c>
      <c r="J204">
        <v>2</v>
      </c>
      <c r="K204">
        <v>68.37</v>
      </c>
      <c r="L204">
        <v>69</v>
      </c>
      <c r="M204">
        <v>69.23</v>
      </c>
      <c r="N204" t="s">
        <v>63</v>
      </c>
    </row>
    <row r="205" spans="1:14" x14ac:dyDescent="0.2">
      <c r="A205" s="1">
        <v>204</v>
      </c>
      <c r="B205" t="s">
        <v>228</v>
      </c>
      <c r="C205">
        <f xml:space="preserve">  68.69</f>
        <v>68.69</v>
      </c>
      <c r="D205">
        <v>12</v>
      </c>
      <c r="E205">
        <v>13</v>
      </c>
      <c r="F205">
        <v>65.849999999999994</v>
      </c>
      <c r="G205">
        <v>0</v>
      </c>
      <c r="H205">
        <v>0</v>
      </c>
      <c r="I205">
        <v>0</v>
      </c>
      <c r="J205">
        <v>0</v>
      </c>
      <c r="K205">
        <v>69.12</v>
      </c>
      <c r="L205">
        <v>68.510000000000005</v>
      </c>
      <c r="M205">
        <v>63.6</v>
      </c>
      <c r="N205" t="s">
        <v>77</v>
      </c>
    </row>
    <row r="206" spans="1:14" x14ac:dyDescent="0.2">
      <c r="A206" s="1">
        <v>205</v>
      </c>
      <c r="B206" t="s">
        <v>157</v>
      </c>
      <c r="C206">
        <v>68.680000000000007</v>
      </c>
      <c r="D206">
        <v>7</v>
      </c>
      <c r="E206">
        <v>10</v>
      </c>
      <c r="F206">
        <v>70.06</v>
      </c>
      <c r="G206">
        <v>0</v>
      </c>
      <c r="H206">
        <v>0</v>
      </c>
      <c r="I206">
        <v>0</v>
      </c>
      <c r="J206">
        <v>1</v>
      </c>
      <c r="K206">
        <v>69.03</v>
      </c>
      <c r="L206">
        <v>68.430000000000007</v>
      </c>
      <c r="M206">
        <v>65.8</v>
      </c>
      <c r="N206" t="s">
        <v>109</v>
      </c>
    </row>
    <row r="207" spans="1:14" x14ac:dyDescent="0.2">
      <c r="A207" s="1">
        <v>206</v>
      </c>
      <c r="B207" t="s">
        <v>161</v>
      </c>
      <c r="C207">
        <f xml:space="preserve">  68.63</f>
        <v>68.63</v>
      </c>
      <c r="D207">
        <v>12</v>
      </c>
      <c r="E207">
        <v>8</v>
      </c>
      <c r="F207">
        <v>66.69</v>
      </c>
      <c r="G207">
        <v>0</v>
      </c>
      <c r="H207">
        <v>0</v>
      </c>
      <c r="I207">
        <v>0</v>
      </c>
      <c r="J207">
        <v>0</v>
      </c>
      <c r="K207">
        <v>68.56</v>
      </c>
      <c r="L207">
        <v>68.78</v>
      </c>
      <c r="M207">
        <v>65.989999999999995</v>
      </c>
      <c r="N207" t="s">
        <v>107</v>
      </c>
    </row>
    <row r="208" spans="1:14" x14ac:dyDescent="0.2">
      <c r="A208" s="1">
        <v>207</v>
      </c>
      <c r="B208" t="s">
        <v>291</v>
      </c>
      <c r="C208">
        <f xml:space="preserve">  68.58</f>
        <v>68.58</v>
      </c>
      <c r="D208">
        <v>11</v>
      </c>
      <c r="E208">
        <v>15</v>
      </c>
      <c r="F208">
        <v>66.95</v>
      </c>
      <c r="G208">
        <v>0</v>
      </c>
      <c r="H208">
        <v>1</v>
      </c>
      <c r="I208">
        <v>0</v>
      </c>
      <c r="J208">
        <v>1</v>
      </c>
      <c r="K208">
        <v>69.25</v>
      </c>
      <c r="L208">
        <v>67.599999999999994</v>
      </c>
      <c r="M208">
        <v>70.31</v>
      </c>
      <c r="N208" t="s">
        <v>306</v>
      </c>
    </row>
    <row r="209" spans="1:14" x14ac:dyDescent="0.2">
      <c r="A209" s="1">
        <v>208</v>
      </c>
      <c r="B209" t="s">
        <v>299</v>
      </c>
      <c r="C209">
        <f xml:space="preserve">  68.55</f>
        <v>68.55</v>
      </c>
      <c r="D209">
        <v>16</v>
      </c>
      <c r="E209">
        <v>9</v>
      </c>
      <c r="F209">
        <v>64.25</v>
      </c>
      <c r="G209">
        <v>0</v>
      </c>
      <c r="H209">
        <v>2</v>
      </c>
      <c r="I209">
        <v>0</v>
      </c>
      <c r="J209">
        <v>3</v>
      </c>
      <c r="K209">
        <v>67.540000000000006</v>
      </c>
      <c r="L209">
        <v>68.75</v>
      </c>
      <c r="M209">
        <v>76.45</v>
      </c>
      <c r="N209" t="s">
        <v>204</v>
      </c>
    </row>
    <row r="210" spans="1:14" x14ac:dyDescent="0.2">
      <c r="A210" s="1">
        <v>209</v>
      </c>
      <c r="B210" t="s">
        <v>277</v>
      </c>
      <c r="C210">
        <f xml:space="preserve">  68.49</f>
        <v>68.489999999999995</v>
      </c>
      <c r="D210">
        <v>9</v>
      </c>
      <c r="E210">
        <v>10</v>
      </c>
      <c r="F210">
        <v>68.739999999999995</v>
      </c>
      <c r="G210">
        <v>0</v>
      </c>
      <c r="H210">
        <v>0</v>
      </c>
      <c r="I210">
        <v>0</v>
      </c>
      <c r="J210">
        <v>0</v>
      </c>
      <c r="K210">
        <v>68.73</v>
      </c>
      <c r="L210">
        <v>68.16</v>
      </c>
      <c r="M210">
        <v>68.180000000000007</v>
      </c>
      <c r="N210" t="s">
        <v>135</v>
      </c>
    </row>
    <row r="211" spans="1:14" x14ac:dyDescent="0.2">
      <c r="A211" s="1">
        <v>210</v>
      </c>
      <c r="B211" t="s">
        <v>127</v>
      </c>
      <c r="C211">
        <f xml:space="preserve">  68.48</f>
        <v>68.48</v>
      </c>
      <c r="D211">
        <v>14</v>
      </c>
      <c r="E211">
        <v>11</v>
      </c>
      <c r="F211">
        <v>66.37</v>
      </c>
      <c r="G211">
        <v>0</v>
      </c>
      <c r="H211">
        <v>0</v>
      </c>
      <c r="I211">
        <v>0</v>
      </c>
      <c r="J211">
        <v>1</v>
      </c>
      <c r="K211">
        <v>68.59</v>
      </c>
      <c r="L211">
        <v>68.45</v>
      </c>
      <c r="M211">
        <v>65.78</v>
      </c>
      <c r="N211" t="s">
        <v>107</v>
      </c>
    </row>
    <row r="212" spans="1:14" x14ac:dyDescent="0.2">
      <c r="A212" s="1">
        <v>211</v>
      </c>
      <c r="B212" t="s">
        <v>173</v>
      </c>
      <c r="C212">
        <f xml:space="preserve">  68.28</f>
        <v>68.28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68.150000000000006</v>
      </c>
      <c r="L212">
        <v>68.239999999999995</v>
      </c>
      <c r="M212">
        <v>69.02</v>
      </c>
      <c r="N212" t="s">
        <v>125</v>
      </c>
    </row>
    <row r="213" spans="1:14" x14ac:dyDescent="0.2">
      <c r="A213" s="1">
        <v>212</v>
      </c>
      <c r="B213" t="s">
        <v>301</v>
      </c>
      <c r="C213">
        <f xml:space="preserve">  68.1</f>
        <v>68.099999999999994</v>
      </c>
      <c r="D213">
        <v>9</v>
      </c>
      <c r="E213">
        <v>8</v>
      </c>
      <c r="F213">
        <v>67.260000000000005</v>
      </c>
      <c r="G213">
        <v>0</v>
      </c>
      <c r="H213">
        <v>0</v>
      </c>
      <c r="I213">
        <v>0</v>
      </c>
      <c r="J213">
        <v>0</v>
      </c>
      <c r="K213">
        <v>67.510000000000005</v>
      </c>
      <c r="L213">
        <v>68.38</v>
      </c>
      <c r="M213">
        <v>70.069999999999993</v>
      </c>
      <c r="N213" t="s">
        <v>135</v>
      </c>
    </row>
    <row r="214" spans="1:14" x14ac:dyDescent="0.2">
      <c r="A214" s="1">
        <v>213</v>
      </c>
      <c r="B214" t="s">
        <v>234</v>
      </c>
      <c r="C214">
        <f xml:space="preserve">  67.95</f>
        <v>67.95</v>
      </c>
      <c r="D214">
        <v>9</v>
      </c>
      <c r="E214">
        <v>16</v>
      </c>
      <c r="F214">
        <v>72.540000000000006</v>
      </c>
      <c r="G214">
        <v>0</v>
      </c>
      <c r="H214">
        <v>0</v>
      </c>
      <c r="I214">
        <v>0</v>
      </c>
      <c r="J214">
        <v>3</v>
      </c>
      <c r="K214">
        <v>67.62</v>
      </c>
      <c r="L214">
        <v>67.92</v>
      </c>
      <c r="M214">
        <v>70.680000000000007</v>
      </c>
      <c r="N214" t="s">
        <v>84</v>
      </c>
    </row>
    <row r="215" spans="1:14" x14ac:dyDescent="0.2">
      <c r="A215" s="1">
        <v>214</v>
      </c>
      <c r="B215" t="s">
        <v>293</v>
      </c>
      <c r="C215">
        <f xml:space="preserve">  67.92</f>
        <v>67.92</v>
      </c>
      <c r="D215">
        <v>8</v>
      </c>
      <c r="E215">
        <v>11</v>
      </c>
      <c r="F215">
        <v>68.56</v>
      </c>
      <c r="G215">
        <v>0</v>
      </c>
      <c r="H215">
        <v>1</v>
      </c>
      <c r="I215">
        <v>0</v>
      </c>
      <c r="J215">
        <v>2</v>
      </c>
      <c r="K215">
        <v>68.36</v>
      </c>
      <c r="L215">
        <v>67.540000000000006</v>
      </c>
      <c r="M215">
        <v>65.569999999999993</v>
      </c>
      <c r="N215" t="s">
        <v>151</v>
      </c>
    </row>
    <row r="216" spans="1:14" x14ac:dyDescent="0.2">
      <c r="A216" s="1">
        <v>215</v>
      </c>
      <c r="B216" t="s">
        <v>209</v>
      </c>
      <c r="C216">
        <f xml:space="preserve">  67.91</f>
        <v>67.91</v>
      </c>
      <c r="D216">
        <v>11</v>
      </c>
      <c r="E216">
        <v>12</v>
      </c>
      <c r="F216">
        <v>66.09</v>
      </c>
      <c r="G216">
        <v>0</v>
      </c>
      <c r="H216">
        <v>1</v>
      </c>
      <c r="I216">
        <v>0</v>
      </c>
      <c r="J216">
        <v>1</v>
      </c>
      <c r="K216">
        <v>67.69</v>
      </c>
      <c r="L216">
        <v>68.400000000000006</v>
      </c>
      <c r="M216">
        <v>62</v>
      </c>
      <c r="N216" t="s">
        <v>138</v>
      </c>
    </row>
    <row r="217" spans="1:14" x14ac:dyDescent="0.2">
      <c r="A217" s="1">
        <v>216</v>
      </c>
      <c r="B217" t="s">
        <v>903</v>
      </c>
      <c r="C217">
        <f xml:space="preserve">  67.81</f>
        <v>67.81</v>
      </c>
      <c r="D217">
        <v>7</v>
      </c>
      <c r="E217">
        <v>9</v>
      </c>
      <c r="F217">
        <v>67.53</v>
      </c>
      <c r="G217">
        <v>0</v>
      </c>
      <c r="H217">
        <v>0</v>
      </c>
      <c r="I217">
        <v>0</v>
      </c>
      <c r="J217">
        <v>0</v>
      </c>
      <c r="K217">
        <v>68.37</v>
      </c>
      <c r="L217">
        <v>67.11</v>
      </c>
      <c r="M217">
        <v>67.72</v>
      </c>
      <c r="N217" t="s">
        <v>90</v>
      </c>
    </row>
    <row r="218" spans="1:14" x14ac:dyDescent="0.2">
      <c r="A218" s="1">
        <v>217</v>
      </c>
      <c r="B218" t="s">
        <v>239</v>
      </c>
      <c r="C218">
        <f xml:space="preserve">  67.67</f>
        <v>67.67</v>
      </c>
      <c r="D218">
        <v>10</v>
      </c>
      <c r="E218">
        <v>15</v>
      </c>
      <c r="F218">
        <v>68.89</v>
      </c>
      <c r="G218">
        <v>0</v>
      </c>
      <c r="H218">
        <v>0</v>
      </c>
      <c r="I218">
        <v>0</v>
      </c>
      <c r="J218">
        <v>0</v>
      </c>
      <c r="K218">
        <v>67.63</v>
      </c>
      <c r="L218">
        <v>67.91</v>
      </c>
      <c r="M218">
        <v>63.1</v>
      </c>
      <c r="N218" t="s">
        <v>308</v>
      </c>
    </row>
    <row r="219" spans="1:14" x14ac:dyDescent="0.2">
      <c r="A219" s="1">
        <v>218</v>
      </c>
      <c r="B219" t="s">
        <v>302</v>
      </c>
      <c r="C219">
        <f xml:space="preserve">  67.55</f>
        <v>67.55</v>
      </c>
      <c r="D219">
        <v>3</v>
      </c>
      <c r="E219">
        <v>11</v>
      </c>
      <c r="F219">
        <v>76.930000000000007</v>
      </c>
      <c r="G219">
        <v>0</v>
      </c>
      <c r="H219">
        <v>3</v>
      </c>
      <c r="I219">
        <v>0</v>
      </c>
      <c r="J219">
        <v>3</v>
      </c>
      <c r="K219">
        <v>67.650000000000006</v>
      </c>
      <c r="L219">
        <v>67.42</v>
      </c>
      <c r="M219">
        <v>66.45</v>
      </c>
      <c r="N219" t="s">
        <v>1</v>
      </c>
    </row>
    <row r="220" spans="1:14" x14ac:dyDescent="0.2">
      <c r="A220" s="1">
        <v>219</v>
      </c>
      <c r="B220" t="s">
        <v>843</v>
      </c>
      <c r="C220">
        <f xml:space="preserve">  67.55</f>
        <v>67.55</v>
      </c>
      <c r="D220">
        <v>15</v>
      </c>
      <c r="E220">
        <v>8</v>
      </c>
      <c r="F220">
        <v>64.52</v>
      </c>
      <c r="G220">
        <v>0</v>
      </c>
      <c r="H220">
        <v>1</v>
      </c>
      <c r="I220">
        <v>0</v>
      </c>
      <c r="J220">
        <v>1</v>
      </c>
      <c r="K220">
        <v>67.09</v>
      </c>
      <c r="L220">
        <v>67.400000000000006</v>
      </c>
      <c r="M220">
        <v>72.98</v>
      </c>
      <c r="N220" t="s">
        <v>309</v>
      </c>
    </row>
    <row r="221" spans="1:14" x14ac:dyDescent="0.2">
      <c r="A221" s="1">
        <v>220</v>
      </c>
      <c r="B221" t="s">
        <v>285</v>
      </c>
      <c r="C221">
        <f xml:space="preserve">  67.51</f>
        <v>67.510000000000005</v>
      </c>
      <c r="D221">
        <v>9</v>
      </c>
      <c r="E221">
        <v>15</v>
      </c>
      <c r="F221">
        <v>71.25</v>
      </c>
      <c r="G221">
        <v>0</v>
      </c>
      <c r="H221">
        <v>0</v>
      </c>
      <c r="I221">
        <v>0</v>
      </c>
      <c r="J221">
        <v>0</v>
      </c>
      <c r="K221">
        <v>67.13</v>
      </c>
      <c r="L221">
        <v>68.02</v>
      </c>
      <c r="M221">
        <v>63.96</v>
      </c>
      <c r="N221" t="s">
        <v>67</v>
      </c>
    </row>
    <row r="222" spans="1:14" x14ac:dyDescent="0.2">
      <c r="A222" s="1">
        <v>221</v>
      </c>
      <c r="B222" t="s">
        <v>187</v>
      </c>
      <c r="C222">
        <f xml:space="preserve">  67.5</f>
        <v>67.5</v>
      </c>
      <c r="D222">
        <v>5</v>
      </c>
      <c r="E222">
        <v>12</v>
      </c>
      <c r="F222">
        <v>70.89</v>
      </c>
      <c r="G222">
        <v>0</v>
      </c>
      <c r="H222">
        <v>0</v>
      </c>
      <c r="I222">
        <v>0</v>
      </c>
      <c r="J222">
        <v>1</v>
      </c>
      <c r="K222">
        <v>67.31</v>
      </c>
      <c r="L222">
        <v>67.38</v>
      </c>
      <c r="M222">
        <v>69.69</v>
      </c>
      <c r="N222" t="s">
        <v>63</v>
      </c>
    </row>
    <row r="223" spans="1:14" x14ac:dyDescent="0.2">
      <c r="A223" s="1">
        <v>222</v>
      </c>
      <c r="B223" t="s">
        <v>549</v>
      </c>
      <c r="C223">
        <f xml:space="preserve">  67.35</f>
        <v>67.349999999999994</v>
      </c>
      <c r="D223">
        <v>11</v>
      </c>
      <c r="E223">
        <v>10</v>
      </c>
      <c r="F223">
        <v>68.510000000000005</v>
      </c>
      <c r="G223">
        <v>0</v>
      </c>
      <c r="H223">
        <v>0</v>
      </c>
      <c r="I223">
        <v>0</v>
      </c>
      <c r="J223">
        <v>1</v>
      </c>
      <c r="K223">
        <v>67.34</v>
      </c>
      <c r="L223">
        <v>67.36</v>
      </c>
      <c r="M223">
        <v>65.819999999999993</v>
      </c>
      <c r="N223" t="s">
        <v>141</v>
      </c>
    </row>
    <row r="224" spans="1:14" x14ac:dyDescent="0.2">
      <c r="A224" s="1">
        <v>223</v>
      </c>
      <c r="B224" t="s">
        <v>191</v>
      </c>
      <c r="C224">
        <f xml:space="preserve">  67.34</f>
        <v>67.34</v>
      </c>
      <c r="D224">
        <v>10</v>
      </c>
      <c r="E224">
        <v>13</v>
      </c>
      <c r="F224">
        <v>68.790000000000006</v>
      </c>
      <c r="G224">
        <v>0</v>
      </c>
      <c r="H224">
        <v>1</v>
      </c>
      <c r="I224">
        <v>0</v>
      </c>
      <c r="J224">
        <v>2</v>
      </c>
      <c r="K224">
        <v>67.33</v>
      </c>
      <c r="L224">
        <v>67.33</v>
      </c>
      <c r="M224">
        <v>66.23</v>
      </c>
      <c r="N224" t="s">
        <v>308</v>
      </c>
    </row>
    <row r="225" spans="1:14" x14ac:dyDescent="0.2">
      <c r="A225" s="1">
        <v>224</v>
      </c>
      <c r="B225" t="s">
        <v>818</v>
      </c>
      <c r="C225">
        <f xml:space="preserve">  67.31</f>
        <v>67.31</v>
      </c>
      <c r="D225">
        <v>6</v>
      </c>
      <c r="E225">
        <v>18</v>
      </c>
      <c r="F225">
        <v>73.3</v>
      </c>
      <c r="G225">
        <v>0</v>
      </c>
      <c r="H225">
        <v>1</v>
      </c>
      <c r="I225">
        <v>0</v>
      </c>
      <c r="J225">
        <v>3</v>
      </c>
      <c r="K225">
        <v>67.06</v>
      </c>
      <c r="L225">
        <v>67.55</v>
      </c>
      <c r="M225">
        <v>66</v>
      </c>
      <c r="N225" t="s">
        <v>84</v>
      </c>
    </row>
    <row r="226" spans="1:14" x14ac:dyDescent="0.2">
      <c r="A226" s="1">
        <v>225</v>
      </c>
      <c r="B226" t="s">
        <v>558</v>
      </c>
      <c r="C226">
        <f xml:space="preserve">  67.19</f>
        <v>67.19</v>
      </c>
      <c r="D226">
        <v>7</v>
      </c>
      <c r="E226">
        <v>13</v>
      </c>
      <c r="F226">
        <v>70.89</v>
      </c>
      <c r="G226">
        <v>0</v>
      </c>
      <c r="H226">
        <v>0</v>
      </c>
      <c r="I226">
        <v>0</v>
      </c>
      <c r="J226">
        <v>0</v>
      </c>
      <c r="K226">
        <v>67.58</v>
      </c>
      <c r="L226">
        <v>66.64</v>
      </c>
      <c r="M226">
        <v>67.47</v>
      </c>
      <c r="N226" t="s">
        <v>82</v>
      </c>
    </row>
    <row r="227" spans="1:14" x14ac:dyDescent="0.2">
      <c r="A227" s="1">
        <v>226</v>
      </c>
      <c r="B227" t="s">
        <v>213</v>
      </c>
      <c r="C227">
        <f xml:space="preserve">  67.19</f>
        <v>67.19</v>
      </c>
      <c r="D227">
        <v>12</v>
      </c>
      <c r="E227">
        <v>11</v>
      </c>
      <c r="F227">
        <v>65.680000000000007</v>
      </c>
      <c r="G227">
        <v>0</v>
      </c>
      <c r="H227">
        <v>0</v>
      </c>
      <c r="I227">
        <v>0</v>
      </c>
      <c r="J227">
        <v>1</v>
      </c>
      <c r="K227">
        <v>67.11</v>
      </c>
      <c r="L227">
        <v>66.72</v>
      </c>
      <c r="M227">
        <v>71.91</v>
      </c>
      <c r="N227" t="s">
        <v>167</v>
      </c>
    </row>
    <row r="228" spans="1:14" x14ac:dyDescent="0.2">
      <c r="A228" s="1">
        <v>227</v>
      </c>
      <c r="B228" t="s">
        <v>878</v>
      </c>
      <c r="C228">
        <f xml:space="preserve">  67.17</f>
        <v>67.17</v>
      </c>
      <c r="D228">
        <v>12</v>
      </c>
      <c r="E228">
        <v>18</v>
      </c>
      <c r="F228">
        <v>70.92</v>
      </c>
      <c r="G228">
        <v>0</v>
      </c>
      <c r="H228">
        <v>1</v>
      </c>
      <c r="I228">
        <v>0</v>
      </c>
      <c r="J228">
        <v>4</v>
      </c>
      <c r="K228">
        <v>66.510000000000005</v>
      </c>
      <c r="L228">
        <v>67.45</v>
      </c>
      <c r="M228">
        <v>69.959999999999994</v>
      </c>
      <c r="N228" t="s">
        <v>186</v>
      </c>
    </row>
    <row r="229" spans="1:14" x14ac:dyDescent="0.2">
      <c r="A229" s="1">
        <v>228</v>
      </c>
      <c r="B229" t="s">
        <v>223</v>
      </c>
      <c r="C229">
        <f xml:space="preserve">  67.05</f>
        <v>67.05</v>
      </c>
      <c r="D229">
        <v>13</v>
      </c>
      <c r="E229">
        <v>12</v>
      </c>
      <c r="F229">
        <v>66.400000000000006</v>
      </c>
      <c r="G229">
        <v>0</v>
      </c>
      <c r="H229">
        <v>0</v>
      </c>
      <c r="I229">
        <v>0</v>
      </c>
      <c r="J229">
        <v>1</v>
      </c>
      <c r="K229">
        <v>67.37</v>
      </c>
      <c r="L229">
        <v>66.87</v>
      </c>
      <c r="M229">
        <v>63.39</v>
      </c>
      <c r="N229" t="s">
        <v>306</v>
      </c>
    </row>
    <row r="230" spans="1:14" x14ac:dyDescent="0.2">
      <c r="A230" s="1">
        <v>229</v>
      </c>
      <c r="B230" t="s">
        <v>907</v>
      </c>
      <c r="C230">
        <f xml:space="preserve">  67.04</f>
        <v>67.040000000000006</v>
      </c>
      <c r="D230">
        <v>8</v>
      </c>
      <c r="E230">
        <v>14</v>
      </c>
      <c r="F230">
        <v>68.41</v>
      </c>
      <c r="G230">
        <v>0</v>
      </c>
      <c r="H230">
        <v>0</v>
      </c>
      <c r="I230">
        <v>0</v>
      </c>
      <c r="J230">
        <v>0</v>
      </c>
      <c r="K230">
        <v>67.25</v>
      </c>
      <c r="L230">
        <v>66.75</v>
      </c>
      <c r="M230">
        <v>66.52</v>
      </c>
      <c r="N230" t="s">
        <v>90</v>
      </c>
    </row>
    <row r="231" spans="1:14" x14ac:dyDescent="0.2">
      <c r="A231" s="1">
        <v>230</v>
      </c>
      <c r="B231" t="s">
        <v>208</v>
      </c>
      <c r="C231">
        <f xml:space="preserve">  66.97</f>
        <v>66.97</v>
      </c>
      <c r="D231">
        <v>11</v>
      </c>
      <c r="E231">
        <v>12</v>
      </c>
      <c r="F231">
        <v>69.25</v>
      </c>
      <c r="G231">
        <v>0</v>
      </c>
      <c r="H231">
        <v>1</v>
      </c>
      <c r="I231">
        <v>0</v>
      </c>
      <c r="J231">
        <v>1</v>
      </c>
      <c r="K231">
        <v>66.84</v>
      </c>
      <c r="L231">
        <v>66.72</v>
      </c>
      <c r="M231">
        <v>69.84</v>
      </c>
      <c r="N231" t="s">
        <v>90</v>
      </c>
    </row>
    <row r="232" spans="1:14" x14ac:dyDescent="0.2">
      <c r="A232" s="1">
        <v>231</v>
      </c>
      <c r="B232" t="s">
        <v>226</v>
      </c>
      <c r="C232">
        <f xml:space="preserve">  66.96</f>
        <v>66.959999999999994</v>
      </c>
      <c r="D232">
        <v>9</v>
      </c>
      <c r="E232">
        <v>16</v>
      </c>
      <c r="F232">
        <v>71.38</v>
      </c>
      <c r="G232">
        <v>0</v>
      </c>
      <c r="H232">
        <v>0</v>
      </c>
      <c r="I232">
        <v>0</v>
      </c>
      <c r="J232">
        <v>0</v>
      </c>
      <c r="K232">
        <v>66.45</v>
      </c>
      <c r="L232">
        <v>67.209999999999994</v>
      </c>
      <c r="M232">
        <v>68.430000000000007</v>
      </c>
      <c r="N232" t="s">
        <v>86</v>
      </c>
    </row>
    <row r="233" spans="1:14" x14ac:dyDescent="0.2">
      <c r="A233" s="1">
        <v>232</v>
      </c>
      <c r="B233" t="s">
        <v>235</v>
      </c>
      <c r="C233">
        <f xml:space="preserve">  66.89</f>
        <v>66.89</v>
      </c>
      <c r="D233">
        <v>16</v>
      </c>
      <c r="E233">
        <v>5</v>
      </c>
      <c r="F233">
        <v>60.17</v>
      </c>
      <c r="G233">
        <v>0</v>
      </c>
      <c r="H233">
        <v>0</v>
      </c>
      <c r="I233">
        <v>0</v>
      </c>
      <c r="J233">
        <v>1</v>
      </c>
      <c r="K233">
        <v>66.03</v>
      </c>
      <c r="L233">
        <v>67.28</v>
      </c>
      <c r="M233">
        <v>70.459999999999994</v>
      </c>
      <c r="N233" t="s">
        <v>204</v>
      </c>
    </row>
    <row r="234" spans="1:14" x14ac:dyDescent="0.2">
      <c r="A234" s="1">
        <v>233</v>
      </c>
      <c r="B234" t="s">
        <v>831</v>
      </c>
      <c r="C234">
        <f xml:space="preserve">  66.85</f>
        <v>66.849999999999994</v>
      </c>
      <c r="D234">
        <v>11</v>
      </c>
      <c r="E234">
        <v>12</v>
      </c>
      <c r="F234">
        <v>66.760000000000005</v>
      </c>
      <c r="G234">
        <v>0</v>
      </c>
      <c r="H234">
        <v>0</v>
      </c>
      <c r="I234">
        <v>0</v>
      </c>
      <c r="J234">
        <v>0</v>
      </c>
      <c r="K234">
        <v>66.3</v>
      </c>
      <c r="L234">
        <v>67.22</v>
      </c>
      <c r="M234">
        <v>67.33</v>
      </c>
      <c r="N234" t="s">
        <v>186</v>
      </c>
    </row>
    <row r="235" spans="1:14" x14ac:dyDescent="0.2">
      <c r="A235" s="1">
        <v>234</v>
      </c>
      <c r="B235" t="s">
        <v>182</v>
      </c>
      <c r="C235">
        <f xml:space="preserve">  66.82</f>
        <v>66.819999999999993</v>
      </c>
      <c r="D235">
        <v>10</v>
      </c>
      <c r="E235">
        <v>10</v>
      </c>
      <c r="F235">
        <v>66.02</v>
      </c>
      <c r="G235">
        <v>0</v>
      </c>
      <c r="H235">
        <v>0</v>
      </c>
      <c r="I235">
        <v>0</v>
      </c>
      <c r="J235">
        <v>0</v>
      </c>
      <c r="K235">
        <v>67.34</v>
      </c>
      <c r="L235">
        <v>66.34</v>
      </c>
      <c r="M235">
        <v>64.58</v>
      </c>
      <c r="N235" t="s">
        <v>306</v>
      </c>
    </row>
    <row r="236" spans="1:14" x14ac:dyDescent="0.2">
      <c r="A236" s="1">
        <v>235</v>
      </c>
      <c r="B236" t="s">
        <v>815</v>
      </c>
      <c r="C236">
        <f xml:space="preserve">  66.73</f>
        <v>66.73</v>
      </c>
      <c r="D236">
        <v>8</v>
      </c>
      <c r="E236">
        <v>13</v>
      </c>
      <c r="F236">
        <v>68.36</v>
      </c>
      <c r="G236">
        <v>0</v>
      </c>
      <c r="H236">
        <v>0</v>
      </c>
      <c r="I236">
        <v>0</v>
      </c>
      <c r="J236">
        <v>1</v>
      </c>
      <c r="K236">
        <v>66.59</v>
      </c>
      <c r="L236">
        <v>66.59</v>
      </c>
      <c r="M236">
        <v>68.61</v>
      </c>
      <c r="N236" t="s">
        <v>308</v>
      </c>
    </row>
    <row r="237" spans="1:14" x14ac:dyDescent="0.2">
      <c r="A237" s="1">
        <v>236</v>
      </c>
      <c r="B237" t="s">
        <v>189</v>
      </c>
      <c r="C237">
        <f xml:space="preserve">  66.58</f>
        <v>66.58</v>
      </c>
      <c r="D237">
        <v>15</v>
      </c>
      <c r="E237">
        <v>10</v>
      </c>
      <c r="F237">
        <v>66.02</v>
      </c>
      <c r="G237">
        <v>0</v>
      </c>
      <c r="H237">
        <v>0</v>
      </c>
      <c r="I237">
        <v>0</v>
      </c>
      <c r="J237">
        <v>0</v>
      </c>
      <c r="K237">
        <v>65.89</v>
      </c>
      <c r="L237">
        <v>66.599999999999994</v>
      </c>
      <c r="M237">
        <v>72.430000000000007</v>
      </c>
      <c r="N237" t="s">
        <v>306</v>
      </c>
    </row>
    <row r="238" spans="1:14" x14ac:dyDescent="0.2">
      <c r="A238" s="1">
        <v>237</v>
      </c>
      <c r="B238" t="s">
        <v>166</v>
      </c>
      <c r="C238">
        <f xml:space="preserve">  66.56</f>
        <v>66.56</v>
      </c>
      <c r="D238">
        <v>13</v>
      </c>
      <c r="E238">
        <v>7</v>
      </c>
      <c r="F238">
        <v>64.88</v>
      </c>
      <c r="G238">
        <v>0</v>
      </c>
      <c r="H238">
        <v>0</v>
      </c>
      <c r="I238">
        <v>0</v>
      </c>
      <c r="J238">
        <v>1</v>
      </c>
      <c r="K238">
        <v>65.98</v>
      </c>
      <c r="L238">
        <v>66.680000000000007</v>
      </c>
      <c r="M238">
        <v>70.27</v>
      </c>
      <c r="N238" t="s">
        <v>167</v>
      </c>
    </row>
    <row r="239" spans="1:14" x14ac:dyDescent="0.2">
      <c r="A239" s="1">
        <v>238</v>
      </c>
      <c r="B239" t="s">
        <v>249</v>
      </c>
      <c r="C239">
        <f xml:space="preserve">  66.56</f>
        <v>66.56</v>
      </c>
      <c r="D239">
        <v>10</v>
      </c>
      <c r="E239">
        <v>12</v>
      </c>
      <c r="F239">
        <v>67.83</v>
      </c>
      <c r="G239">
        <v>0</v>
      </c>
      <c r="H239">
        <v>0</v>
      </c>
      <c r="I239">
        <v>0</v>
      </c>
      <c r="J239">
        <v>0</v>
      </c>
      <c r="K239">
        <v>66.98</v>
      </c>
      <c r="L239">
        <v>65.87</v>
      </c>
      <c r="M239">
        <v>68.040000000000006</v>
      </c>
      <c r="N239" t="s">
        <v>186</v>
      </c>
    </row>
    <row r="240" spans="1:14" x14ac:dyDescent="0.2">
      <c r="A240" s="1">
        <v>239</v>
      </c>
      <c r="B240" t="s">
        <v>198</v>
      </c>
      <c r="C240">
        <f xml:space="preserve">  66.52</f>
        <v>66.52</v>
      </c>
      <c r="D240">
        <v>9</v>
      </c>
      <c r="E240">
        <v>12</v>
      </c>
      <c r="F240">
        <v>71.95</v>
      </c>
      <c r="G240">
        <v>0</v>
      </c>
      <c r="H240">
        <v>0</v>
      </c>
      <c r="I240">
        <v>0</v>
      </c>
      <c r="J240">
        <v>0</v>
      </c>
      <c r="K240">
        <v>66.25</v>
      </c>
      <c r="L240">
        <v>66.28</v>
      </c>
      <c r="M240">
        <v>70.83</v>
      </c>
      <c r="N240" t="s">
        <v>86</v>
      </c>
    </row>
    <row r="241" spans="1:14" x14ac:dyDescent="0.2">
      <c r="A241" s="1">
        <v>240</v>
      </c>
      <c r="B241" t="s">
        <v>212</v>
      </c>
      <c r="C241">
        <f xml:space="preserve">  66.5</f>
        <v>66.5</v>
      </c>
      <c r="D241">
        <v>7</v>
      </c>
      <c r="E241">
        <v>6</v>
      </c>
      <c r="F241">
        <v>67.16</v>
      </c>
      <c r="G241">
        <v>0</v>
      </c>
      <c r="H241">
        <v>0</v>
      </c>
      <c r="I241">
        <v>0</v>
      </c>
      <c r="J241">
        <v>0</v>
      </c>
      <c r="K241">
        <v>66.3</v>
      </c>
      <c r="L241">
        <v>66.510000000000005</v>
      </c>
      <c r="M241">
        <v>67.38</v>
      </c>
      <c r="N241" t="s">
        <v>107</v>
      </c>
    </row>
    <row r="242" spans="1:14" x14ac:dyDescent="0.2">
      <c r="A242" s="1">
        <v>241</v>
      </c>
      <c r="B242" t="s">
        <v>200</v>
      </c>
      <c r="C242">
        <f xml:space="preserve">  66.46</f>
        <v>66.459999999999994</v>
      </c>
      <c r="D242">
        <v>9</v>
      </c>
      <c r="E242">
        <v>13</v>
      </c>
      <c r="F242">
        <v>68.94</v>
      </c>
      <c r="G242">
        <v>0</v>
      </c>
      <c r="H242">
        <v>0</v>
      </c>
      <c r="I242">
        <v>0</v>
      </c>
      <c r="J242">
        <v>0</v>
      </c>
      <c r="K242">
        <v>65.930000000000007</v>
      </c>
      <c r="L242">
        <v>66.849999999999994</v>
      </c>
      <c r="M242">
        <v>66.569999999999993</v>
      </c>
      <c r="N242" t="s">
        <v>307</v>
      </c>
    </row>
    <row r="243" spans="1:14" x14ac:dyDescent="0.2">
      <c r="A243" s="1">
        <v>242</v>
      </c>
      <c r="B243" t="s">
        <v>906</v>
      </c>
      <c r="C243">
        <f xml:space="preserve">  66.43</f>
        <v>66.430000000000007</v>
      </c>
      <c r="D243">
        <v>9</v>
      </c>
      <c r="E243">
        <v>10</v>
      </c>
      <c r="F243">
        <v>65.239999999999995</v>
      </c>
      <c r="G243">
        <v>0</v>
      </c>
      <c r="H243">
        <v>1</v>
      </c>
      <c r="I243">
        <v>0</v>
      </c>
      <c r="J243">
        <v>1</v>
      </c>
      <c r="K243">
        <v>66.52</v>
      </c>
      <c r="L243">
        <v>66.27</v>
      </c>
      <c r="M243">
        <v>65.86</v>
      </c>
      <c r="N243" t="s">
        <v>81</v>
      </c>
    </row>
    <row r="244" spans="1:14" x14ac:dyDescent="0.2">
      <c r="A244" s="1">
        <v>243</v>
      </c>
      <c r="B244" t="s">
        <v>825</v>
      </c>
      <c r="C244">
        <f xml:space="preserve">  66.37</f>
        <v>66.37</v>
      </c>
      <c r="D244">
        <v>6</v>
      </c>
      <c r="E244">
        <v>12</v>
      </c>
      <c r="F244">
        <v>68.47</v>
      </c>
      <c r="G244">
        <v>0</v>
      </c>
      <c r="H244">
        <v>0</v>
      </c>
      <c r="I244">
        <v>0</v>
      </c>
      <c r="J244">
        <v>0</v>
      </c>
      <c r="K244">
        <v>67.11</v>
      </c>
      <c r="L244">
        <v>65.64</v>
      </c>
      <c r="M244">
        <v>64</v>
      </c>
      <c r="N244" t="s">
        <v>151</v>
      </c>
    </row>
    <row r="245" spans="1:14" x14ac:dyDescent="0.2">
      <c r="A245" s="1">
        <v>244</v>
      </c>
      <c r="B245" t="s">
        <v>152</v>
      </c>
      <c r="C245">
        <f xml:space="preserve">  66.34</f>
        <v>66.34</v>
      </c>
      <c r="D245">
        <v>8</v>
      </c>
      <c r="E245">
        <v>11</v>
      </c>
      <c r="F245">
        <v>68.260000000000005</v>
      </c>
      <c r="G245">
        <v>0</v>
      </c>
      <c r="H245">
        <v>1</v>
      </c>
      <c r="I245">
        <v>0</v>
      </c>
      <c r="J245">
        <v>1</v>
      </c>
      <c r="K245">
        <v>66.290000000000006</v>
      </c>
      <c r="L245">
        <v>66.13</v>
      </c>
      <c r="M245">
        <v>68.03</v>
      </c>
      <c r="N245" t="s">
        <v>81</v>
      </c>
    </row>
    <row r="246" spans="1:14" x14ac:dyDescent="0.2">
      <c r="A246" s="1">
        <v>245</v>
      </c>
      <c r="B246" t="s">
        <v>295</v>
      </c>
      <c r="C246">
        <f xml:space="preserve">  66.26</f>
        <v>66.260000000000005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66.09</v>
      </c>
      <c r="L246">
        <v>66.209999999999994</v>
      </c>
      <c r="M246">
        <v>67.33</v>
      </c>
      <c r="N246" t="s">
        <v>125</v>
      </c>
    </row>
    <row r="247" spans="1:14" x14ac:dyDescent="0.2">
      <c r="A247" s="1">
        <v>246</v>
      </c>
      <c r="B247" t="s">
        <v>180</v>
      </c>
      <c r="C247">
        <f xml:space="preserve">  66.24</f>
        <v>66.239999999999995</v>
      </c>
      <c r="D247">
        <v>9</v>
      </c>
      <c r="E247">
        <v>11</v>
      </c>
      <c r="F247">
        <v>67.040000000000006</v>
      </c>
      <c r="G247">
        <v>0</v>
      </c>
      <c r="H247">
        <v>0</v>
      </c>
      <c r="I247">
        <v>0</v>
      </c>
      <c r="J247">
        <v>1</v>
      </c>
      <c r="K247">
        <v>66.14</v>
      </c>
      <c r="L247">
        <v>66.010000000000005</v>
      </c>
      <c r="M247">
        <v>68.59</v>
      </c>
      <c r="N247" t="s">
        <v>107</v>
      </c>
    </row>
    <row r="248" spans="1:14" x14ac:dyDescent="0.2">
      <c r="A248" s="1">
        <v>247</v>
      </c>
      <c r="B248" t="s">
        <v>197</v>
      </c>
      <c r="C248">
        <f xml:space="preserve">  66.2</f>
        <v>66.2</v>
      </c>
      <c r="D248">
        <v>9</v>
      </c>
      <c r="E248">
        <v>9</v>
      </c>
      <c r="F248">
        <v>66.209999999999994</v>
      </c>
      <c r="G248">
        <v>0</v>
      </c>
      <c r="H248">
        <v>0</v>
      </c>
      <c r="I248">
        <v>0</v>
      </c>
      <c r="J248">
        <v>0</v>
      </c>
      <c r="K248">
        <v>66.209999999999994</v>
      </c>
      <c r="L248">
        <v>66.150000000000006</v>
      </c>
      <c r="M248">
        <v>65.13</v>
      </c>
      <c r="N248" t="s">
        <v>90</v>
      </c>
    </row>
    <row r="249" spans="1:14" x14ac:dyDescent="0.2">
      <c r="A249" s="1">
        <v>248</v>
      </c>
      <c r="B249" t="s">
        <v>154</v>
      </c>
      <c r="C249">
        <f xml:space="preserve">  66.17</f>
        <v>66.17</v>
      </c>
      <c r="D249">
        <v>6</v>
      </c>
      <c r="E249">
        <v>10</v>
      </c>
      <c r="F249">
        <v>68.11</v>
      </c>
      <c r="G249">
        <v>0</v>
      </c>
      <c r="H249">
        <v>0</v>
      </c>
      <c r="I249">
        <v>0</v>
      </c>
      <c r="J249">
        <v>0</v>
      </c>
      <c r="K249">
        <v>66.59</v>
      </c>
      <c r="L249">
        <v>65.92</v>
      </c>
      <c r="M249">
        <v>61.9</v>
      </c>
      <c r="N249" t="s">
        <v>109</v>
      </c>
    </row>
    <row r="250" spans="1:14" x14ac:dyDescent="0.2">
      <c r="A250" s="1">
        <v>249</v>
      </c>
      <c r="B250" t="s">
        <v>871</v>
      </c>
      <c r="C250">
        <v>65.8</v>
      </c>
      <c r="D250">
        <v>9</v>
      </c>
      <c r="E250">
        <v>9</v>
      </c>
      <c r="F250">
        <v>64.349999999999994</v>
      </c>
      <c r="G250">
        <v>0</v>
      </c>
      <c r="H250">
        <v>0</v>
      </c>
      <c r="I250">
        <v>0</v>
      </c>
      <c r="J250">
        <v>0</v>
      </c>
      <c r="K250">
        <v>65.900000000000006</v>
      </c>
      <c r="L250">
        <v>65.680000000000007</v>
      </c>
      <c r="M250">
        <v>64.430000000000007</v>
      </c>
      <c r="N250" t="s">
        <v>167</v>
      </c>
    </row>
    <row r="251" spans="1:14" x14ac:dyDescent="0.2">
      <c r="A251" s="1">
        <v>250</v>
      </c>
      <c r="B251" t="s">
        <v>841</v>
      </c>
      <c r="C251">
        <f xml:space="preserve">  65.76</f>
        <v>65.760000000000005</v>
      </c>
      <c r="D251">
        <v>12</v>
      </c>
      <c r="E251">
        <v>7</v>
      </c>
      <c r="F251">
        <v>63.27</v>
      </c>
      <c r="G251">
        <v>0</v>
      </c>
      <c r="H251">
        <v>0</v>
      </c>
      <c r="I251">
        <v>0</v>
      </c>
      <c r="J251">
        <v>0</v>
      </c>
      <c r="K251">
        <v>65.7</v>
      </c>
      <c r="L251">
        <v>65.599999999999994</v>
      </c>
      <c r="M251">
        <v>67.040000000000006</v>
      </c>
      <c r="N251" t="s">
        <v>309</v>
      </c>
    </row>
    <row r="252" spans="1:14" x14ac:dyDescent="0.2">
      <c r="A252" s="1">
        <v>251</v>
      </c>
      <c r="B252" t="s">
        <v>233</v>
      </c>
      <c r="C252">
        <f xml:space="preserve">  65.76</f>
        <v>65.760000000000005</v>
      </c>
      <c r="D252">
        <v>10</v>
      </c>
      <c r="E252">
        <v>14</v>
      </c>
      <c r="F252">
        <v>67.510000000000005</v>
      </c>
      <c r="G252">
        <v>0</v>
      </c>
      <c r="H252">
        <v>0</v>
      </c>
      <c r="I252">
        <v>0</v>
      </c>
      <c r="J252">
        <v>1</v>
      </c>
      <c r="K252">
        <v>65.459999999999994</v>
      </c>
      <c r="L252">
        <v>65.739999999999995</v>
      </c>
      <c r="M252">
        <v>67.83</v>
      </c>
      <c r="N252" t="s">
        <v>138</v>
      </c>
    </row>
    <row r="253" spans="1:14" x14ac:dyDescent="0.2">
      <c r="A253" s="1">
        <v>252</v>
      </c>
      <c r="B253" t="s">
        <v>894</v>
      </c>
      <c r="C253">
        <f xml:space="preserve">  65.76</f>
        <v>65.760000000000005</v>
      </c>
      <c r="D253">
        <v>7</v>
      </c>
      <c r="E253">
        <v>11</v>
      </c>
      <c r="F253">
        <v>67.66</v>
      </c>
      <c r="G253">
        <v>0</v>
      </c>
      <c r="H253">
        <v>0</v>
      </c>
      <c r="I253">
        <v>0</v>
      </c>
      <c r="J253">
        <v>0</v>
      </c>
      <c r="K253">
        <v>65.540000000000006</v>
      </c>
      <c r="L253">
        <v>65.760000000000005</v>
      </c>
      <c r="M253">
        <v>66.849999999999994</v>
      </c>
      <c r="N253" t="s">
        <v>141</v>
      </c>
    </row>
    <row r="254" spans="1:14" x14ac:dyDescent="0.2">
      <c r="A254" s="1">
        <v>253</v>
      </c>
      <c r="B254" t="s">
        <v>822</v>
      </c>
      <c r="C254">
        <f xml:space="preserve">  65.69</f>
        <v>65.69</v>
      </c>
      <c r="D254">
        <v>6</v>
      </c>
      <c r="E254">
        <v>12</v>
      </c>
      <c r="F254">
        <v>70.36</v>
      </c>
      <c r="G254">
        <v>0</v>
      </c>
      <c r="H254">
        <v>0</v>
      </c>
      <c r="I254">
        <v>0</v>
      </c>
      <c r="J254">
        <v>0</v>
      </c>
      <c r="K254">
        <v>66.23</v>
      </c>
      <c r="L254">
        <v>65.22</v>
      </c>
      <c r="M254">
        <v>62.78</v>
      </c>
      <c r="N254" t="s">
        <v>151</v>
      </c>
    </row>
    <row r="255" spans="1:14" x14ac:dyDescent="0.2">
      <c r="A255" s="1">
        <v>254</v>
      </c>
      <c r="B255" t="s">
        <v>255</v>
      </c>
      <c r="C255">
        <f xml:space="preserve">  65.6</f>
        <v>65.599999999999994</v>
      </c>
      <c r="D255">
        <v>6</v>
      </c>
      <c r="E255">
        <v>17</v>
      </c>
      <c r="F255">
        <v>70.73</v>
      </c>
      <c r="G255">
        <v>0</v>
      </c>
      <c r="H255">
        <v>0</v>
      </c>
      <c r="I255">
        <v>0</v>
      </c>
      <c r="J255">
        <v>0</v>
      </c>
      <c r="K255">
        <v>66.23</v>
      </c>
      <c r="L255">
        <v>65.069999999999993</v>
      </c>
      <c r="M255">
        <v>61.98</v>
      </c>
      <c r="N255" t="s">
        <v>67</v>
      </c>
    </row>
    <row r="256" spans="1:14" x14ac:dyDescent="0.2">
      <c r="A256" s="1">
        <v>255</v>
      </c>
      <c r="B256" t="s">
        <v>108</v>
      </c>
      <c r="C256">
        <f xml:space="preserve">  65.54</f>
        <v>65.540000000000006</v>
      </c>
      <c r="D256">
        <v>4</v>
      </c>
      <c r="E256">
        <v>14</v>
      </c>
      <c r="F256">
        <v>70.55</v>
      </c>
      <c r="G256">
        <v>0</v>
      </c>
      <c r="H256">
        <v>1</v>
      </c>
      <c r="I256">
        <v>0</v>
      </c>
      <c r="J256">
        <v>1</v>
      </c>
      <c r="K256">
        <v>65.81</v>
      </c>
      <c r="L256">
        <v>65.239999999999995</v>
      </c>
      <c r="M256">
        <v>64.45</v>
      </c>
      <c r="N256" t="s">
        <v>109</v>
      </c>
    </row>
    <row r="257" spans="1:14" x14ac:dyDescent="0.2">
      <c r="A257" s="1">
        <v>256</v>
      </c>
      <c r="B257" t="s">
        <v>217</v>
      </c>
      <c r="C257">
        <f xml:space="preserve">  65.51</f>
        <v>65.510000000000005</v>
      </c>
      <c r="D257">
        <v>6</v>
      </c>
      <c r="E257">
        <v>11</v>
      </c>
      <c r="F257">
        <v>66.650000000000006</v>
      </c>
      <c r="G257">
        <v>0</v>
      </c>
      <c r="H257">
        <v>0</v>
      </c>
      <c r="I257">
        <v>0</v>
      </c>
      <c r="J257">
        <v>0</v>
      </c>
      <c r="K257">
        <v>65.25</v>
      </c>
      <c r="L257">
        <v>65.05</v>
      </c>
      <c r="M257">
        <v>71.59</v>
      </c>
      <c r="N257" t="s">
        <v>141</v>
      </c>
    </row>
    <row r="258" spans="1:14" x14ac:dyDescent="0.2">
      <c r="A258" s="1">
        <v>257</v>
      </c>
      <c r="B258" t="s">
        <v>146</v>
      </c>
      <c r="C258">
        <f xml:space="preserve">  65.49</f>
        <v>65.489999999999995</v>
      </c>
      <c r="D258">
        <v>9</v>
      </c>
      <c r="E258">
        <v>11</v>
      </c>
      <c r="F258">
        <v>69.680000000000007</v>
      </c>
      <c r="G258">
        <v>0</v>
      </c>
      <c r="H258">
        <v>1</v>
      </c>
      <c r="I258">
        <v>0</v>
      </c>
      <c r="J258">
        <v>1</v>
      </c>
      <c r="K258">
        <v>65.84</v>
      </c>
      <c r="L258">
        <v>64.86</v>
      </c>
      <c r="M258">
        <v>67.16</v>
      </c>
      <c r="N258" t="s">
        <v>81</v>
      </c>
    </row>
    <row r="259" spans="1:14" x14ac:dyDescent="0.2">
      <c r="A259" s="1">
        <v>258</v>
      </c>
      <c r="B259" t="s">
        <v>252</v>
      </c>
      <c r="C259">
        <f xml:space="preserve">  65.48</f>
        <v>65.48</v>
      </c>
      <c r="D259">
        <v>5</v>
      </c>
      <c r="E259">
        <v>7</v>
      </c>
      <c r="F259">
        <v>65.37</v>
      </c>
      <c r="G259">
        <v>0</v>
      </c>
      <c r="H259">
        <v>0</v>
      </c>
      <c r="I259">
        <v>0</v>
      </c>
      <c r="J259">
        <v>0</v>
      </c>
      <c r="K259">
        <v>65.069999999999993</v>
      </c>
      <c r="L259">
        <v>65.7</v>
      </c>
      <c r="M259">
        <v>66.12</v>
      </c>
      <c r="N259" t="s">
        <v>141</v>
      </c>
    </row>
    <row r="260" spans="1:14" x14ac:dyDescent="0.2">
      <c r="A260" s="1">
        <v>259</v>
      </c>
      <c r="B260" t="s">
        <v>190</v>
      </c>
      <c r="C260">
        <f xml:space="preserve">  65.41</f>
        <v>65.41</v>
      </c>
      <c r="D260">
        <v>12</v>
      </c>
      <c r="E260">
        <v>9</v>
      </c>
      <c r="F260">
        <v>65.7</v>
      </c>
      <c r="G260">
        <v>0</v>
      </c>
      <c r="H260">
        <v>0</v>
      </c>
      <c r="I260">
        <v>0</v>
      </c>
      <c r="J260">
        <v>0</v>
      </c>
      <c r="K260">
        <v>65.180000000000007</v>
      </c>
      <c r="L260">
        <v>65.39</v>
      </c>
      <c r="M260">
        <v>66.989999999999995</v>
      </c>
      <c r="N260" t="s">
        <v>107</v>
      </c>
    </row>
    <row r="261" spans="1:14" x14ac:dyDescent="0.2">
      <c r="A261" s="1">
        <v>260</v>
      </c>
      <c r="B261" t="s">
        <v>250</v>
      </c>
      <c r="C261">
        <f xml:space="preserve">  65.35</f>
        <v>65.349999999999994</v>
      </c>
      <c r="D261">
        <v>4</v>
      </c>
      <c r="E261">
        <v>6</v>
      </c>
      <c r="F261">
        <v>68.13</v>
      </c>
      <c r="G261">
        <v>0</v>
      </c>
      <c r="H261">
        <v>0</v>
      </c>
      <c r="I261">
        <v>0</v>
      </c>
      <c r="J261">
        <v>0</v>
      </c>
      <c r="K261">
        <v>64.930000000000007</v>
      </c>
      <c r="L261">
        <v>65.680000000000007</v>
      </c>
      <c r="M261">
        <v>64.87</v>
      </c>
      <c r="N261" t="s">
        <v>141</v>
      </c>
    </row>
    <row r="262" spans="1:14" x14ac:dyDescent="0.2">
      <c r="A262" s="1">
        <v>261</v>
      </c>
      <c r="B262" t="s">
        <v>259</v>
      </c>
      <c r="C262">
        <f xml:space="preserve">  65.17</f>
        <v>65.17</v>
      </c>
      <c r="D262">
        <v>8</v>
      </c>
      <c r="E262">
        <v>17</v>
      </c>
      <c r="F262">
        <v>68.72</v>
      </c>
      <c r="G262">
        <v>0</v>
      </c>
      <c r="H262">
        <v>1</v>
      </c>
      <c r="I262">
        <v>0</v>
      </c>
      <c r="J262">
        <v>1</v>
      </c>
      <c r="K262">
        <v>65.290000000000006</v>
      </c>
      <c r="L262">
        <v>64.95</v>
      </c>
      <c r="M262">
        <v>64.98</v>
      </c>
      <c r="N262" t="s">
        <v>186</v>
      </c>
    </row>
    <row r="263" spans="1:14" x14ac:dyDescent="0.2">
      <c r="A263" s="1">
        <v>262</v>
      </c>
      <c r="B263" t="s">
        <v>170</v>
      </c>
      <c r="C263">
        <f xml:space="preserve">  65.17</f>
        <v>65.17</v>
      </c>
      <c r="D263">
        <v>12</v>
      </c>
      <c r="E263">
        <v>16</v>
      </c>
      <c r="F263">
        <v>66.77</v>
      </c>
      <c r="G263">
        <v>0</v>
      </c>
      <c r="H263">
        <v>0</v>
      </c>
      <c r="I263">
        <v>0</v>
      </c>
      <c r="J263">
        <v>1</v>
      </c>
      <c r="K263">
        <v>65.17</v>
      </c>
      <c r="L263">
        <v>64.77</v>
      </c>
      <c r="M263">
        <v>68.08</v>
      </c>
      <c r="N263" t="s">
        <v>306</v>
      </c>
    </row>
    <row r="264" spans="1:14" x14ac:dyDescent="0.2">
      <c r="A264" s="1">
        <v>263</v>
      </c>
      <c r="B264" t="s">
        <v>276</v>
      </c>
      <c r="C264">
        <f xml:space="preserve">  65.16</f>
        <v>65.16</v>
      </c>
      <c r="D264">
        <v>4</v>
      </c>
      <c r="E264">
        <v>16</v>
      </c>
      <c r="F264">
        <v>73.099999999999994</v>
      </c>
      <c r="G264">
        <v>0</v>
      </c>
      <c r="H264">
        <v>0</v>
      </c>
      <c r="I264">
        <v>0</v>
      </c>
      <c r="J264">
        <v>2</v>
      </c>
      <c r="K264">
        <v>64.77</v>
      </c>
      <c r="L264">
        <v>65.75</v>
      </c>
      <c r="M264">
        <v>59.83</v>
      </c>
      <c r="N264" t="s">
        <v>56</v>
      </c>
    </row>
    <row r="265" spans="1:14" x14ac:dyDescent="0.2">
      <c r="A265" s="1">
        <v>264</v>
      </c>
      <c r="B265" t="s">
        <v>830</v>
      </c>
      <c r="C265">
        <f xml:space="preserve">  64.85</f>
        <v>64.849999999999994</v>
      </c>
      <c r="D265">
        <v>8</v>
      </c>
      <c r="E265">
        <v>11</v>
      </c>
      <c r="F265">
        <v>68.38</v>
      </c>
      <c r="G265">
        <v>0</v>
      </c>
      <c r="H265">
        <v>0</v>
      </c>
      <c r="I265">
        <v>0</v>
      </c>
      <c r="J265">
        <v>0</v>
      </c>
      <c r="K265">
        <v>64.89</v>
      </c>
      <c r="L265">
        <v>64.7</v>
      </c>
      <c r="M265">
        <v>64.48</v>
      </c>
      <c r="N265" t="s">
        <v>151</v>
      </c>
    </row>
    <row r="266" spans="1:14" x14ac:dyDescent="0.2">
      <c r="A266" s="1">
        <v>265</v>
      </c>
      <c r="B266" t="s">
        <v>839</v>
      </c>
      <c r="C266">
        <f xml:space="preserve">  64.83</f>
        <v>64.83</v>
      </c>
      <c r="D266">
        <v>6</v>
      </c>
      <c r="E266">
        <v>12</v>
      </c>
      <c r="F266">
        <v>69.08</v>
      </c>
      <c r="G266">
        <v>0</v>
      </c>
      <c r="H266">
        <v>0</v>
      </c>
      <c r="I266">
        <v>0</v>
      </c>
      <c r="J266">
        <v>0</v>
      </c>
      <c r="K266">
        <v>64.790000000000006</v>
      </c>
      <c r="L266">
        <v>64.59</v>
      </c>
      <c r="M266">
        <v>66.680000000000007</v>
      </c>
      <c r="N266" t="s">
        <v>135</v>
      </c>
    </row>
    <row r="267" spans="1:14" x14ac:dyDescent="0.2">
      <c r="A267" s="1">
        <v>266</v>
      </c>
      <c r="B267" t="s">
        <v>258</v>
      </c>
      <c r="C267">
        <f xml:space="preserve">  64.82</f>
        <v>64.819999999999993</v>
      </c>
      <c r="D267">
        <v>7</v>
      </c>
      <c r="E267">
        <v>10</v>
      </c>
      <c r="F267">
        <v>70.760000000000005</v>
      </c>
      <c r="G267">
        <v>0</v>
      </c>
      <c r="H267">
        <v>1</v>
      </c>
      <c r="I267">
        <v>0</v>
      </c>
      <c r="J267">
        <v>1</v>
      </c>
      <c r="K267">
        <v>64.38</v>
      </c>
      <c r="L267">
        <v>65.180000000000007</v>
      </c>
      <c r="M267">
        <v>64.209999999999994</v>
      </c>
      <c r="N267" t="s">
        <v>109</v>
      </c>
    </row>
    <row r="268" spans="1:14" x14ac:dyDescent="0.2">
      <c r="A268" s="1">
        <v>267</v>
      </c>
      <c r="B268" t="s">
        <v>292</v>
      </c>
      <c r="C268">
        <f xml:space="preserve">  64.77</f>
        <v>64.77</v>
      </c>
      <c r="D268">
        <v>12</v>
      </c>
      <c r="E268">
        <v>8</v>
      </c>
      <c r="F268">
        <v>66.260000000000005</v>
      </c>
      <c r="G268">
        <v>0</v>
      </c>
      <c r="H268">
        <v>0</v>
      </c>
      <c r="I268">
        <v>0</v>
      </c>
      <c r="J268">
        <v>1</v>
      </c>
      <c r="K268">
        <v>64.89</v>
      </c>
      <c r="L268">
        <v>63.96</v>
      </c>
      <c r="M268">
        <v>70.23</v>
      </c>
      <c r="N268" t="s">
        <v>138</v>
      </c>
    </row>
    <row r="269" spans="1:14" x14ac:dyDescent="0.2">
      <c r="A269" s="1">
        <v>268</v>
      </c>
      <c r="B269" t="s">
        <v>289</v>
      </c>
      <c r="C269">
        <f xml:space="preserve">  64.68</f>
        <v>64.680000000000007</v>
      </c>
      <c r="D269">
        <v>4</v>
      </c>
      <c r="E269">
        <v>13</v>
      </c>
      <c r="F269">
        <v>72.06</v>
      </c>
      <c r="G269">
        <v>0</v>
      </c>
      <c r="H269">
        <v>0</v>
      </c>
      <c r="I269">
        <v>0</v>
      </c>
      <c r="J269">
        <v>0</v>
      </c>
      <c r="K269">
        <v>64.61</v>
      </c>
      <c r="L269">
        <v>64.81</v>
      </c>
      <c r="M269">
        <v>62.19</v>
      </c>
      <c r="N269" t="s">
        <v>86</v>
      </c>
    </row>
    <row r="270" spans="1:14" x14ac:dyDescent="0.2">
      <c r="A270" s="1">
        <v>269</v>
      </c>
      <c r="B270" t="s">
        <v>203</v>
      </c>
      <c r="C270">
        <f xml:space="preserve">  64.62</f>
        <v>64.62</v>
      </c>
      <c r="D270">
        <v>9</v>
      </c>
      <c r="E270">
        <v>13</v>
      </c>
      <c r="F270">
        <v>66.010000000000005</v>
      </c>
      <c r="G270">
        <v>0</v>
      </c>
      <c r="H270">
        <v>0</v>
      </c>
      <c r="I270">
        <v>0</v>
      </c>
      <c r="J270">
        <v>0</v>
      </c>
      <c r="K270">
        <v>64.709999999999994</v>
      </c>
      <c r="L270">
        <v>64.59</v>
      </c>
      <c r="M270">
        <v>62.13</v>
      </c>
      <c r="N270" t="s">
        <v>107</v>
      </c>
    </row>
    <row r="271" spans="1:14" x14ac:dyDescent="0.2">
      <c r="A271" s="1">
        <v>270</v>
      </c>
      <c r="B271" t="s">
        <v>221</v>
      </c>
      <c r="C271">
        <f xml:space="preserve">  64.41</f>
        <v>64.41</v>
      </c>
      <c r="D271">
        <v>9</v>
      </c>
      <c r="E271">
        <v>13</v>
      </c>
      <c r="F271">
        <v>67.48</v>
      </c>
      <c r="G271">
        <v>0</v>
      </c>
      <c r="H271">
        <v>0</v>
      </c>
      <c r="I271">
        <v>0</v>
      </c>
      <c r="J271">
        <v>1</v>
      </c>
      <c r="K271">
        <v>64.239999999999995</v>
      </c>
      <c r="L271">
        <v>64.73</v>
      </c>
      <c r="M271">
        <v>60.27</v>
      </c>
      <c r="N271" t="s">
        <v>186</v>
      </c>
    </row>
    <row r="272" spans="1:14" x14ac:dyDescent="0.2">
      <c r="A272" s="1">
        <v>271</v>
      </c>
      <c r="B272" t="s">
        <v>243</v>
      </c>
      <c r="C272">
        <f xml:space="preserve">  64.39</f>
        <v>64.39</v>
      </c>
      <c r="D272">
        <v>5</v>
      </c>
      <c r="E272">
        <v>15</v>
      </c>
      <c r="F272">
        <v>70.260000000000005</v>
      </c>
      <c r="G272">
        <v>0</v>
      </c>
      <c r="H272">
        <v>0</v>
      </c>
      <c r="I272">
        <v>0</v>
      </c>
      <c r="J272">
        <v>0</v>
      </c>
      <c r="K272">
        <v>64.41</v>
      </c>
      <c r="L272">
        <v>64.510000000000005</v>
      </c>
      <c r="M272">
        <v>60.68</v>
      </c>
      <c r="N272" t="s">
        <v>94</v>
      </c>
    </row>
    <row r="273" spans="1:14" x14ac:dyDescent="0.2">
      <c r="A273" s="1">
        <v>272</v>
      </c>
      <c r="B273" t="s">
        <v>230</v>
      </c>
      <c r="C273">
        <f xml:space="preserve">  64.36</f>
        <v>64.36</v>
      </c>
      <c r="D273">
        <v>9</v>
      </c>
      <c r="E273">
        <v>9</v>
      </c>
      <c r="F273">
        <v>64.47</v>
      </c>
      <c r="G273">
        <v>0</v>
      </c>
      <c r="H273">
        <v>0</v>
      </c>
      <c r="I273">
        <v>0</v>
      </c>
      <c r="J273">
        <v>0</v>
      </c>
      <c r="K273">
        <v>64.349999999999994</v>
      </c>
      <c r="L273">
        <v>64.239999999999995</v>
      </c>
      <c r="M273">
        <v>64.599999999999994</v>
      </c>
      <c r="N273" t="s">
        <v>167</v>
      </c>
    </row>
    <row r="274" spans="1:14" x14ac:dyDescent="0.2">
      <c r="A274" s="1">
        <v>273</v>
      </c>
      <c r="B274" t="s">
        <v>266</v>
      </c>
      <c r="C274">
        <v>64.31</v>
      </c>
      <c r="D274">
        <v>9</v>
      </c>
      <c r="E274">
        <v>15</v>
      </c>
      <c r="F274">
        <v>66.58</v>
      </c>
      <c r="G274">
        <v>0</v>
      </c>
      <c r="H274">
        <v>0</v>
      </c>
      <c r="I274">
        <v>0</v>
      </c>
      <c r="J274">
        <v>1</v>
      </c>
      <c r="K274">
        <v>64.180000000000007</v>
      </c>
      <c r="L274">
        <v>64.319999999999993</v>
      </c>
      <c r="M274">
        <v>64.25</v>
      </c>
      <c r="N274" t="s">
        <v>167</v>
      </c>
    </row>
    <row r="275" spans="1:14" x14ac:dyDescent="0.2">
      <c r="A275" s="1">
        <v>274</v>
      </c>
      <c r="B275" t="s">
        <v>244</v>
      </c>
      <c r="C275">
        <f xml:space="preserve">  64.29</f>
        <v>64.290000000000006</v>
      </c>
      <c r="D275">
        <v>9</v>
      </c>
      <c r="E275">
        <v>6</v>
      </c>
      <c r="F275">
        <v>63.78</v>
      </c>
      <c r="G275">
        <v>0</v>
      </c>
      <c r="H275">
        <v>0</v>
      </c>
      <c r="I275">
        <v>0</v>
      </c>
      <c r="J275">
        <v>0</v>
      </c>
      <c r="K275">
        <v>63.57</v>
      </c>
      <c r="L275">
        <v>64.989999999999995</v>
      </c>
      <c r="M275">
        <v>62.29</v>
      </c>
      <c r="N275" t="s">
        <v>141</v>
      </c>
    </row>
    <row r="276" spans="1:14" x14ac:dyDescent="0.2">
      <c r="A276" s="1">
        <v>275</v>
      </c>
      <c r="B276" t="s">
        <v>294</v>
      </c>
      <c r="C276">
        <f xml:space="preserve">  64.28</f>
        <v>64.28</v>
      </c>
      <c r="D276">
        <v>8</v>
      </c>
      <c r="E276">
        <v>17</v>
      </c>
      <c r="F276">
        <v>70.650000000000006</v>
      </c>
      <c r="G276">
        <v>0</v>
      </c>
      <c r="H276">
        <v>1</v>
      </c>
      <c r="I276">
        <v>0</v>
      </c>
      <c r="J276">
        <v>1</v>
      </c>
      <c r="K276">
        <v>63.76</v>
      </c>
      <c r="L276">
        <v>64.680000000000007</v>
      </c>
      <c r="M276">
        <v>64.17</v>
      </c>
      <c r="N276" t="s">
        <v>307</v>
      </c>
    </row>
    <row r="277" spans="1:14" x14ac:dyDescent="0.2">
      <c r="A277" s="1">
        <v>276</v>
      </c>
      <c r="B277" t="s">
        <v>264</v>
      </c>
      <c r="C277">
        <f xml:space="preserve">  64.25</f>
        <v>64.25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64.05</v>
      </c>
      <c r="L277">
        <v>64.2</v>
      </c>
      <c r="M277">
        <v>65.650000000000006</v>
      </c>
      <c r="N277" t="s">
        <v>125</v>
      </c>
    </row>
    <row r="278" spans="1:14" x14ac:dyDescent="0.2">
      <c r="A278" s="1">
        <v>277</v>
      </c>
      <c r="B278" t="s">
        <v>881</v>
      </c>
      <c r="C278">
        <f xml:space="preserve">  64.23</f>
        <v>64.23</v>
      </c>
      <c r="D278">
        <v>5</v>
      </c>
      <c r="E278">
        <v>17</v>
      </c>
      <c r="F278">
        <v>69.989999999999995</v>
      </c>
      <c r="G278">
        <v>0</v>
      </c>
      <c r="H278">
        <v>0</v>
      </c>
      <c r="I278">
        <v>0</v>
      </c>
      <c r="J278">
        <v>0</v>
      </c>
      <c r="K278">
        <v>64.11</v>
      </c>
      <c r="L278">
        <v>64.599999999999994</v>
      </c>
      <c r="M278">
        <v>57.24</v>
      </c>
      <c r="N278" t="s">
        <v>67</v>
      </c>
    </row>
    <row r="279" spans="1:14" x14ac:dyDescent="0.2">
      <c r="A279" s="1">
        <v>278</v>
      </c>
      <c r="B279" t="s">
        <v>838</v>
      </c>
      <c r="C279">
        <f xml:space="preserve">  64.17</f>
        <v>64.17</v>
      </c>
      <c r="D279">
        <v>12</v>
      </c>
      <c r="E279">
        <v>6</v>
      </c>
      <c r="F279">
        <v>60.79</v>
      </c>
      <c r="G279">
        <v>0</v>
      </c>
      <c r="H279">
        <v>0</v>
      </c>
      <c r="I279">
        <v>0</v>
      </c>
      <c r="J279">
        <v>0</v>
      </c>
      <c r="K279">
        <v>63.04</v>
      </c>
      <c r="L279">
        <v>64.66</v>
      </c>
      <c r="M279">
        <v>68.849999999999994</v>
      </c>
      <c r="N279" t="s">
        <v>204</v>
      </c>
    </row>
    <row r="280" spans="1:14" x14ac:dyDescent="0.2">
      <c r="A280" s="1">
        <v>279</v>
      </c>
      <c r="B280" t="s">
        <v>265</v>
      </c>
      <c r="C280">
        <f xml:space="preserve">  64.17</f>
        <v>64.17</v>
      </c>
      <c r="D280">
        <v>9</v>
      </c>
      <c r="E280">
        <v>17</v>
      </c>
      <c r="F280">
        <v>70.209999999999994</v>
      </c>
      <c r="G280">
        <v>0</v>
      </c>
      <c r="H280">
        <v>0</v>
      </c>
      <c r="I280">
        <v>0</v>
      </c>
      <c r="J280">
        <v>0</v>
      </c>
      <c r="K280">
        <v>63.84</v>
      </c>
      <c r="L280">
        <v>64.33</v>
      </c>
      <c r="M280">
        <v>64.510000000000005</v>
      </c>
      <c r="N280" t="s">
        <v>82</v>
      </c>
    </row>
    <row r="281" spans="1:14" x14ac:dyDescent="0.2">
      <c r="A281" s="1">
        <v>280</v>
      </c>
      <c r="B281" t="s">
        <v>248</v>
      </c>
      <c r="C281">
        <f xml:space="preserve">  63.95</f>
        <v>63.95</v>
      </c>
      <c r="D281">
        <v>8</v>
      </c>
      <c r="E281">
        <v>13</v>
      </c>
      <c r="F281">
        <v>69.25</v>
      </c>
      <c r="G281">
        <v>0</v>
      </c>
      <c r="H281">
        <v>0</v>
      </c>
      <c r="I281">
        <v>0</v>
      </c>
      <c r="J281">
        <v>0</v>
      </c>
      <c r="K281">
        <v>63.86</v>
      </c>
      <c r="L281">
        <v>64.02</v>
      </c>
      <c r="M281">
        <v>62.67</v>
      </c>
      <c r="N281" t="s">
        <v>135</v>
      </c>
    </row>
    <row r="282" spans="1:14" x14ac:dyDescent="0.2">
      <c r="A282" s="1">
        <v>281</v>
      </c>
      <c r="B282" t="s">
        <v>128</v>
      </c>
      <c r="C282">
        <f xml:space="preserve">  63.86</f>
        <v>63.86</v>
      </c>
      <c r="D282">
        <v>4</v>
      </c>
      <c r="E282">
        <v>18</v>
      </c>
      <c r="F282">
        <v>72.22</v>
      </c>
      <c r="G282">
        <v>0</v>
      </c>
      <c r="H282">
        <v>0</v>
      </c>
      <c r="I282">
        <v>0</v>
      </c>
      <c r="J282">
        <v>0</v>
      </c>
      <c r="K282">
        <v>63.95</v>
      </c>
      <c r="L282">
        <v>63.6</v>
      </c>
      <c r="M282">
        <v>64.430000000000007</v>
      </c>
      <c r="N282" t="s">
        <v>67</v>
      </c>
    </row>
    <row r="283" spans="1:14" x14ac:dyDescent="0.2">
      <c r="A283" s="1">
        <v>282</v>
      </c>
      <c r="B283" t="s">
        <v>897</v>
      </c>
      <c r="C283">
        <f xml:space="preserve">  63.83</f>
        <v>63.83</v>
      </c>
      <c r="D283">
        <v>5</v>
      </c>
      <c r="E283">
        <v>10</v>
      </c>
      <c r="F283">
        <v>66.3</v>
      </c>
      <c r="G283">
        <v>0</v>
      </c>
      <c r="H283">
        <v>1</v>
      </c>
      <c r="I283">
        <v>0</v>
      </c>
      <c r="J283">
        <v>1</v>
      </c>
      <c r="K283">
        <v>63.78</v>
      </c>
      <c r="L283">
        <v>64.06</v>
      </c>
      <c r="M283">
        <v>58.69</v>
      </c>
      <c r="N283" t="s">
        <v>81</v>
      </c>
    </row>
    <row r="284" spans="1:14" x14ac:dyDescent="0.2">
      <c r="A284" s="1">
        <v>283</v>
      </c>
      <c r="B284" t="s">
        <v>169</v>
      </c>
      <c r="C284">
        <f xml:space="preserve">  63.76</f>
        <v>63.76</v>
      </c>
      <c r="D284">
        <v>5</v>
      </c>
      <c r="E284">
        <v>10</v>
      </c>
      <c r="F284">
        <v>67.47</v>
      </c>
      <c r="G284">
        <v>0</v>
      </c>
      <c r="H284">
        <v>0</v>
      </c>
      <c r="I284">
        <v>0</v>
      </c>
      <c r="J284">
        <v>0</v>
      </c>
      <c r="K284">
        <v>64.2</v>
      </c>
      <c r="L284">
        <v>63.26</v>
      </c>
      <c r="M284">
        <v>62.71</v>
      </c>
      <c r="N284" t="s">
        <v>135</v>
      </c>
    </row>
    <row r="285" spans="1:14" x14ac:dyDescent="0.2">
      <c r="A285" s="1">
        <v>284</v>
      </c>
      <c r="B285" t="s">
        <v>245</v>
      </c>
      <c r="C285">
        <f xml:space="preserve">  63.75</f>
        <v>63.75</v>
      </c>
      <c r="D285">
        <v>4</v>
      </c>
      <c r="E285">
        <v>16</v>
      </c>
      <c r="F285">
        <v>72.7</v>
      </c>
      <c r="G285">
        <v>0</v>
      </c>
      <c r="H285">
        <v>0</v>
      </c>
      <c r="I285">
        <v>0</v>
      </c>
      <c r="J285">
        <v>1</v>
      </c>
      <c r="K285">
        <v>63.44</v>
      </c>
      <c r="L285">
        <v>63.93</v>
      </c>
      <c r="M285">
        <v>63.77</v>
      </c>
      <c r="N285" t="s">
        <v>94</v>
      </c>
    </row>
    <row r="286" spans="1:14" x14ac:dyDescent="0.2">
      <c r="A286" s="1">
        <v>285</v>
      </c>
      <c r="B286" t="s">
        <v>238</v>
      </c>
      <c r="C286">
        <f xml:space="preserve">  63.69</f>
        <v>63.69</v>
      </c>
      <c r="D286">
        <v>3</v>
      </c>
      <c r="E286">
        <v>12</v>
      </c>
      <c r="F286">
        <v>73.37</v>
      </c>
      <c r="G286">
        <v>0</v>
      </c>
      <c r="H286">
        <v>0</v>
      </c>
      <c r="I286">
        <v>0</v>
      </c>
      <c r="J286">
        <v>1</v>
      </c>
      <c r="K286">
        <v>63</v>
      </c>
      <c r="L286">
        <v>64.2</v>
      </c>
      <c r="M286">
        <v>64.05</v>
      </c>
      <c r="N286" t="s">
        <v>94</v>
      </c>
    </row>
    <row r="287" spans="1:14" x14ac:dyDescent="0.2">
      <c r="A287" s="1">
        <v>286</v>
      </c>
      <c r="B287" t="s">
        <v>188</v>
      </c>
      <c r="C287">
        <f xml:space="preserve">  63.62</f>
        <v>63.62</v>
      </c>
      <c r="D287">
        <v>10</v>
      </c>
      <c r="E287">
        <v>17</v>
      </c>
      <c r="F287">
        <v>67.239999999999995</v>
      </c>
      <c r="G287">
        <v>0</v>
      </c>
      <c r="H287">
        <v>0</v>
      </c>
      <c r="I287">
        <v>0</v>
      </c>
      <c r="J287">
        <v>0</v>
      </c>
      <c r="K287">
        <v>62.56</v>
      </c>
      <c r="L287">
        <v>63.71</v>
      </c>
      <c r="M287">
        <v>71.23</v>
      </c>
      <c r="N287" t="s">
        <v>107</v>
      </c>
    </row>
    <row r="288" spans="1:14" x14ac:dyDescent="0.2">
      <c r="A288" s="1">
        <v>287</v>
      </c>
      <c r="B288" t="s">
        <v>880</v>
      </c>
      <c r="C288">
        <f xml:space="preserve">  63.59</f>
        <v>63.59</v>
      </c>
      <c r="D288">
        <v>7</v>
      </c>
      <c r="E288">
        <v>14</v>
      </c>
      <c r="F288">
        <v>68.36</v>
      </c>
      <c r="G288">
        <v>0</v>
      </c>
      <c r="H288">
        <v>1</v>
      </c>
      <c r="I288">
        <v>0</v>
      </c>
      <c r="J288">
        <v>1</v>
      </c>
      <c r="K288">
        <v>63.43</v>
      </c>
      <c r="L288">
        <v>63.78</v>
      </c>
      <c r="M288">
        <v>61.67</v>
      </c>
      <c r="N288" t="s">
        <v>138</v>
      </c>
    </row>
    <row r="289" spans="1:14" x14ac:dyDescent="0.2">
      <c r="A289" s="1">
        <v>288</v>
      </c>
      <c r="B289" t="s">
        <v>879</v>
      </c>
      <c r="C289">
        <f xml:space="preserve">  63.53</f>
        <v>63.53</v>
      </c>
      <c r="D289">
        <v>8</v>
      </c>
      <c r="E289">
        <v>15</v>
      </c>
      <c r="F289">
        <v>67.180000000000007</v>
      </c>
      <c r="G289">
        <v>0</v>
      </c>
      <c r="H289">
        <v>0</v>
      </c>
      <c r="I289">
        <v>0</v>
      </c>
      <c r="J289">
        <v>0</v>
      </c>
      <c r="K289">
        <v>63.21</v>
      </c>
      <c r="L289">
        <v>63.54</v>
      </c>
      <c r="M289">
        <v>65.63</v>
      </c>
      <c r="N289" t="s">
        <v>186</v>
      </c>
    </row>
    <row r="290" spans="1:14" x14ac:dyDescent="0.2">
      <c r="A290" s="1">
        <v>289</v>
      </c>
      <c r="B290" t="s">
        <v>890</v>
      </c>
      <c r="C290">
        <f xml:space="preserve">  63.5</f>
        <v>63.5</v>
      </c>
      <c r="D290">
        <v>7</v>
      </c>
      <c r="E290">
        <v>19</v>
      </c>
      <c r="F290">
        <v>68.28</v>
      </c>
      <c r="G290">
        <v>0</v>
      </c>
      <c r="H290">
        <v>0</v>
      </c>
      <c r="I290">
        <v>0</v>
      </c>
      <c r="J290">
        <v>0</v>
      </c>
      <c r="K290">
        <v>63.58</v>
      </c>
      <c r="L290">
        <v>63.33</v>
      </c>
      <c r="M290">
        <v>63.18</v>
      </c>
      <c r="N290" t="s">
        <v>308</v>
      </c>
    </row>
    <row r="291" spans="1:14" x14ac:dyDescent="0.2">
      <c r="A291" s="1">
        <v>290</v>
      </c>
      <c r="B291" t="s">
        <v>892</v>
      </c>
      <c r="C291">
        <f xml:space="preserve">  63.47</f>
        <v>63.47</v>
      </c>
      <c r="D291">
        <v>9</v>
      </c>
      <c r="E291">
        <v>10</v>
      </c>
      <c r="F291">
        <v>64.75</v>
      </c>
      <c r="G291">
        <v>0</v>
      </c>
      <c r="H291">
        <v>0</v>
      </c>
      <c r="I291">
        <v>0</v>
      </c>
      <c r="J291">
        <v>0</v>
      </c>
      <c r="K291">
        <v>63.19</v>
      </c>
      <c r="L291">
        <v>63.46</v>
      </c>
      <c r="M291">
        <v>65.430000000000007</v>
      </c>
      <c r="N291" t="s">
        <v>167</v>
      </c>
    </row>
    <row r="292" spans="1:14" x14ac:dyDescent="0.2">
      <c r="A292" s="1">
        <v>291</v>
      </c>
      <c r="B292" t="s">
        <v>882</v>
      </c>
      <c r="C292">
        <v>63.38</v>
      </c>
      <c r="D292">
        <v>7</v>
      </c>
      <c r="E292">
        <v>12</v>
      </c>
      <c r="F292">
        <v>67.760000000000005</v>
      </c>
      <c r="G292">
        <v>0</v>
      </c>
      <c r="H292">
        <v>0</v>
      </c>
      <c r="I292">
        <v>0</v>
      </c>
      <c r="J292">
        <v>0</v>
      </c>
      <c r="K292">
        <v>63.82</v>
      </c>
      <c r="L292">
        <v>63.1</v>
      </c>
      <c r="M292">
        <v>58.48</v>
      </c>
      <c r="N292" t="s">
        <v>90</v>
      </c>
    </row>
    <row r="293" spans="1:14" x14ac:dyDescent="0.2">
      <c r="A293" s="1">
        <v>292</v>
      </c>
      <c r="B293" t="s">
        <v>176</v>
      </c>
      <c r="C293">
        <f xml:space="preserve">  63.37</f>
        <v>63.37</v>
      </c>
      <c r="D293">
        <v>8</v>
      </c>
      <c r="E293">
        <v>8</v>
      </c>
      <c r="F293">
        <v>64.930000000000007</v>
      </c>
      <c r="G293">
        <v>0</v>
      </c>
      <c r="H293">
        <v>0</v>
      </c>
      <c r="I293">
        <v>0</v>
      </c>
      <c r="J293">
        <v>0</v>
      </c>
      <c r="K293">
        <v>62.98</v>
      </c>
      <c r="L293">
        <v>63.68</v>
      </c>
      <c r="M293">
        <v>62.87</v>
      </c>
      <c r="N293" t="s">
        <v>138</v>
      </c>
    </row>
    <row r="294" spans="1:14" x14ac:dyDescent="0.2">
      <c r="A294" s="1">
        <v>293</v>
      </c>
      <c r="B294" t="s">
        <v>272</v>
      </c>
      <c r="C294">
        <f xml:space="preserve">  63.34</f>
        <v>63.34</v>
      </c>
      <c r="D294">
        <v>8</v>
      </c>
      <c r="E294">
        <v>10</v>
      </c>
      <c r="F294">
        <v>67.91</v>
      </c>
      <c r="G294">
        <v>0</v>
      </c>
      <c r="H294">
        <v>0</v>
      </c>
      <c r="I294">
        <v>0</v>
      </c>
      <c r="J294">
        <v>0</v>
      </c>
      <c r="K294">
        <v>62.82</v>
      </c>
      <c r="L294">
        <v>63.64</v>
      </c>
      <c r="M294">
        <v>64.48</v>
      </c>
      <c r="N294" t="s">
        <v>186</v>
      </c>
    </row>
    <row r="295" spans="1:14" x14ac:dyDescent="0.2">
      <c r="A295" s="1">
        <v>294</v>
      </c>
      <c r="B295" t="s">
        <v>211</v>
      </c>
      <c r="C295">
        <f xml:space="preserve">  63.34</f>
        <v>63.34</v>
      </c>
      <c r="D295">
        <v>9</v>
      </c>
      <c r="E295">
        <v>15</v>
      </c>
      <c r="F295">
        <v>66.62</v>
      </c>
      <c r="G295">
        <v>0</v>
      </c>
      <c r="H295">
        <v>0</v>
      </c>
      <c r="I295">
        <v>0</v>
      </c>
      <c r="J295">
        <v>0</v>
      </c>
      <c r="K295">
        <v>63.51</v>
      </c>
      <c r="L295">
        <v>63.03</v>
      </c>
      <c r="M295">
        <v>63.53</v>
      </c>
      <c r="N295" t="s">
        <v>306</v>
      </c>
    </row>
    <row r="296" spans="1:14" x14ac:dyDescent="0.2">
      <c r="A296" s="1">
        <v>295</v>
      </c>
      <c r="B296" t="s">
        <v>251</v>
      </c>
      <c r="C296">
        <f xml:space="preserve">  63.21</f>
        <v>63.21</v>
      </c>
      <c r="D296">
        <v>3</v>
      </c>
      <c r="E296">
        <v>15</v>
      </c>
      <c r="F296">
        <v>68.97</v>
      </c>
      <c r="G296">
        <v>0</v>
      </c>
      <c r="H296">
        <v>0</v>
      </c>
      <c r="I296">
        <v>0</v>
      </c>
      <c r="J296">
        <v>0</v>
      </c>
      <c r="K296">
        <v>63.55</v>
      </c>
      <c r="L296">
        <v>62.99</v>
      </c>
      <c r="M296">
        <v>59.58</v>
      </c>
      <c r="N296" t="s">
        <v>186</v>
      </c>
    </row>
    <row r="297" spans="1:14" x14ac:dyDescent="0.2">
      <c r="A297" s="1">
        <v>296</v>
      </c>
      <c r="B297" t="s">
        <v>214</v>
      </c>
      <c r="C297">
        <f xml:space="preserve">  63.16</f>
        <v>63.16</v>
      </c>
      <c r="D297">
        <v>7</v>
      </c>
      <c r="E297">
        <v>13</v>
      </c>
      <c r="F297">
        <v>65.83</v>
      </c>
      <c r="G297">
        <v>0</v>
      </c>
      <c r="H297">
        <v>0</v>
      </c>
      <c r="I297">
        <v>0</v>
      </c>
      <c r="J297">
        <v>0</v>
      </c>
      <c r="K297">
        <v>63.34</v>
      </c>
      <c r="L297">
        <v>62.83</v>
      </c>
      <c r="M297">
        <v>63.52</v>
      </c>
      <c r="N297" t="s">
        <v>107</v>
      </c>
    </row>
    <row r="298" spans="1:14" x14ac:dyDescent="0.2">
      <c r="A298" s="1">
        <v>297</v>
      </c>
      <c r="B298" t="s">
        <v>904</v>
      </c>
      <c r="C298">
        <f xml:space="preserve">  63.11</f>
        <v>63.11</v>
      </c>
      <c r="D298">
        <v>5</v>
      </c>
      <c r="E298">
        <v>20</v>
      </c>
      <c r="F298">
        <v>71.319999999999993</v>
      </c>
      <c r="G298">
        <v>0</v>
      </c>
      <c r="H298">
        <v>3</v>
      </c>
      <c r="I298">
        <v>0</v>
      </c>
      <c r="J298">
        <v>3</v>
      </c>
      <c r="K298">
        <v>63.46</v>
      </c>
      <c r="L298">
        <v>62.74</v>
      </c>
      <c r="M298">
        <v>61.5</v>
      </c>
      <c r="N298" t="s">
        <v>82</v>
      </c>
    </row>
    <row r="299" spans="1:14" x14ac:dyDescent="0.2">
      <c r="A299" s="1">
        <v>298</v>
      </c>
      <c r="B299" t="s">
        <v>242</v>
      </c>
      <c r="C299">
        <f xml:space="preserve">  62.96</f>
        <v>62.96</v>
      </c>
      <c r="D299">
        <v>9</v>
      </c>
      <c r="E299">
        <v>11</v>
      </c>
      <c r="F299">
        <v>65.59</v>
      </c>
      <c r="G299">
        <v>0</v>
      </c>
      <c r="H299">
        <v>0</v>
      </c>
      <c r="I299">
        <v>0</v>
      </c>
      <c r="J299">
        <v>1</v>
      </c>
      <c r="K299">
        <v>62.27</v>
      </c>
      <c r="L299">
        <v>63.01</v>
      </c>
      <c r="M299">
        <v>67.86</v>
      </c>
      <c r="N299" t="s">
        <v>138</v>
      </c>
    </row>
    <row r="300" spans="1:14" x14ac:dyDescent="0.2">
      <c r="A300" s="1">
        <v>299</v>
      </c>
      <c r="B300" t="s">
        <v>254</v>
      </c>
      <c r="C300">
        <f xml:space="preserve">  62.92</f>
        <v>62.92</v>
      </c>
      <c r="D300">
        <v>6</v>
      </c>
      <c r="E300">
        <v>16</v>
      </c>
      <c r="F300">
        <v>70.92</v>
      </c>
      <c r="G300">
        <v>0</v>
      </c>
      <c r="H300">
        <v>1</v>
      </c>
      <c r="I300">
        <v>0</v>
      </c>
      <c r="J300">
        <v>2</v>
      </c>
      <c r="K300">
        <v>62.28</v>
      </c>
      <c r="L300">
        <v>63.13</v>
      </c>
      <c r="M300">
        <v>65.87</v>
      </c>
      <c r="N300" t="s">
        <v>151</v>
      </c>
    </row>
    <row r="301" spans="1:14" x14ac:dyDescent="0.2">
      <c r="A301" s="1">
        <v>300</v>
      </c>
      <c r="B301" t="s">
        <v>288</v>
      </c>
      <c r="C301">
        <f xml:space="preserve">  62.85</f>
        <v>62.85</v>
      </c>
      <c r="D301">
        <v>2</v>
      </c>
      <c r="E301">
        <v>12</v>
      </c>
      <c r="F301">
        <v>74.69</v>
      </c>
      <c r="G301">
        <v>0</v>
      </c>
      <c r="H301">
        <v>0</v>
      </c>
      <c r="I301">
        <v>0</v>
      </c>
      <c r="J301">
        <v>1</v>
      </c>
      <c r="K301">
        <v>63.03</v>
      </c>
      <c r="L301">
        <v>62.53</v>
      </c>
      <c r="M301">
        <v>63.08</v>
      </c>
      <c r="N301" t="s">
        <v>63</v>
      </c>
    </row>
    <row r="302" spans="1:14" x14ac:dyDescent="0.2">
      <c r="A302" s="1">
        <v>301</v>
      </c>
      <c r="B302" t="s">
        <v>893</v>
      </c>
      <c r="C302">
        <f xml:space="preserve">  62.83</f>
        <v>62.83</v>
      </c>
      <c r="D302">
        <v>6</v>
      </c>
      <c r="E302">
        <v>16</v>
      </c>
      <c r="F302">
        <v>66.86</v>
      </c>
      <c r="G302">
        <v>0</v>
      </c>
      <c r="H302">
        <v>1</v>
      </c>
      <c r="I302">
        <v>0</v>
      </c>
      <c r="J302">
        <v>1</v>
      </c>
      <c r="K302">
        <v>62.82</v>
      </c>
      <c r="L302">
        <v>62.87</v>
      </c>
      <c r="M302">
        <v>60.91</v>
      </c>
      <c r="N302" t="s">
        <v>167</v>
      </c>
    </row>
    <row r="303" spans="1:14" x14ac:dyDescent="0.2">
      <c r="A303" s="1">
        <v>302</v>
      </c>
      <c r="B303" t="s">
        <v>219</v>
      </c>
      <c r="C303">
        <f xml:space="preserve">  62.76</f>
        <v>62.76</v>
      </c>
      <c r="D303">
        <v>9</v>
      </c>
      <c r="E303">
        <v>15</v>
      </c>
      <c r="F303">
        <v>64.27</v>
      </c>
      <c r="G303">
        <v>0</v>
      </c>
      <c r="H303">
        <v>1</v>
      </c>
      <c r="I303">
        <v>0</v>
      </c>
      <c r="J303">
        <v>1</v>
      </c>
      <c r="K303">
        <v>63.01</v>
      </c>
      <c r="L303">
        <v>62.22</v>
      </c>
      <c r="M303">
        <v>64.569999999999993</v>
      </c>
      <c r="N303" t="s">
        <v>179</v>
      </c>
    </row>
    <row r="304" spans="1:14" x14ac:dyDescent="0.2">
      <c r="A304" s="1">
        <v>303</v>
      </c>
      <c r="B304" t="s">
        <v>229</v>
      </c>
      <c r="C304">
        <f xml:space="preserve">  62.66</f>
        <v>62.66</v>
      </c>
      <c r="D304">
        <v>9</v>
      </c>
      <c r="E304">
        <v>10</v>
      </c>
      <c r="F304">
        <v>65.989999999999995</v>
      </c>
      <c r="G304">
        <v>0</v>
      </c>
      <c r="H304">
        <v>1</v>
      </c>
      <c r="I304">
        <v>0</v>
      </c>
      <c r="J304">
        <v>1</v>
      </c>
      <c r="K304">
        <v>61.41</v>
      </c>
      <c r="L304">
        <v>63.11</v>
      </c>
      <c r="M304">
        <v>68.349999999999994</v>
      </c>
      <c r="N304" t="s">
        <v>310</v>
      </c>
    </row>
    <row r="305" spans="1:14" x14ac:dyDescent="0.2">
      <c r="A305" s="1">
        <v>304</v>
      </c>
      <c r="B305" t="s">
        <v>271</v>
      </c>
      <c r="C305">
        <f xml:space="preserve">  62.48</f>
        <v>62.48</v>
      </c>
      <c r="D305">
        <v>9</v>
      </c>
      <c r="E305">
        <v>18</v>
      </c>
      <c r="F305">
        <v>67.040000000000006</v>
      </c>
      <c r="G305">
        <v>0</v>
      </c>
      <c r="H305">
        <v>1</v>
      </c>
      <c r="I305">
        <v>0</v>
      </c>
      <c r="J305">
        <v>1</v>
      </c>
      <c r="K305">
        <v>62.59</v>
      </c>
      <c r="L305">
        <v>62.36</v>
      </c>
      <c r="M305">
        <v>61.07</v>
      </c>
      <c r="N305" t="s">
        <v>77</v>
      </c>
    </row>
    <row r="306" spans="1:14" x14ac:dyDescent="0.2">
      <c r="A306" s="1">
        <v>305</v>
      </c>
      <c r="B306" t="s">
        <v>263</v>
      </c>
      <c r="C306">
        <f xml:space="preserve">  62.4</f>
        <v>62.4</v>
      </c>
      <c r="D306">
        <v>5</v>
      </c>
      <c r="E306">
        <v>11</v>
      </c>
      <c r="F306">
        <v>67.95</v>
      </c>
      <c r="G306">
        <v>0</v>
      </c>
      <c r="H306">
        <v>0</v>
      </c>
      <c r="I306">
        <v>0</v>
      </c>
      <c r="J306">
        <v>0</v>
      </c>
      <c r="K306">
        <v>61.92</v>
      </c>
      <c r="L306">
        <v>62.05</v>
      </c>
      <c r="M306">
        <v>68.72</v>
      </c>
      <c r="N306" t="s">
        <v>141</v>
      </c>
    </row>
    <row r="307" spans="1:14" x14ac:dyDescent="0.2">
      <c r="A307" s="1">
        <v>306</v>
      </c>
      <c r="B307" t="s">
        <v>247</v>
      </c>
      <c r="C307">
        <f xml:space="preserve">  62.39</f>
        <v>62.39</v>
      </c>
      <c r="D307">
        <v>8</v>
      </c>
      <c r="E307">
        <v>12</v>
      </c>
      <c r="F307">
        <v>65.319999999999993</v>
      </c>
      <c r="G307">
        <v>0</v>
      </c>
      <c r="H307">
        <v>1</v>
      </c>
      <c r="I307">
        <v>0</v>
      </c>
      <c r="J307">
        <v>3</v>
      </c>
      <c r="K307">
        <v>62.78</v>
      </c>
      <c r="L307">
        <v>61.94</v>
      </c>
      <c r="M307">
        <v>61.12</v>
      </c>
      <c r="N307" t="s">
        <v>310</v>
      </c>
    </row>
    <row r="308" spans="1:14" x14ac:dyDescent="0.2">
      <c r="A308" s="1">
        <v>307</v>
      </c>
      <c r="B308" t="s">
        <v>246</v>
      </c>
      <c r="C308">
        <f xml:space="preserve">  62.35</f>
        <v>62.35</v>
      </c>
      <c r="D308">
        <v>9</v>
      </c>
      <c r="E308">
        <v>9</v>
      </c>
      <c r="F308">
        <v>65.599999999999994</v>
      </c>
      <c r="G308">
        <v>0</v>
      </c>
      <c r="H308">
        <v>0</v>
      </c>
      <c r="I308">
        <v>0</v>
      </c>
      <c r="J308">
        <v>1</v>
      </c>
      <c r="K308">
        <v>61.93</v>
      </c>
      <c r="L308">
        <v>62.47</v>
      </c>
      <c r="M308">
        <v>64.16</v>
      </c>
      <c r="N308" t="s">
        <v>167</v>
      </c>
    </row>
    <row r="309" spans="1:14" x14ac:dyDescent="0.2">
      <c r="A309" s="1">
        <v>308</v>
      </c>
      <c r="B309" t="s">
        <v>262</v>
      </c>
      <c r="C309">
        <f xml:space="preserve">  62.34</f>
        <v>62.34</v>
      </c>
      <c r="D309">
        <v>10</v>
      </c>
      <c r="E309">
        <v>18</v>
      </c>
      <c r="F309">
        <v>66.959999999999994</v>
      </c>
      <c r="G309">
        <v>0</v>
      </c>
      <c r="H309">
        <v>1</v>
      </c>
      <c r="I309">
        <v>0</v>
      </c>
      <c r="J309">
        <v>1</v>
      </c>
      <c r="K309">
        <v>61.76</v>
      </c>
      <c r="L309">
        <v>62.3</v>
      </c>
      <c r="M309">
        <v>67.180000000000007</v>
      </c>
      <c r="N309" t="s">
        <v>179</v>
      </c>
    </row>
    <row r="310" spans="1:14" x14ac:dyDescent="0.2">
      <c r="A310" s="1">
        <v>309</v>
      </c>
      <c r="B310" t="s">
        <v>889</v>
      </c>
      <c r="C310">
        <v>62.34</v>
      </c>
      <c r="D310">
        <v>11</v>
      </c>
      <c r="E310">
        <v>16</v>
      </c>
      <c r="F310">
        <v>66.81</v>
      </c>
      <c r="G310">
        <v>0</v>
      </c>
      <c r="H310">
        <v>0</v>
      </c>
      <c r="I310">
        <v>0</v>
      </c>
      <c r="J310">
        <v>0</v>
      </c>
      <c r="K310">
        <v>61.87</v>
      </c>
      <c r="L310">
        <v>62.16</v>
      </c>
      <c r="M310">
        <v>67.290000000000006</v>
      </c>
      <c r="N310" t="s">
        <v>77</v>
      </c>
    </row>
    <row r="311" spans="1:14" x14ac:dyDescent="0.2">
      <c r="A311" s="1">
        <v>310</v>
      </c>
      <c r="B311" t="s">
        <v>195</v>
      </c>
      <c r="C311">
        <f xml:space="preserve">  62.22</f>
        <v>62.22</v>
      </c>
      <c r="D311">
        <v>6</v>
      </c>
      <c r="E311">
        <v>17</v>
      </c>
      <c r="F311">
        <v>67.989999999999995</v>
      </c>
      <c r="G311">
        <v>0</v>
      </c>
      <c r="H311">
        <v>0</v>
      </c>
      <c r="I311">
        <v>0</v>
      </c>
      <c r="J311">
        <v>1</v>
      </c>
      <c r="K311">
        <v>62.09</v>
      </c>
      <c r="L311">
        <v>62.31</v>
      </c>
      <c r="M311">
        <v>61.24</v>
      </c>
      <c r="N311" t="s">
        <v>107</v>
      </c>
    </row>
    <row r="312" spans="1:14" x14ac:dyDescent="0.2">
      <c r="A312" s="1">
        <v>311</v>
      </c>
      <c r="B312" t="s">
        <v>296</v>
      </c>
      <c r="C312">
        <f xml:space="preserve">  62.07</f>
        <v>62.07</v>
      </c>
      <c r="D312">
        <v>9</v>
      </c>
      <c r="E312">
        <v>13</v>
      </c>
      <c r="F312">
        <v>65.89</v>
      </c>
      <c r="G312">
        <v>0</v>
      </c>
      <c r="H312">
        <v>0</v>
      </c>
      <c r="I312">
        <v>0</v>
      </c>
      <c r="J312">
        <v>0</v>
      </c>
      <c r="K312">
        <v>61.83</v>
      </c>
      <c r="L312">
        <v>62.11</v>
      </c>
      <c r="M312">
        <v>62.95</v>
      </c>
      <c r="N312" t="s">
        <v>138</v>
      </c>
    </row>
    <row r="313" spans="1:14" x14ac:dyDescent="0.2">
      <c r="A313" s="1">
        <v>312</v>
      </c>
      <c r="B313" t="s">
        <v>864</v>
      </c>
      <c r="C313">
        <f xml:space="preserve">  61.99</f>
        <v>61.99</v>
      </c>
      <c r="D313">
        <v>5</v>
      </c>
      <c r="E313">
        <v>10</v>
      </c>
      <c r="F313">
        <v>69.59</v>
      </c>
      <c r="G313">
        <v>0</v>
      </c>
      <c r="H313">
        <v>0</v>
      </c>
      <c r="I313">
        <v>0</v>
      </c>
      <c r="J313">
        <v>0</v>
      </c>
      <c r="K313">
        <v>62.16</v>
      </c>
      <c r="L313">
        <v>60.94</v>
      </c>
      <c r="M313">
        <v>68.28</v>
      </c>
      <c r="N313" t="s">
        <v>81</v>
      </c>
    </row>
    <row r="314" spans="1:14" x14ac:dyDescent="0.2">
      <c r="A314" s="1">
        <v>313</v>
      </c>
      <c r="B314" t="s">
        <v>216</v>
      </c>
      <c r="C314">
        <f xml:space="preserve">  61.96</f>
        <v>61.96</v>
      </c>
      <c r="D314">
        <v>5</v>
      </c>
      <c r="E314">
        <v>20</v>
      </c>
      <c r="F314">
        <v>73.819999999999993</v>
      </c>
      <c r="G314">
        <v>0</v>
      </c>
      <c r="H314">
        <v>0</v>
      </c>
      <c r="I314">
        <v>0</v>
      </c>
      <c r="J314">
        <v>4</v>
      </c>
      <c r="K314">
        <v>61.53</v>
      </c>
      <c r="L314">
        <v>62.45</v>
      </c>
      <c r="M314">
        <v>59.06</v>
      </c>
      <c r="N314" t="s">
        <v>56</v>
      </c>
    </row>
    <row r="315" spans="1:14" x14ac:dyDescent="0.2">
      <c r="A315" s="1">
        <v>314</v>
      </c>
      <c r="B315" t="s">
        <v>898</v>
      </c>
      <c r="C315">
        <f xml:space="preserve">  61.62</f>
        <v>61.62</v>
      </c>
      <c r="D315">
        <v>8</v>
      </c>
      <c r="E315">
        <v>11</v>
      </c>
      <c r="F315">
        <v>60.74</v>
      </c>
      <c r="G315">
        <v>0</v>
      </c>
      <c r="H315">
        <v>2</v>
      </c>
      <c r="I315">
        <v>0</v>
      </c>
      <c r="J315">
        <v>2</v>
      </c>
      <c r="K315">
        <v>61.69</v>
      </c>
      <c r="L315">
        <v>61.37</v>
      </c>
      <c r="M315">
        <v>62.27</v>
      </c>
      <c r="N315" t="s">
        <v>204</v>
      </c>
    </row>
    <row r="316" spans="1:14" x14ac:dyDescent="0.2">
      <c r="A316" s="1">
        <v>315</v>
      </c>
      <c r="B316" t="s">
        <v>206</v>
      </c>
      <c r="C316">
        <f xml:space="preserve">  61.52</f>
        <v>61.52</v>
      </c>
      <c r="D316">
        <v>6</v>
      </c>
      <c r="E316">
        <v>15</v>
      </c>
      <c r="F316">
        <v>69.37</v>
      </c>
      <c r="G316">
        <v>0</v>
      </c>
      <c r="H316">
        <v>1</v>
      </c>
      <c r="I316">
        <v>0</v>
      </c>
      <c r="J316">
        <v>1</v>
      </c>
      <c r="K316">
        <v>61.2</v>
      </c>
      <c r="L316">
        <v>61.6</v>
      </c>
      <c r="M316">
        <v>62.87</v>
      </c>
      <c r="N316" t="s">
        <v>82</v>
      </c>
    </row>
    <row r="317" spans="1:14" x14ac:dyDescent="0.2">
      <c r="A317" s="1">
        <v>316</v>
      </c>
      <c r="B317" t="s">
        <v>832</v>
      </c>
      <c r="C317">
        <f xml:space="preserve">  61.25</f>
        <v>61.25</v>
      </c>
      <c r="D317">
        <v>9</v>
      </c>
      <c r="E317">
        <v>13</v>
      </c>
      <c r="F317">
        <v>67.95</v>
      </c>
      <c r="G317">
        <v>0</v>
      </c>
      <c r="H317">
        <v>0</v>
      </c>
      <c r="I317">
        <v>0</v>
      </c>
      <c r="J317">
        <v>2</v>
      </c>
      <c r="K317">
        <v>60.41</v>
      </c>
      <c r="L317">
        <v>61.67</v>
      </c>
      <c r="M317">
        <v>63.91</v>
      </c>
      <c r="N317" t="s">
        <v>309</v>
      </c>
    </row>
    <row r="318" spans="1:14" x14ac:dyDescent="0.2">
      <c r="A318" s="1">
        <v>317</v>
      </c>
      <c r="B318" t="s">
        <v>231</v>
      </c>
      <c r="C318">
        <f xml:space="preserve">  61.15</f>
        <v>61.15</v>
      </c>
      <c r="D318">
        <v>5</v>
      </c>
      <c r="E318">
        <v>17</v>
      </c>
      <c r="F318">
        <v>67.91</v>
      </c>
      <c r="G318">
        <v>0</v>
      </c>
      <c r="H318">
        <v>1</v>
      </c>
      <c r="I318">
        <v>0</v>
      </c>
      <c r="J318">
        <v>1</v>
      </c>
      <c r="K318">
        <v>61.06</v>
      </c>
      <c r="L318">
        <v>61.05</v>
      </c>
      <c r="M318">
        <v>61.9</v>
      </c>
      <c r="N318" t="s">
        <v>306</v>
      </c>
    </row>
    <row r="319" spans="1:14" x14ac:dyDescent="0.2">
      <c r="A319" s="1">
        <v>318</v>
      </c>
      <c r="B319" t="s">
        <v>253</v>
      </c>
      <c r="C319">
        <f xml:space="preserve">  61.14</f>
        <v>61.14</v>
      </c>
      <c r="D319">
        <v>11</v>
      </c>
      <c r="E319">
        <v>14</v>
      </c>
      <c r="F319">
        <v>64.510000000000005</v>
      </c>
      <c r="G319">
        <v>0</v>
      </c>
      <c r="H319">
        <v>0</v>
      </c>
      <c r="I319">
        <v>0</v>
      </c>
      <c r="J319">
        <v>0</v>
      </c>
      <c r="K319">
        <v>60.91</v>
      </c>
      <c r="L319">
        <v>61.25</v>
      </c>
      <c r="M319">
        <v>61.09</v>
      </c>
      <c r="N319" t="s">
        <v>306</v>
      </c>
    </row>
    <row r="320" spans="1:14" x14ac:dyDescent="0.2">
      <c r="A320" s="1">
        <v>319</v>
      </c>
      <c r="B320" t="s">
        <v>868</v>
      </c>
      <c r="C320">
        <f xml:space="preserve">  61.03</f>
        <v>61.03</v>
      </c>
      <c r="D320">
        <v>10</v>
      </c>
      <c r="E320">
        <v>18</v>
      </c>
      <c r="F320">
        <v>67.61</v>
      </c>
      <c r="G320">
        <v>0</v>
      </c>
      <c r="H320">
        <v>3</v>
      </c>
      <c r="I320">
        <v>0</v>
      </c>
      <c r="J320">
        <v>3</v>
      </c>
      <c r="K320">
        <v>60.87</v>
      </c>
      <c r="L320">
        <v>60.69</v>
      </c>
      <c r="M320">
        <v>64.69</v>
      </c>
      <c r="N320" t="s">
        <v>179</v>
      </c>
    </row>
    <row r="321" spans="1:14" x14ac:dyDescent="0.2">
      <c r="A321" s="1">
        <v>320</v>
      </c>
      <c r="B321" t="s">
        <v>240</v>
      </c>
      <c r="C321">
        <f xml:space="preserve">  60.92</f>
        <v>60.92</v>
      </c>
      <c r="D321">
        <v>4</v>
      </c>
      <c r="E321">
        <v>9</v>
      </c>
      <c r="F321">
        <v>64.66</v>
      </c>
      <c r="G321">
        <v>0</v>
      </c>
      <c r="H321">
        <v>1</v>
      </c>
      <c r="I321">
        <v>0</v>
      </c>
      <c r="J321">
        <v>2</v>
      </c>
      <c r="K321">
        <v>61.39</v>
      </c>
      <c r="L321">
        <v>60.45</v>
      </c>
      <c r="M321">
        <v>58.91</v>
      </c>
      <c r="N321" t="s">
        <v>310</v>
      </c>
    </row>
    <row r="322" spans="1:14" x14ac:dyDescent="0.2">
      <c r="A322" s="1">
        <v>321</v>
      </c>
      <c r="B322" t="s">
        <v>895</v>
      </c>
      <c r="C322">
        <f xml:space="preserve">  60.81</f>
        <v>60.81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60.56</v>
      </c>
      <c r="L322">
        <v>60.75</v>
      </c>
      <c r="M322">
        <v>62.77</v>
      </c>
      <c r="N322" t="s">
        <v>310</v>
      </c>
    </row>
    <row r="323" spans="1:14" x14ac:dyDescent="0.2">
      <c r="A323" s="1">
        <v>322</v>
      </c>
      <c r="B323" t="s">
        <v>836</v>
      </c>
      <c r="C323">
        <f xml:space="preserve">  60.76</f>
        <v>60.76</v>
      </c>
      <c r="D323">
        <v>3</v>
      </c>
      <c r="E323">
        <v>19</v>
      </c>
      <c r="F323">
        <v>67.040000000000006</v>
      </c>
      <c r="G323">
        <v>0</v>
      </c>
      <c r="H323">
        <v>0</v>
      </c>
      <c r="I323">
        <v>0</v>
      </c>
      <c r="J323">
        <v>0</v>
      </c>
      <c r="K323">
        <v>61.47</v>
      </c>
      <c r="L323">
        <v>60.1</v>
      </c>
      <c r="M323">
        <v>57.16</v>
      </c>
      <c r="N323" t="s">
        <v>77</v>
      </c>
    </row>
    <row r="324" spans="1:14" x14ac:dyDescent="0.2">
      <c r="A324" s="1">
        <v>323</v>
      </c>
      <c r="B324" t="s">
        <v>867</v>
      </c>
      <c r="C324">
        <f xml:space="preserve">  60.72</f>
        <v>60.72</v>
      </c>
      <c r="D324">
        <v>11</v>
      </c>
      <c r="E324">
        <v>12</v>
      </c>
      <c r="F324">
        <v>62.44</v>
      </c>
      <c r="G324">
        <v>0</v>
      </c>
      <c r="H324">
        <v>1</v>
      </c>
      <c r="I324">
        <v>0</v>
      </c>
      <c r="J324">
        <v>2</v>
      </c>
      <c r="K324">
        <v>60.19</v>
      </c>
      <c r="L324">
        <v>60.88</v>
      </c>
      <c r="M324">
        <v>63.26</v>
      </c>
      <c r="N324" t="s">
        <v>204</v>
      </c>
    </row>
    <row r="325" spans="1:14" x14ac:dyDescent="0.2">
      <c r="A325" s="1">
        <v>324</v>
      </c>
      <c r="B325" t="s">
        <v>236</v>
      </c>
      <c r="C325">
        <f xml:space="preserve">  60.71</f>
        <v>60.71</v>
      </c>
      <c r="D325">
        <v>3</v>
      </c>
      <c r="E325">
        <v>16</v>
      </c>
      <c r="F325">
        <v>71.59</v>
      </c>
      <c r="G325">
        <v>0</v>
      </c>
      <c r="H325">
        <v>1</v>
      </c>
      <c r="I325">
        <v>0</v>
      </c>
      <c r="J325">
        <v>1</v>
      </c>
      <c r="K325">
        <v>60.28</v>
      </c>
      <c r="L325">
        <v>61.13</v>
      </c>
      <c r="M325">
        <v>58.74</v>
      </c>
      <c r="N325" t="s">
        <v>94</v>
      </c>
    </row>
    <row r="326" spans="1:14" x14ac:dyDescent="0.2">
      <c r="A326" s="1">
        <v>325</v>
      </c>
      <c r="B326" t="s">
        <v>220</v>
      </c>
      <c r="C326">
        <f xml:space="preserve">  60.63</f>
        <v>60.63</v>
      </c>
      <c r="D326">
        <v>5</v>
      </c>
      <c r="E326">
        <v>22</v>
      </c>
      <c r="F326">
        <v>69.97</v>
      </c>
      <c r="G326">
        <v>0</v>
      </c>
      <c r="H326">
        <v>1</v>
      </c>
      <c r="I326">
        <v>0</v>
      </c>
      <c r="J326">
        <v>2</v>
      </c>
      <c r="K326">
        <v>60.62</v>
      </c>
      <c r="L326">
        <v>60.26</v>
      </c>
      <c r="M326">
        <v>63.22</v>
      </c>
      <c r="N326" t="s">
        <v>77</v>
      </c>
    </row>
    <row r="327" spans="1:14" x14ac:dyDescent="0.2">
      <c r="A327" s="1">
        <v>326</v>
      </c>
      <c r="B327" t="s">
        <v>177</v>
      </c>
      <c r="C327">
        <f xml:space="preserve">  60.41</f>
        <v>60.41</v>
      </c>
      <c r="D327">
        <v>3</v>
      </c>
      <c r="E327">
        <v>15</v>
      </c>
      <c r="F327">
        <v>75.83</v>
      </c>
      <c r="G327">
        <v>0</v>
      </c>
      <c r="H327">
        <v>4</v>
      </c>
      <c r="I327">
        <v>0</v>
      </c>
      <c r="J327">
        <v>4</v>
      </c>
      <c r="K327">
        <v>59.83</v>
      </c>
      <c r="L327">
        <v>60.93</v>
      </c>
      <c r="M327">
        <v>58.97</v>
      </c>
      <c r="N327" t="s">
        <v>1</v>
      </c>
    </row>
    <row r="328" spans="1:14" x14ac:dyDescent="0.2">
      <c r="A328" s="1">
        <v>327</v>
      </c>
      <c r="B328" t="s">
        <v>237</v>
      </c>
      <c r="C328">
        <f xml:space="preserve">  60.41</f>
        <v>60.41</v>
      </c>
      <c r="D328">
        <v>4</v>
      </c>
      <c r="E328">
        <v>11</v>
      </c>
      <c r="F328">
        <v>65.83</v>
      </c>
      <c r="G328">
        <v>0</v>
      </c>
      <c r="H328">
        <v>0</v>
      </c>
      <c r="I328">
        <v>0</v>
      </c>
      <c r="J328">
        <v>0</v>
      </c>
      <c r="K328">
        <v>59.98</v>
      </c>
      <c r="L328">
        <v>60.8</v>
      </c>
      <c r="M328">
        <v>58.98</v>
      </c>
      <c r="N328" t="s">
        <v>141</v>
      </c>
    </row>
    <row r="329" spans="1:14" x14ac:dyDescent="0.2">
      <c r="A329" s="1">
        <v>328</v>
      </c>
      <c r="B329" t="s">
        <v>256</v>
      </c>
      <c r="C329">
        <f xml:space="preserve">  60.35</f>
        <v>60.35</v>
      </c>
      <c r="D329">
        <v>4</v>
      </c>
      <c r="E329">
        <v>19</v>
      </c>
      <c r="F329">
        <v>71.27</v>
      </c>
      <c r="G329">
        <v>0</v>
      </c>
      <c r="H329">
        <v>2</v>
      </c>
      <c r="I329">
        <v>0</v>
      </c>
      <c r="J329">
        <v>3</v>
      </c>
      <c r="K329">
        <v>60.88</v>
      </c>
      <c r="L329">
        <v>59.79</v>
      </c>
      <c r="M329">
        <v>58.56</v>
      </c>
      <c r="N329" t="s">
        <v>179</v>
      </c>
    </row>
    <row r="330" spans="1:14" x14ac:dyDescent="0.2">
      <c r="A330" s="1">
        <v>329</v>
      </c>
      <c r="B330" t="s">
        <v>901</v>
      </c>
      <c r="C330">
        <f xml:space="preserve">  60.33</f>
        <v>60.33</v>
      </c>
      <c r="D330">
        <v>4</v>
      </c>
      <c r="E330">
        <v>14</v>
      </c>
      <c r="F330">
        <v>67.84</v>
      </c>
      <c r="G330">
        <v>0</v>
      </c>
      <c r="H330">
        <v>0</v>
      </c>
      <c r="I330">
        <v>0</v>
      </c>
      <c r="J330">
        <v>0</v>
      </c>
      <c r="K330">
        <v>59.87</v>
      </c>
      <c r="L330">
        <v>60.21</v>
      </c>
      <c r="M330">
        <v>64.61</v>
      </c>
      <c r="N330" t="s">
        <v>90</v>
      </c>
    </row>
    <row r="331" spans="1:14" x14ac:dyDescent="0.2">
      <c r="A331" s="1">
        <v>330</v>
      </c>
      <c r="B331" t="s">
        <v>902</v>
      </c>
      <c r="C331">
        <f xml:space="preserve">  60.12</f>
        <v>60.12</v>
      </c>
      <c r="D331">
        <v>8</v>
      </c>
      <c r="E331">
        <v>17</v>
      </c>
      <c r="F331">
        <v>68.040000000000006</v>
      </c>
      <c r="G331">
        <v>0</v>
      </c>
      <c r="H331">
        <v>1</v>
      </c>
      <c r="I331">
        <v>0</v>
      </c>
      <c r="J331">
        <v>1</v>
      </c>
      <c r="K331">
        <v>59.29</v>
      </c>
      <c r="L331">
        <v>60.75</v>
      </c>
      <c r="M331">
        <v>60.32</v>
      </c>
      <c r="N331" t="s">
        <v>77</v>
      </c>
    </row>
    <row r="332" spans="1:14" x14ac:dyDescent="0.2">
      <c r="A332" s="1">
        <v>331</v>
      </c>
      <c r="B332" t="s">
        <v>267</v>
      </c>
      <c r="C332">
        <f xml:space="preserve">  60.01</f>
        <v>60.01</v>
      </c>
      <c r="D332">
        <v>2</v>
      </c>
      <c r="E332">
        <v>7</v>
      </c>
      <c r="F332">
        <v>70.08</v>
      </c>
      <c r="G332">
        <v>0</v>
      </c>
      <c r="H332">
        <v>0</v>
      </c>
      <c r="I332">
        <v>0</v>
      </c>
      <c r="J332">
        <v>0</v>
      </c>
      <c r="K332">
        <v>59.98</v>
      </c>
      <c r="L332">
        <v>59.66</v>
      </c>
      <c r="M332">
        <v>62.63</v>
      </c>
      <c r="N332" t="s">
        <v>90</v>
      </c>
    </row>
    <row r="333" spans="1:14" x14ac:dyDescent="0.2">
      <c r="A333" s="1">
        <v>332</v>
      </c>
      <c r="B333" t="s">
        <v>215</v>
      </c>
      <c r="C333">
        <f xml:space="preserve">  59.84</f>
        <v>59.84</v>
      </c>
      <c r="D333">
        <v>4</v>
      </c>
      <c r="E333">
        <v>10</v>
      </c>
      <c r="F333">
        <v>72.16</v>
      </c>
      <c r="G333">
        <v>0</v>
      </c>
      <c r="H333">
        <v>0</v>
      </c>
      <c r="I333">
        <v>0</v>
      </c>
      <c r="J333">
        <v>0</v>
      </c>
      <c r="K333">
        <v>59.71</v>
      </c>
      <c r="L333">
        <v>58.82</v>
      </c>
      <c r="M333">
        <v>67.44</v>
      </c>
      <c r="N333" t="s">
        <v>135</v>
      </c>
    </row>
    <row r="334" spans="1:14" x14ac:dyDescent="0.2">
      <c r="A334" s="1">
        <v>333</v>
      </c>
      <c r="B334" t="s">
        <v>883</v>
      </c>
      <c r="C334">
        <v>59.82</v>
      </c>
      <c r="D334">
        <v>6</v>
      </c>
      <c r="E334">
        <v>15</v>
      </c>
      <c r="F334">
        <v>65.09</v>
      </c>
      <c r="G334">
        <v>0</v>
      </c>
      <c r="H334">
        <v>0</v>
      </c>
      <c r="I334">
        <v>0</v>
      </c>
      <c r="J334">
        <v>0</v>
      </c>
      <c r="K334">
        <v>60.02</v>
      </c>
      <c r="L334">
        <v>59.58</v>
      </c>
      <c r="M334">
        <v>58.66</v>
      </c>
      <c r="N334" t="s">
        <v>306</v>
      </c>
    </row>
    <row r="335" spans="1:14" x14ac:dyDescent="0.2">
      <c r="A335" s="1">
        <v>334</v>
      </c>
      <c r="B335" t="s">
        <v>268</v>
      </c>
      <c r="C335">
        <v>59.43</v>
      </c>
      <c r="D335">
        <v>2</v>
      </c>
      <c r="E335">
        <v>18</v>
      </c>
      <c r="F335">
        <v>67.290000000000006</v>
      </c>
      <c r="G335">
        <v>0</v>
      </c>
      <c r="H335">
        <v>0</v>
      </c>
      <c r="I335">
        <v>0</v>
      </c>
      <c r="J335">
        <v>0</v>
      </c>
      <c r="K335">
        <v>60.31</v>
      </c>
      <c r="L335">
        <v>58.49</v>
      </c>
      <c r="M335">
        <v>56.76</v>
      </c>
      <c r="N335" t="s">
        <v>306</v>
      </c>
    </row>
    <row r="336" spans="1:14" x14ac:dyDescent="0.2">
      <c r="A336" s="1">
        <v>335</v>
      </c>
      <c r="B336" t="s">
        <v>828</v>
      </c>
      <c r="C336">
        <f xml:space="preserve">  59.41</f>
        <v>59.41</v>
      </c>
      <c r="D336">
        <v>3</v>
      </c>
      <c r="E336">
        <v>16</v>
      </c>
      <c r="F336">
        <v>75.099999999999994</v>
      </c>
      <c r="G336">
        <v>0</v>
      </c>
      <c r="H336">
        <v>0</v>
      </c>
      <c r="I336">
        <v>0</v>
      </c>
      <c r="J336">
        <v>4</v>
      </c>
      <c r="K336">
        <v>58.17</v>
      </c>
      <c r="L336">
        <v>60.1</v>
      </c>
      <c r="M336">
        <v>62.36</v>
      </c>
      <c r="N336" t="s">
        <v>56</v>
      </c>
    </row>
    <row r="337" spans="1:14" x14ac:dyDescent="0.2">
      <c r="A337" s="1">
        <v>336</v>
      </c>
      <c r="B337" t="s">
        <v>833</v>
      </c>
      <c r="C337">
        <f xml:space="preserve">  58.6</f>
        <v>58.6</v>
      </c>
      <c r="D337">
        <v>4</v>
      </c>
      <c r="E337">
        <v>14</v>
      </c>
      <c r="F337">
        <v>63.19</v>
      </c>
      <c r="G337">
        <v>0</v>
      </c>
      <c r="H337">
        <v>0</v>
      </c>
      <c r="I337">
        <v>0</v>
      </c>
      <c r="J337">
        <v>0</v>
      </c>
      <c r="K337">
        <v>58.77</v>
      </c>
      <c r="L337">
        <v>58.3</v>
      </c>
      <c r="M337">
        <v>58.5</v>
      </c>
      <c r="N337" t="s">
        <v>179</v>
      </c>
    </row>
    <row r="338" spans="1:14" x14ac:dyDescent="0.2">
      <c r="A338" s="1">
        <v>337</v>
      </c>
      <c r="B338" t="s">
        <v>227</v>
      </c>
      <c r="C338">
        <f xml:space="preserve">  58.44</f>
        <v>58.44</v>
      </c>
      <c r="D338">
        <v>8</v>
      </c>
      <c r="E338">
        <v>18</v>
      </c>
      <c r="F338">
        <v>66.11</v>
      </c>
      <c r="G338">
        <v>0</v>
      </c>
      <c r="H338">
        <v>1</v>
      </c>
      <c r="I338">
        <v>0</v>
      </c>
      <c r="J338">
        <v>1</v>
      </c>
      <c r="K338">
        <v>58.21</v>
      </c>
      <c r="L338">
        <v>58.65</v>
      </c>
      <c r="M338">
        <v>56.93</v>
      </c>
      <c r="N338" t="s">
        <v>179</v>
      </c>
    </row>
    <row r="339" spans="1:14" x14ac:dyDescent="0.2">
      <c r="A339" s="1">
        <v>338</v>
      </c>
      <c r="B339" t="s">
        <v>884</v>
      </c>
      <c r="C339">
        <v>58.41</v>
      </c>
      <c r="D339">
        <v>5</v>
      </c>
      <c r="E339">
        <v>16</v>
      </c>
      <c r="F339">
        <v>66.19</v>
      </c>
      <c r="G339">
        <v>0</v>
      </c>
      <c r="H339">
        <v>0</v>
      </c>
      <c r="I339">
        <v>0</v>
      </c>
      <c r="J339">
        <v>1</v>
      </c>
      <c r="K339">
        <v>58.05</v>
      </c>
      <c r="L339">
        <v>58.28</v>
      </c>
      <c r="M339">
        <v>61.97</v>
      </c>
      <c r="N339" t="s">
        <v>167</v>
      </c>
    </row>
    <row r="340" spans="1:14" x14ac:dyDescent="0.2">
      <c r="A340" s="1">
        <v>339</v>
      </c>
      <c r="B340" t="s">
        <v>850</v>
      </c>
      <c r="C340">
        <f xml:space="preserve">  58.34</f>
        <v>58.34</v>
      </c>
      <c r="D340">
        <v>3</v>
      </c>
      <c r="E340">
        <v>20</v>
      </c>
      <c r="F340">
        <v>70.489999999999995</v>
      </c>
      <c r="G340">
        <v>0</v>
      </c>
      <c r="H340">
        <v>0</v>
      </c>
      <c r="I340">
        <v>0</v>
      </c>
      <c r="J340">
        <v>0</v>
      </c>
      <c r="K340">
        <v>58.68</v>
      </c>
      <c r="L340">
        <v>57.74</v>
      </c>
      <c r="M340">
        <v>59.59</v>
      </c>
      <c r="N340" t="s">
        <v>135</v>
      </c>
    </row>
    <row r="341" spans="1:14" x14ac:dyDescent="0.2">
      <c r="A341" s="1">
        <v>340</v>
      </c>
      <c r="B341" t="s">
        <v>241</v>
      </c>
      <c r="C341">
        <f xml:space="preserve">  58.12</f>
        <v>58.12</v>
      </c>
      <c r="D341">
        <v>1</v>
      </c>
      <c r="E341">
        <v>19</v>
      </c>
      <c r="F341">
        <v>67.510000000000005</v>
      </c>
      <c r="G341">
        <v>0</v>
      </c>
      <c r="H341">
        <v>0</v>
      </c>
      <c r="I341">
        <v>0</v>
      </c>
      <c r="J341">
        <v>0</v>
      </c>
      <c r="K341">
        <v>58.98</v>
      </c>
      <c r="L341">
        <v>57.24</v>
      </c>
      <c r="M341">
        <v>54.44</v>
      </c>
      <c r="N341" t="s">
        <v>82</v>
      </c>
    </row>
    <row r="342" spans="1:14" x14ac:dyDescent="0.2">
      <c r="A342" s="1">
        <v>341</v>
      </c>
      <c r="B342" t="s">
        <v>224</v>
      </c>
      <c r="C342">
        <f xml:space="preserve">  57.79</f>
        <v>57.79</v>
      </c>
      <c r="D342">
        <v>1</v>
      </c>
      <c r="E342">
        <v>3</v>
      </c>
      <c r="F342">
        <v>67.83</v>
      </c>
      <c r="G342">
        <v>0</v>
      </c>
      <c r="H342">
        <v>0</v>
      </c>
      <c r="I342">
        <v>0</v>
      </c>
      <c r="J342">
        <v>0</v>
      </c>
      <c r="K342">
        <v>57.82</v>
      </c>
      <c r="L342">
        <v>57.42</v>
      </c>
      <c r="M342">
        <v>60.01</v>
      </c>
      <c r="N342" t="s">
        <v>309</v>
      </c>
    </row>
    <row r="343" spans="1:14" x14ac:dyDescent="0.2">
      <c r="A343" s="1">
        <v>342</v>
      </c>
      <c r="B343" t="s">
        <v>887</v>
      </c>
      <c r="C343">
        <v>57.66</v>
      </c>
      <c r="D343">
        <v>2</v>
      </c>
      <c r="E343">
        <v>19</v>
      </c>
      <c r="F343">
        <v>67.239999999999995</v>
      </c>
      <c r="G343">
        <v>0</v>
      </c>
      <c r="H343">
        <v>1</v>
      </c>
      <c r="I343">
        <v>0</v>
      </c>
      <c r="J343">
        <v>1</v>
      </c>
      <c r="K343">
        <v>58.08</v>
      </c>
      <c r="L343">
        <v>56.96</v>
      </c>
      <c r="M343">
        <v>58.95</v>
      </c>
      <c r="N343" t="s">
        <v>179</v>
      </c>
    </row>
    <row r="344" spans="1:14" x14ac:dyDescent="0.2">
      <c r="A344" s="1">
        <v>343</v>
      </c>
      <c r="B344" t="s">
        <v>891</v>
      </c>
      <c r="C344">
        <f xml:space="preserve">  57.59</f>
        <v>57.59</v>
      </c>
      <c r="D344">
        <v>7</v>
      </c>
      <c r="E344">
        <v>16</v>
      </c>
      <c r="F344">
        <v>67.72</v>
      </c>
      <c r="G344">
        <v>0</v>
      </c>
      <c r="H344">
        <v>0</v>
      </c>
      <c r="I344">
        <v>0</v>
      </c>
      <c r="J344">
        <v>0</v>
      </c>
      <c r="K344">
        <v>56.21</v>
      </c>
      <c r="L344">
        <v>58.39</v>
      </c>
      <c r="M344">
        <v>60.21</v>
      </c>
      <c r="N344" t="s">
        <v>77</v>
      </c>
    </row>
    <row r="345" spans="1:14" x14ac:dyDescent="0.2">
      <c r="A345" s="1">
        <v>344</v>
      </c>
      <c r="B345" t="s">
        <v>269</v>
      </c>
      <c r="C345">
        <f xml:space="preserve">  57.47</f>
        <v>57.47</v>
      </c>
      <c r="D345">
        <v>5</v>
      </c>
      <c r="E345">
        <v>14</v>
      </c>
      <c r="F345">
        <v>64.63</v>
      </c>
      <c r="G345">
        <v>0</v>
      </c>
      <c r="H345">
        <v>1</v>
      </c>
      <c r="I345">
        <v>0</v>
      </c>
      <c r="J345">
        <v>1</v>
      </c>
      <c r="K345">
        <v>58.09</v>
      </c>
      <c r="L345">
        <v>56.97</v>
      </c>
      <c r="M345">
        <v>50.56</v>
      </c>
      <c r="N345" t="s">
        <v>179</v>
      </c>
    </row>
    <row r="346" spans="1:14" x14ac:dyDescent="0.2">
      <c r="A346" s="1">
        <v>345</v>
      </c>
      <c r="B346" t="s">
        <v>261</v>
      </c>
      <c r="C346">
        <f xml:space="preserve">  57.11</f>
        <v>57.11</v>
      </c>
      <c r="D346">
        <v>5</v>
      </c>
      <c r="E346">
        <v>19</v>
      </c>
      <c r="F346">
        <v>67.849999999999994</v>
      </c>
      <c r="G346">
        <v>0</v>
      </c>
      <c r="H346">
        <v>0</v>
      </c>
      <c r="I346">
        <v>0</v>
      </c>
      <c r="J346">
        <v>1</v>
      </c>
      <c r="K346">
        <v>57.63</v>
      </c>
      <c r="L346">
        <v>56.56</v>
      </c>
      <c r="M346">
        <v>54.67</v>
      </c>
      <c r="N346" t="s">
        <v>179</v>
      </c>
    </row>
    <row r="347" spans="1:14" x14ac:dyDescent="0.2">
      <c r="A347" s="1">
        <v>346</v>
      </c>
      <c r="B347" t="s">
        <v>842</v>
      </c>
      <c r="C347">
        <f xml:space="preserve">  56.9</f>
        <v>56.9</v>
      </c>
      <c r="D347">
        <v>6</v>
      </c>
      <c r="E347">
        <v>13</v>
      </c>
      <c r="F347">
        <v>64.069999999999993</v>
      </c>
      <c r="G347">
        <v>0</v>
      </c>
      <c r="H347">
        <v>2</v>
      </c>
      <c r="I347">
        <v>0</v>
      </c>
      <c r="J347">
        <v>2</v>
      </c>
      <c r="K347">
        <v>56.39</v>
      </c>
      <c r="L347">
        <v>57.08</v>
      </c>
      <c r="M347">
        <v>58.82</v>
      </c>
      <c r="N347" t="s">
        <v>204</v>
      </c>
    </row>
    <row r="348" spans="1:14" x14ac:dyDescent="0.2">
      <c r="A348" s="1">
        <v>347</v>
      </c>
      <c r="B348" t="s">
        <v>865</v>
      </c>
      <c r="C348">
        <f xml:space="preserve">  56.21</f>
        <v>56.21</v>
      </c>
      <c r="D348">
        <v>2</v>
      </c>
      <c r="E348">
        <v>19</v>
      </c>
      <c r="F348">
        <v>67.94</v>
      </c>
      <c r="G348">
        <v>0</v>
      </c>
      <c r="H348">
        <v>1</v>
      </c>
      <c r="I348">
        <v>0</v>
      </c>
      <c r="J348">
        <v>1</v>
      </c>
      <c r="K348">
        <v>56.57</v>
      </c>
      <c r="L348">
        <v>54.75</v>
      </c>
      <c r="M348">
        <v>62.05</v>
      </c>
      <c r="N348" t="s">
        <v>138</v>
      </c>
    </row>
    <row r="349" spans="1:14" x14ac:dyDescent="0.2">
      <c r="A349" s="1">
        <v>348</v>
      </c>
      <c r="B349" t="s">
        <v>260</v>
      </c>
      <c r="C349">
        <f xml:space="preserve">  56.14</f>
        <v>56.14</v>
      </c>
      <c r="D349">
        <v>6</v>
      </c>
      <c r="E349">
        <v>9</v>
      </c>
      <c r="F349">
        <v>61.76</v>
      </c>
      <c r="G349">
        <v>0</v>
      </c>
      <c r="H349">
        <v>0</v>
      </c>
      <c r="I349">
        <v>0</v>
      </c>
      <c r="J349">
        <v>0</v>
      </c>
      <c r="K349">
        <v>56.25</v>
      </c>
      <c r="L349">
        <v>56.02</v>
      </c>
      <c r="M349">
        <v>54.53</v>
      </c>
      <c r="N349" t="s">
        <v>204</v>
      </c>
    </row>
    <row r="350" spans="1:14" x14ac:dyDescent="0.2">
      <c r="A350" s="1">
        <v>349</v>
      </c>
      <c r="B350" t="s">
        <v>257</v>
      </c>
      <c r="C350">
        <f xml:space="preserve">  56.12</f>
        <v>56.12</v>
      </c>
      <c r="D350">
        <v>1</v>
      </c>
      <c r="E350">
        <v>21</v>
      </c>
      <c r="F350">
        <v>69.95</v>
      </c>
      <c r="G350">
        <v>0</v>
      </c>
      <c r="H350">
        <v>0</v>
      </c>
      <c r="I350">
        <v>0</v>
      </c>
      <c r="J350">
        <v>0</v>
      </c>
      <c r="K350">
        <v>56.56</v>
      </c>
      <c r="L350">
        <v>55.6</v>
      </c>
      <c r="M350">
        <v>55.03</v>
      </c>
      <c r="N350" t="s">
        <v>151</v>
      </c>
    </row>
    <row r="351" spans="1:14" x14ac:dyDescent="0.2">
      <c r="A351" s="1">
        <v>350</v>
      </c>
      <c r="B351" t="s">
        <v>866</v>
      </c>
      <c r="C351">
        <f xml:space="preserve">  56.1</f>
        <v>56.1</v>
      </c>
      <c r="D351">
        <v>6</v>
      </c>
      <c r="E351">
        <v>13</v>
      </c>
      <c r="F351">
        <v>67.540000000000006</v>
      </c>
      <c r="G351">
        <v>0</v>
      </c>
      <c r="H351">
        <v>1</v>
      </c>
      <c r="I351">
        <v>0</v>
      </c>
      <c r="J351">
        <v>1</v>
      </c>
      <c r="K351">
        <v>55.88</v>
      </c>
      <c r="L351">
        <v>55.51</v>
      </c>
      <c r="M351">
        <v>61.22</v>
      </c>
      <c r="N351" t="s">
        <v>81</v>
      </c>
    </row>
    <row r="352" spans="1:14" x14ac:dyDescent="0.2">
      <c r="A352" s="1">
        <v>351</v>
      </c>
      <c r="B352" t="s">
        <v>900</v>
      </c>
      <c r="C352">
        <f xml:space="preserve">  53.59</f>
        <v>53.59</v>
      </c>
      <c r="D352">
        <v>1</v>
      </c>
      <c r="E352">
        <v>17</v>
      </c>
      <c r="F352">
        <v>66.569999999999993</v>
      </c>
      <c r="G352">
        <v>0</v>
      </c>
      <c r="H352">
        <v>0</v>
      </c>
      <c r="I352">
        <v>0</v>
      </c>
      <c r="J352">
        <v>1</v>
      </c>
      <c r="K352">
        <v>53.64</v>
      </c>
      <c r="L352">
        <v>53.35</v>
      </c>
      <c r="M352">
        <v>54.31</v>
      </c>
      <c r="N352" t="s">
        <v>310</v>
      </c>
    </row>
    <row r="353" spans="1:14" x14ac:dyDescent="0.2">
      <c r="A353" s="1">
        <v>352</v>
      </c>
      <c r="B353" t="s">
        <v>270</v>
      </c>
      <c r="C353">
        <f xml:space="preserve">  53.3</f>
        <v>53.3</v>
      </c>
      <c r="D353">
        <v>4</v>
      </c>
      <c r="E353">
        <v>21</v>
      </c>
      <c r="F353">
        <v>67.489999999999995</v>
      </c>
      <c r="G353">
        <v>0</v>
      </c>
      <c r="H353">
        <v>2</v>
      </c>
      <c r="I353">
        <v>0</v>
      </c>
      <c r="J353">
        <v>2</v>
      </c>
      <c r="K353">
        <v>53.65</v>
      </c>
      <c r="L353">
        <v>52.62</v>
      </c>
      <c r="M353">
        <v>54.92</v>
      </c>
      <c r="N353" t="s">
        <v>204</v>
      </c>
    </row>
    <row r="354" spans="1:14" x14ac:dyDescent="0.2">
      <c r="A354" s="1">
        <v>353</v>
      </c>
      <c r="B354" t="s">
        <v>834</v>
      </c>
      <c r="C354">
        <f xml:space="preserve">  53.3</f>
        <v>53.3</v>
      </c>
      <c r="D354">
        <v>4</v>
      </c>
      <c r="E354">
        <v>14</v>
      </c>
      <c r="F354">
        <v>59.52</v>
      </c>
      <c r="G354">
        <v>0</v>
      </c>
      <c r="H354">
        <v>0</v>
      </c>
      <c r="I354">
        <v>0</v>
      </c>
      <c r="J354">
        <v>0</v>
      </c>
      <c r="K354">
        <v>53.37</v>
      </c>
      <c r="L354">
        <v>53.03</v>
      </c>
      <c r="M354">
        <v>54.08</v>
      </c>
      <c r="N354" t="s">
        <v>204</v>
      </c>
    </row>
    <row r="355" spans="1:14" x14ac:dyDescent="0.2">
      <c r="A355" s="1">
        <v>354</v>
      </c>
      <c r="B355" t="s">
        <v>835</v>
      </c>
      <c r="C355">
        <f xml:space="preserve">  52.27</f>
        <v>52.27</v>
      </c>
      <c r="D355">
        <v>1</v>
      </c>
      <c r="E355">
        <v>16</v>
      </c>
      <c r="F355">
        <v>66.790000000000006</v>
      </c>
      <c r="G355">
        <v>0</v>
      </c>
      <c r="H355">
        <v>0</v>
      </c>
      <c r="I355">
        <v>0</v>
      </c>
      <c r="J355">
        <v>1</v>
      </c>
      <c r="K355">
        <v>52.24</v>
      </c>
      <c r="L355">
        <v>51.69</v>
      </c>
      <c r="M355">
        <v>55.94</v>
      </c>
      <c r="N355" t="s">
        <v>309</v>
      </c>
    </row>
    <row r="356" spans="1:14" x14ac:dyDescent="0.2">
      <c r="A356" s="1">
        <v>355</v>
      </c>
      <c r="B356" t="s">
        <v>886</v>
      </c>
      <c r="C356">
        <v>50.95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50.5</v>
      </c>
      <c r="L356">
        <v>50.84</v>
      </c>
      <c r="M356">
        <v>54.48</v>
      </c>
      <c r="N356" t="s">
        <v>309</v>
      </c>
    </row>
    <row r="357" spans="1:14" x14ac:dyDescent="0.2">
      <c r="A357" s="1">
        <v>356</v>
      </c>
      <c r="B357" t="s">
        <v>824</v>
      </c>
      <c r="C357">
        <f xml:space="preserve">  45.85</f>
        <v>45.85</v>
      </c>
      <c r="D357">
        <v>0</v>
      </c>
      <c r="E357">
        <v>9</v>
      </c>
      <c r="F357">
        <v>75.430000000000007</v>
      </c>
      <c r="G357">
        <v>0</v>
      </c>
      <c r="H357">
        <v>1</v>
      </c>
      <c r="I357">
        <v>0</v>
      </c>
      <c r="J357">
        <v>2</v>
      </c>
      <c r="K357">
        <v>46.05</v>
      </c>
      <c r="L357">
        <v>44.92</v>
      </c>
      <c r="M357">
        <v>49.39</v>
      </c>
      <c r="N357" t="s">
        <v>81</v>
      </c>
    </row>
    <row r="358" spans="1:14" x14ac:dyDescent="0.2">
      <c r="A358" s="2">
        <v>357</v>
      </c>
      <c r="B358" t="s">
        <v>885</v>
      </c>
      <c r="C358">
        <v>44.83</v>
      </c>
      <c r="D358">
        <v>2</v>
      </c>
      <c r="E358">
        <v>22</v>
      </c>
      <c r="F358">
        <v>66.83</v>
      </c>
      <c r="G358">
        <v>0</v>
      </c>
      <c r="H358">
        <v>1</v>
      </c>
      <c r="I358">
        <v>0</v>
      </c>
      <c r="J358">
        <v>2</v>
      </c>
      <c r="K358">
        <v>43.3</v>
      </c>
      <c r="L358">
        <v>45.54</v>
      </c>
      <c r="M358">
        <v>47.38</v>
      </c>
      <c r="N358" t="s">
        <v>204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682B-EFF4-4EA0-BE61-416E099B5018}">
  <dimension ref="A1:L328"/>
  <sheetViews>
    <sheetView topLeftCell="A186" workbookViewId="0">
      <selection activeCell="B206" sqref="B206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858</v>
      </c>
      <c r="H1" t="s">
        <v>857</v>
      </c>
      <c r="I1" t="s">
        <v>856</v>
      </c>
      <c r="J1" t="s">
        <v>855</v>
      </c>
      <c r="K1" t="s">
        <v>854</v>
      </c>
      <c r="L1" t="s">
        <v>28</v>
      </c>
    </row>
    <row r="2" spans="1:12" x14ac:dyDescent="0.2">
      <c r="A2" s="3">
        <v>1</v>
      </c>
      <c r="B2" t="s">
        <v>9</v>
      </c>
      <c r="C2">
        <v>95.73</v>
      </c>
      <c r="D2">
        <v>31</v>
      </c>
      <c r="E2">
        <v>4</v>
      </c>
      <c r="F2">
        <v>80.06</v>
      </c>
      <c r="G2">
        <v>1</v>
      </c>
      <c r="H2">
        <v>2</v>
      </c>
      <c r="I2">
        <v>8</v>
      </c>
      <c r="J2">
        <v>2</v>
      </c>
      <c r="K2">
        <v>93.84</v>
      </c>
      <c r="L2">
        <v>99.16</v>
      </c>
    </row>
    <row r="3" spans="1:12" x14ac:dyDescent="0.2">
      <c r="A3" s="3">
        <v>2</v>
      </c>
      <c r="B3" t="s">
        <v>2</v>
      </c>
      <c r="C3">
        <v>95</v>
      </c>
      <c r="D3">
        <v>31</v>
      </c>
      <c r="E3">
        <v>4</v>
      </c>
      <c r="F3">
        <v>80.77</v>
      </c>
      <c r="G3">
        <v>4</v>
      </c>
      <c r="H3">
        <v>2</v>
      </c>
      <c r="I3">
        <v>11</v>
      </c>
      <c r="J3">
        <v>2</v>
      </c>
      <c r="K3">
        <v>95.19</v>
      </c>
      <c r="L3">
        <v>94.55</v>
      </c>
    </row>
    <row r="4" spans="1:12" x14ac:dyDescent="0.2">
      <c r="A4" s="3">
        <v>3</v>
      </c>
      <c r="B4" t="s">
        <v>75</v>
      </c>
      <c r="C4">
        <v>94.66</v>
      </c>
      <c r="D4">
        <v>32</v>
      </c>
      <c r="E4">
        <v>4</v>
      </c>
      <c r="F4">
        <v>79.83</v>
      </c>
      <c r="G4">
        <v>4</v>
      </c>
      <c r="H4">
        <v>3</v>
      </c>
      <c r="I4">
        <v>11</v>
      </c>
      <c r="J4">
        <v>4</v>
      </c>
      <c r="K4">
        <v>95.71</v>
      </c>
      <c r="L4">
        <v>93.6</v>
      </c>
    </row>
    <row r="5" spans="1:12" x14ac:dyDescent="0.2">
      <c r="A5" s="3">
        <v>4</v>
      </c>
      <c r="B5" t="s">
        <v>99</v>
      </c>
      <c r="C5">
        <v>93.67</v>
      </c>
      <c r="D5">
        <v>31</v>
      </c>
      <c r="E5">
        <v>4</v>
      </c>
      <c r="F5">
        <v>78.12</v>
      </c>
      <c r="G5">
        <v>0</v>
      </c>
      <c r="H5">
        <v>0</v>
      </c>
      <c r="I5">
        <v>5</v>
      </c>
      <c r="J5">
        <v>2</v>
      </c>
      <c r="K5">
        <v>92.64</v>
      </c>
      <c r="L5">
        <v>94.67</v>
      </c>
    </row>
    <row r="6" spans="1:12" x14ac:dyDescent="0.2">
      <c r="A6" s="3">
        <v>5</v>
      </c>
      <c r="B6" t="s">
        <v>45</v>
      </c>
      <c r="C6">
        <v>92.61</v>
      </c>
      <c r="D6">
        <v>31</v>
      </c>
      <c r="E6">
        <v>5</v>
      </c>
      <c r="F6">
        <v>79.17</v>
      </c>
      <c r="G6">
        <v>3</v>
      </c>
      <c r="H6">
        <v>2</v>
      </c>
      <c r="I6">
        <v>10</v>
      </c>
      <c r="J6">
        <v>4</v>
      </c>
      <c r="K6">
        <v>94.13</v>
      </c>
      <c r="L6">
        <v>91.27</v>
      </c>
    </row>
    <row r="7" spans="1:12" x14ac:dyDescent="0.2">
      <c r="A7" s="3">
        <v>6</v>
      </c>
      <c r="B7" t="s">
        <v>34</v>
      </c>
      <c r="C7">
        <v>88.96</v>
      </c>
      <c r="D7">
        <v>26</v>
      </c>
      <c r="E7">
        <v>9</v>
      </c>
      <c r="F7">
        <v>80.260000000000005</v>
      </c>
      <c r="G7">
        <v>1</v>
      </c>
      <c r="H7">
        <v>4</v>
      </c>
      <c r="I7">
        <v>2</v>
      </c>
      <c r="J7">
        <v>6</v>
      </c>
      <c r="K7">
        <v>88.25</v>
      </c>
      <c r="L7">
        <v>89.44</v>
      </c>
    </row>
    <row r="8" spans="1:12" x14ac:dyDescent="0.2">
      <c r="A8" s="3">
        <v>7</v>
      </c>
      <c r="B8" t="s">
        <v>59</v>
      </c>
      <c r="C8">
        <v>88.88</v>
      </c>
      <c r="D8">
        <v>25</v>
      </c>
      <c r="E8">
        <v>9</v>
      </c>
      <c r="F8">
        <v>78.86</v>
      </c>
      <c r="G8">
        <v>2</v>
      </c>
      <c r="H8">
        <v>1</v>
      </c>
      <c r="I8">
        <v>8</v>
      </c>
      <c r="J8">
        <v>4</v>
      </c>
      <c r="K8">
        <v>87.43</v>
      </c>
      <c r="L8">
        <v>90.48</v>
      </c>
    </row>
    <row r="9" spans="1:12" x14ac:dyDescent="0.2">
      <c r="A9" s="3">
        <v>8</v>
      </c>
      <c r="B9" t="s">
        <v>60</v>
      </c>
      <c r="C9">
        <v>88.71</v>
      </c>
      <c r="D9">
        <v>22</v>
      </c>
      <c r="E9">
        <v>9</v>
      </c>
      <c r="F9">
        <v>79.37</v>
      </c>
      <c r="G9">
        <v>0</v>
      </c>
      <c r="H9">
        <v>1</v>
      </c>
      <c r="I9">
        <v>2</v>
      </c>
      <c r="J9">
        <v>6</v>
      </c>
      <c r="K9">
        <v>86.51</v>
      </c>
      <c r="L9">
        <v>92.05</v>
      </c>
    </row>
    <row r="10" spans="1:12" x14ac:dyDescent="0.2">
      <c r="A10" s="3">
        <v>9</v>
      </c>
      <c r="B10" t="s">
        <v>46</v>
      </c>
      <c r="C10">
        <v>88.65</v>
      </c>
      <c r="D10">
        <v>24</v>
      </c>
      <c r="E10">
        <v>12</v>
      </c>
      <c r="F10">
        <v>82.89</v>
      </c>
      <c r="G10">
        <v>3</v>
      </c>
      <c r="H10">
        <v>2</v>
      </c>
      <c r="I10">
        <v>6</v>
      </c>
      <c r="J10">
        <v>5</v>
      </c>
      <c r="K10">
        <v>87.48</v>
      </c>
      <c r="L10">
        <v>89.78</v>
      </c>
    </row>
    <row r="11" spans="1:12" x14ac:dyDescent="0.2">
      <c r="A11" s="3">
        <v>10</v>
      </c>
      <c r="B11" t="s">
        <v>6</v>
      </c>
      <c r="C11">
        <v>88.49</v>
      </c>
      <c r="D11">
        <v>24</v>
      </c>
      <c r="E11">
        <v>10</v>
      </c>
      <c r="F11">
        <v>83.37</v>
      </c>
      <c r="G11">
        <v>3</v>
      </c>
      <c r="H11">
        <v>4</v>
      </c>
      <c r="I11">
        <v>10</v>
      </c>
      <c r="J11">
        <v>7</v>
      </c>
      <c r="K11">
        <v>89.61</v>
      </c>
      <c r="L11">
        <v>87.32</v>
      </c>
    </row>
    <row r="12" spans="1:12" x14ac:dyDescent="0.2">
      <c r="A12" s="4">
        <v>11</v>
      </c>
      <c r="B12" t="s">
        <v>15</v>
      </c>
      <c r="C12">
        <v>88.45</v>
      </c>
      <c r="D12">
        <v>21</v>
      </c>
      <c r="E12">
        <v>10</v>
      </c>
      <c r="F12">
        <v>82.18</v>
      </c>
      <c r="G12">
        <v>3</v>
      </c>
      <c r="H12">
        <v>2</v>
      </c>
      <c r="I12">
        <v>5</v>
      </c>
      <c r="J12">
        <v>6</v>
      </c>
      <c r="K12">
        <v>87.31</v>
      </c>
      <c r="L12">
        <v>89.52</v>
      </c>
    </row>
    <row r="13" spans="1:12" x14ac:dyDescent="0.2">
      <c r="A13" s="4">
        <v>12</v>
      </c>
      <c r="B13" t="s">
        <v>42</v>
      </c>
      <c r="C13">
        <v>88.41</v>
      </c>
      <c r="D13">
        <v>27</v>
      </c>
      <c r="E13">
        <v>8</v>
      </c>
      <c r="F13">
        <v>78.75</v>
      </c>
      <c r="G13">
        <v>1</v>
      </c>
      <c r="H13">
        <v>0</v>
      </c>
      <c r="I13">
        <v>4</v>
      </c>
      <c r="J13">
        <v>3</v>
      </c>
      <c r="K13">
        <v>88.52</v>
      </c>
      <c r="L13">
        <v>88.03</v>
      </c>
    </row>
    <row r="14" spans="1:12" x14ac:dyDescent="0.2">
      <c r="A14" s="4">
        <v>13</v>
      </c>
      <c r="B14" t="s">
        <v>37</v>
      </c>
      <c r="C14">
        <v>88.29</v>
      </c>
      <c r="D14">
        <v>27</v>
      </c>
      <c r="E14">
        <v>7</v>
      </c>
      <c r="F14">
        <v>78.930000000000007</v>
      </c>
      <c r="G14">
        <v>1</v>
      </c>
      <c r="H14">
        <v>3</v>
      </c>
      <c r="I14">
        <v>3</v>
      </c>
      <c r="J14">
        <v>3</v>
      </c>
      <c r="K14">
        <v>90.06</v>
      </c>
      <c r="L14">
        <v>86.74</v>
      </c>
    </row>
    <row r="15" spans="1:12" x14ac:dyDescent="0.2">
      <c r="A15" s="4">
        <v>14</v>
      </c>
      <c r="B15" t="s">
        <v>65</v>
      </c>
      <c r="C15">
        <v>88.04</v>
      </c>
      <c r="D15">
        <v>26</v>
      </c>
      <c r="E15">
        <v>7</v>
      </c>
      <c r="F15">
        <v>76.239999999999995</v>
      </c>
      <c r="G15">
        <v>2</v>
      </c>
      <c r="H15">
        <v>2</v>
      </c>
      <c r="I15">
        <v>3</v>
      </c>
      <c r="J15">
        <v>4</v>
      </c>
      <c r="K15">
        <v>87.9</v>
      </c>
      <c r="L15">
        <v>87.88</v>
      </c>
    </row>
    <row r="16" spans="1:12" x14ac:dyDescent="0.2">
      <c r="A16" s="4">
        <v>15</v>
      </c>
      <c r="B16" t="s">
        <v>0</v>
      </c>
      <c r="C16">
        <v>87.73</v>
      </c>
      <c r="D16">
        <v>28</v>
      </c>
      <c r="E16">
        <v>4</v>
      </c>
      <c r="F16">
        <v>74.3</v>
      </c>
      <c r="G16">
        <v>0</v>
      </c>
      <c r="H16">
        <v>1</v>
      </c>
      <c r="I16">
        <v>1</v>
      </c>
      <c r="J16">
        <v>2</v>
      </c>
      <c r="K16">
        <v>89.16</v>
      </c>
      <c r="L16">
        <v>86.36</v>
      </c>
    </row>
    <row r="17" spans="1:12" x14ac:dyDescent="0.2">
      <c r="A17" s="4">
        <v>16</v>
      </c>
      <c r="B17" t="s">
        <v>791</v>
      </c>
      <c r="C17">
        <v>87.29</v>
      </c>
      <c r="D17">
        <v>27</v>
      </c>
      <c r="E17">
        <v>8</v>
      </c>
      <c r="F17">
        <v>79.11</v>
      </c>
      <c r="G17">
        <v>1</v>
      </c>
      <c r="H17">
        <v>2</v>
      </c>
      <c r="I17">
        <v>4</v>
      </c>
      <c r="J17">
        <v>5</v>
      </c>
      <c r="K17">
        <v>88.76</v>
      </c>
      <c r="L17">
        <v>85.88</v>
      </c>
    </row>
    <row r="18" spans="1:12" x14ac:dyDescent="0.2">
      <c r="A18" s="4">
        <v>17</v>
      </c>
      <c r="B18" t="s">
        <v>803</v>
      </c>
      <c r="C18">
        <v>87.17</v>
      </c>
      <c r="D18">
        <v>29</v>
      </c>
      <c r="E18">
        <v>6</v>
      </c>
      <c r="F18">
        <v>76.05</v>
      </c>
      <c r="G18">
        <v>0</v>
      </c>
      <c r="H18">
        <v>1</v>
      </c>
      <c r="I18">
        <v>3</v>
      </c>
      <c r="J18">
        <v>3</v>
      </c>
      <c r="K18">
        <v>87.43</v>
      </c>
      <c r="L18">
        <v>86.65</v>
      </c>
    </row>
    <row r="19" spans="1:12" x14ac:dyDescent="0.2">
      <c r="A19" s="4">
        <v>18</v>
      </c>
      <c r="B19" t="s">
        <v>98</v>
      </c>
      <c r="C19">
        <v>87.17</v>
      </c>
      <c r="D19">
        <v>20</v>
      </c>
      <c r="E19">
        <v>10</v>
      </c>
      <c r="F19">
        <v>80.510000000000005</v>
      </c>
      <c r="G19">
        <v>2</v>
      </c>
      <c r="H19">
        <v>3</v>
      </c>
      <c r="I19">
        <v>3</v>
      </c>
      <c r="J19">
        <v>8</v>
      </c>
      <c r="K19">
        <v>86.16</v>
      </c>
      <c r="L19">
        <v>88.03</v>
      </c>
    </row>
    <row r="20" spans="1:12" x14ac:dyDescent="0.2">
      <c r="A20" s="4">
        <v>19</v>
      </c>
      <c r="B20" t="s">
        <v>153</v>
      </c>
      <c r="C20">
        <v>87.16</v>
      </c>
      <c r="D20">
        <v>29</v>
      </c>
      <c r="E20">
        <v>6</v>
      </c>
      <c r="F20">
        <v>75.05</v>
      </c>
      <c r="G20">
        <v>0</v>
      </c>
      <c r="H20">
        <v>0</v>
      </c>
      <c r="I20">
        <v>2</v>
      </c>
      <c r="J20">
        <v>2</v>
      </c>
      <c r="K20">
        <v>88.44</v>
      </c>
      <c r="L20">
        <v>85.86</v>
      </c>
    </row>
    <row r="21" spans="1:12" x14ac:dyDescent="0.2">
      <c r="A21" s="4">
        <v>20</v>
      </c>
      <c r="B21" t="s">
        <v>51</v>
      </c>
      <c r="C21">
        <v>86.98</v>
      </c>
      <c r="D21">
        <v>26</v>
      </c>
      <c r="E21">
        <v>6</v>
      </c>
      <c r="F21">
        <v>77.040000000000006</v>
      </c>
      <c r="G21">
        <v>0</v>
      </c>
      <c r="H21">
        <v>2</v>
      </c>
      <c r="I21">
        <v>1</v>
      </c>
      <c r="J21">
        <v>2</v>
      </c>
      <c r="K21">
        <v>88.44</v>
      </c>
      <c r="L21">
        <v>85.58</v>
      </c>
    </row>
    <row r="22" spans="1:12" x14ac:dyDescent="0.2">
      <c r="A22" s="4">
        <v>21</v>
      </c>
      <c r="B22" t="s">
        <v>806</v>
      </c>
      <c r="C22">
        <v>86.93</v>
      </c>
      <c r="D22">
        <v>22</v>
      </c>
      <c r="E22">
        <v>10</v>
      </c>
      <c r="F22">
        <v>80.25</v>
      </c>
      <c r="G22">
        <v>2</v>
      </c>
      <c r="H22">
        <v>4</v>
      </c>
      <c r="I22">
        <v>5</v>
      </c>
      <c r="J22">
        <v>6</v>
      </c>
      <c r="K22">
        <v>86.04</v>
      </c>
      <c r="L22">
        <v>87.65</v>
      </c>
    </row>
    <row r="23" spans="1:12" x14ac:dyDescent="0.2">
      <c r="A23" s="4">
        <v>22</v>
      </c>
      <c r="B23" t="s">
        <v>809</v>
      </c>
      <c r="C23">
        <v>86.58</v>
      </c>
      <c r="D23">
        <v>24</v>
      </c>
      <c r="E23">
        <v>8</v>
      </c>
      <c r="F23">
        <v>78.040000000000006</v>
      </c>
      <c r="G23">
        <v>3</v>
      </c>
      <c r="H23">
        <v>1</v>
      </c>
      <c r="I23">
        <v>4</v>
      </c>
      <c r="J23">
        <v>2</v>
      </c>
      <c r="K23">
        <v>86.26</v>
      </c>
      <c r="L23">
        <v>86.61</v>
      </c>
    </row>
    <row r="24" spans="1:12" x14ac:dyDescent="0.2">
      <c r="A24" s="4">
        <v>23</v>
      </c>
      <c r="B24" t="s">
        <v>792</v>
      </c>
      <c r="C24">
        <v>85.95</v>
      </c>
      <c r="D24">
        <v>23</v>
      </c>
      <c r="E24">
        <v>11</v>
      </c>
      <c r="F24">
        <v>78.89</v>
      </c>
      <c r="G24">
        <v>1</v>
      </c>
      <c r="H24">
        <v>5</v>
      </c>
      <c r="I24">
        <v>1</v>
      </c>
      <c r="J24">
        <v>9</v>
      </c>
      <c r="K24">
        <v>85.44</v>
      </c>
      <c r="L24">
        <v>86.19</v>
      </c>
    </row>
    <row r="25" spans="1:12" x14ac:dyDescent="0.2">
      <c r="A25" s="4">
        <v>24</v>
      </c>
      <c r="B25" t="s">
        <v>31</v>
      </c>
      <c r="C25">
        <v>85.83</v>
      </c>
      <c r="D25">
        <v>23</v>
      </c>
      <c r="E25">
        <v>9</v>
      </c>
      <c r="F25">
        <v>78.63</v>
      </c>
      <c r="G25">
        <v>1</v>
      </c>
      <c r="H25">
        <v>3</v>
      </c>
      <c r="I25">
        <v>3</v>
      </c>
      <c r="J25">
        <v>6</v>
      </c>
      <c r="K25">
        <v>86.08</v>
      </c>
      <c r="L25">
        <v>85.31</v>
      </c>
    </row>
    <row r="26" spans="1:12" x14ac:dyDescent="0.2">
      <c r="A26" s="4">
        <v>25</v>
      </c>
      <c r="B26" t="s">
        <v>790</v>
      </c>
      <c r="C26">
        <v>85.77</v>
      </c>
      <c r="D26">
        <v>23</v>
      </c>
      <c r="E26">
        <v>9</v>
      </c>
      <c r="F26">
        <v>78.150000000000006</v>
      </c>
      <c r="G26">
        <v>2</v>
      </c>
      <c r="H26">
        <v>2</v>
      </c>
      <c r="I26">
        <v>4</v>
      </c>
      <c r="J26">
        <v>6</v>
      </c>
      <c r="K26">
        <v>85.76</v>
      </c>
      <c r="L26">
        <v>85.49</v>
      </c>
    </row>
    <row r="27" spans="1:12" x14ac:dyDescent="0.2">
      <c r="A27" s="4">
        <v>26</v>
      </c>
      <c r="B27" t="s">
        <v>286</v>
      </c>
      <c r="C27">
        <v>85.67</v>
      </c>
      <c r="D27">
        <v>22</v>
      </c>
      <c r="E27">
        <v>10</v>
      </c>
      <c r="F27">
        <v>80.33</v>
      </c>
      <c r="G27">
        <v>1</v>
      </c>
      <c r="H27">
        <v>1</v>
      </c>
      <c r="I27">
        <v>4</v>
      </c>
      <c r="J27">
        <v>2</v>
      </c>
      <c r="K27">
        <v>85.48</v>
      </c>
      <c r="L27">
        <v>85.57</v>
      </c>
    </row>
    <row r="28" spans="1:12" x14ac:dyDescent="0.2">
      <c r="A28" s="4">
        <v>27</v>
      </c>
      <c r="B28" t="s">
        <v>38</v>
      </c>
      <c r="C28">
        <v>85.62</v>
      </c>
      <c r="D28">
        <v>22</v>
      </c>
      <c r="E28">
        <v>12</v>
      </c>
      <c r="F28">
        <v>80.569999999999993</v>
      </c>
      <c r="G28">
        <v>0</v>
      </c>
      <c r="H28">
        <v>7</v>
      </c>
      <c r="I28">
        <v>5</v>
      </c>
      <c r="J28">
        <v>9</v>
      </c>
      <c r="K28">
        <v>85.82</v>
      </c>
      <c r="L28">
        <v>85.15</v>
      </c>
    </row>
    <row r="29" spans="1:12" x14ac:dyDescent="0.2">
      <c r="A29" s="4">
        <v>28</v>
      </c>
      <c r="B29" t="s">
        <v>53</v>
      </c>
      <c r="C29">
        <v>85.48</v>
      </c>
      <c r="D29">
        <v>21</v>
      </c>
      <c r="E29">
        <v>13</v>
      </c>
      <c r="F29">
        <v>80.8</v>
      </c>
      <c r="G29">
        <v>0</v>
      </c>
      <c r="H29">
        <v>8</v>
      </c>
      <c r="I29">
        <v>3</v>
      </c>
      <c r="J29">
        <v>8</v>
      </c>
      <c r="K29">
        <v>84.63</v>
      </c>
      <c r="L29">
        <v>86.11</v>
      </c>
    </row>
    <row r="30" spans="1:12" x14ac:dyDescent="0.2">
      <c r="A30" s="4">
        <v>29</v>
      </c>
      <c r="B30" t="s">
        <v>131</v>
      </c>
      <c r="C30">
        <v>85.41</v>
      </c>
      <c r="D30">
        <v>23</v>
      </c>
      <c r="E30">
        <v>9</v>
      </c>
      <c r="F30">
        <v>78.53</v>
      </c>
      <c r="G30">
        <v>1</v>
      </c>
      <c r="H30">
        <v>4</v>
      </c>
      <c r="I30">
        <v>4</v>
      </c>
      <c r="J30">
        <v>6</v>
      </c>
      <c r="K30">
        <v>86.68</v>
      </c>
      <c r="L30">
        <v>84.09</v>
      </c>
    </row>
    <row r="31" spans="1:12" x14ac:dyDescent="0.2">
      <c r="A31" s="4">
        <v>30</v>
      </c>
      <c r="B31" t="s">
        <v>149</v>
      </c>
      <c r="C31">
        <v>85.29</v>
      </c>
      <c r="D31">
        <v>26</v>
      </c>
      <c r="E31">
        <v>7</v>
      </c>
      <c r="F31">
        <v>75.25</v>
      </c>
      <c r="G31">
        <v>0</v>
      </c>
      <c r="H31">
        <v>1</v>
      </c>
      <c r="I31">
        <v>1</v>
      </c>
      <c r="J31">
        <v>2</v>
      </c>
      <c r="K31">
        <v>85.4</v>
      </c>
      <c r="L31">
        <v>84.9</v>
      </c>
    </row>
    <row r="32" spans="1:12" x14ac:dyDescent="0.2">
      <c r="A32" s="4">
        <v>31</v>
      </c>
      <c r="B32" t="s">
        <v>54</v>
      </c>
      <c r="C32">
        <v>85.12</v>
      </c>
      <c r="D32">
        <v>21</v>
      </c>
      <c r="E32">
        <v>11</v>
      </c>
      <c r="F32">
        <v>77.91</v>
      </c>
      <c r="G32">
        <v>0</v>
      </c>
      <c r="H32">
        <v>2</v>
      </c>
      <c r="I32">
        <v>2</v>
      </c>
      <c r="J32">
        <v>5</v>
      </c>
      <c r="K32">
        <v>83.55</v>
      </c>
      <c r="L32">
        <v>86.76</v>
      </c>
    </row>
    <row r="33" spans="1:12" x14ac:dyDescent="0.2">
      <c r="A33" s="4">
        <v>32</v>
      </c>
      <c r="B33" t="s">
        <v>117</v>
      </c>
      <c r="C33">
        <v>84.92</v>
      </c>
      <c r="D33">
        <v>24</v>
      </c>
      <c r="E33">
        <v>12</v>
      </c>
      <c r="F33">
        <v>77.989999999999995</v>
      </c>
      <c r="G33">
        <v>0</v>
      </c>
      <c r="H33">
        <v>5</v>
      </c>
      <c r="I33">
        <v>4</v>
      </c>
      <c r="J33">
        <v>8</v>
      </c>
      <c r="K33">
        <v>84.57</v>
      </c>
      <c r="L33">
        <v>84.97</v>
      </c>
    </row>
    <row r="34" spans="1:12" x14ac:dyDescent="0.2">
      <c r="A34" s="4">
        <v>33</v>
      </c>
      <c r="B34" t="s">
        <v>40</v>
      </c>
      <c r="C34">
        <v>84.91</v>
      </c>
      <c r="D34">
        <v>26</v>
      </c>
      <c r="E34">
        <v>9</v>
      </c>
      <c r="F34">
        <v>75.63</v>
      </c>
      <c r="G34">
        <v>0</v>
      </c>
      <c r="H34">
        <v>1</v>
      </c>
      <c r="I34">
        <v>0</v>
      </c>
      <c r="J34">
        <v>2</v>
      </c>
      <c r="K34">
        <v>83.58</v>
      </c>
      <c r="L34">
        <v>86.19</v>
      </c>
    </row>
    <row r="35" spans="1:12" x14ac:dyDescent="0.2">
      <c r="A35" s="4">
        <v>34</v>
      </c>
      <c r="B35" t="s">
        <v>872</v>
      </c>
      <c r="C35">
        <v>84.8</v>
      </c>
      <c r="D35">
        <v>24</v>
      </c>
      <c r="E35">
        <v>8</v>
      </c>
      <c r="F35">
        <v>76.7</v>
      </c>
      <c r="G35">
        <v>1</v>
      </c>
      <c r="H35">
        <v>0</v>
      </c>
      <c r="I35">
        <v>3</v>
      </c>
      <c r="J35">
        <v>2</v>
      </c>
      <c r="K35">
        <v>85.75</v>
      </c>
      <c r="L35">
        <v>83.71</v>
      </c>
    </row>
    <row r="36" spans="1:12" x14ac:dyDescent="0.2">
      <c r="A36" s="4">
        <v>35</v>
      </c>
      <c r="B36" t="s">
        <v>30</v>
      </c>
      <c r="C36">
        <v>84.77</v>
      </c>
      <c r="D36">
        <v>21</v>
      </c>
      <c r="E36">
        <v>12</v>
      </c>
      <c r="F36">
        <v>81.430000000000007</v>
      </c>
      <c r="G36">
        <v>3</v>
      </c>
      <c r="H36">
        <v>3</v>
      </c>
      <c r="I36">
        <v>7</v>
      </c>
      <c r="J36">
        <v>7</v>
      </c>
      <c r="K36">
        <v>85.77</v>
      </c>
      <c r="L36">
        <v>83.63</v>
      </c>
    </row>
    <row r="37" spans="1:12" x14ac:dyDescent="0.2">
      <c r="A37" s="4">
        <v>36</v>
      </c>
      <c r="B37" t="s">
        <v>96</v>
      </c>
      <c r="C37">
        <v>84.62</v>
      </c>
      <c r="D37">
        <v>21</v>
      </c>
      <c r="E37">
        <v>15</v>
      </c>
      <c r="F37">
        <v>80.290000000000006</v>
      </c>
      <c r="G37">
        <v>0</v>
      </c>
      <c r="H37">
        <v>3</v>
      </c>
      <c r="I37">
        <v>2</v>
      </c>
      <c r="J37">
        <v>9</v>
      </c>
      <c r="K37">
        <v>82.92</v>
      </c>
      <c r="L37">
        <v>86.46</v>
      </c>
    </row>
    <row r="38" spans="1:12" x14ac:dyDescent="0.2">
      <c r="A38" s="4">
        <v>37</v>
      </c>
      <c r="B38" t="s">
        <v>121</v>
      </c>
      <c r="C38">
        <v>84.45</v>
      </c>
      <c r="D38">
        <v>26</v>
      </c>
      <c r="E38">
        <v>4</v>
      </c>
      <c r="F38">
        <v>73.12</v>
      </c>
      <c r="G38">
        <v>0</v>
      </c>
      <c r="H38">
        <v>0</v>
      </c>
      <c r="I38">
        <v>1</v>
      </c>
      <c r="J38">
        <v>1</v>
      </c>
      <c r="K38">
        <v>85.61</v>
      </c>
      <c r="L38">
        <v>83.19</v>
      </c>
    </row>
    <row r="39" spans="1:12" x14ac:dyDescent="0.2">
      <c r="A39" s="4">
        <v>38</v>
      </c>
      <c r="B39" t="s">
        <v>794</v>
      </c>
      <c r="C39">
        <v>84.11</v>
      </c>
      <c r="D39">
        <v>19</v>
      </c>
      <c r="E39">
        <v>12</v>
      </c>
      <c r="F39">
        <v>79.180000000000007</v>
      </c>
      <c r="G39">
        <v>4</v>
      </c>
      <c r="H39">
        <v>4</v>
      </c>
      <c r="I39">
        <v>6</v>
      </c>
      <c r="J39">
        <v>6</v>
      </c>
      <c r="K39">
        <v>83.38</v>
      </c>
      <c r="L39">
        <v>84.6</v>
      </c>
    </row>
    <row r="40" spans="1:12" x14ac:dyDescent="0.2">
      <c r="A40" s="4">
        <v>39</v>
      </c>
      <c r="B40" t="s">
        <v>285</v>
      </c>
      <c r="C40">
        <v>83.91</v>
      </c>
      <c r="D40">
        <v>18</v>
      </c>
      <c r="E40">
        <v>12</v>
      </c>
      <c r="F40">
        <v>80.099999999999994</v>
      </c>
      <c r="G40">
        <v>0</v>
      </c>
      <c r="H40">
        <v>5</v>
      </c>
      <c r="I40">
        <v>1</v>
      </c>
      <c r="J40">
        <v>6</v>
      </c>
      <c r="K40">
        <v>82.86</v>
      </c>
      <c r="L40">
        <v>84.79</v>
      </c>
    </row>
    <row r="41" spans="1:12" x14ac:dyDescent="0.2">
      <c r="A41" s="4">
        <v>40</v>
      </c>
      <c r="B41" t="s">
        <v>100</v>
      </c>
      <c r="C41">
        <v>83.8</v>
      </c>
      <c r="D41">
        <v>19</v>
      </c>
      <c r="E41">
        <v>11</v>
      </c>
      <c r="F41">
        <v>77.62</v>
      </c>
      <c r="G41">
        <v>1</v>
      </c>
      <c r="H41">
        <v>0</v>
      </c>
      <c r="I41">
        <v>3</v>
      </c>
      <c r="J41">
        <v>4</v>
      </c>
      <c r="K41">
        <v>82.97</v>
      </c>
      <c r="L41">
        <v>84.41</v>
      </c>
    </row>
    <row r="42" spans="1:12" x14ac:dyDescent="0.2">
      <c r="A42" s="4">
        <v>41</v>
      </c>
      <c r="B42" t="s">
        <v>106</v>
      </c>
      <c r="C42">
        <v>83.43</v>
      </c>
      <c r="D42">
        <v>26</v>
      </c>
      <c r="E42">
        <v>6</v>
      </c>
      <c r="F42">
        <v>72.010000000000005</v>
      </c>
      <c r="G42">
        <v>1</v>
      </c>
      <c r="H42">
        <v>0</v>
      </c>
      <c r="I42">
        <v>1</v>
      </c>
      <c r="J42">
        <v>0</v>
      </c>
      <c r="K42">
        <v>82.14</v>
      </c>
      <c r="L42">
        <v>84.62</v>
      </c>
    </row>
    <row r="43" spans="1:12" x14ac:dyDescent="0.2">
      <c r="A43" s="4">
        <v>42</v>
      </c>
      <c r="B43" t="s">
        <v>136</v>
      </c>
      <c r="C43">
        <v>83.35</v>
      </c>
      <c r="D43">
        <v>28</v>
      </c>
      <c r="E43">
        <v>8</v>
      </c>
      <c r="F43">
        <v>74.84</v>
      </c>
      <c r="G43">
        <v>1</v>
      </c>
      <c r="H43">
        <v>1</v>
      </c>
      <c r="I43">
        <v>3</v>
      </c>
      <c r="J43">
        <v>2</v>
      </c>
      <c r="K43">
        <v>83.98</v>
      </c>
      <c r="L43">
        <v>82.5</v>
      </c>
    </row>
    <row r="44" spans="1:12" x14ac:dyDescent="0.2">
      <c r="A44" s="4">
        <v>43</v>
      </c>
      <c r="B44" t="s">
        <v>556</v>
      </c>
      <c r="C44">
        <v>83.12</v>
      </c>
      <c r="D44">
        <v>27</v>
      </c>
      <c r="E44">
        <v>6</v>
      </c>
      <c r="F44">
        <v>73.599999999999994</v>
      </c>
      <c r="G44">
        <v>0</v>
      </c>
      <c r="H44">
        <v>0</v>
      </c>
      <c r="I44">
        <v>4</v>
      </c>
      <c r="J44">
        <v>1</v>
      </c>
      <c r="K44">
        <v>85.17</v>
      </c>
      <c r="L44">
        <v>81.23</v>
      </c>
    </row>
    <row r="45" spans="1:12" x14ac:dyDescent="0.2">
      <c r="A45" s="4">
        <v>44</v>
      </c>
      <c r="B45" t="s">
        <v>62</v>
      </c>
      <c r="C45">
        <v>82.78</v>
      </c>
      <c r="D45">
        <v>21</v>
      </c>
      <c r="E45">
        <v>11</v>
      </c>
      <c r="F45">
        <v>76.2</v>
      </c>
      <c r="G45">
        <v>0</v>
      </c>
      <c r="H45">
        <v>1</v>
      </c>
      <c r="I45">
        <v>0</v>
      </c>
      <c r="J45">
        <v>5</v>
      </c>
      <c r="K45">
        <v>81.52</v>
      </c>
      <c r="L45">
        <v>83.93</v>
      </c>
    </row>
    <row r="46" spans="1:12" x14ac:dyDescent="0.2">
      <c r="A46" s="4">
        <v>45</v>
      </c>
      <c r="B46" t="s">
        <v>113</v>
      </c>
      <c r="C46">
        <v>82.71</v>
      </c>
      <c r="D46">
        <v>19</v>
      </c>
      <c r="E46">
        <v>9</v>
      </c>
      <c r="F46">
        <v>77.56</v>
      </c>
      <c r="G46">
        <v>0</v>
      </c>
      <c r="H46">
        <v>1</v>
      </c>
      <c r="I46">
        <v>1</v>
      </c>
      <c r="J46">
        <v>2</v>
      </c>
      <c r="K46">
        <v>83.13</v>
      </c>
      <c r="L46">
        <v>82.03</v>
      </c>
    </row>
    <row r="47" spans="1:12" x14ac:dyDescent="0.2">
      <c r="A47" s="4">
        <v>46</v>
      </c>
      <c r="B47" t="s">
        <v>147</v>
      </c>
      <c r="C47">
        <v>82.52</v>
      </c>
      <c r="D47">
        <v>18</v>
      </c>
      <c r="E47">
        <v>11</v>
      </c>
      <c r="F47">
        <v>75.84</v>
      </c>
      <c r="G47">
        <v>0</v>
      </c>
      <c r="H47">
        <v>0</v>
      </c>
      <c r="I47">
        <v>0</v>
      </c>
      <c r="J47">
        <v>4</v>
      </c>
      <c r="K47">
        <v>81.47</v>
      </c>
      <c r="L47">
        <v>83.38</v>
      </c>
    </row>
    <row r="48" spans="1:12" x14ac:dyDescent="0.2">
      <c r="A48" s="4">
        <v>47</v>
      </c>
      <c r="B48" t="s">
        <v>43</v>
      </c>
      <c r="C48">
        <v>82.4</v>
      </c>
      <c r="D48">
        <v>18</v>
      </c>
      <c r="E48">
        <v>13</v>
      </c>
      <c r="F48">
        <v>80.64</v>
      </c>
      <c r="G48">
        <v>2</v>
      </c>
      <c r="H48">
        <v>2</v>
      </c>
      <c r="I48">
        <v>4</v>
      </c>
      <c r="J48">
        <v>3</v>
      </c>
      <c r="K48">
        <v>82.71</v>
      </c>
      <c r="L48">
        <v>81.81</v>
      </c>
    </row>
    <row r="49" spans="1:12" x14ac:dyDescent="0.2">
      <c r="A49" s="4">
        <v>48</v>
      </c>
      <c r="B49" t="s">
        <v>201</v>
      </c>
      <c r="C49">
        <v>82.37</v>
      </c>
      <c r="D49">
        <v>21</v>
      </c>
      <c r="E49">
        <v>9</v>
      </c>
      <c r="F49">
        <v>76.400000000000006</v>
      </c>
      <c r="G49">
        <v>0</v>
      </c>
      <c r="H49">
        <v>2</v>
      </c>
      <c r="I49">
        <v>2</v>
      </c>
      <c r="J49">
        <v>6</v>
      </c>
      <c r="K49">
        <v>83.63</v>
      </c>
      <c r="L49">
        <v>81</v>
      </c>
    </row>
    <row r="50" spans="1:12" x14ac:dyDescent="0.2">
      <c r="A50" s="4">
        <v>49</v>
      </c>
      <c r="B50" t="s">
        <v>70</v>
      </c>
      <c r="C50">
        <v>82.35</v>
      </c>
      <c r="D50">
        <v>17</v>
      </c>
      <c r="E50">
        <v>12</v>
      </c>
      <c r="F50">
        <v>78.39</v>
      </c>
      <c r="G50">
        <v>1</v>
      </c>
      <c r="H50">
        <v>3</v>
      </c>
      <c r="I50">
        <v>2</v>
      </c>
      <c r="J50">
        <v>7</v>
      </c>
      <c r="K50">
        <v>80.98</v>
      </c>
      <c r="L50">
        <v>83.62</v>
      </c>
    </row>
    <row r="51" spans="1:12" x14ac:dyDescent="0.2">
      <c r="A51" s="4">
        <v>50</v>
      </c>
      <c r="B51" t="s">
        <v>112</v>
      </c>
      <c r="C51">
        <v>82.08</v>
      </c>
      <c r="D51">
        <v>19</v>
      </c>
      <c r="E51">
        <v>15</v>
      </c>
      <c r="F51">
        <v>79.599999999999994</v>
      </c>
      <c r="G51">
        <v>0</v>
      </c>
      <c r="H51">
        <v>3</v>
      </c>
      <c r="I51">
        <v>1</v>
      </c>
      <c r="J51">
        <v>5</v>
      </c>
      <c r="K51">
        <v>81.36</v>
      </c>
      <c r="L51">
        <v>82.54</v>
      </c>
    </row>
    <row r="52" spans="1:12" x14ac:dyDescent="0.2">
      <c r="A52" s="4">
        <v>51</v>
      </c>
      <c r="B52" t="s">
        <v>103</v>
      </c>
      <c r="C52">
        <v>82.07</v>
      </c>
      <c r="D52">
        <v>18</v>
      </c>
      <c r="E52">
        <v>13</v>
      </c>
      <c r="F52">
        <v>78.02</v>
      </c>
      <c r="G52">
        <v>2</v>
      </c>
      <c r="H52">
        <v>3</v>
      </c>
      <c r="I52">
        <v>3</v>
      </c>
      <c r="J52">
        <v>6</v>
      </c>
      <c r="K52">
        <v>80.78</v>
      </c>
      <c r="L52">
        <v>83.23</v>
      </c>
    </row>
    <row r="53" spans="1:12" x14ac:dyDescent="0.2">
      <c r="A53" s="4">
        <v>52</v>
      </c>
      <c r="B53" t="s">
        <v>92</v>
      </c>
      <c r="C53">
        <v>82.03</v>
      </c>
      <c r="D53">
        <v>21</v>
      </c>
      <c r="E53">
        <v>9</v>
      </c>
      <c r="F53">
        <v>75.709999999999994</v>
      </c>
      <c r="G53">
        <v>0</v>
      </c>
      <c r="H53">
        <v>1</v>
      </c>
      <c r="I53">
        <v>1</v>
      </c>
      <c r="J53">
        <v>3</v>
      </c>
      <c r="K53">
        <v>83.45</v>
      </c>
      <c r="L53">
        <v>80.540000000000006</v>
      </c>
    </row>
    <row r="54" spans="1:12" x14ac:dyDescent="0.2">
      <c r="A54" s="4">
        <v>53</v>
      </c>
      <c r="B54" t="s">
        <v>287</v>
      </c>
      <c r="C54">
        <v>81.98</v>
      </c>
      <c r="D54">
        <v>25</v>
      </c>
      <c r="E54">
        <v>7</v>
      </c>
      <c r="F54">
        <v>72.599999999999994</v>
      </c>
      <c r="G54">
        <v>0</v>
      </c>
      <c r="H54">
        <v>1</v>
      </c>
      <c r="I54">
        <v>0</v>
      </c>
      <c r="J54">
        <v>2</v>
      </c>
      <c r="K54">
        <v>82.19</v>
      </c>
      <c r="L54">
        <v>81.489999999999995</v>
      </c>
    </row>
    <row r="55" spans="1:12" x14ac:dyDescent="0.2">
      <c r="A55" s="4">
        <v>54</v>
      </c>
      <c r="B55" t="s">
        <v>813</v>
      </c>
      <c r="C55">
        <v>81.87</v>
      </c>
      <c r="D55">
        <v>23</v>
      </c>
      <c r="E55">
        <v>12</v>
      </c>
      <c r="F55">
        <v>76.16</v>
      </c>
      <c r="G55">
        <v>1</v>
      </c>
      <c r="H55">
        <v>2</v>
      </c>
      <c r="I55">
        <v>1</v>
      </c>
      <c r="J55">
        <v>4</v>
      </c>
      <c r="K55">
        <v>81.52</v>
      </c>
      <c r="L55">
        <v>81.92</v>
      </c>
    </row>
    <row r="56" spans="1:12" x14ac:dyDescent="0.2">
      <c r="A56" s="4">
        <v>55</v>
      </c>
      <c r="B56" t="s">
        <v>73</v>
      </c>
      <c r="C56">
        <v>81.86</v>
      </c>
      <c r="D56">
        <v>23</v>
      </c>
      <c r="E56">
        <v>13</v>
      </c>
      <c r="F56">
        <v>76.67</v>
      </c>
      <c r="G56">
        <v>0</v>
      </c>
      <c r="H56">
        <v>0</v>
      </c>
      <c r="I56">
        <v>1</v>
      </c>
      <c r="J56">
        <v>3</v>
      </c>
      <c r="K56">
        <v>81.180000000000007</v>
      </c>
      <c r="L56">
        <v>82.27</v>
      </c>
    </row>
    <row r="57" spans="1:12" x14ac:dyDescent="0.2">
      <c r="A57" s="4">
        <v>56</v>
      </c>
      <c r="B57" t="s">
        <v>13</v>
      </c>
      <c r="C57">
        <v>81.84</v>
      </c>
      <c r="D57">
        <v>14</v>
      </c>
      <c r="E57">
        <v>16</v>
      </c>
      <c r="F57">
        <v>81.62</v>
      </c>
      <c r="G57">
        <v>0</v>
      </c>
      <c r="H57">
        <v>2</v>
      </c>
      <c r="I57">
        <v>2</v>
      </c>
      <c r="J57">
        <v>8</v>
      </c>
      <c r="K57">
        <v>80.59</v>
      </c>
      <c r="L57">
        <v>82.94</v>
      </c>
    </row>
    <row r="58" spans="1:12" x14ac:dyDescent="0.2">
      <c r="A58" s="4">
        <v>57</v>
      </c>
      <c r="B58" t="s">
        <v>35</v>
      </c>
      <c r="C58">
        <v>81.81</v>
      </c>
      <c r="D58">
        <v>14</v>
      </c>
      <c r="E58">
        <v>15</v>
      </c>
      <c r="F58">
        <v>80.84</v>
      </c>
      <c r="G58">
        <v>1</v>
      </c>
      <c r="H58">
        <v>2</v>
      </c>
      <c r="I58">
        <v>4</v>
      </c>
      <c r="J58">
        <v>8</v>
      </c>
      <c r="K58">
        <v>80.67</v>
      </c>
      <c r="L58">
        <v>82.77</v>
      </c>
    </row>
    <row r="59" spans="1:12" x14ac:dyDescent="0.2">
      <c r="A59" s="4">
        <v>58</v>
      </c>
      <c r="B59" t="s">
        <v>32</v>
      </c>
      <c r="C59">
        <v>81.73</v>
      </c>
      <c r="D59">
        <v>19</v>
      </c>
      <c r="E59">
        <v>16</v>
      </c>
      <c r="F59">
        <v>78.849999999999994</v>
      </c>
      <c r="G59">
        <v>1</v>
      </c>
      <c r="H59">
        <v>4</v>
      </c>
      <c r="I59">
        <v>1</v>
      </c>
      <c r="J59">
        <v>7</v>
      </c>
      <c r="K59">
        <v>80.239999999999995</v>
      </c>
      <c r="L59">
        <v>83.15</v>
      </c>
    </row>
    <row r="60" spans="1:12" x14ac:dyDescent="0.2">
      <c r="A60" s="4">
        <v>59</v>
      </c>
      <c r="B60" t="s">
        <v>52</v>
      </c>
      <c r="C60">
        <v>81.52</v>
      </c>
      <c r="D60">
        <v>23</v>
      </c>
      <c r="E60">
        <v>9</v>
      </c>
      <c r="F60">
        <v>74.459999999999994</v>
      </c>
      <c r="G60">
        <v>1</v>
      </c>
      <c r="H60">
        <v>1</v>
      </c>
      <c r="I60">
        <v>1</v>
      </c>
      <c r="J60">
        <v>2</v>
      </c>
      <c r="K60">
        <v>82.13</v>
      </c>
      <c r="L60">
        <v>80.67</v>
      </c>
    </row>
    <row r="61" spans="1:12" x14ac:dyDescent="0.2">
      <c r="A61" s="4">
        <v>60</v>
      </c>
      <c r="B61" t="s">
        <v>11</v>
      </c>
      <c r="C61">
        <v>81.45</v>
      </c>
      <c r="D61">
        <v>19</v>
      </c>
      <c r="E61">
        <v>13</v>
      </c>
      <c r="F61">
        <v>77.349999999999994</v>
      </c>
      <c r="G61">
        <v>0</v>
      </c>
      <c r="H61">
        <v>0</v>
      </c>
      <c r="I61">
        <v>0</v>
      </c>
      <c r="J61">
        <v>4</v>
      </c>
      <c r="K61">
        <v>81.25</v>
      </c>
      <c r="L61">
        <v>81.37</v>
      </c>
    </row>
    <row r="62" spans="1:12" x14ac:dyDescent="0.2">
      <c r="A62" s="4">
        <v>61</v>
      </c>
      <c r="B62" t="s">
        <v>104</v>
      </c>
      <c r="C62">
        <v>81.3</v>
      </c>
      <c r="D62">
        <v>19</v>
      </c>
      <c r="E62">
        <v>13</v>
      </c>
      <c r="F62">
        <v>77.72</v>
      </c>
      <c r="G62">
        <v>1</v>
      </c>
      <c r="H62">
        <v>3</v>
      </c>
      <c r="I62">
        <v>2</v>
      </c>
      <c r="J62">
        <v>7</v>
      </c>
      <c r="K62">
        <v>80.66</v>
      </c>
      <c r="L62">
        <v>81.67</v>
      </c>
    </row>
    <row r="63" spans="1:12" x14ac:dyDescent="0.2">
      <c r="A63" s="4">
        <v>62</v>
      </c>
      <c r="B63" t="s">
        <v>284</v>
      </c>
      <c r="C63">
        <v>81.28</v>
      </c>
      <c r="D63">
        <v>24</v>
      </c>
      <c r="E63">
        <v>8</v>
      </c>
      <c r="F63">
        <v>71.98</v>
      </c>
      <c r="G63">
        <v>0</v>
      </c>
      <c r="H63">
        <v>2</v>
      </c>
      <c r="I63">
        <v>0</v>
      </c>
      <c r="J63">
        <v>3</v>
      </c>
      <c r="K63">
        <v>79.38</v>
      </c>
      <c r="L63">
        <v>83.25</v>
      </c>
    </row>
    <row r="64" spans="1:12" x14ac:dyDescent="0.2">
      <c r="A64" s="4">
        <v>63</v>
      </c>
      <c r="B64" t="s">
        <v>207</v>
      </c>
      <c r="C64">
        <v>81.22</v>
      </c>
      <c r="D64">
        <v>23</v>
      </c>
      <c r="E64">
        <v>9</v>
      </c>
      <c r="F64">
        <v>75.150000000000006</v>
      </c>
      <c r="G64">
        <v>0</v>
      </c>
      <c r="H64">
        <v>0</v>
      </c>
      <c r="I64">
        <v>0</v>
      </c>
      <c r="J64">
        <v>3</v>
      </c>
      <c r="K64">
        <v>81.72</v>
      </c>
      <c r="L64">
        <v>80.459999999999994</v>
      </c>
    </row>
    <row r="65" spans="1:12" x14ac:dyDescent="0.2">
      <c r="A65" s="4">
        <v>64</v>
      </c>
      <c r="B65" t="s">
        <v>101</v>
      </c>
      <c r="C65">
        <v>81.19</v>
      </c>
      <c r="D65">
        <v>20</v>
      </c>
      <c r="E65">
        <v>10</v>
      </c>
      <c r="F65">
        <v>75.989999999999995</v>
      </c>
      <c r="G65">
        <v>0</v>
      </c>
      <c r="H65">
        <v>1</v>
      </c>
      <c r="I65">
        <v>0</v>
      </c>
      <c r="J65">
        <v>3</v>
      </c>
      <c r="K65">
        <v>81.400000000000006</v>
      </c>
      <c r="L65">
        <v>80.69</v>
      </c>
    </row>
    <row r="66" spans="1:12" x14ac:dyDescent="0.2">
      <c r="A66" s="4">
        <v>65</v>
      </c>
      <c r="B66" t="s">
        <v>58</v>
      </c>
      <c r="C66">
        <v>81.09</v>
      </c>
      <c r="D66">
        <v>17</v>
      </c>
      <c r="E66">
        <v>12</v>
      </c>
      <c r="F66">
        <v>77.739999999999995</v>
      </c>
      <c r="G66">
        <v>0</v>
      </c>
      <c r="H66">
        <v>0</v>
      </c>
      <c r="I66">
        <v>1</v>
      </c>
      <c r="J66">
        <v>0</v>
      </c>
      <c r="K66">
        <v>80.59</v>
      </c>
      <c r="L66">
        <v>81.319999999999993</v>
      </c>
    </row>
    <row r="67" spans="1:12" x14ac:dyDescent="0.2">
      <c r="A67" s="4">
        <v>66</v>
      </c>
      <c r="B67" t="s">
        <v>805</v>
      </c>
      <c r="C67">
        <v>81.010000000000005</v>
      </c>
      <c r="D67">
        <v>20</v>
      </c>
      <c r="E67">
        <v>12</v>
      </c>
      <c r="F67">
        <v>77.73</v>
      </c>
      <c r="G67">
        <v>0</v>
      </c>
      <c r="H67">
        <v>2</v>
      </c>
      <c r="I67">
        <v>0</v>
      </c>
      <c r="J67">
        <v>3</v>
      </c>
      <c r="K67">
        <v>82.06</v>
      </c>
      <c r="L67">
        <v>79.790000000000006</v>
      </c>
    </row>
    <row r="68" spans="1:12" x14ac:dyDescent="0.2">
      <c r="A68" s="4">
        <v>67</v>
      </c>
      <c r="B68" t="s">
        <v>122</v>
      </c>
      <c r="C68">
        <v>80.94</v>
      </c>
      <c r="D68">
        <v>20</v>
      </c>
      <c r="E68">
        <v>12</v>
      </c>
      <c r="F68">
        <v>77.16</v>
      </c>
      <c r="G68">
        <v>0</v>
      </c>
      <c r="H68">
        <v>1</v>
      </c>
      <c r="I68">
        <v>0</v>
      </c>
      <c r="J68">
        <v>6</v>
      </c>
      <c r="K68">
        <v>81.599999999999994</v>
      </c>
      <c r="L68">
        <v>80.040000000000006</v>
      </c>
    </row>
    <row r="69" spans="1:12" x14ac:dyDescent="0.2">
      <c r="A69" s="4">
        <v>68</v>
      </c>
      <c r="B69" t="s">
        <v>273</v>
      </c>
      <c r="C69">
        <v>80.930000000000007</v>
      </c>
      <c r="D69">
        <v>18</v>
      </c>
      <c r="E69">
        <v>15</v>
      </c>
      <c r="F69">
        <v>77.58</v>
      </c>
      <c r="G69">
        <v>0</v>
      </c>
      <c r="H69">
        <v>1</v>
      </c>
      <c r="I69">
        <v>2</v>
      </c>
      <c r="J69">
        <v>7</v>
      </c>
      <c r="K69">
        <v>80.3</v>
      </c>
      <c r="L69">
        <v>81.3</v>
      </c>
    </row>
    <row r="70" spans="1:12" x14ac:dyDescent="0.2">
      <c r="A70" s="4">
        <v>69</v>
      </c>
      <c r="B70" t="s">
        <v>55</v>
      </c>
      <c r="C70">
        <v>80.63</v>
      </c>
      <c r="D70">
        <v>20</v>
      </c>
      <c r="E70">
        <v>12</v>
      </c>
      <c r="F70">
        <v>77.55</v>
      </c>
      <c r="G70">
        <v>0</v>
      </c>
      <c r="H70">
        <v>1</v>
      </c>
      <c r="I70">
        <v>2</v>
      </c>
      <c r="J70">
        <v>4</v>
      </c>
      <c r="K70">
        <v>81.78</v>
      </c>
      <c r="L70">
        <v>79.33</v>
      </c>
    </row>
    <row r="71" spans="1:12" x14ac:dyDescent="0.2">
      <c r="A71" s="4">
        <v>70</v>
      </c>
      <c r="B71" t="s">
        <v>115</v>
      </c>
      <c r="C71">
        <v>80.569999999999993</v>
      </c>
      <c r="D71">
        <v>21</v>
      </c>
      <c r="E71">
        <v>11</v>
      </c>
      <c r="F71">
        <v>76.430000000000007</v>
      </c>
      <c r="G71">
        <v>0</v>
      </c>
      <c r="H71">
        <v>1</v>
      </c>
      <c r="I71">
        <v>0</v>
      </c>
      <c r="J71">
        <v>2</v>
      </c>
      <c r="K71">
        <v>81.52</v>
      </c>
      <c r="L71">
        <v>79.42</v>
      </c>
    </row>
    <row r="72" spans="1:12" x14ac:dyDescent="0.2">
      <c r="A72" s="4">
        <v>71</v>
      </c>
      <c r="B72" t="s">
        <v>154</v>
      </c>
      <c r="C72">
        <v>80.38</v>
      </c>
      <c r="D72">
        <v>23</v>
      </c>
      <c r="E72">
        <v>10</v>
      </c>
      <c r="F72">
        <v>74.489999999999995</v>
      </c>
      <c r="G72">
        <v>0</v>
      </c>
      <c r="H72">
        <v>1</v>
      </c>
      <c r="I72">
        <v>1</v>
      </c>
      <c r="J72">
        <v>3</v>
      </c>
      <c r="K72">
        <v>80.599999999999994</v>
      </c>
      <c r="L72">
        <v>79.89</v>
      </c>
    </row>
    <row r="73" spans="1:12" x14ac:dyDescent="0.2">
      <c r="A73" s="4">
        <v>72</v>
      </c>
      <c r="B73" t="s">
        <v>783</v>
      </c>
      <c r="C73">
        <v>80.150000000000006</v>
      </c>
      <c r="D73">
        <v>19</v>
      </c>
      <c r="E73">
        <v>12</v>
      </c>
      <c r="F73">
        <v>76.66</v>
      </c>
      <c r="G73">
        <v>0</v>
      </c>
      <c r="H73">
        <v>0</v>
      </c>
      <c r="I73">
        <v>0</v>
      </c>
      <c r="J73">
        <v>2</v>
      </c>
      <c r="K73">
        <v>80.2</v>
      </c>
      <c r="L73">
        <v>79.81</v>
      </c>
    </row>
    <row r="74" spans="1:12" x14ac:dyDescent="0.2">
      <c r="A74" s="4">
        <v>73</v>
      </c>
      <c r="B74" t="s">
        <v>811</v>
      </c>
      <c r="C74">
        <v>80.040000000000006</v>
      </c>
      <c r="D74">
        <v>14</v>
      </c>
      <c r="E74">
        <v>15</v>
      </c>
      <c r="F74">
        <v>78.569999999999993</v>
      </c>
      <c r="G74">
        <v>2</v>
      </c>
      <c r="H74">
        <v>3</v>
      </c>
      <c r="I74">
        <v>2</v>
      </c>
      <c r="J74">
        <v>9</v>
      </c>
      <c r="K74">
        <v>78.89</v>
      </c>
      <c r="L74">
        <v>80.98</v>
      </c>
    </row>
    <row r="75" spans="1:12" x14ac:dyDescent="0.2">
      <c r="A75" s="4">
        <v>74</v>
      </c>
      <c r="B75" t="s">
        <v>183</v>
      </c>
      <c r="C75">
        <v>79.78</v>
      </c>
      <c r="D75">
        <v>19</v>
      </c>
      <c r="E75">
        <v>13</v>
      </c>
      <c r="F75">
        <v>76.91</v>
      </c>
      <c r="G75">
        <v>0</v>
      </c>
      <c r="H75">
        <v>3</v>
      </c>
      <c r="I75">
        <v>2</v>
      </c>
      <c r="J75">
        <v>3</v>
      </c>
      <c r="K75">
        <v>79.61</v>
      </c>
      <c r="L75">
        <v>79.650000000000006</v>
      </c>
    </row>
    <row r="76" spans="1:12" x14ac:dyDescent="0.2">
      <c r="A76" s="4">
        <v>75</v>
      </c>
      <c r="B76" t="s">
        <v>80</v>
      </c>
      <c r="C76">
        <v>79.69</v>
      </c>
      <c r="D76">
        <v>22</v>
      </c>
      <c r="E76">
        <v>14</v>
      </c>
      <c r="F76">
        <v>77.349999999999994</v>
      </c>
      <c r="G76">
        <v>0</v>
      </c>
      <c r="H76">
        <v>1</v>
      </c>
      <c r="I76">
        <v>0</v>
      </c>
      <c r="J76">
        <v>7</v>
      </c>
      <c r="K76">
        <v>81.22</v>
      </c>
      <c r="L76">
        <v>78.06</v>
      </c>
    </row>
    <row r="77" spans="1:12" x14ac:dyDescent="0.2">
      <c r="A77" s="4">
        <v>76</v>
      </c>
      <c r="B77" t="s">
        <v>220</v>
      </c>
      <c r="C77">
        <v>79.650000000000006</v>
      </c>
      <c r="D77">
        <v>24</v>
      </c>
      <c r="E77">
        <v>7</v>
      </c>
      <c r="F77">
        <v>71.510000000000005</v>
      </c>
      <c r="G77">
        <v>0</v>
      </c>
      <c r="H77">
        <v>0</v>
      </c>
      <c r="I77">
        <v>0</v>
      </c>
      <c r="J77">
        <v>0</v>
      </c>
      <c r="K77">
        <v>80.459999999999994</v>
      </c>
      <c r="L77">
        <v>78.61</v>
      </c>
    </row>
    <row r="78" spans="1:12" x14ac:dyDescent="0.2">
      <c r="A78" s="4">
        <v>77</v>
      </c>
      <c r="B78" t="s">
        <v>796</v>
      </c>
      <c r="C78">
        <v>79.61</v>
      </c>
      <c r="D78">
        <v>22</v>
      </c>
      <c r="E78">
        <v>8</v>
      </c>
      <c r="F78">
        <v>72.56</v>
      </c>
      <c r="G78">
        <v>0</v>
      </c>
      <c r="H78">
        <v>0</v>
      </c>
      <c r="I78">
        <v>0</v>
      </c>
      <c r="J78">
        <v>0</v>
      </c>
      <c r="K78">
        <v>79.95</v>
      </c>
      <c r="L78">
        <v>78.989999999999995</v>
      </c>
    </row>
    <row r="79" spans="1:12" x14ac:dyDescent="0.2">
      <c r="A79" s="4">
        <v>78</v>
      </c>
      <c r="B79" t="s">
        <v>68</v>
      </c>
      <c r="C79">
        <v>79.5</v>
      </c>
      <c r="D79">
        <v>17</v>
      </c>
      <c r="E79">
        <v>13</v>
      </c>
      <c r="F79">
        <v>77.400000000000006</v>
      </c>
      <c r="G79">
        <v>0</v>
      </c>
      <c r="H79">
        <v>1</v>
      </c>
      <c r="I79">
        <v>2</v>
      </c>
      <c r="J79">
        <v>2</v>
      </c>
      <c r="K79">
        <v>79.53</v>
      </c>
      <c r="L79">
        <v>79.180000000000007</v>
      </c>
    </row>
    <row r="80" spans="1:12" x14ac:dyDescent="0.2">
      <c r="A80" s="4">
        <v>79</v>
      </c>
      <c r="B80" t="s">
        <v>76</v>
      </c>
      <c r="C80">
        <v>79.33</v>
      </c>
      <c r="D80">
        <v>17</v>
      </c>
      <c r="E80">
        <v>15</v>
      </c>
      <c r="F80">
        <v>78.78</v>
      </c>
      <c r="G80">
        <v>0</v>
      </c>
      <c r="H80">
        <v>2</v>
      </c>
      <c r="I80">
        <v>2</v>
      </c>
      <c r="J80">
        <v>7</v>
      </c>
      <c r="K80">
        <v>80.17</v>
      </c>
      <c r="L80">
        <v>78.260000000000005</v>
      </c>
    </row>
    <row r="81" spans="1:12" x14ac:dyDescent="0.2">
      <c r="A81" s="4">
        <v>80</v>
      </c>
      <c r="B81" t="s">
        <v>804</v>
      </c>
      <c r="C81">
        <v>79.290000000000006</v>
      </c>
      <c r="D81">
        <v>19</v>
      </c>
      <c r="E81">
        <v>15</v>
      </c>
      <c r="F81">
        <v>76.78</v>
      </c>
      <c r="G81">
        <v>0</v>
      </c>
      <c r="H81">
        <v>0</v>
      </c>
      <c r="I81">
        <v>3</v>
      </c>
      <c r="J81">
        <v>5</v>
      </c>
      <c r="K81">
        <v>79.400000000000006</v>
      </c>
      <c r="L81">
        <v>78.88</v>
      </c>
    </row>
    <row r="82" spans="1:12" x14ac:dyDescent="0.2">
      <c r="A82" s="4">
        <v>81</v>
      </c>
      <c r="B82" t="s">
        <v>130</v>
      </c>
      <c r="C82">
        <v>78.989999999999995</v>
      </c>
      <c r="D82">
        <v>15</v>
      </c>
      <c r="E82">
        <v>16</v>
      </c>
      <c r="F82">
        <v>79.34</v>
      </c>
      <c r="G82">
        <v>0</v>
      </c>
      <c r="H82">
        <v>5</v>
      </c>
      <c r="I82">
        <v>2</v>
      </c>
      <c r="J82">
        <v>9</v>
      </c>
      <c r="K82">
        <v>78.45</v>
      </c>
      <c r="L82">
        <v>79.25</v>
      </c>
    </row>
    <row r="83" spans="1:12" x14ac:dyDescent="0.2">
      <c r="A83" s="4">
        <v>82</v>
      </c>
      <c r="B83" t="s">
        <v>143</v>
      </c>
      <c r="C83">
        <v>78.92</v>
      </c>
      <c r="D83">
        <v>19</v>
      </c>
      <c r="E83">
        <v>11</v>
      </c>
      <c r="F83">
        <v>74.3</v>
      </c>
      <c r="G83">
        <v>0</v>
      </c>
      <c r="H83">
        <v>1</v>
      </c>
      <c r="I83">
        <v>0</v>
      </c>
      <c r="J83">
        <v>2</v>
      </c>
      <c r="K83">
        <v>78.239999999999995</v>
      </c>
      <c r="L83">
        <v>79.33</v>
      </c>
    </row>
    <row r="84" spans="1:12" x14ac:dyDescent="0.2">
      <c r="A84" s="4">
        <v>83</v>
      </c>
      <c r="B84" t="s">
        <v>157</v>
      </c>
      <c r="C84">
        <v>78.64</v>
      </c>
      <c r="D84">
        <v>20</v>
      </c>
      <c r="E84">
        <v>8</v>
      </c>
      <c r="F84">
        <v>71.709999999999994</v>
      </c>
      <c r="G84">
        <v>0</v>
      </c>
      <c r="H84">
        <v>0</v>
      </c>
      <c r="I84">
        <v>0</v>
      </c>
      <c r="J84">
        <v>0</v>
      </c>
      <c r="K84">
        <v>78.31</v>
      </c>
      <c r="L84">
        <v>78.680000000000007</v>
      </c>
    </row>
    <row r="85" spans="1:12" x14ac:dyDescent="0.2">
      <c r="A85" s="4">
        <v>84</v>
      </c>
      <c r="B85" t="s">
        <v>79</v>
      </c>
      <c r="C85">
        <v>78.12</v>
      </c>
      <c r="D85">
        <v>16</v>
      </c>
      <c r="E85">
        <v>13</v>
      </c>
      <c r="F85">
        <v>76.48</v>
      </c>
      <c r="G85">
        <v>0</v>
      </c>
      <c r="H85">
        <v>3</v>
      </c>
      <c r="I85">
        <v>0</v>
      </c>
      <c r="J85">
        <v>5</v>
      </c>
      <c r="K85">
        <v>78.400000000000006</v>
      </c>
      <c r="L85">
        <v>77.55</v>
      </c>
    </row>
    <row r="86" spans="1:12" x14ac:dyDescent="0.2">
      <c r="A86" s="4">
        <v>85</v>
      </c>
      <c r="B86" t="s">
        <v>276</v>
      </c>
      <c r="C86">
        <v>78.09</v>
      </c>
      <c r="D86">
        <v>16</v>
      </c>
      <c r="E86">
        <v>14</v>
      </c>
      <c r="F86">
        <v>76.05</v>
      </c>
      <c r="G86">
        <v>0</v>
      </c>
      <c r="H86">
        <v>0</v>
      </c>
      <c r="I86">
        <v>0</v>
      </c>
      <c r="J86">
        <v>3</v>
      </c>
      <c r="K86">
        <v>77.790000000000006</v>
      </c>
      <c r="L86">
        <v>78.099999999999994</v>
      </c>
    </row>
    <row r="87" spans="1:12" x14ac:dyDescent="0.2">
      <c r="A87" s="4">
        <v>86</v>
      </c>
      <c r="B87" t="s">
        <v>134</v>
      </c>
      <c r="C87">
        <v>77.819999999999993</v>
      </c>
      <c r="D87">
        <v>20</v>
      </c>
      <c r="E87">
        <v>11</v>
      </c>
      <c r="F87">
        <v>73.819999999999993</v>
      </c>
      <c r="G87">
        <v>0</v>
      </c>
      <c r="H87">
        <v>0</v>
      </c>
      <c r="I87">
        <v>0</v>
      </c>
      <c r="J87">
        <v>1</v>
      </c>
      <c r="K87">
        <v>78.22</v>
      </c>
      <c r="L87">
        <v>77.14</v>
      </c>
    </row>
    <row r="88" spans="1:12" x14ac:dyDescent="0.2">
      <c r="A88" s="4">
        <v>87</v>
      </c>
      <c r="B88" t="s">
        <v>69</v>
      </c>
      <c r="C88">
        <v>77.75</v>
      </c>
      <c r="D88">
        <v>14</v>
      </c>
      <c r="E88">
        <v>14</v>
      </c>
      <c r="F88">
        <v>76.739999999999995</v>
      </c>
      <c r="G88">
        <v>0</v>
      </c>
      <c r="H88">
        <v>4</v>
      </c>
      <c r="I88">
        <v>0</v>
      </c>
      <c r="J88">
        <v>8</v>
      </c>
      <c r="K88">
        <v>77.069999999999993</v>
      </c>
      <c r="L88">
        <v>78.16</v>
      </c>
    </row>
    <row r="89" spans="1:12" x14ac:dyDescent="0.2">
      <c r="A89" s="4">
        <v>88</v>
      </c>
      <c r="B89" t="s">
        <v>4</v>
      </c>
      <c r="C89">
        <v>77.53</v>
      </c>
      <c r="D89">
        <v>17</v>
      </c>
      <c r="E89">
        <v>15</v>
      </c>
      <c r="F89">
        <v>77.56</v>
      </c>
      <c r="G89">
        <v>0</v>
      </c>
      <c r="H89">
        <v>2</v>
      </c>
      <c r="I89">
        <v>0</v>
      </c>
      <c r="J89">
        <v>5</v>
      </c>
      <c r="K89">
        <v>78.47</v>
      </c>
      <c r="L89">
        <v>76.349999999999994</v>
      </c>
    </row>
    <row r="90" spans="1:12" x14ac:dyDescent="0.2">
      <c r="A90" s="4">
        <v>89</v>
      </c>
      <c r="B90" t="s">
        <v>16</v>
      </c>
      <c r="C90">
        <v>77.459999999999994</v>
      </c>
      <c r="D90">
        <v>13</v>
      </c>
      <c r="E90">
        <v>18</v>
      </c>
      <c r="F90">
        <v>79.010000000000005</v>
      </c>
      <c r="G90">
        <v>1</v>
      </c>
      <c r="H90">
        <v>4</v>
      </c>
      <c r="I90">
        <v>2</v>
      </c>
      <c r="J90">
        <v>7</v>
      </c>
      <c r="K90">
        <v>76.010000000000005</v>
      </c>
      <c r="L90">
        <v>78.7</v>
      </c>
    </row>
    <row r="91" spans="1:12" x14ac:dyDescent="0.2">
      <c r="A91" s="4">
        <v>90</v>
      </c>
      <c r="B91" t="s">
        <v>74</v>
      </c>
      <c r="C91">
        <v>77.41</v>
      </c>
      <c r="D91">
        <v>15</v>
      </c>
      <c r="E91">
        <v>16</v>
      </c>
      <c r="F91">
        <v>77.319999999999993</v>
      </c>
      <c r="G91">
        <v>0</v>
      </c>
      <c r="H91">
        <v>2</v>
      </c>
      <c r="I91">
        <v>0</v>
      </c>
      <c r="J91">
        <v>5</v>
      </c>
      <c r="K91">
        <v>76.33</v>
      </c>
      <c r="L91">
        <v>78.25</v>
      </c>
    </row>
    <row r="92" spans="1:12" x14ac:dyDescent="0.2">
      <c r="A92" s="4">
        <v>91</v>
      </c>
      <c r="B92" t="s">
        <v>799</v>
      </c>
      <c r="C92">
        <v>77.39</v>
      </c>
      <c r="D92">
        <v>15</v>
      </c>
      <c r="E92">
        <v>10</v>
      </c>
      <c r="F92">
        <v>73.959999999999994</v>
      </c>
      <c r="G92">
        <v>0</v>
      </c>
      <c r="H92">
        <v>0</v>
      </c>
      <c r="I92">
        <v>0</v>
      </c>
      <c r="J92">
        <v>0</v>
      </c>
      <c r="K92">
        <v>77.23</v>
      </c>
      <c r="L92">
        <v>77.25</v>
      </c>
    </row>
    <row r="93" spans="1:12" x14ac:dyDescent="0.2">
      <c r="A93" s="4">
        <v>92</v>
      </c>
      <c r="B93" t="s">
        <v>111</v>
      </c>
      <c r="C93">
        <v>77.33</v>
      </c>
      <c r="D93">
        <v>10</v>
      </c>
      <c r="E93">
        <v>18</v>
      </c>
      <c r="F93">
        <v>81.8</v>
      </c>
      <c r="G93">
        <v>1</v>
      </c>
      <c r="H93">
        <v>4</v>
      </c>
      <c r="I93">
        <v>2</v>
      </c>
      <c r="J93">
        <v>10</v>
      </c>
      <c r="K93">
        <v>77.44</v>
      </c>
      <c r="L93">
        <v>76.92</v>
      </c>
    </row>
    <row r="94" spans="1:12" x14ac:dyDescent="0.2">
      <c r="A94" s="4">
        <v>93</v>
      </c>
      <c r="B94" t="s">
        <v>218</v>
      </c>
      <c r="C94">
        <v>77.13</v>
      </c>
      <c r="D94">
        <v>18</v>
      </c>
      <c r="E94">
        <v>10</v>
      </c>
      <c r="F94">
        <v>73.099999999999994</v>
      </c>
      <c r="G94">
        <v>0</v>
      </c>
      <c r="H94">
        <v>0</v>
      </c>
      <c r="I94">
        <v>0</v>
      </c>
      <c r="J94">
        <v>0</v>
      </c>
      <c r="K94">
        <v>77.209999999999994</v>
      </c>
      <c r="L94">
        <v>76.77</v>
      </c>
    </row>
    <row r="95" spans="1:12" x14ac:dyDescent="0.2">
      <c r="A95" s="4">
        <v>94</v>
      </c>
      <c r="B95" t="s">
        <v>33</v>
      </c>
      <c r="C95">
        <v>77.11</v>
      </c>
      <c r="D95">
        <v>12</v>
      </c>
      <c r="E95">
        <v>16</v>
      </c>
      <c r="F95">
        <v>78.41</v>
      </c>
      <c r="G95">
        <v>0</v>
      </c>
      <c r="H95">
        <v>2</v>
      </c>
      <c r="I95">
        <v>2</v>
      </c>
      <c r="J95">
        <v>6</v>
      </c>
      <c r="K95">
        <v>76.489999999999995</v>
      </c>
      <c r="L95">
        <v>77.44</v>
      </c>
    </row>
    <row r="96" spans="1:12" x14ac:dyDescent="0.2">
      <c r="A96" s="4">
        <v>95</v>
      </c>
      <c r="B96" t="s">
        <v>64</v>
      </c>
      <c r="C96">
        <v>77.09</v>
      </c>
      <c r="D96">
        <v>18</v>
      </c>
      <c r="E96">
        <v>10</v>
      </c>
      <c r="F96">
        <v>74.81</v>
      </c>
      <c r="G96">
        <v>0</v>
      </c>
      <c r="H96">
        <v>1</v>
      </c>
      <c r="I96">
        <v>0</v>
      </c>
      <c r="J96">
        <v>2</v>
      </c>
      <c r="K96">
        <v>79.42</v>
      </c>
      <c r="L96">
        <v>74.709999999999994</v>
      </c>
    </row>
    <row r="97" spans="1:12" x14ac:dyDescent="0.2">
      <c r="A97" s="4">
        <v>96</v>
      </c>
      <c r="B97" t="s">
        <v>44</v>
      </c>
      <c r="C97">
        <v>77.05</v>
      </c>
      <c r="D97">
        <v>15</v>
      </c>
      <c r="E97">
        <v>16</v>
      </c>
      <c r="F97">
        <v>76.27</v>
      </c>
      <c r="G97">
        <v>0</v>
      </c>
      <c r="H97">
        <v>0</v>
      </c>
      <c r="I97">
        <v>0</v>
      </c>
      <c r="J97">
        <v>4</v>
      </c>
      <c r="K97">
        <v>76.150000000000006</v>
      </c>
      <c r="L97">
        <v>77.680000000000007</v>
      </c>
    </row>
    <row r="98" spans="1:12" x14ac:dyDescent="0.2">
      <c r="A98" s="4">
        <v>97</v>
      </c>
      <c r="B98" t="s">
        <v>119</v>
      </c>
      <c r="C98">
        <v>76.87</v>
      </c>
      <c r="D98">
        <v>16</v>
      </c>
      <c r="E98">
        <v>13</v>
      </c>
      <c r="F98">
        <v>75.41</v>
      </c>
      <c r="G98">
        <v>0</v>
      </c>
      <c r="H98">
        <v>0</v>
      </c>
      <c r="I98">
        <v>0</v>
      </c>
      <c r="J98">
        <v>2</v>
      </c>
      <c r="K98">
        <v>77</v>
      </c>
      <c r="L98">
        <v>76.45</v>
      </c>
    </row>
    <row r="99" spans="1:12" x14ac:dyDescent="0.2">
      <c r="A99" s="4">
        <v>98</v>
      </c>
      <c r="B99" t="s">
        <v>71</v>
      </c>
      <c r="C99">
        <v>76.86</v>
      </c>
      <c r="D99">
        <v>18</v>
      </c>
      <c r="E99">
        <v>13</v>
      </c>
      <c r="F99">
        <v>74.38</v>
      </c>
      <c r="G99">
        <v>0</v>
      </c>
      <c r="H99">
        <v>0</v>
      </c>
      <c r="I99">
        <v>1</v>
      </c>
      <c r="J99">
        <v>2</v>
      </c>
      <c r="K99">
        <v>77.77</v>
      </c>
      <c r="L99">
        <v>75.7</v>
      </c>
    </row>
    <row r="100" spans="1:12" x14ac:dyDescent="0.2">
      <c r="A100" s="4">
        <v>99</v>
      </c>
      <c r="B100" t="s">
        <v>786</v>
      </c>
      <c r="C100">
        <v>76.84</v>
      </c>
      <c r="D100">
        <v>17</v>
      </c>
      <c r="E100">
        <v>11</v>
      </c>
      <c r="F100">
        <v>73.650000000000006</v>
      </c>
      <c r="G100">
        <v>0</v>
      </c>
      <c r="H100">
        <v>0</v>
      </c>
      <c r="I100">
        <v>0</v>
      </c>
      <c r="J100">
        <v>2</v>
      </c>
      <c r="K100">
        <v>76.739999999999995</v>
      </c>
      <c r="L100">
        <v>76.650000000000006</v>
      </c>
    </row>
    <row r="101" spans="1:12" x14ac:dyDescent="0.2">
      <c r="A101" s="4">
        <v>100</v>
      </c>
      <c r="B101" t="s">
        <v>550</v>
      </c>
      <c r="C101">
        <v>76.75</v>
      </c>
      <c r="D101">
        <v>18</v>
      </c>
      <c r="E101">
        <v>13</v>
      </c>
      <c r="F101">
        <v>74.97</v>
      </c>
      <c r="G101">
        <v>0</v>
      </c>
      <c r="H101">
        <v>1</v>
      </c>
      <c r="I101">
        <v>0</v>
      </c>
      <c r="J101">
        <v>1</v>
      </c>
      <c r="K101">
        <v>76.47</v>
      </c>
      <c r="L101">
        <v>76.739999999999995</v>
      </c>
    </row>
    <row r="102" spans="1:12" x14ac:dyDescent="0.2">
      <c r="A102" s="4">
        <v>101</v>
      </c>
      <c r="B102" t="s">
        <v>278</v>
      </c>
      <c r="C102">
        <v>76.709999999999994</v>
      </c>
      <c r="D102">
        <v>20</v>
      </c>
      <c r="E102">
        <v>11</v>
      </c>
      <c r="F102">
        <v>72.86</v>
      </c>
      <c r="G102">
        <v>0</v>
      </c>
      <c r="H102">
        <v>0</v>
      </c>
      <c r="I102">
        <v>0</v>
      </c>
      <c r="J102">
        <v>1</v>
      </c>
      <c r="K102">
        <v>77.56</v>
      </c>
      <c r="L102">
        <v>75.599999999999994</v>
      </c>
    </row>
    <row r="103" spans="1:12" x14ac:dyDescent="0.2">
      <c r="A103" s="4">
        <v>102</v>
      </c>
      <c r="B103" t="s">
        <v>833</v>
      </c>
      <c r="C103">
        <v>76.650000000000006</v>
      </c>
      <c r="D103">
        <v>20</v>
      </c>
      <c r="E103">
        <v>9</v>
      </c>
      <c r="F103">
        <v>71.09</v>
      </c>
      <c r="G103">
        <v>0</v>
      </c>
      <c r="H103">
        <v>0</v>
      </c>
      <c r="I103">
        <v>0</v>
      </c>
      <c r="J103">
        <v>3</v>
      </c>
      <c r="K103">
        <v>78.150000000000006</v>
      </c>
      <c r="L103">
        <v>74.959999999999994</v>
      </c>
    </row>
    <row r="104" spans="1:12" x14ac:dyDescent="0.2">
      <c r="A104" s="4">
        <v>103</v>
      </c>
      <c r="B104" t="s">
        <v>819</v>
      </c>
      <c r="C104">
        <v>76.56</v>
      </c>
      <c r="D104">
        <v>18</v>
      </c>
      <c r="E104">
        <v>11</v>
      </c>
      <c r="F104">
        <v>73</v>
      </c>
      <c r="G104">
        <v>0</v>
      </c>
      <c r="H104">
        <v>0</v>
      </c>
      <c r="I104">
        <v>0</v>
      </c>
      <c r="J104">
        <v>1</v>
      </c>
      <c r="K104">
        <v>76.180000000000007</v>
      </c>
      <c r="L104">
        <v>76.66</v>
      </c>
    </row>
    <row r="105" spans="1:12" x14ac:dyDescent="0.2">
      <c r="A105" s="4">
        <v>104</v>
      </c>
      <c r="B105" t="s">
        <v>823</v>
      </c>
      <c r="C105">
        <v>76.41</v>
      </c>
      <c r="D105">
        <v>18</v>
      </c>
      <c r="E105">
        <v>10</v>
      </c>
      <c r="F105">
        <v>72.8</v>
      </c>
      <c r="G105">
        <v>0</v>
      </c>
      <c r="H105">
        <v>0</v>
      </c>
      <c r="I105">
        <v>0</v>
      </c>
      <c r="J105">
        <v>0</v>
      </c>
      <c r="K105">
        <v>77.599999999999994</v>
      </c>
      <c r="L105">
        <v>74.98</v>
      </c>
    </row>
    <row r="106" spans="1:12" x14ac:dyDescent="0.2">
      <c r="A106" s="4">
        <v>105</v>
      </c>
      <c r="B106" t="s">
        <v>61</v>
      </c>
      <c r="C106">
        <v>76.349999999999994</v>
      </c>
      <c r="D106">
        <v>15</v>
      </c>
      <c r="E106">
        <v>14</v>
      </c>
      <c r="F106">
        <v>75.31</v>
      </c>
      <c r="G106">
        <v>0</v>
      </c>
      <c r="H106">
        <v>0</v>
      </c>
      <c r="I106">
        <v>0</v>
      </c>
      <c r="J106">
        <v>3</v>
      </c>
      <c r="K106">
        <v>76.290000000000006</v>
      </c>
      <c r="L106">
        <v>76.11</v>
      </c>
    </row>
    <row r="107" spans="1:12" x14ac:dyDescent="0.2">
      <c r="A107" s="4">
        <v>106</v>
      </c>
      <c r="B107" t="s">
        <v>302</v>
      </c>
      <c r="C107">
        <v>76.31</v>
      </c>
      <c r="D107">
        <v>14</v>
      </c>
      <c r="E107">
        <v>13</v>
      </c>
      <c r="F107">
        <v>74.78</v>
      </c>
      <c r="G107">
        <v>0</v>
      </c>
      <c r="H107">
        <v>0</v>
      </c>
      <c r="I107">
        <v>0</v>
      </c>
      <c r="J107">
        <v>4</v>
      </c>
      <c r="K107">
        <v>75.41</v>
      </c>
      <c r="L107">
        <v>76.95</v>
      </c>
    </row>
    <row r="108" spans="1:12" x14ac:dyDescent="0.2">
      <c r="A108" s="4">
        <v>107</v>
      </c>
      <c r="B108" t="s">
        <v>118</v>
      </c>
      <c r="C108">
        <v>76.31</v>
      </c>
      <c r="D108">
        <v>19</v>
      </c>
      <c r="E108">
        <v>10</v>
      </c>
      <c r="F108">
        <v>72.44</v>
      </c>
      <c r="G108">
        <v>0</v>
      </c>
      <c r="H108">
        <v>0</v>
      </c>
      <c r="I108">
        <v>0</v>
      </c>
      <c r="J108">
        <v>0</v>
      </c>
      <c r="K108">
        <v>77.38</v>
      </c>
      <c r="L108">
        <v>75</v>
      </c>
    </row>
    <row r="109" spans="1:12" x14ac:dyDescent="0.2">
      <c r="A109" s="4">
        <v>108</v>
      </c>
      <c r="B109" t="s">
        <v>551</v>
      </c>
      <c r="C109">
        <v>76.290000000000006</v>
      </c>
      <c r="D109">
        <v>19</v>
      </c>
      <c r="E109">
        <v>11</v>
      </c>
      <c r="F109">
        <v>73.25</v>
      </c>
      <c r="G109">
        <v>0</v>
      </c>
      <c r="H109">
        <v>0</v>
      </c>
      <c r="I109">
        <v>0</v>
      </c>
      <c r="J109">
        <v>2</v>
      </c>
      <c r="K109">
        <v>76.650000000000006</v>
      </c>
      <c r="L109">
        <v>75.64</v>
      </c>
    </row>
    <row r="110" spans="1:12" x14ac:dyDescent="0.2">
      <c r="A110" s="4">
        <v>109</v>
      </c>
      <c r="B110" t="s">
        <v>253</v>
      </c>
      <c r="C110">
        <v>76.2</v>
      </c>
      <c r="D110">
        <v>25</v>
      </c>
      <c r="E110">
        <v>7</v>
      </c>
      <c r="F110">
        <v>67.56</v>
      </c>
      <c r="G110">
        <v>0</v>
      </c>
      <c r="H110">
        <v>0</v>
      </c>
      <c r="I110">
        <v>0</v>
      </c>
      <c r="J110">
        <v>1</v>
      </c>
      <c r="K110">
        <v>76.94</v>
      </c>
      <c r="L110">
        <v>75.2</v>
      </c>
    </row>
    <row r="111" spans="1:12" x14ac:dyDescent="0.2">
      <c r="A111" s="4">
        <v>110</v>
      </c>
      <c r="B111" t="s">
        <v>784</v>
      </c>
      <c r="C111">
        <v>76.09</v>
      </c>
      <c r="D111">
        <v>21</v>
      </c>
      <c r="E111">
        <v>11</v>
      </c>
      <c r="F111">
        <v>72.22</v>
      </c>
      <c r="G111">
        <v>0</v>
      </c>
      <c r="H111">
        <v>0</v>
      </c>
      <c r="I111">
        <v>0</v>
      </c>
      <c r="J111">
        <v>0</v>
      </c>
      <c r="K111">
        <v>77.209999999999994</v>
      </c>
      <c r="L111">
        <v>74.73</v>
      </c>
    </row>
    <row r="112" spans="1:12" x14ac:dyDescent="0.2">
      <c r="A112" s="4">
        <v>111</v>
      </c>
      <c r="B112" t="s">
        <v>48</v>
      </c>
      <c r="C112">
        <v>76</v>
      </c>
      <c r="D112">
        <v>11</v>
      </c>
      <c r="E112">
        <v>18</v>
      </c>
      <c r="F112">
        <v>78.150000000000006</v>
      </c>
      <c r="G112">
        <v>0</v>
      </c>
      <c r="H112">
        <v>3</v>
      </c>
      <c r="I112">
        <v>0</v>
      </c>
      <c r="J112">
        <v>6</v>
      </c>
      <c r="K112">
        <v>74.180000000000007</v>
      </c>
      <c r="L112">
        <v>77.61</v>
      </c>
    </row>
    <row r="113" spans="1:12" x14ac:dyDescent="0.2">
      <c r="A113" s="4">
        <v>112</v>
      </c>
      <c r="B113" t="s">
        <v>110</v>
      </c>
      <c r="C113">
        <v>75.959999999999994</v>
      </c>
      <c r="D113">
        <v>13</v>
      </c>
      <c r="E113">
        <v>15</v>
      </c>
      <c r="F113">
        <v>77.209999999999994</v>
      </c>
      <c r="G113">
        <v>0</v>
      </c>
      <c r="H113">
        <v>1</v>
      </c>
      <c r="I113">
        <v>0</v>
      </c>
      <c r="J113">
        <v>4</v>
      </c>
      <c r="K113">
        <v>76.099999999999994</v>
      </c>
      <c r="L113">
        <v>75.53</v>
      </c>
    </row>
    <row r="114" spans="1:12" x14ac:dyDescent="0.2">
      <c r="A114" s="4">
        <v>113</v>
      </c>
      <c r="B114" t="s">
        <v>249</v>
      </c>
      <c r="C114">
        <v>75.94</v>
      </c>
      <c r="D114">
        <v>13</v>
      </c>
      <c r="E114">
        <v>13</v>
      </c>
      <c r="F114">
        <v>74.17</v>
      </c>
      <c r="G114">
        <v>0</v>
      </c>
      <c r="H114">
        <v>0</v>
      </c>
      <c r="I114">
        <v>0</v>
      </c>
      <c r="J114">
        <v>0</v>
      </c>
      <c r="K114">
        <v>73.72</v>
      </c>
      <c r="L114">
        <v>78</v>
      </c>
    </row>
    <row r="115" spans="1:12" x14ac:dyDescent="0.2">
      <c r="A115" s="4">
        <v>114</v>
      </c>
      <c r="B115" t="s">
        <v>165</v>
      </c>
      <c r="C115">
        <v>75.87</v>
      </c>
      <c r="D115">
        <v>13</v>
      </c>
      <c r="E115">
        <v>16</v>
      </c>
      <c r="F115">
        <v>77.209999999999994</v>
      </c>
      <c r="G115">
        <v>1</v>
      </c>
      <c r="H115">
        <v>0</v>
      </c>
      <c r="I115">
        <v>2</v>
      </c>
      <c r="J115">
        <v>4</v>
      </c>
      <c r="K115">
        <v>76</v>
      </c>
      <c r="L115">
        <v>75.44</v>
      </c>
    </row>
    <row r="116" spans="1:12" x14ac:dyDescent="0.2">
      <c r="A116" s="4">
        <v>115</v>
      </c>
      <c r="B116" t="s">
        <v>849</v>
      </c>
      <c r="C116">
        <v>75.8</v>
      </c>
      <c r="D116">
        <v>27</v>
      </c>
      <c r="E116">
        <v>5</v>
      </c>
      <c r="F116">
        <v>65.5</v>
      </c>
      <c r="G116">
        <v>0</v>
      </c>
      <c r="H116">
        <v>1</v>
      </c>
      <c r="I116">
        <v>0</v>
      </c>
      <c r="J116">
        <v>2</v>
      </c>
      <c r="K116">
        <v>78.44</v>
      </c>
      <c r="L116">
        <v>73.08</v>
      </c>
    </row>
    <row r="117" spans="1:12" x14ac:dyDescent="0.2">
      <c r="A117" s="4">
        <v>116</v>
      </c>
      <c r="B117" t="s">
        <v>120</v>
      </c>
      <c r="C117">
        <v>75.77</v>
      </c>
      <c r="D117">
        <v>13</v>
      </c>
      <c r="E117">
        <v>15</v>
      </c>
      <c r="F117">
        <v>76.63</v>
      </c>
      <c r="G117">
        <v>0</v>
      </c>
      <c r="H117">
        <v>3</v>
      </c>
      <c r="I117">
        <v>1</v>
      </c>
      <c r="J117">
        <v>5</v>
      </c>
      <c r="K117">
        <v>75.19</v>
      </c>
      <c r="L117">
        <v>76.06</v>
      </c>
    </row>
    <row r="118" spans="1:12" x14ac:dyDescent="0.2">
      <c r="A118" s="4">
        <v>117</v>
      </c>
      <c r="B118" t="s">
        <v>552</v>
      </c>
      <c r="C118">
        <v>75.69</v>
      </c>
      <c r="D118">
        <v>16</v>
      </c>
      <c r="E118">
        <v>11</v>
      </c>
      <c r="F118">
        <v>71.59</v>
      </c>
      <c r="G118">
        <v>0</v>
      </c>
      <c r="H118">
        <v>0</v>
      </c>
      <c r="I118">
        <v>0</v>
      </c>
      <c r="J118">
        <v>1</v>
      </c>
      <c r="K118">
        <v>74.260000000000005</v>
      </c>
      <c r="L118">
        <v>76.88</v>
      </c>
    </row>
    <row r="119" spans="1:12" x14ac:dyDescent="0.2">
      <c r="A119" s="4">
        <v>118</v>
      </c>
      <c r="B119" t="s">
        <v>221</v>
      </c>
      <c r="C119">
        <v>75.62</v>
      </c>
      <c r="D119">
        <v>18</v>
      </c>
      <c r="E119">
        <v>14</v>
      </c>
      <c r="F119">
        <v>74.45</v>
      </c>
      <c r="G119">
        <v>0</v>
      </c>
      <c r="H119">
        <v>1</v>
      </c>
      <c r="I119">
        <v>0</v>
      </c>
      <c r="J119">
        <v>2</v>
      </c>
      <c r="K119">
        <v>75.25</v>
      </c>
      <c r="L119">
        <v>75.7</v>
      </c>
    </row>
    <row r="120" spans="1:12" x14ac:dyDescent="0.2">
      <c r="A120" s="4">
        <v>119</v>
      </c>
      <c r="B120" t="s">
        <v>812</v>
      </c>
      <c r="C120">
        <v>75.52</v>
      </c>
      <c r="D120">
        <v>10</v>
      </c>
      <c r="E120">
        <v>17</v>
      </c>
      <c r="F120">
        <v>78.67</v>
      </c>
      <c r="G120">
        <v>0</v>
      </c>
      <c r="H120">
        <v>4</v>
      </c>
      <c r="I120">
        <v>0</v>
      </c>
      <c r="J120">
        <v>11</v>
      </c>
      <c r="K120">
        <v>74.75</v>
      </c>
      <c r="L120">
        <v>76</v>
      </c>
    </row>
    <row r="121" spans="1:12" x14ac:dyDescent="0.2">
      <c r="A121" s="4">
        <v>120</v>
      </c>
      <c r="B121" t="s">
        <v>802</v>
      </c>
      <c r="C121">
        <v>75.510000000000005</v>
      </c>
      <c r="D121">
        <v>13</v>
      </c>
      <c r="E121">
        <v>16</v>
      </c>
      <c r="F121">
        <v>77.36</v>
      </c>
      <c r="G121">
        <v>0</v>
      </c>
      <c r="H121">
        <v>4</v>
      </c>
      <c r="I121">
        <v>2</v>
      </c>
      <c r="J121">
        <v>5</v>
      </c>
      <c r="K121">
        <v>74.989999999999995</v>
      </c>
      <c r="L121">
        <v>75.739999999999995</v>
      </c>
    </row>
    <row r="122" spans="1:12" x14ac:dyDescent="0.2">
      <c r="A122" s="4">
        <v>121</v>
      </c>
      <c r="B122" t="s">
        <v>8</v>
      </c>
      <c r="C122">
        <v>75.48</v>
      </c>
      <c r="D122">
        <v>12</v>
      </c>
      <c r="E122">
        <v>16</v>
      </c>
      <c r="F122">
        <v>76.66</v>
      </c>
      <c r="G122">
        <v>0</v>
      </c>
      <c r="H122">
        <v>3</v>
      </c>
      <c r="I122">
        <v>0</v>
      </c>
      <c r="J122">
        <v>9</v>
      </c>
      <c r="K122">
        <v>73.59</v>
      </c>
      <c r="L122">
        <v>77.150000000000006</v>
      </c>
    </row>
    <row r="123" spans="1:12" x14ac:dyDescent="0.2">
      <c r="A123" s="4">
        <v>122</v>
      </c>
      <c r="B123" t="s">
        <v>818</v>
      </c>
      <c r="C123">
        <v>75.430000000000007</v>
      </c>
      <c r="D123">
        <v>17</v>
      </c>
      <c r="E123">
        <v>14</v>
      </c>
      <c r="F123">
        <v>75.209999999999994</v>
      </c>
      <c r="G123">
        <v>0</v>
      </c>
      <c r="H123">
        <v>1</v>
      </c>
      <c r="I123">
        <v>0</v>
      </c>
      <c r="J123">
        <v>3</v>
      </c>
      <c r="K123">
        <v>76.44</v>
      </c>
      <c r="L123">
        <v>74.16</v>
      </c>
    </row>
    <row r="124" spans="1:12" x14ac:dyDescent="0.2">
      <c r="A124" s="4">
        <v>123</v>
      </c>
      <c r="B124" t="s">
        <v>66</v>
      </c>
      <c r="C124">
        <v>75.37</v>
      </c>
      <c r="D124">
        <v>13</v>
      </c>
      <c r="E124">
        <v>17</v>
      </c>
      <c r="F124">
        <v>75.25</v>
      </c>
      <c r="G124">
        <v>0</v>
      </c>
      <c r="H124">
        <v>0</v>
      </c>
      <c r="I124">
        <v>0</v>
      </c>
      <c r="J124">
        <v>1</v>
      </c>
      <c r="K124">
        <v>73.680000000000007</v>
      </c>
      <c r="L124">
        <v>76.83</v>
      </c>
    </row>
    <row r="125" spans="1:12" x14ac:dyDescent="0.2">
      <c r="A125" s="4">
        <v>124</v>
      </c>
      <c r="B125" t="s">
        <v>793</v>
      </c>
      <c r="C125">
        <v>75.209999999999994</v>
      </c>
      <c r="D125">
        <v>12</v>
      </c>
      <c r="E125">
        <v>17</v>
      </c>
      <c r="F125">
        <v>77.92</v>
      </c>
      <c r="G125">
        <v>1</v>
      </c>
      <c r="H125">
        <v>5</v>
      </c>
      <c r="I125">
        <v>1</v>
      </c>
      <c r="J125">
        <v>9</v>
      </c>
      <c r="K125">
        <v>74.239999999999995</v>
      </c>
      <c r="L125">
        <v>75.900000000000006</v>
      </c>
    </row>
    <row r="126" spans="1:12" x14ac:dyDescent="0.2">
      <c r="A126" s="4">
        <v>125</v>
      </c>
      <c r="B126" t="s">
        <v>39</v>
      </c>
      <c r="C126">
        <v>75.150000000000006</v>
      </c>
      <c r="D126">
        <v>11</v>
      </c>
      <c r="E126">
        <v>18</v>
      </c>
      <c r="F126">
        <v>78.38</v>
      </c>
      <c r="G126">
        <v>0</v>
      </c>
      <c r="H126">
        <v>4</v>
      </c>
      <c r="I126">
        <v>0</v>
      </c>
      <c r="J126">
        <v>7</v>
      </c>
      <c r="K126">
        <v>74.39</v>
      </c>
      <c r="L126">
        <v>75.62</v>
      </c>
    </row>
    <row r="127" spans="1:12" x14ac:dyDescent="0.2">
      <c r="A127" s="4">
        <v>126</v>
      </c>
      <c r="B127" t="s">
        <v>85</v>
      </c>
      <c r="C127">
        <v>75.14</v>
      </c>
      <c r="D127">
        <v>14</v>
      </c>
      <c r="E127">
        <v>14</v>
      </c>
      <c r="F127">
        <v>74.8</v>
      </c>
      <c r="G127">
        <v>0</v>
      </c>
      <c r="H127">
        <v>0</v>
      </c>
      <c r="I127">
        <v>0</v>
      </c>
      <c r="J127">
        <v>2</v>
      </c>
      <c r="K127">
        <v>74.94</v>
      </c>
      <c r="L127">
        <v>75.06</v>
      </c>
    </row>
    <row r="128" spans="1:12" x14ac:dyDescent="0.2">
      <c r="A128" s="4">
        <v>127</v>
      </c>
      <c r="B128" t="s">
        <v>49</v>
      </c>
      <c r="C128">
        <v>75.13</v>
      </c>
      <c r="D128">
        <v>14</v>
      </c>
      <c r="E128">
        <v>15</v>
      </c>
      <c r="F128">
        <v>75.489999999999995</v>
      </c>
      <c r="G128">
        <v>0</v>
      </c>
      <c r="H128">
        <v>0</v>
      </c>
      <c r="I128">
        <v>0</v>
      </c>
      <c r="J128">
        <v>3</v>
      </c>
      <c r="K128">
        <v>74.510000000000005</v>
      </c>
      <c r="L128">
        <v>75.47</v>
      </c>
    </row>
    <row r="129" spans="1:12" x14ac:dyDescent="0.2">
      <c r="A129" s="4">
        <v>128</v>
      </c>
      <c r="B129" t="s">
        <v>808</v>
      </c>
      <c r="C129">
        <v>75.099999999999994</v>
      </c>
      <c r="D129">
        <v>19</v>
      </c>
      <c r="E129">
        <v>11</v>
      </c>
      <c r="F129">
        <v>71.599999999999994</v>
      </c>
      <c r="G129">
        <v>0</v>
      </c>
      <c r="H129">
        <v>0</v>
      </c>
      <c r="I129">
        <v>1</v>
      </c>
      <c r="J129">
        <v>1</v>
      </c>
      <c r="K129">
        <v>76.319999999999993</v>
      </c>
      <c r="L129">
        <v>73.63</v>
      </c>
    </row>
    <row r="130" spans="1:12" x14ac:dyDescent="0.2">
      <c r="A130" s="4">
        <v>129</v>
      </c>
      <c r="B130" t="s">
        <v>860</v>
      </c>
      <c r="C130">
        <v>75.06</v>
      </c>
      <c r="D130">
        <v>17</v>
      </c>
      <c r="E130">
        <v>15</v>
      </c>
      <c r="F130">
        <v>73.23</v>
      </c>
      <c r="G130">
        <v>0</v>
      </c>
      <c r="H130">
        <v>0</v>
      </c>
      <c r="I130">
        <v>0</v>
      </c>
      <c r="J130">
        <v>1</v>
      </c>
      <c r="K130">
        <v>74.22</v>
      </c>
      <c r="L130">
        <v>75.61</v>
      </c>
    </row>
    <row r="131" spans="1:12" x14ac:dyDescent="0.2">
      <c r="A131" s="4">
        <v>130</v>
      </c>
      <c r="B131" t="s">
        <v>816</v>
      </c>
      <c r="C131">
        <v>74.97</v>
      </c>
      <c r="D131">
        <v>16</v>
      </c>
      <c r="E131">
        <v>11</v>
      </c>
      <c r="F131">
        <v>71.989999999999995</v>
      </c>
      <c r="G131">
        <v>0</v>
      </c>
      <c r="H131">
        <v>0</v>
      </c>
      <c r="I131">
        <v>0</v>
      </c>
      <c r="J131">
        <v>0</v>
      </c>
      <c r="K131">
        <v>75.69</v>
      </c>
      <c r="L131">
        <v>73.98</v>
      </c>
    </row>
    <row r="132" spans="1:12" x14ac:dyDescent="0.2">
      <c r="A132" s="4">
        <v>131</v>
      </c>
      <c r="B132" t="s">
        <v>245</v>
      </c>
      <c r="C132">
        <v>74.88</v>
      </c>
      <c r="D132">
        <v>17</v>
      </c>
      <c r="E132">
        <v>13</v>
      </c>
      <c r="F132">
        <v>73.38</v>
      </c>
      <c r="G132">
        <v>0</v>
      </c>
      <c r="H132">
        <v>1</v>
      </c>
      <c r="I132">
        <v>0</v>
      </c>
      <c r="J132">
        <v>2</v>
      </c>
      <c r="K132">
        <v>75.040000000000006</v>
      </c>
      <c r="L132">
        <v>74.430000000000007</v>
      </c>
    </row>
    <row r="133" spans="1:12" x14ac:dyDescent="0.2">
      <c r="A133" s="4">
        <v>132</v>
      </c>
      <c r="B133" t="s">
        <v>144</v>
      </c>
      <c r="C133">
        <v>74.88</v>
      </c>
      <c r="D133">
        <v>21</v>
      </c>
      <c r="E133">
        <v>10</v>
      </c>
      <c r="F133">
        <v>69.55</v>
      </c>
      <c r="G133">
        <v>0</v>
      </c>
      <c r="H133">
        <v>0</v>
      </c>
      <c r="I133">
        <v>0</v>
      </c>
      <c r="J133">
        <v>0</v>
      </c>
      <c r="K133">
        <v>75.680000000000007</v>
      </c>
      <c r="L133">
        <v>73.790000000000006</v>
      </c>
    </row>
    <row r="134" spans="1:12" x14ac:dyDescent="0.2">
      <c r="A134" s="4">
        <v>133</v>
      </c>
      <c r="B134" t="s">
        <v>873</v>
      </c>
      <c r="C134">
        <v>74.81</v>
      </c>
      <c r="D134">
        <v>13</v>
      </c>
      <c r="E134">
        <v>18</v>
      </c>
      <c r="F134">
        <v>76.930000000000007</v>
      </c>
      <c r="G134">
        <v>0</v>
      </c>
      <c r="H134">
        <v>0</v>
      </c>
      <c r="I134">
        <v>0</v>
      </c>
      <c r="J134">
        <v>5</v>
      </c>
      <c r="K134">
        <v>74.459999999999994</v>
      </c>
      <c r="L134">
        <v>74.86</v>
      </c>
    </row>
    <row r="135" spans="1:12" x14ac:dyDescent="0.2">
      <c r="A135" s="4">
        <v>134</v>
      </c>
      <c r="B135" t="s">
        <v>814</v>
      </c>
      <c r="C135">
        <v>74.75</v>
      </c>
      <c r="D135">
        <v>17</v>
      </c>
      <c r="E135">
        <v>11</v>
      </c>
      <c r="F135">
        <v>71.72</v>
      </c>
      <c r="G135">
        <v>0</v>
      </c>
      <c r="H135">
        <v>1</v>
      </c>
      <c r="I135">
        <v>0</v>
      </c>
      <c r="J135">
        <v>1</v>
      </c>
      <c r="K135">
        <v>74.010000000000005</v>
      </c>
      <c r="L135">
        <v>75.2</v>
      </c>
    </row>
    <row r="136" spans="1:12" x14ac:dyDescent="0.2">
      <c r="A136" s="4">
        <v>135</v>
      </c>
      <c r="B136" t="s">
        <v>178</v>
      </c>
      <c r="C136">
        <v>74.739999999999995</v>
      </c>
      <c r="D136">
        <v>15</v>
      </c>
      <c r="E136">
        <v>17</v>
      </c>
      <c r="F136">
        <v>75.87</v>
      </c>
      <c r="G136">
        <v>0</v>
      </c>
      <c r="H136">
        <v>0</v>
      </c>
      <c r="I136">
        <v>0</v>
      </c>
      <c r="J136">
        <v>2</v>
      </c>
      <c r="K136">
        <v>75.34</v>
      </c>
      <c r="L136">
        <v>73.849999999999994</v>
      </c>
    </row>
    <row r="137" spans="1:12" x14ac:dyDescent="0.2">
      <c r="A137" s="4">
        <v>136</v>
      </c>
      <c r="B137" t="s">
        <v>214</v>
      </c>
      <c r="C137">
        <v>74.64</v>
      </c>
      <c r="D137">
        <v>20</v>
      </c>
      <c r="E137">
        <v>9</v>
      </c>
      <c r="F137">
        <v>68.180000000000007</v>
      </c>
      <c r="G137">
        <v>0</v>
      </c>
      <c r="H137">
        <v>0</v>
      </c>
      <c r="I137">
        <v>0</v>
      </c>
      <c r="J137">
        <v>0</v>
      </c>
      <c r="K137">
        <v>72.73</v>
      </c>
      <c r="L137">
        <v>76.3</v>
      </c>
    </row>
    <row r="138" spans="1:12" x14ac:dyDescent="0.2">
      <c r="A138" s="4">
        <v>137</v>
      </c>
      <c r="B138" t="s">
        <v>200</v>
      </c>
      <c r="C138">
        <v>74.63</v>
      </c>
      <c r="D138">
        <v>14</v>
      </c>
      <c r="E138">
        <v>12</v>
      </c>
      <c r="F138">
        <v>72</v>
      </c>
      <c r="G138">
        <v>0</v>
      </c>
      <c r="H138">
        <v>0</v>
      </c>
      <c r="I138">
        <v>0</v>
      </c>
      <c r="J138">
        <v>1</v>
      </c>
      <c r="K138">
        <v>74.22</v>
      </c>
      <c r="L138">
        <v>74.739999999999995</v>
      </c>
    </row>
    <row r="139" spans="1:12" x14ac:dyDescent="0.2">
      <c r="A139" s="4">
        <v>138</v>
      </c>
      <c r="B139" t="s">
        <v>160</v>
      </c>
      <c r="C139">
        <v>74.62</v>
      </c>
      <c r="D139">
        <v>17</v>
      </c>
      <c r="E139">
        <v>13</v>
      </c>
      <c r="F139">
        <v>70.709999999999994</v>
      </c>
      <c r="G139">
        <v>0</v>
      </c>
      <c r="H139">
        <v>0</v>
      </c>
      <c r="I139">
        <v>0</v>
      </c>
      <c r="J139">
        <v>1</v>
      </c>
      <c r="K139">
        <v>72.13</v>
      </c>
      <c r="L139">
        <v>76.900000000000006</v>
      </c>
    </row>
    <row r="140" spans="1:12" x14ac:dyDescent="0.2">
      <c r="A140" s="4">
        <v>139</v>
      </c>
      <c r="B140" t="s">
        <v>50</v>
      </c>
      <c r="C140">
        <v>74.61</v>
      </c>
      <c r="D140">
        <v>17</v>
      </c>
      <c r="E140">
        <v>13</v>
      </c>
      <c r="F140">
        <v>72.489999999999995</v>
      </c>
      <c r="G140">
        <v>0</v>
      </c>
      <c r="H140">
        <v>1</v>
      </c>
      <c r="I140">
        <v>0</v>
      </c>
      <c r="J140">
        <v>2</v>
      </c>
      <c r="K140">
        <v>73.73</v>
      </c>
      <c r="L140">
        <v>75.209999999999994</v>
      </c>
    </row>
    <row r="141" spans="1:12" x14ac:dyDescent="0.2">
      <c r="A141" s="4">
        <v>140</v>
      </c>
      <c r="B141" t="s">
        <v>810</v>
      </c>
      <c r="C141">
        <v>74.569999999999993</v>
      </c>
      <c r="D141">
        <v>11</v>
      </c>
      <c r="E141">
        <v>18</v>
      </c>
      <c r="F141">
        <v>76.400000000000006</v>
      </c>
      <c r="G141">
        <v>0</v>
      </c>
      <c r="H141">
        <v>0</v>
      </c>
      <c r="I141">
        <v>0</v>
      </c>
      <c r="J141">
        <v>0</v>
      </c>
      <c r="K141">
        <v>73.31</v>
      </c>
      <c r="L141">
        <v>75.55</v>
      </c>
    </row>
    <row r="142" spans="1:12" x14ac:dyDescent="0.2">
      <c r="A142" s="4">
        <v>141</v>
      </c>
      <c r="B142" t="s">
        <v>78</v>
      </c>
      <c r="C142">
        <v>74.45</v>
      </c>
      <c r="D142">
        <v>13</v>
      </c>
      <c r="E142">
        <v>17</v>
      </c>
      <c r="F142">
        <v>76.459999999999994</v>
      </c>
      <c r="G142">
        <v>0</v>
      </c>
      <c r="H142">
        <v>4</v>
      </c>
      <c r="I142">
        <v>1</v>
      </c>
      <c r="J142">
        <v>7</v>
      </c>
      <c r="K142">
        <v>73.5</v>
      </c>
      <c r="L142">
        <v>75.12</v>
      </c>
    </row>
    <row r="143" spans="1:12" x14ac:dyDescent="0.2">
      <c r="A143" s="4">
        <v>142</v>
      </c>
      <c r="B143" t="s">
        <v>124</v>
      </c>
      <c r="C143">
        <v>74.42</v>
      </c>
      <c r="D143">
        <v>15</v>
      </c>
      <c r="E143">
        <v>12</v>
      </c>
      <c r="F143">
        <v>73.58</v>
      </c>
      <c r="G143">
        <v>0</v>
      </c>
      <c r="H143">
        <v>2</v>
      </c>
      <c r="I143">
        <v>0</v>
      </c>
      <c r="J143">
        <v>3</v>
      </c>
      <c r="K143">
        <v>74.89</v>
      </c>
      <c r="L143">
        <v>73.66</v>
      </c>
    </row>
    <row r="144" spans="1:12" x14ac:dyDescent="0.2">
      <c r="A144" s="4">
        <v>143</v>
      </c>
      <c r="B144" t="s">
        <v>93</v>
      </c>
      <c r="C144">
        <v>74.349999999999994</v>
      </c>
      <c r="D144">
        <v>16</v>
      </c>
      <c r="E144">
        <v>14</v>
      </c>
      <c r="F144">
        <v>74.5</v>
      </c>
      <c r="G144">
        <v>0</v>
      </c>
      <c r="H144">
        <v>1</v>
      </c>
      <c r="I144">
        <v>0</v>
      </c>
      <c r="J144">
        <v>3</v>
      </c>
      <c r="K144">
        <v>75.56</v>
      </c>
      <c r="L144">
        <v>72.87</v>
      </c>
    </row>
    <row r="145" spans="1:12" x14ac:dyDescent="0.2">
      <c r="A145" s="4">
        <v>144</v>
      </c>
      <c r="B145" t="s">
        <v>190</v>
      </c>
      <c r="C145">
        <v>74.25</v>
      </c>
      <c r="D145">
        <v>19</v>
      </c>
      <c r="E145">
        <v>9</v>
      </c>
      <c r="F145">
        <v>68.459999999999994</v>
      </c>
      <c r="G145">
        <v>0</v>
      </c>
      <c r="H145">
        <v>0</v>
      </c>
      <c r="I145">
        <v>0</v>
      </c>
      <c r="J145">
        <v>0</v>
      </c>
      <c r="K145">
        <v>72.52</v>
      </c>
      <c r="L145">
        <v>75.72</v>
      </c>
    </row>
    <row r="146" spans="1:12" x14ac:dyDescent="0.2">
      <c r="A146" s="4">
        <v>145</v>
      </c>
      <c r="B146" t="s">
        <v>878</v>
      </c>
      <c r="C146">
        <v>74.17</v>
      </c>
      <c r="D146">
        <v>16</v>
      </c>
      <c r="E146">
        <v>13</v>
      </c>
      <c r="F146">
        <v>72.930000000000007</v>
      </c>
      <c r="G146">
        <v>0</v>
      </c>
      <c r="H146">
        <v>0</v>
      </c>
      <c r="I146">
        <v>0</v>
      </c>
      <c r="J146">
        <v>1</v>
      </c>
      <c r="K146">
        <v>73.72</v>
      </c>
      <c r="L146">
        <v>74.33</v>
      </c>
    </row>
    <row r="147" spans="1:12" x14ac:dyDescent="0.2">
      <c r="A147" s="4">
        <v>146</v>
      </c>
      <c r="B147" t="s">
        <v>795</v>
      </c>
      <c r="C147">
        <v>74.08</v>
      </c>
      <c r="D147">
        <v>12</v>
      </c>
      <c r="E147">
        <v>19</v>
      </c>
      <c r="F147">
        <v>75.7</v>
      </c>
      <c r="G147">
        <v>0</v>
      </c>
      <c r="H147">
        <v>3</v>
      </c>
      <c r="I147">
        <v>0</v>
      </c>
      <c r="J147">
        <v>6</v>
      </c>
      <c r="K147">
        <v>72.23</v>
      </c>
      <c r="L147">
        <v>75.650000000000006</v>
      </c>
    </row>
    <row r="148" spans="1:12" x14ac:dyDescent="0.2">
      <c r="A148" s="4">
        <v>147</v>
      </c>
      <c r="B148" t="s">
        <v>184</v>
      </c>
      <c r="C148">
        <v>74.010000000000005</v>
      </c>
      <c r="D148">
        <v>15</v>
      </c>
      <c r="E148">
        <v>13</v>
      </c>
      <c r="F148">
        <v>74.260000000000005</v>
      </c>
      <c r="G148">
        <v>0</v>
      </c>
      <c r="H148">
        <v>1</v>
      </c>
      <c r="I148">
        <v>0</v>
      </c>
      <c r="J148">
        <v>3</v>
      </c>
      <c r="K148">
        <v>75.28</v>
      </c>
      <c r="L148">
        <v>72.47</v>
      </c>
    </row>
    <row r="149" spans="1:12" x14ac:dyDescent="0.2">
      <c r="A149" s="4">
        <v>148</v>
      </c>
      <c r="B149" t="s">
        <v>800</v>
      </c>
      <c r="C149">
        <v>73.97</v>
      </c>
      <c r="D149">
        <v>18</v>
      </c>
      <c r="E149">
        <v>10</v>
      </c>
      <c r="F149">
        <v>70.37</v>
      </c>
      <c r="G149">
        <v>0</v>
      </c>
      <c r="H149">
        <v>0</v>
      </c>
      <c r="I149">
        <v>0</v>
      </c>
      <c r="J149">
        <v>0</v>
      </c>
      <c r="K149">
        <v>75.5</v>
      </c>
      <c r="L149">
        <v>72.150000000000006</v>
      </c>
    </row>
    <row r="150" spans="1:12" x14ac:dyDescent="0.2">
      <c r="A150" s="4">
        <v>149</v>
      </c>
      <c r="B150" t="s">
        <v>850</v>
      </c>
      <c r="C150">
        <v>73.92</v>
      </c>
      <c r="D150">
        <v>14</v>
      </c>
      <c r="E150">
        <v>12</v>
      </c>
      <c r="F150">
        <v>72.650000000000006</v>
      </c>
      <c r="G150">
        <v>0</v>
      </c>
      <c r="H150">
        <v>0</v>
      </c>
      <c r="I150">
        <v>0</v>
      </c>
      <c r="J150">
        <v>0</v>
      </c>
      <c r="K150">
        <v>73.77</v>
      </c>
      <c r="L150">
        <v>73.78</v>
      </c>
    </row>
    <row r="151" spans="1:12" x14ac:dyDescent="0.2">
      <c r="A151" s="4">
        <v>150</v>
      </c>
      <c r="B151" t="s">
        <v>564</v>
      </c>
      <c r="C151">
        <v>73.900000000000006</v>
      </c>
      <c r="D151">
        <v>19</v>
      </c>
      <c r="E151">
        <v>10</v>
      </c>
      <c r="F151">
        <v>69.099999999999994</v>
      </c>
      <c r="G151">
        <v>0</v>
      </c>
      <c r="H151">
        <v>0</v>
      </c>
      <c r="I151">
        <v>0</v>
      </c>
      <c r="J151">
        <v>0</v>
      </c>
      <c r="K151">
        <v>74.63</v>
      </c>
      <c r="L151">
        <v>72.89</v>
      </c>
    </row>
    <row r="152" spans="1:12" x14ac:dyDescent="0.2">
      <c r="A152" s="4">
        <v>151</v>
      </c>
      <c r="B152" t="s">
        <v>798</v>
      </c>
      <c r="C152">
        <v>73.819999999999993</v>
      </c>
      <c r="D152">
        <v>17</v>
      </c>
      <c r="E152">
        <v>13</v>
      </c>
      <c r="F152">
        <v>72.05</v>
      </c>
      <c r="G152">
        <v>0</v>
      </c>
      <c r="H152">
        <v>0</v>
      </c>
      <c r="I152">
        <v>0</v>
      </c>
      <c r="J152">
        <v>1</v>
      </c>
      <c r="K152">
        <v>73.66</v>
      </c>
      <c r="L152">
        <v>73.69</v>
      </c>
    </row>
    <row r="153" spans="1:12" x14ac:dyDescent="0.2">
      <c r="A153" s="4">
        <v>152</v>
      </c>
      <c r="B153" t="s">
        <v>897</v>
      </c>
      <c r="C153">
        <v>73.8</v>
      </c>
      <c r="D153">
        <v>16</v>
      </c>
      <c r="E153">
        <v>10</v>
      </c>
      <c r="F153">
        <v>70.98</v>
      </c>
      <c r="G153">
        <v>0</v>
      </c>
      <c r="H153">
        <v>0</v>
      </c>
      <c r="I153">
        <v>0</v>
      </c>
      <c r="J153">
        <v>1</v>
      </c>
      <c r="K153">
        <v>74.08</v>
      </c>
      <c r="L153">
        <v>73.239999999999995</v>
      </c>
    </row>
    <row r="154" spans="1:12" x14ac:dyDescent="0.2">
      <c r="A154" s="4">
        <v>153</v>
      </c>
      <c r="B154" t="s">
        <v>36</v>
      </c>
      <c r="C154">
        <v>73.790000000000006</v>
      </c>
      <c r="D154">
        <v>8</v>
      </c>
      <c r="E154">
        <v>20</v>
      </c>
      <c r="F154">
        <v>80.92</v>
      </c>
      <c r="G154">
        <v>0</v>
      </c>
      <c r="H154">
        <v>6</v>
      </c>
      <c r="I154">
        <v>0</v>
      </c>
      <c r="J154">
        <v>12</v>
      </c>
      <c r="K154">
        <v>72.7</v>
      </c>
      <c r="L154">
        <v>74.58</v>
      </c>
    </row>
    <row r="155" spans="1:12" x14ac:dyDescent="0.2">
      <c r="A155" s="4">
        <v>154</v>
      </c>
      <c r="B155" t="s">
        <v>198</v>
      </c>
      <c r="C155">
        <v>73.63</v>
      </c>
      <c r="D155">
        <v>13</v>
      </c>
      <c r="E155">
        <v>12</v>
      </c>
      <c r="F155">
        <v>72.61</v>
      </c>
      <c r="G155">
        <v>0</v>
      </c>
      <c r="H155">
        <v>0</v>
      </c>
      <c r="I155">
        <v>0</v>
      </c>
      <c r="J155">
        <v>1</v>
      </c>
      <c r="K155">
        <v>73.430000000000007</v>
      </c>
      <c r="L155">
        <v>73.55</v>
      </c>
    </row>
    <row r="156" spans="1:12" x14ac:dyDescent="0.2">
      <c r="A156" s="4">
        <v>155</v>
      </c>
      <c r="B156" t="s">
        <v>801</v>
      </c>
      <c r="C156">
        <v>73.599999999999994</v>
      </c>
      <c r="D156">
        <v>15</v>
      </c>
      <c r="E156">
        <v>15</v>
      </c>
      <c r="F156">
        <v>73.430000000000007</v>
      </c>
      <c r="G156">
        <v>0</v>
      </c>
      <c r="H156">
        <v>0</v>
      </c>
      <c r="I156">
        <v>0</v>
      </c>
      <c r="J156">
        <v>2</v>
      </c>
      <c r="K156">
        <v>73.09</v>
      </c>
      <c r="L156">
        <v>73.81</v>
      </c>
    </row>
    <row r="157" spans="1:12" x14ac:dyDescent="0.2">
      <c r="A157" s="4">
        <v>156</v>
      </c>
      <c r="B157" t="s">
        <v>890</v>
      </c>
      <c r="C157">
        <v>73.44</v>
      </c>
      <c r="D157">
        <v>19</v>
      </c>
      <c r="E157">
        <v>12</v>
      </c>
      <c r="F157">
        <v>72.09</v>
      </c>
      <c r="G157">
        <v>0</v>
      </c>
      <c r="H157">
        <v>1</v>
      </c>
      <c r="I157">
        <v>0</v>
      </c>
      <c r="J157">
        <v>2</v>
      </c>
      <c r="K157">
        <v>76.27</v>
      </c>
      <c r="L157">
        <v>70.31</v>
      </c>
    </row>
    <row r="158" spans="1:12" x14ac:dyDescent="0.2">
      <c r="A158" s="4">
        <v>157</v>
      </c>
      <c r="B158" t="s">
        <v>874</v>
      </c>
      <c r="C158">
        <v>73.42</v>
      </c>
      <c r="D158">
        <v>16</v>
      </c>
      <c r="E158">
        <v>12</v>
      </c>
      <c r="F158">
        <v>69.73</v>
      </c>
      <c r="G158">
        <v>0</v>
      </c>
      <c r="H158">
        <v>0</v>
      </c>
      <c r="I158">
        <v>0</v>
      </c>
      <c r="J158">
        <v>0</v>
      </c>
      <c r="K158">
        <v>73.03</v>
      </c>
      <c r="L158">
        <v>73.510000000000005</v>
      </c>
    </row>
    <row r="159" spans="1:12" x14ac:dyDescent="0.2">
      <c r="A159" s="4">
        <v>158</v>
      </c>
      <c r="B159" t="s">
        <v>187</v>
      </c>
      <c r="C159">
        <v>73.19</v>
      </c>
      <c r="D159">
        <v>12</v>
      </c>
      <c r="E159">
        <v>16</v>
      </c>
      <c r="F159">
        <v>76.61</v>
      </c>
      <c r="G159">
        <v>0</v>
      </c>
      <c r="H159">
        <v>0</v>
      </c>
      <c r="I159">
        <v>0</v>
      </c>
      <c r="J159">
        <v>3</v>
      </c>
      <c r="K159">
        <v>75.03</v>
      </c>
      <c r="L159">
        <v>71.03</v>
      </c>
    </row>
    <row r="160" spans="1:12" x14ac:dyDescent="0.2">
      <c r="A160" s="4">
        <v>159</v>
      </c>
      <c r="B160" t="s">
        <v>181</v>
      </c>
      <c r="C160">
        <v>73.11</v>
      </c>
      <c r="D160">
        <v>13</v>
      </c>
      <c r="E160">
        <v>15</v>
      </c>
      <c r="F160">
        <v>75.010000000000005</v>
      </c>
      <c r="G160">
        <v>0</v>
      </c>
      <c r="H160">
        <v>0</v>
      </c>
      <c r="I160">
        <v>0</v>
      </c>
      <c r="J160">
        <v>4</v>
      </c>
      <c r="K160">
        <v>73.59</v>
      </c>
      <c r="L160">
        <v>72.33</v>
      </c>
    </row>
    <row r="161" spans="1:12" x14ac:dyDescent="0.2">
      <c r="A161" s="4">
        <v>160</v>
      </c>
      <c r="B161" t="s">
        <v>150</v>
      </c>
      <c r="C161">
        <v>73.040000000000006</v>
      </c>
      <c r="D161">
        <v>14</v>
      </c>
      <c r="E161">
        <v>16</v>
      </c>
      <c r="F161">
        <v>73.569999999999993</v>
      </c>
      <c r="G161">
        <v>0</v>
      </c>
      <c r="H161">
        <v>0</v>
      </c>
      <c r="I161">
        <v>0</v>
      </c>
      <c r="J161">
        <v>0</v>
      </c>
      <c r="K161">
        <v>73.11</v>
      </c>
      <c r="L161">
        <v>72.67</v>
      </c>
    </row>
    <row r="162" spans="1:12" x14ac:dyDescent="0.2">
      <c r="A162" s="4">
        <v>161</v>
      </c>
      <c r="B162" t="s">
        <v>102</v>
      </c>
      <c r="C162">
        <v>73.03</v>
      </c>
      <c r="D162">
        <v>14</v>
      </c>
      <c r="E162">
        <v>15</v>
      </c>
      <c r="F162">
        <v>74.319999999999993</v>
      </c>
      <c r="G162">
        <v>0</v>
      </c>
      <c r="H162">
        <v>0</v>
      </c>
      <c r="I162">
        <v>0</v>
      </c>
      <c r="J162">
        <v>0</v>
      </c>
      <c r="K162">
        <v>73.36</v>
      </c>
      <c r="L162">
        <v>72.400000000000006</v>
      </c>
    </row>
    <row r="163" spans="1:12" x14ac:dyDescent="0.2">
      <c r="A163" s="4">
        <v>162</v>
      </c>
      <c r="B163" t="s">
        <v>41</v>
      </c>
      <c r="C163">
        <v>73</v>
      </c>
      <c r="D163">
        <v>10</v>
      </c>
      <c r="E163">
        <v>18</v>
      </c>
      <c r="F163">
        <v>75.73</v>
      </c>
      <c r="G163">
        <v>0</v>
      </c>
      <c r="H163">
        <v>0</v>
      </c>
      <c r="I163">
        <v>0</v>
      </c>
      <c r="J163">
        <v>2</v>
      </c>
      <c r="K163">
        <v>71.3</v>
      </c>
      <c r="L163">
        <v>74.39</v>
      </c>
    </row>
    <row r="164" spans="1:12" x14ac:dyDescent="0.2">
      <c r="A164" s="4">
        <v>163</v>
      </c>
      <c r="B164" t="s">
        <v>95</v>
      </c>
      <c r="C164">
        <v>72.94</v>
      </c>
      <c r="D164">
        <v>13</v>
      </c>
      <c r="E164">
        <v>14</v>
      </c>
      <c r="F164">
        <v>73.81</v>
      </c>
      <c r="G164">
        <v>0</v>
      </c>
      <c r="H164">
        <v>0</v>
      </c>
      <c r="I164">
        <v>0</v>
      </c>
      <c r="J164">
        <v>1</v>
      </c>
      <c r="K164">
        <v>73.56</v>
      </c>
      <c r="L164">
        <v>72.02</v>
      </c>
    </row>
    <row r="165" spans="1:12" x14ac:dyDescent="0.2">
      <c r="A165" s="4">
        <v>164</v>
      </c>
      <c r="B165" t="s">
        <v>148</v>
      </c>
      <c r="C165">
        <v>72.8</v>
      </c>
      <c r="D165">
        <v>18</v>
      </c>
      <c r="E165">
        <v>12</v>
      </c>
      <c r="F165">
        <v>70.8</v>
      </c>
      <c r="G165">
        <v>0</v>
      </c>
      <c r="H165">
        <v>0</v>
      </c>
      <c r="I165">
        <v>0</v>
      </c>
      <c r="J165">
        <v>1</v>
      </c>
      <c r="K165">
        <v>74.319999999999993</v>
      </c>
      <c r="L165">
        <v>70.959999999999994</v>
      </c>
    </row>
    <row r="166" spans="1:12" x14ac:dyDescent="0.2">
      <c r="A166" s="4">
        <v>165</v>
      </c>
      <c r="B166" t="s">
        <v>291</v>
      </c>
      <c r="C166">
        <v>72.69</v>
      </c>
      <c r="D166">
        <v>13</v>
      </c>
      <c r="E166">
        <v>8</v>
      </c>
      <c r="F166">
        <v>69.94</v>
      </c>
      <c r="G166">
        <v>0</v>
      </c>
      <c r="H166">
        <v>0</v>
      </c>
      <c r="I166">
        <v>0</v>
      </c>
      <c r="J166">
        <v>0</v>
      </c>
      <c r="K166">
        <v>74.2</v>
      </c>
      <c r="L166">
        <v>70.849999999999994</v>
      </c>
    </row>
    <row r="167" spans="1:12" x14ac:dyDescent="0.2">
      <c r="A167" s="4">
        <v>166</v>
      </c>
      <c r="B167" t="s">
        <v>83</v>
      </c>
      <c r="C167">
        <v>72.540000000000006</v>
      </c>
      <c r="D167">
        <v>13</v>
      </c>
      <c r="E167">
        <v>14</v>
      </c>
      <c r="F167">
        <v>73.44</v>
      </c>
      <c r="G167">
        <v>0</v>
      </c>
      <c r="H167">
        <v>0</v>
      </c>
      <c r="I167">
        <v>0</v>
      </c>
      <c r="J167">
        <v>1</v>
      </c>
      <c r="K167">
        <v>72.19</v>
      </c>
      <c r="L167">
        <v>72.59</v>
      </c>
    </row>
    <row r="168" spans="1:12" x14ac:dyDescent="0.2">
      <c r="A168" s="4">
        <v>167</v>
      </c>
      <c r="B168" t="s">
        <v>820</v>
      </c>
      <c r="C168">
        <v>72.53</v>
      </c>
      <c r="D168">
        <v>15</v>
      </c>
      <c r="E168">
        <v>11</v>
      </c>
      <c r="F168">
        <v>71.12</v>
      </c>
      <c r="G168">
        <v>0</v>
      </c>
      <c r="H168">
        <v>0</v>
      </c>
      <c r="I168">
        <v>0</v>
      </c>
      <c r="J168">
        <v>1</v>
      </c>
      <c r="K168">
        <v>72.62</v>
      </c>
      <c r="L168">
        <v>72.16</v>
      </c>
    </row>
    <row r="169" spans="1:12" x14ac:dyDescent="0.2">
      <c r="A169" s="4">
        <v>168</v>
      </c>
      <c r="B169" t="s">
        <v>815</v>
      </c>
      <c r="C169">
        <v>72.48</v>
      </c>
      <c r="D169">
        <v>13</v>
      </c>
      <c r="E169">
        <v>16</v>
      </c>
      <c r="F169">
        <v>71.81</v>
      </c>
      <c r="G169">
        <v>0</v>
      </c>
      <c r="H169">
        <v>0</v>
      </c>
      <c r="I169">
        <v>0</v>
      </c>
      <c r="J169">
        <v>2</v>
      </c>
      <c r="K169">
        <v>69.48</v>
      </c>
      <c r="L169">
        <v>75.09</v>
      </c>
    </row>
    <row r="170" spans="1:12" x14ac:dyDescent="0.2">
      <c r="A170" s="4">
        <v>169</v>
      </c>
      <c r="B170" t="s">
        <v>797</v>
      </c>
      <c r="C170">
        <v>72.45</v>
      </c>
      <c r="D170">
        <v>12</v>
      </c>
      <c r="E170">
        <v>17</v>
      </c>
      <c r="F170">
        <v>75.569999999999993</v>
      </c>
      <c r="G170">
        <v>0</v>
      </c>
      <c r="H170">
        <v>0</v>
      </c>
      <c r="I170">
        <v>0</v>
      </c>
      <c r="J170">
        <v>3</v>
      </c>
      <c r="K170">
        <v>73.02</v>
      </c>
      <c r="L170">
        <v>71.59</v>
      </c>
    </row>
    <row r="171" spans="1:12" x14ac:dyDescent="0.2">
      <c r="A171" s="4">
        <v>170</v>
      </c>
      <c r="B171" t="s">
        <v>47</v>
      </c>
      <c r="C171">
        <v>72.45</v>
      </c>
      <c r="D171">
        <v>12</v>
      </c>
      <c r="E171">
        <v>15</v>
      </c>
      <c r="F171">
        <v>74.03</v>
      </c>
      <c r="G171">
        <v>0</v>
      </c>
      <c r="H171">
        <v>0</v>
      </c>
      <c r="I171">
        <v>0</v>
      </c>
      <c r="J171">
        <v>3</v>
      </c>
      <c r="K171">
        <v>71.760000000000005</v>
      </c>
      <c r="L171">
        <v>72.849999999999994</v>
      </c>
    </row>
    <row r="172" spans="1:12" x14ac:dyDescent="0.2">
      <c r="A172" s="4">
        <v>171</v>
      </c>
      <c r="B172" t="s">
        <v>162</v>
      </c>
      <c r="C172">
        <v>72.349999999999994</v>
      </c>
      <c r="D172">
        <v>14</v>
      </c>
      <c r="E172">
        <v>14</v>
      </c>
      <c r="F172">
        <v>72.400000000000006</v>
      </c>
      <c r="G172">
        <v>0</v>
      </c>
      <c r="H172">
        <v>0</v>
      </c>
      <c r="I172">
        <v>0</v>
      </c>
      <c r="J172">
        <v>0</v>
      </c>
      <c r="K172">
        <v>72.61</v>
      </c>
      <c r="L172">
        <v>71.790000000000006</v>
      </c>
    </row>
    <row r="173" spans="1:12" x14ac:dyDescent="0.2">
      <c r="A173" s="4">
        <v>172</v>
      </c>
      <c r="B173" t="s">
        <v>91</v>
      </c>
      <c r="C173">
        <v>72.34</v>
      </c>
      <c r="D173">
        <v>14</v>
      </c>
      <c r="E173">
        <v>15</v>
      </c>
      <c r="F173">
        <v>73.099999999999994</v>
      </c>
      <c r="G173">
        <v>0</v>
      </c>
      <c r="H173">
        <v>0</v>
      </c>
      <c r="I173">
        <v>0</v>
      </c>
      <c r="J173">
        <v>0</v>
      </c>
      <c r="K173">
        <v>72.510000000000005</v>
      </c>
      <c r="L173">
        <v>71.88</v>
      </c>
    </row>
    <row r="174" spans="1:12" x14ac:dyDescent="0.2">
      <c r="A174" s="4">
        <v>173</v>
      </c>
      <c r="B174" t="s">
        <v>216</v>
      </c>
      <c r="C174">
        <v>72.34</v>
      </c>
      <c r="D174">
        <v>9</v>
      </c>
      <c r="E174">
        <v>19</v>
      </c>
      <c r="F174">
        <v>76.86</v>
      </c>
      <c r="G174">
        <v>0</v>
      </c>
      <c r="H174">
        <v>0</v>
      </c>
      <c r="I174">
        <v>0</v>
      </c>
      <c r="J174">
        <v>0</v>
      </c>
      <c r="K174">
        <v>71.47</v>
      </c>
      <c r="L174">
        <v>72.91</v>
      </c>
    </row>
    <row r="175" spans="1:12" x14ac:dyDescent="0.2">
      <c r="A175" s="4">
        <v>174</v>
      </c>
      <c r="B175" t="s">
        <v>248</v>
      </c>
      <c r="C175">
        <v>72.27</v>
      </c>
      <c r="D175">
        <v>11</v>
      </c>
      <c r="E175">
        <v>16</v>
      </c>
      <c r="F175">
        <v>74.98</v>
      </c>
      <c r="G175">
        <v>0</v>
      </c>
      <c r="H175">
        <v>0</v>
      </c>
      <c r="I175">
        <v>0</v>
      </c>
      <c r="J175">
        <v>0</v>
      </c>
      <c r="K175">
        <v>72.260000000000005</v>
      </c>
      <c r="L175">
        <v>71.98</v>
      </c>
    </row>
    <row r="176" spans="1:12" x14ac:dyDescent="0.2">
      <c r="A176" s="4">
        <v>175</v>
      </c>
      <c r="B176" t="s">
        <v>558</v>
      </c>
      <c r="C176">
        <v>72.27</v>
      </c>
      <c r="D176">
        <v>17</v>
      </c>
      <c r="E176">
        <v>11</v>
      </c>
      <c r="F176">
        <v>69.989999999999995</v>
      </c>
      <c r="G176">
        <v>0</v>
      </c>
      <c r="H176">
        <v>1</v>
      </c>
      <c r="I176">
        <v>0</v>
      </c>
      <c r="J176">
        <v>2</v>
      </c>
      <c r="K176">
        <v>71.790000000000006</v>
      </c>
      <c r="L176">
        <v>72.45</v>
      </c>
    </row>
    <row r="177" spans="1:12" x14ac:dyDescent="0.2">
      <c r="A177" s="4">
        <v>176</v>
      </c>
      <c r="B177" t="s">
        <v>296</v>
      </c>
      <c r="C177">
        <v>72.239999999999995</v>
      </c>
      <c r="D177">
        <v>16</v>
      </c>
      <c r="E177">
        <v>12</v>
      </c>
      <c r="F177">
        <v>69.61</v>
      </c>
      <c r="G177">
        <v>0</v>
      </c>
      <c r="H177">
        <v>0</v>
      </c>
      <c r="I177">
        <v>0</v>
      </c>
      <c r="J177">
        <v>1</v>
      </c>
      <c r="K177">
        <v>72.680000000000007</v>
      </c>
      <c r="L177">
        <v>71.5</v>
      </c>
    </row>
    <row r="178" spans="1:12" x14ac:dyDescent="0.2">
      <c r="A178" s="4">
        <v>177</v>
      </c>
      <c r="B178" t="s">
        <v>289</v>
      </c>
      <c r="C178">
        <v>72.17</v>
      </c>
      <c r="D178">
        <v>15</v>
      </c>
      <c r="E178">
        <v>14</v>
      </c>
      <c r="F178">
        <v>72.239999999999995</v>
      </c>
      <c r="G178">
        <v>0</v>
      </c>
      <c r="H178">
        <v>0</v>
      </c>
      <c r="I178">
        <v>0</v>
      </c>
      <c r="J178">
        <v>2</v>
      </c>
      <c r="K178">
        <v>73.19</v>
      </c>
      <c r="L178">
        <v>70.83</v>
      </c>
    </row>
    <row r="179" spans="1:12" x14ac:dyDescent="0.2">
      <c r="A179" s="4">
        <v>178</v>
      </c>
      <c r="B179" t="s">
        <v>275</v>
      </c>
      <c r="C179">
        <v>72.12</v>
      </c>
      <c r="D179">
        <v>10</v>
      </c>
      <c r="E179">
        <v>18</v>
      </c>
      <c r="F179">
        <v>77.569999999999993</v>
      </c>
      <c r="G179">
        <v>0</v>
      </c>
      <c r="H179">
        <v>2</v>
      </c>
      <c r="I179">
        <v>1</v>
      </c>
      <c r="J179">
        <v>4</v>
      </c>
      <c r="K179">
        <v>72.39</v>
      </c>
      <c r="L179">
        <v>71.56</v>
      </c>
    </row>
    <row r="180" spans="1:12" x14ac:dyDescent="0.2">
      <c r="A180" s="4">
        <v>179</v>
      </c>
      <c r="B180" t="s">
        <v>839</v>
      </c>
      <c r="C180">
        <v>72.010000000000005</v>
      </c>
      <c r="D180">
        <v>12</v>
      </c>
      <c r="E180">
        <v>17</v>
      </c>
      <c r="F180">
        <v>74.400000000000006</v>
      </c>
      <c r="G180">
        <v>0</v>
      </c>
      <c r="H180">
        <v>1</v>
      </c>
      <c r="I180">
        <v>0</v>
      </c>
      <c r="J180">
        <v>3</v>
      </c>
      <c r="K180">
        <v>71.53</v>
      </c>
      <c r="L180">
        <v>72.209999999999994</v>
      </c>
    </row>
    <row r="181" spans="1:12" x14ac:dyDescent="0.2">
      <c r="A181" s="4">
        <v>180</v>
      </c>
      <c r="B181" t="s">
        <v>280</v>
      </c>
      <c r="C181">
        <v>71.959999999999994</v>
      </c>
      <c r="D181">
        <v>13</v>
      </c>
      <c r="E181">
        <v>16</v>
      </c>
      <c r="F181">
        <v>72.47</v>
      </c>
      <c r="G181">
        <v>0</v>
      </c>
      <c r="H181">
        <v>0</v>
      </c>
      <c r="I181">
        <v>0</v>
      </c>
      <c r="J181">
        <v>0</v>
      </c>
      <c r="K181">
        <v>71.36</v>
      </c>
      <c r="L181">
        <v>72.260000000000005</v>
      </c>
    </row>
    <row r="182" spans="1:12" x14ac:dyDescent="0.2">
      <c r="A182" s="4">
        <v>181</v>
      </c>
      <c r="B182" t="s">
        <v>174</v>
      </c>
      <c r="C182">
        <v>71.89</v>
      </c>
      <c r="D182">
        <v>14</v>
      </c>
      <c r="E182">
        <v>15</v>
      </c>
      <c r="F182">
        <v>71.73</v>
      </c>
      <c r="G182">
        <v>0</v>
      </c>
      <c r="H182">
        <v>0</v>
      </c>
      <c r="I182">
        <v>0</v>
      </c>
      <c r="J182">
        <v>1</v>
      </c>
      <c r="K182">
        <v>71.56</v>
      </c>
      <c r="L182">
        <v>71.92</v>
      </c>
    </row>
    <row r="183" spans="1:12" x14ac:dyDescent="0.2">
      <c r="A183" s="4">
        <v>182</v>
      </c>
      <c r="B183" t="s">
        <v>192</v>
      </c>
      <c r="C183">
        <v>71.86</v>
      </c>
      <c r="D183">
        <v>14</v>
      </c>
      <c r="E183">
        <v>15</v>
      </c>
      <c r="F183">
        <v>73.2</v>
      </c>
      <c r="G183">
        <v>0</v>
      </c>
      <c r="H183">
        <v>1</v>
      </c>
      <c r="I183">
        <v>0</v>
      </c>
      <c r="J183">
        <v>3</v>
      </c>
      <c r="K183">
        <v>72.849999999999994</v>
      </c>
      <c r="L183">
        <v>70.56</v>
      </c>
    </row>
    <row r="184" spans="1:12" x14ac:dyDescent="0.2">
      <c r="A184" s="4">
        <v>183</v>
      </c>
      <c r="B184" t="s">
        <v>195</v>
      </c>
      <c r="C184">
        <v>71.8</v>
      </c>
      <c r="D184">
        <v>17</v>
      </c>
      <c r="E184">
        <v>11</v>
      </c>
      <c r="F184">
        <v>68.17</v>
      </c>
      <c r="G184">
        <v>0</v>
      </c>
      <c r="H184">
        <v>0</v>
      </c>
      <c r="I184">
        <v>0</v>
      </c>
      <c r="J184">
        <v>0</v>
      </c>
      <c r="K184">
        <v>70.180000000000007</v>
      </c>
      <c r="L184">
        <v>73.09</v>
      </c>
    </row>
    <row r="185" spans="1:12" x14ac:dyDescent="0.2">
      <c r="A185" s="4">
        <v>184</v>
      </c>
      <c r="B185" t="s">
        <v>298</v>
      </c>
      <c r="C185">
        <v>71.72</v>
      </c>
      <c r="D185">
        <v>16</v>
      </c>
      <c r="E185">
        <v>10</v>
      </c>
      <c r="F185">
        <v>69</v>
      </c>
      <c r="G185">
        <v>0</v>
      </c>
      <c r="H185">
        <v>0</v>
      </c>
      <c r="I185">
        <v>0</v>
      </c>
      <c r="J185">
        <v>0</v>
      </c>
      <c r="K185">
        <v>72.33</v>
      </c>
      <c r="L185">
        <v>70.8</v>
      </c>
    </row>
    <row r="186" spans="1:12" x14ac:dyDescent="0.2">
      <c r="A186" s="4">
        <v>185</v>
      </c>
      <c r="B186" t="s">
        <v>894</v>
      </c>
      <c r="C186">
        <v>71.650000000000006</v>
      </c>
      <c r="D186">
        <v>22</v>
      </c>
      <c r="E186">
        <v>10</v>
      </c>
      <c r="F186">
        <v>67.31</v>
      </c>
      <c r="G186">
        <v>0</v>
      </c>
      <c r="H186">
        <v>1</v>
      </c>
      <c r="I186">
        <v>0</v>
      </c>
      <c r="J186">
        <v>1</v>
      </c>
      <c r="K186">
        <v>72.680000000000007</v>
      </c>
      <c r="L186">
        <v>70.290000000000006</v>
      </c>
    </row>
    <row r="187" spans="1:12" x14ac:dyDescent="0.2">
      <c r="A187" s="4">
        <v>186</v>
      </c>
      <c r="B187" t="s">
        <v>272</v>
      </c>
      <c r="C187">
        <v>71.63</v>
      </c>
      <c r="D187">
        <v>13</v>
      </c>
      <c r="E187">
        <v>15</v>
      </c>
      <c r="F187">
        <v>72.36</v>
      </c>
      <c r="G187">
        <v>0</v>
      </c>
      <c r="H187">
        <v>0</v>
      </c>
      <c r="I187">
        <v>0</v>
      </c>
      <c r="J187">
        <v>1</v>
      </c>
      <c r="K187">
        <v>70.38</v>
      </c>
      <c r="L187">
        <v>72.56</v>
      </c>
    </row>
    <row r="188" spans="1:12" x14ac:dyDescent="0.2">
      <c r="A188" s="4">
        <v>187</v>
      </c>
      <c r="B188" t="s">
        <v>97</v>
      </c>
      <c r="C188">
        <v>71.599999999999994</v>
      </c>
      <c r="D188">
        <v>9</v>
      </c>
      <c r="E188">
        <v>19</v>
      </c>
      <c r="F188">
        <v>77.209999999999994</v>
      </c>
      <c r="G188">
        <v>0</v>
      </c>
      <c r="H188">
        <v>2</v>
      </c>
      <c r="I188">
        <v>0</v>
      </c>
      <c r="J188">
        <v>4</v>
      </c>
      <c r="K188">
        <v>71.040000000000006</v>
      </c>
      <c r="L188">
        <v>71.86</v>
      </c>
    </row>
    <row r="189" spans="1:12" x14ac:dyDescent="0.2">
      <c r="A189" s="4">
        <v>188</v>
      </c>
      <c r="B189" t="s">
        <v>219</v>
      </c>
      <c r="C189">
        <v>71.599999999999994</v>
      </c>
      <c r="D189">
        <v>14</v>
      </c>
      <c r="E189">
        <v>14</v>
      </c>
      <c r="F189">
        <v>72.69</v>
      </c>
      <c r="G189">
        <v>0</v>
      </c>
      <c r="H189">
        <v>1</v>
      </c>
      <c r="I189">
        <v>0</v>
      </c>
      <c r="J189">
        <v>2</v>
      </c>
      <c r="K189">
        <v>71.84</v>
      </c>
      <c r="L189">
        <v>71.05</v>
      </c>
    </row>
    <row r="190" spans="1:12" x14ac:dyDescent="0.2">
      <c r="A190" s="4">
        <v>189</v>
      </c>
      <c r="B190" t="s">
        <v>255</v>
      </c>
      <c r="C190">
        <v>71.42</v>
      </c>
      <c r="D190">
        <v>9</v>
      </c>
      <c r="E190">
        <v>17</v>
      </c>
      <c r="F190">
        <v>75.89</v>
      </c>
      <c r="G190">
        <v>0</v>
      </c>
      <c r="H190">
        <v>1</v>
      </c>
      <c r="I190">
        <v>0</v>
      </c>
      <c r="J190">
        <v>2</v>
      </c>
      <c r="K190">
        <v>70.91</v>
      </c>
      <c r="L190">
        <v>71.62</v>
      </c>
    </row>
    <row r="191" spans="1:12" x14ac:dyDescent="0.2">
      <c r="A191" s="4">
        <v>190</v>
      </c>
      <c r="B191" t="s">
        <v>263</v>
      </c>
      <c r="C191">
        <v>71.38</v>
      </c>
      <c r="D191">
        <v>18</v>
      </c>
      <c r="E191">
        <v>15</v>
      </c>
      <c r="F191">
        <v>69.400000000000006</v>
      </c>
      <c r="G191">
        <v>0</v>
      </c>
      <c r="H191">
        <v>1</v>
      </c>
      <c r="I191">
        <v>0</v>
      </c>
      <c r="J191">
        <v>1</v>
      </c>
      <c r="K191">
        <v>69.760000000000005</v>
      </c>
      <c r="L191">
        <v>72.650000000000006</v>
      </c>
    </row>
    <row r="192" spans="1:12" x14ac:dyDescent="0.2">
      <c r="A192" s="4">
        <v>191</v>
      </c>
      <c r="B192" t="s">
        <v>166</v>
      </c>
      <c r="C192">
        <v>71.36</v>
      </c>
      <c r="D192">
        <v>19</v>
      </c>
      <c r="E192">
        <v>10</v>
      </c>
      <c r="F192">
        <v>66.34</v>
      </c>
      <c r="G192">
        <v>0</v>
      </c>
      <c r="H192">
        <v>0</v>
      </c>
      <c r="I192">
        <v>0</v>
      </c>
      <c r="J192">
        <v>0</v>
      </c>
      <c r="K192">
        <v>71.739999999999995</v>
      </c>
      <c r="L192">
        <v>70.680000000000007</v>
      </c>
    </row>
    <row r="193" spans="1:12" x14ac:dyDescent="0.2">
      <c r="A193" s="4">
        <v>192</v>
      </c>
      <c r="B193" t="s">
        <v>89</v>
      </c>
      <c r="C193">
        <v>71.349999999999994</v>
      </c>
      <c r="D193">
        <v>21</v>
      </c>
      <c r="E193">
        <v>8</v>
      </c>
      <c r="F193">
        <v>64.75</v>
      </c>
      <c r="G193">
        <v>0</v>
      </c>
      <c r="H193">
        <v>0</v>
      </c>
      <c r="I193">
        <v>0</v>
      </c>
      <c r="J193">
        <v>0</v>
      </c>
      <c r="K193">
        <v>71.09</v>
      </c>
      <c r="L193">
        <v>71.31</v>
      </c>
    </row>
    <row r="194" spans="1:12" x14ac:dyDescent="0.2">
      <c r="A194" s="4">
        <v>193</v>
      </c>
      <c r="B194" t="s">
        <v>236</v>
      </c>
      <c r="C194">
        <v>71.2</v>
      </c>
      <c r="D194">
        <v>12</v>
      </c>
      <c r="E194">
        <v>16</v>
      </c>
      <c r="F194">
        <v>73.33</v>
      </c>
      <c r="G194">
        <v>0</v>
      </c>
      <c r="H194">
        <v>0</v>
      </c>
      <c r="I194">
        <v>0</v>
      </c>
      <c r="J194">
        <v>1</v>
      </c>
      <c r="K194">
        <v>71.36</v>
      </c>
      <c r="L194">
        <v>70.739999999999995</v>
      </c>
    </row>
    <row r="195" spans="1:12" x14ac:dyDescent="0.2">
      <c r="A195" s="4">
        <v>194</v>
      </c>
      <c r="B195" t="s">
        <v>837</v>
      </c>
      <c r="C195">
        <v>71.02</v>
      </c>
      <c r="D195">
        <v>14</v>
      </c>
      <c r="E195">
        <v>14</v>
      </c>
      <c r="F195">
        <v>70.55</v>
      </c>
      <c r="G195">
        <v>0</v>
      </c>
      <c r="H195">
        <v>0</v>
      </c>
      <c r="I195">
        <v>1</v>
      </c>
      <c r="J195">
        <v>1</v>
      </c>
      <c r="K195">
        <v>71.06</v>
      </c>
      <c r="L195">
        <v>70.69</v>
      </c>
    </row>
    <row r="196" spans="1:12" x14ac:dyDescent="0.2">
      <c r="A196" s="4">
        <v>195</v>
      </c>
      <c r="B196" t="s">
        <v>116</v>
      </c>
      <c r="C196">
        <v>70.91</v>
      </c>
      <c r="D196">
        <v>12</v>
      </c>
      <c r="E196">
        <v>18</v>
      </c>
      <c r="F196">
        <v>73.739999999999995</v>
      </c>
      <c r="G196">
        <v>0</v>
      </c>
      <c r="H196">
        <v>0</v>
      </c>
      <c r="I196">
        <v>1</v>
      </c>
      <c r="J196">
        <v>2</v>
      </c>
      <c r="K196">
        <v>70.180000000000007</v>
      </c>
      <c r="L196">
        <v>71.34</v>
      </c>
    </row>
    <row r="197" spans="1:12" x14ac:dyDescent="0.2">
      <c r="A197" s="4">
        <v>196</v>
      </c>
      <c r="B197" t="s">
        <v>180</v>
      </c>
      <c r="C197">
        <v>70.819999999999993</v>
      </c>
      <c r="D197">
        <v>18</v>
      </c>
      <c r="E197">
        <v>14</v>
      </c>
      <c r="F197">
        <v>69.319999999999993</v>
      </c>
      <c r="G197">
        <v>0</v>
      </c>
      <c r="H197">
        <v>0</v>
      </c>
      <c r="I197">
        <v>0</v>
      </c>
      <c r="J197">
        <v>0</v>
      </c>
      <c r="K197">
        <v>70.22</v>
      </c>
      <c r="L197">
        <v>71.12</v>
      </c>
    </row>
    <row r="198" spans="1:12" x14ac:dyDescent="0.2">
      <c r="A198" s="4">
        <v>197</v>
      </c>
      <c r="B198" t="s">
        <v>57</v>
      </c>
      <c r="C198">
        <v>70.69</v>
      </c>
      <c r="D198">
        <v>8</v>
      </c>
      <c r="E198">
        <v>22</v>
      </c>
      <c r="F198">
        <v>79.02</v>
      </c>
      <c r="G198">
        <v>0</v>
      </c>
      <c r="H198">
        <v>3</v>
      </c>
      <c r="I198">
        <v>1</v>
      </c>
      <c r="J198">
        <v>10</v>
      </c>
      <c r="K198">
        <v>71.16</v>
      </c>
      <c r="L198">
        <v>69.91</v>
      </c>
    </row>
    <row r="199" spans="1:12" x14ac:dyDescent="0.2">
      <c r="A199" s="4">
        <v>198</v>
      </c>
      <c r="B199" t="s">
        <v>254</v>
      </c>
      <c r="C199">
        <v>70.67</v>
      </c>
      <c r="D199">
        <v>12</v>
      </c>
      <c r="E199">
        <v>14</v>
      </c>
      <c r="F199">
        <v>72.260000000000005</v>
      </c>
      <c r="G199">
        <v>0</v>
      </c>
      <c r="H199">
        <v>1</v>
      </c>
      <c r="I199">
        <v>0</v>
      </c>
      <c r="J199">
        <v>2</v>
      </c>
      <c r="K199">
        <v>70.98</v>
      </c>
      <c r="L199">
        <v>70.06</v>
      </c>
    </row>
    <row r="200" spans="1:12" x14ac:dyDescent="0.2">
      <c r="A200" s="4">
        <v>199</v>
      </c>
      <c r="B200" t="s">
        <v>128</v>
      </c>
      <c r="C200">
        <v>70.62</v>
      </c>
      <c r="D200">
        <v>13</v>
      </c>
      <c r="E200">
        <v>15</v>
      </c>
      <c r="F200">
        <v>72.38</v>
      </c>
      <c r="G200">
        <v>0</v>
      </c>
      <c r="H200">
        <v>0</v>
      </c>
      <c r="I200">
        <v>0</v>
      </c>
      <c r="J200">
        <v>0</v>
      </c>
      <c r="K200">
        <v>70.28</v>
      </c>
      <c r="L200">
        <v>70.67</v>
      </c>
    </row>
    <row r="201" spans="1:12" x14ac:dyDescent="0.2">
      <c r="A201" s="4">
        <v>200</v>
      </c>
      <c r="B201" t="s">
        <v>840</v>
      </c>
      <c r="C201">
        <v>70.61</v>
      </c>
      <c r="D201">
        <v>12</v>
      </c>
      <c r="E201">
        <v>16</v>
      </c>
      <c r="F201">
        <v>72.180000000000007</v>
      </c>
      <c r="G201">
        <v>0</v>
      </c>
      <c r="H201">
        <v>0</v>
      </c>
      <c r="I201">
        <v>0</v>
      </c>
      <c r="J201">
        <v>1</v>
      </c>
      <c r="K201">
        <v>69.180000000000007</v>
      </c>
      <c r="L201">
        <v>71.7</v>
      </c>
    </row>
    <row r="202" spans="1:12" x14ac:dyDescent="0.2">
      <c r="A202" s="4">
        <v>201</v>
      </c>
      <c r="B202" t="s">
        <v>205</v>
      </c>
      <c r="C202">
        <v>70.599999999999994</v>
      </c>
      <c r="D202">
        <v>9</v>
      </c>
      <c r="E202">
        <v>19</v>
      </c>
      <c r="F202">
        <v>77.010000000000005</v>
      </c>
      <c r="G202">
        <v>0</v>
      </c>
      <c r="H202">
        <v>1</v>
      </c>
      <c r="I202">
        <v>0</v>
      </c>
      <c r="J202">
        <v>4</v>
      </c>
      <c r="K202">
        <v>71.77</v>
      </c>
      <c r="L202">
        <v>69.08</v>
      </c>
    </row>
    <row r="203" spans="1:12" x14ac:dyDescent="0.2">
      <c r="A203" s="4">
        <v>202</v>
      </c>
      <c r="B203" t="s">
        <v>88</v>
      </c>
      <c r="C203">
        <v>70.569999999999993</v>
      </c>
      <c r="D203">
        <v>12</v>
      </c>
      <c r="E203">
        <v>15</v>
      </c>
      <c r="F203">
        <v>73.87</v>
      </c>
      <c r="G203">
        <v>0</v>
      </c>
      <c r="H203">
        <v>0</v>
      </c>
      <c r="I203">
        <v>0</v>
      </c>
      <c r="J203">
        <v>4</v>
      </c>
      <c r="K203">
        <v>71.55</v>
      </c>
      <c r="L203">
        <v>69.239999999999995</v>
      </c>
    </row>
    <row r="204" spans="1:12" x14ac:dyDescent="0.2">
      <c r="A204" s="4">
        <v>203</v>
      </c>
      <c r="B204" t="s">
        <v>72</v>
      </c>
      <c r="C204">
        <v>70.31</v>
      </c>
      <c r="D204">
        <v>7</v>
      </c>
      <c r="E204">
        <v>20</v>
      </c>
      <c r="F204">
        <v>77.75</v>
      </c>
      <c r="G204">
        <v>0</v>
      </c>
      <c r="H204">
        <v>0</v>
      </c>
      <c r="I204">
        <v>0</v>
      </c>
      <c r="J204">
        <v>3</v>
      </c>
      <c r="K204">
        <v>69.31</v>
      </c>
      <c r="L204">
        <v>70.989999999999995</v>
      </c>
    </row>
    <row r="205" spans="1:12" x14ac:dyDescent="0.2">
      <c r="A205" s="4">
        <v>204</v>
      </c>
      <c r="B205" t="s">
        <v>243</v>
      </c>
      <c r="C205">
        <v>70.260000000000005</v>
      </c>
      <c r="D205">
        <v>8</v>
      </c>
      <c r="E205">
        <v>19</v>
      </c>
      <c r="F205">
        <v>75.8</v>
      </c>
      <c r="G205">
        <v>0</v>
      </c>
      <c r="H205">
        <v>1</v>
      </c>
      <c r="I205">
        <v>0</v>
      </c>
      <c r="J205">
        <v>2</v>
      </c>
      <c r="K205">
        <v>69.739999999999995</v>
      </c>
      <c r="L205">
        <v>70.48</v>
      </c>
    </row>
    <row r="206" spans="1:12" x14ac:dyDescent="0.2">
      <c r="A206" s="4">
        <v>205</v>
      </c>
      <c r="B206" t="s">
        <v>163</v>
      </c>
      <c r="C206">
        <v>70.239999999999995</v>
      </c>
      <c r="D206">
        <v>9</v>
      </c>
      <c r="E206">
        <v>22</v>
      </c>
      <c r="F206">
        <v>75.650000000000006</v>
      </c>
      <c r="G206">
        <v>0</v>
      </c>
      <c r="H206">
        <v>0</v>
      </c>
      <c r="I206">
        <v>0</v>
      </c>
      <c r="J206">
        <v>3</v>
      </c>
      <c r="K206">
        <v>69.13</v>
      </c>
      <c r="L206">
        <v>71.03</v>
      </c>
    </row>
    <row r="207" spans="1:12" x14ac:dyDescent="0.2">
      <c r="A207" s="4">
        <v>206</v>
      </c>
      <c r="B207" t="s">
        <v>288</v>
      </c>
      <c r="C207">
        <v>69.959999999999994</v>
      </c>
      <c r="D207">
        <v>8</v>
      </c>
      <c r="E207">
        <v>20</v>
      </c>
      <c r="F207">
        <v>77.02</v>
      </c>
      <c r="G207">
        <v>0</v>
      </c>
      <c r="H207">
        <v>0</v>
      </c>
      <c r="I207">
        <v>0</v>
      </c>
      <c r="J207">
        <v>2</v>
      </c>
      <c r="K207">
        <v>70.2</v>
      </c>
      <c r="L207">
        <v>69.41</v>
      </c>
    </row>
    <row r="208" spans="1:12" x14ac:dyDescent="0.2">
      <c r="A208" s="4">
        <v>207</v>
      </c>
      <c r="B208" t="s">
        <v>300</v>
      </c>
      <c r="C208">
        <v>69.92</v>
      </c>
      <c r="D208">
        <v>10</v>
      </c>
      <c r="E208">
        <v>19</v>
      </c>
      <c r="F208">
        <v>74.52</v>
      </c>
      <c r="G208">
        <v>0</v>
      </c>
      <c r="H208">
        <v>0</v>
      </c>
      <c r="I208">
        <v>0</v>
      </c>
      <c r="J208">
        <v>2</v>
      </c>
      <c r="K208">
        <v>69.7</v>
      </c>
      <c r="L208">
        <v>69.84</v>
      </c>
    </row>
    <row r="209" spans="1:12" x14ac:dyDescent="0.2">
      <c r="A209" s="4">
        <v>208</v>
      </c>
      <c r="B209" t="s">
        <v>250</v>
      </c>
      <c r="C209">
        <v>69.84</v>
      </c>
      <c r="D209">
        <v>18</v>
      </c>
      <c r="E209">
        <v>12</v>
      </c>
      <c r="F209">
        <v>68.06</v>
      </c>
      <c r="G209">
        <v>0</v>
      </c>
      <c r="H209">
        <v>1</v>
      </c>
      <c r="I209">
        <v>0</v>
      </c>
      <c r="J209">
        <v>1</v>
      </c>
      <c r="K209">
        <v>69.84</v>
      </c>
      <c r="L209">
        <v>69.55</v>
      </c>
    </row>
    <row r="210" spans="1:12" x14ac:dyDescent="0.2">
      <c r="A210" s="4">
        <v>209</v>
      </c>
      <c r="B210" t="s">
        <v>142</v>
      </c>
      <c r="C210">
        <v>69.75</v>
      </c>
      <c r="D210">
        <v>12</v>
      </c>
      <c r="E210">
        <v>20</v>
      </c>
      <c r="F210">
        <v>73.84</v>
      </c>
      <c r="G210">
        <v>0</v>
      </c>
      <c r="H210">
        <v>0</v>
      </c>
      <c r="I210">
        <v>1</v>
      </c>
      <c r="J210">
        <v>0</v>
      </c>
      <c r="K210">
        <v>70.63</v>
      </c>
      <c r="L210">
        <v>68.52</v>
      </c>
    </row>
    <row r="211" spans="1:12" x14ac:dyDescent="0.2">
      <c r="A211" s="4">
        <v>210</v>
      </c>
      <c r="B211" t="s">
        <v>196</v>
      </c>
      <c r="C211">
        <v>69.739999999999995</v>
      </c>
      <c r="D211">
        <v>17</v>
      </c>
      <c r="E211">
        <v>19</v>
      </c>
      <c r="F211">
        <v>70.09</v>
      </c>
      <c r="G211">
        <v>0</v>
      </c>
      <c r="H211">
        <v>1</v>
      </c>
      <c r="I211">
        <v>0</v>
      </c>
      <c r="J211">
        <v>3</v>
      </c>
      <c r="K211">
        <v>67.81</v>
      </c>
      <c r="L211">
        <v>71.239999999999995</v>
      </c>
    </row>
    <row r="212" spans="1:12" x14ac:dyDescent="0.2">
      <c r="A212" s="4">
        <v>211</v>
      </c>
      <c r="B212" t="s">
        <v>161</v>
      </c>
      <c r="C212">
        <v>69.69</v>
      </c>
      <c r="D212">
        <v>18</v>
      </c>
      <c r="E212">
        <v>12</v>
      </c>
      <c r="F212">
        <v>67.69</v>
      </c>
      <c r="G212">
        <v>0</v>
      </c>
      <c r="H212">
        <v>1</v>
      </c>
      <c r="I212">
        <v>0</v>
      </c>
      <c r="J212">
        <v>2</v>
      </c>
      <c r="K212">
        <v>70.94</v>
      </c>
      <c r="L212">
        <v>68.040000000000006</v>
      </c>
    </row>
    <row r="213" spans="1:12" x14ac:dyDescent="0.2">
      <c r="A213" s="4">
        <v>212</v>
      </c>
      <c r="B213" t="s">
        <v>817</v>
      </c>
      <c r="C213">
        <v>69.67</v>
      </c>
      <c r="D213">
        <v>7</v>
      </c>
      <c r="E213">
        <v>21</v>
      </c>
      <c r="F213">
        <v>78.349999999999994</v>
      </c>
      <c r="G213">
        <v>0</v>
      </c>
      <c r="H213">
        <v>3</v>
      </c>
      <c r="I213">
        <v>0</v>
      </c>
      <c r="J213">
        <v>6</v>
      </c>
      <c r="K213">
        <v>68.66</v>
      </c>
      <c r="L213">
        <v>70.36</v>
      </c>
    </row>
    <row r="214" spans="1:12" x14ac:dyDescent="0.2">
      <c r="A214" s="4">
        <v>213</v>
      </c>
      <c r="B214" t="s">
        <v>223</v>
      </c>
      <c r="C214">
        <v>69.64</v>
      </c>
      <c r="D214">
        <v>14</v>
      </c>
      <c r="E214">
        <v>16</v>
      </c>
      <c r="F214">
        <v>68.83</v>
      </c>
      <c r="G214">
        <v>0</v>
      </c>
      <c r="H214">
        <v>0</v>
      </c>
      <c r="I214">
        <v>0</v>
      </c>
      <c r="J214">
        <v>0</v>
      </c>
      <c r="K214">
        <v>67.75</v>
      </c>
      <c r="L214">
        <v>71.11</v>
      </c>
    </row>
    <row r="215" spans="1:12" x14ac:dyDescent="0.2">
      <c r="A215" s="4">
        <v>214</v>
      </c>
      <c r="B215" t="s">
        <v>228</v>
      </c>
      <c r="C215">
        <v>69.510000000000005</v>
      </c>
      <c r="D215">
        <v>11</v>
      </c>
      <c r="E215">
        <v>18</v>
      </c>
      <c r="F215">
        <v>73.39</v>
      </c>
      <c r="G215">
        <v>0</v>
      </c>
      <c r="H215">
        <v>0</v>
      </c>
      <c r="I215">
        <v>0</v>
      </c>
      <c r="J215">
        <v>1</v>
      </c>
      <c r="K215">
        <v>68.459999999999994</v>
      </c>
      <c r="L215">
        <v>70.23</v>
      </c>
    </row>
    <row r="216" spans="1:12" x14ac:dyDescent="0.2">
      <c r="A216" s="4">
        <v>215</v>
      </c>
      <c r="B216" t="s">
        <v>807</v>
      </c>
      <c r="C216">
        <v>69.430000000000007</v>
      </c>
      <c r="D216">
        <v>6</v>
      </c>
      <c r="E216">
        <v>21</v>
      </c>
      <c r="F216">
        <v>79.03</v>
      </c>
      <c r="G216">
        <v>0</v>
      </c>
      <c r="H216">
        <v>4</v>
      </c>
      <c r="I216">
        <v>0</v>
      </c>
      <c r="J216">
        <v>12</v>
      </c>
      <c r="K216">
        <v>68.819999999999993</v>
      </c>
      <c r="L216">
        <v>69.73</v>
      </c>
    </row>
    <row r="217" spans="1:12" x14ac:dyDescent="0.2">
      <c r="A217" s="4">
        <v>216</v>
      </c>
      <c r="B217" t="s">
        <v>563</v>
      </c>
      <c r="C217">
        <v>69.36</v>
      </c>
      <c r="D217">
        <v>10</v>
      </c>
      <c r="E217">
        <v>13</v>
      </c>
      <c r="F217">
        <v>71.41</v>
      </c>
      <c r="G217">
        <v>0</v>
      </c>
      <c r="H217">
        <v>0</v>
      </c>
      <c r="I217">
        <v>0</v>
      </c>
      <c r="J217">
        <v>0</v>
      </c>
      <c r="K217">
        <v>69.75</v>
      </c>
      <c r="L217">
        <v>68.67</v>
      </c>
    </row>
    <row r="218" spans="1:12" x14ac:dyDescent="0.2">
      <c r="A218" s="4">
        <v>217</v>
      </c>
      <c r="B218" t="s">
        <v>825</v>
      </c>
      <c r="C218">
        <v>69.349999999999994</v>
      </c>
      <c r="D218">
        <v>11</v>
      </c>
      <c r="E218">
        <v>16</v>
      </c>
      <c r="F218">
        <v>74.040000000000006</v>
      </c>
      <c r="G218">
        <v>0</v>
      </c>
      <c r="H218">
        <v>0</v>
      </c>
      <c r="I218">
        <v>0</v>
      </c>
      <c r="J218">
        <v>2</v>
      </c>
      <c r="K218">
        <v>71.25</v>
      </c>
      <c r="L218">
        <v>66.91</v>
      </c>
    </row>
    <row r="219" spans="1:12" x14ac:dyDescent="0.2">
      <c r="A219" s="4">
        <v>218</v>
      </c>
      <c r="B219" t="s">
        <v>129</v>
      </c>
      <c r="C219">
        <v>69.34</v>
      </c>
      <c r="D219">
        <v>8</v>
      </c>
      <c r="E219">
        <v>20</v>
      </c>
      <c r="F219">
        <v>77.099999999999994</v>
      </c>
      <c r="G219">
        <v>0</v>
      </c>
      <c r="H219">
        <v>0</v>
      </c>
      <c r="I219">
        <v>0</v>
      </c>
      <c r="J219">
        <v>3</v>
      </c>
      <c r="K219">
        <v>70.19</v>
      </c>
      <c r="L219">
        <v>68.14</v>
      </c>
    </row>
    <row r="220" spans="1:12" x14ac:dyDescent="0.2">
      <c r="A220" s="4">
        <v>219</v>
      </c>
      <c r="B220" t="s">
        <v>114</v>
      </c>
      <c r="C220">
        <v>69.27</v>
      </c>
      <c r="D220">
        <v>9</v>
      </c>
      <c r="E220">
        <v>20</v>
      </c>
      <c r="F220">
        <v>74.22</v>
      </c>
      <c r="G220">
        <v>0</v>
      </c>
      <c r="H220">
        <v>0</v>
      </c>
      <c r="I220">
        <v>0</v>
      </c>
      <c r="J220">
        <v>1</v>
      </c>
      <c r="K220">
        <v>68.36</v>
      </c>
      <c r="L220">
        <v>69.86</v>
      </c>
    </row>
    <row r="221" spans="1:12" x14ac:dyDescent="0.2">
      <c r="A221" s="4">
        <v>220</v>
      </c>
      <c r="B221" t="s">
        <v>258</v>
      </c>
      <c r="C221">
        <v>69.260000000000005</v>
      </c>
      <c r="D221">
        <v>9</v>
      </c>
      <c r="E221">
        <v>19</v>
      </c>
      <c r="F221">
        <v>74.39</v>
      </c>
      <c r="G221">
        <v>0</v>
      </c>
      <c r="H221">
        <v>1</v>
      </c>
      <c r="I221">
        <v>0</v>
      </c>
      <c r="J221">
        <v>2</v>
      </c>
      <c r="K221">
        <v>68.97</v>
      </c>
      <c r="L221">
        <v>69.260000000000005</v>
      </c>
    </row>
    <row r="222" spans="1:12" x14ac:dyDescent="0.2">
      <c r="A222" s="4">
        <v>221</v>
      </c>
      <c r="B222" t="s">
        <v>87</v>
      </c>
      <c r="C222">
        <v>69.2</v>
      </c>
      <c r="D222">
        <v>11</v>
      </c>
      <c r="E222">
        <v>17</v>
      </c>
      <c r="F222">
        <v>72.540000000000006</v>
      </c>
      <c r="G222">
        <v>0</v>
      </c>
      <c r="H222">
        <v>1</v>
      </c>
      <c r="I222">
        <v>0</v>
      </c>
      <c r="J222">
        <v>2</v>
      </c>
      <c r="K222">
        <v>69.540000000000006</v>
      </c>
      <c r="L222">
        <v>68.55</v>
      </c>
    </row>
    <row r="223" spans="1:12" x14ac:dyDescent="0.2">
      <c r="A223" s="4">
        <v>222</v>
      </c>
      <c r="B223" t="s">
        <v>847</v>
      </c>
      <c r="C223">
        <v>69.150000000000006</v>
      </c>
      <c r="D223">
        <v>20</v>
      </c>
      <c r="E223">
        <v>9</v>
      </c>
      <c r="F223">
        <v>64.290000000000006</v>
      </c>
      <c r="G223">
        <v>0</v>
      </c>
      <c r="H223">
        <v>0</v>
      </c>
      <c r="I223">
        <v>0</v>
      </c>
      <c r="J223">
        <v>0</v>
      </c>
      <c r="K223">
        <v>70.930000000000007</v>
      </c>
      <c r="L223">
        <v>66.849999999999994</v>
      </c>
    </row>
    <row r="224" spans="1:12" x14ac:dyDescent="0.2">
      <c r="A224" s="4">
        <v>223</v>
      </c>
      <c r="B224" t="s">
        <v>164</v>
      </c>
      <c r="C224">
        <v>69.11</v>
      </c>
      <c r="D224">
        <v>9</v>
      </c>
      <c r="E224">
        <v>16</v>
      </c>
      <c r="F224">
        <v>72.88</v>
      </c>
      <c r="G224">
        <v>0</v>
      </c>
      <c r="H224">
        <v>0</v>
      </c>
      <c r="I224">
        <v>0</v>
      </c>
      <c r="J224">
        <v>1</v>
      </c>
      <c r="K224">
        <v>67.5</v>
      </c>
      <c r="L224">
        <v>70.31</v>
      </c>
    </row>
    <row r="225" spans="1:12" x14ac:dyDescent="0.2">
      <c r="A225" s="4">
        <v>224</v>
      </c>
      <c r="B225" t="s">
        <v>140</v>
      </c>
      <c r="C225">
        <v>69.02</v>
      </c>
      <c r="D225">
        <v>15</v>
      </c>
      <c r="E225">
        <v>11</v>
      </c>
      <c r="F225">
        <v>67.7</v>
      </c>
      <c r="G225">
        <v>0</v>
      </c>
      <c r="H225">
        <v>0</v>
      </c>
      <c r="I225">
        <v>0</v>
      </c>
      <c r="J225">
        <v>0</v>
      </c>
      <c r="K225">
        <v>68.680000000000007</v>
      </c>
      <c r="L225">
        <v>69.06</v>
      </c>
    </row>
    <row r="226" spans="1:12" x14ac:dyDescent="0.2">
      <c r="A226" s="4">
        <v>225</v>
      </c>
      <c r="B226" t="s">
        <v>133</v>
      </c>
      <c r="C226">
        <v>68.900000000000006</v>
      </c>
      <c r="D226">
        <v>9</v>
      </c>
      <c r="E226">
        <v>21</v>
      </c>
      <c r="F226">
        <v>74.59</v>
      </c>
      <c r="G226">
        <v>0</v>
      </c>
      <c r="H226">
        <v>1</v>
      </c>
      <c r="I226">
        <v>0</v>
      </c>
      <c r="J226">
        <v>3</v>
      </c>
      <c r="K226">
        <v>68.13</v>
      </c>
      <c r="L226">
        <v>69.36</v>
      </c>
    </row>
    <row r="227" spans="1:12" x14ac:dyDescent="0.2">
      <c r="A227" s="4">
        <v>226</v>
      </c>
      <c r="B227" t="s">
        <v>262</v>
      </c>
      <c r="C227">
        <v>68.849999999999994</v>
      </c>
      <c r="D227">
        <v>15</v>
      </c>
      <c r="E227">
        <v>14</v>
      </c>
      <c r="F227">
        <v>69.06</v>
      </c>
      <c r="G227">
        <v>0</v>
      </c>
      <c r="H227">
        <v>0</v>
      </c>
      <c r="I227">
        <v>0</v>
      </c>
      <c r="J227">
        <v>0</v>
      </c>
      <c r="K227">
        <v>70.33</v>
      </c>
      <c r="L227">
        <v>66.92</v>
      </c>
    </row>
    <row r="228" spans="1:12" x14ac:dyDescent="0.2">
      <c r="A228" s="4">
        <v>227</v>
      </c>
      <c r="B228" t="s">
        <v>155</v>
      </c>
      <c r="C228">
        <v>68.83</v>
      </c>
      <c r="D228">
        <v>17</v>
      </c>
      <c r="E228">
        <v>12</v>
      </c>
      <c r="F228">
        <v>66.849999999999994</v>
      </c>
      <c r="G228">
        <v>0</v>
      </c>
      <c r="H228">
        <v>1</v>
      </c>
      <c r="I228">
        <v>0</v>
      </c>
      <c r="J228">
        <v>2</v>
      </c>
      <c r="K228">
        <v>68.94</v>
      </c>
      <c r="L228">
        <v>68.42</v>
      </c>
    </row>
    <row r="229" spans="1:12" x14ac:dyDescent="0.2">
      <c r="A229" s="4">
        <v>228</v>
      </c>
      <c r="B229" t="s">
        <v>224</v>
      </c>
      <c r="C229">
        <v>68.819999999999993</v>
      </c>
      <c r="D229">
        <v>18</v>
      </c>
      <c r="E229">
        <v>13</v>
      </c>
      <c r="F229">
        <v>66.930000000000007</v>
      </c>
      <c r="G229">
        <v>0</v>
      </c>
      <c r="H229">
        <v>0</v>
      </c>
      <c r="I229">
        <v>0</v>
      </c>
      <c r="J229">
        <v>0</v>
      </c>
      <c r="K229">
        <v>68.87</v>
      </c>
      <c r="L229">
        <v>68.47</v>
      </c>
    </row>
    <row r="230" spans="1:12" x14ac:dyDescent="0.2">
      <c r="A230" s="4">
        <v>229</v>
      </c>
      <c r="B230" t="s">
        <v>297</v>
      </c>
      <c r="C230">
        <v>68.790000000000006</v>
      </c>
      <c r="D230">
        <v>14</v>
      </c>
      <c r="E230">
        <v>12</v>
      </c>
      <c r="F230">
        <v>68.73</v>
      </c>
      <c r="G230">
        <v>0</v>
      </c>
      <c r="H230">
        <v>0</v>
      </c>
      <c r="I230">
        <v>0</v>
      </c>
      <c r="J230">
        <v>1</v>
      </c>
      <c r="K230">
        <v>69.290000000000006</v>
      </c>
      <c r="L230">
        <v>67.97</v>
      </c>
    </row>
    <row r="231" spans="1:12" x14ac:dyDescent="0.2">
      <c r="A231" s="4">
        <v>230</v>
      </c>
      <c r="B231" t="s">
        <v>875</v>
      </c>
      <c r="C231">
        <v>68.760000000000005</v>
      </c>
      <c r="D231">
        <v>8</v>
      </c>
      <c r="E231">
        <v>20</v>
      </c>
      <c r="F231">
        <v>74.58</v>
      </c>
      <c r="G231">
        <v>0</v>
      </c>
      <c r="H231">
        <v>0</v>
      </c>
      <c r="I231">
        <v>0</v>
      </c>
      <c r="J231">
        <v>2</v>
      </c>
      <c r="K231">
        <v>67.540000000000006</v>
      </c>
      <c r="L231">
        <v>69.62</v>
      </c>
    </row>
    <row r="232" spans="1:12" x14ac:dyDescent="0.2">
      <c r="A232" s="4">
        <v>231</v>
      </c>
      <c r="B232" t="s">
        <v>271</v>
      </c>
      <c r="C232">
        <v>68.459999999999994</v>
      </c>
      <c r="D232">
        <v>12</v>
      </c>
      <c r="E232">
        <v>16</v>
      </c>
      <c r="F232">
        <v>72.84</v>
      </c>
      <c r="G232">
        <v>0</v>
      </c>
      <c r="H232">
        <v>2</v>
      </c>
      <c r="I232">
        <v>0</v>
      </c>
      <c r="J232">
        <v>3</v>
      </c>
      <c r="K232">
        <v>69.19</v>
      </c>
      <c r="L232">
        <v>67.400000000000006</v>
      </c>
    </row>
    <row r="233" spans="1:12" x14ac:dyDescent="0.2">
      <c r="A233" s="4">
        <v>232</v>
      </c>
      <c r="B233" t="s">
        <v>828</v>
      </c>
      <c r="C233">
        <v>68.459999999999994</v>
      </c>
      <c r="D233">
        <v>9</v>
      </c>
      <c r="E233">
        <v>20</v>
      </c>
      <c r="F233">
        <v>74.86</v>
      </c>
      <c r="G233">
        <v>0</v>
      </c>
      <c r="H233">
        <v>0</v>
      </c>
      <c r="I233">
        <v>0</v>
      </c>
      <c r="J233">
        <v>3</v>
      </c>
      <c r="K233">
        <v>68.97</v>
      </c>
      <c r="L233">
        <v>67.62</v>
      </c>
    </row>
    <row r="234" spans="1:12" x14ac:dyDescent="0.2">
      <c r="A234" s="4">
        <v>233</v>
      </c>
      <c r="B234" t="s">
        <v>861</v>
      </c>
      <c r="C234">
        <v>68.400000000000006</v>
      </c>
      <c r="D234">
        <v>11</v>
      </c>
      <c r="E234">
        <v>16</v>
      </c>
      <c r="F234">
        <v>70.62</v>
      </c>
      <c r="G234">
        <v>0</v>
      </c>
      <c r="H234">
        <v>0</v>
      </c>
      <c r="I234">
        <v>0</v>
      </c>
      <c r="J234">
        <v>0</v>
      </c>
      <c r="K234">
        <v>68.78</v>
      </c>
      <c r="L234">
        <v>67.709999999999994</v>
      </c>
    </row>
    <row r="235" spans="1:12" x14ac:dyDescent="0.2">
      <c r="A235" s="4">
        <v>234</v>
      </c>
      <c r="B235" t="s">
        <v>826</v>
      </c>
      <c r="C235">
        <v>68.38</v>
      </c>
      <c r="D235">
        <v>8</v>
      </c>
      <c r="E235">
        <v>18</v>
      </c>
      <c r="F235">
        <v>74.34</v>
      </c>
      <c r="G235">
        <v>0</v>
      </c>
      <c r="H235">
        <v>0</v>
      </c>
      <c r="I235">
        <v>0</v>
      </c>
      <c r="J235">
        <v>0</v>
      </c>
      <c r="K235">
        <v>69.010000000000005</v>
      </c>
      <c r="L235">
        <v>67.42</v>
      </c>
    </row>
    <row r="236" spans="1:12" x14ac:dyDescent="0.2">
      <c r="A236" s="4">
        <v>235</v>
      </c>
      <c r="B236" t="s">
        <v>123</v>
      </c>
      <c r="C236">
        <v>68.36</v>
      </c>
      <c r="D236">
        <v>7</v>
      </c>
      <c r="E236">
        <v>18</v>
      </c>
      <c r="F236">
        <v>75.42</v>
      </c>
      <c r="G236">
        <v>0</v>
      </c>
      <c r="H236">
        <v>0</v>
      </c>
      <c r="I236">
        <v>0</v>
      </c>
      <c r="J236">
        <v>1</v>
      </c>
      <c r="K236">
        <v>68.569999999999993</v>
      </c>
      <c r="L236">
        <v>67.849999999999994</v>
      </c>
    </row>
    <row r="237" spans="1:12" x14ac:dyDescent="0.2">
      <c r="A237" s="4">
        <v>236</v>
      </c>
      <c r="B237" t="s">
        <v>226</v>
      </c>
      <c r="C237">
        <v>68.31</v>
      </c>
      <c r="D237">
        <v>8</v>
      </c>
      <c r="E237">
        <v>16</v>
      </c>
      <c r="F237">
        <v>72.98</v>
      </c>
      <c r="G237">
        <v>0</v>
      </c>
      <c r="H237">
        <v>0</v>
      </c>
      <c r="I237">
        <v>0</v>
      </c>
      <c r="J237">
        <v>0</v>
      </c>
      <c r="K237">
        <v>68.81</v>
      </c>
      <c r="L237">
        <v>67.489999999999995</v>
      </c>
    </row>
    <row r="238" spans="1:12" x14ac:dyDescent="0.2">
      <c r="A238" s="4">
        <v>237</v>
      </c>
      <c r="B238" t="s">
        <v>891</v>
      </c>
      <c r="C238">
        <v>68.239999999999995</v>
      </c>
      <c r="D238">
        <v>11</v>
      </c>
      <c r="E238">
        <v>14</v>
      </c>
      <c r="F238">
        <v>71.38</v>
      </c>
      <c r="G238">
        <v>0</v>
      </c>
      <c r="H238">
        <v>0</v>
      </c>
      <c r="I238">
        <v>0</v>
      </c>
      <c r="J238">
        <v>0</v>
      </c>
      <c r="K238">
        <v>68.680000000000007</v>
      </c>
      <c r="L238">
        <v>67.489999999999995</v>
      </c>
    </row>
    <row r="239" spans="1:12" x14ac:dyDescent="0.2">
      <c r="A239" s="4">
        <v>238</v>
      </c>
      <c r="B239" t="s">
        <v>244</v>
      </c>
      <c r="C239">
        <v>68.22</v>
      </c>
      <c r="D239">
        <v>14</v>
      </c>
      <c r="E239">
        <v>14</v>
      </c>
      <c r="F239">
        <v>68.489999999999995</v>
      </c>
      <c r="G239">
        <v>0</v>
      </c>
      <c r="H239">
        <v>0</v>
      </c>
      <c r="I239">
        <v>0</v>
      </c>
      <c r="J239">
        <v>0</v>
      </c>
      <c r="K239">
        <v>67.39</v>
      </c>
      <c r="L239">
        <v>68.73</v>
      </c>
    </row>
    <row r="240" spans="1:12" x14ac:dyDescent="0.2">
      <c r="A240" s="4">
        <v>239</v>
      </c>
      <c r="B240" t="s">
        <v>264</v>
      </c>
      <c r="C240">
        <v>67.94</v>
      </c>
      <c r="D240">
        <v>10</v>
      </c>
      <c r="E240">
        <v>16</v>
      </c>
      <c r="F240">
        <v>71.11</v>
      </c>
      <c r="G240">
        <v>0</v>
      </c>
      <c r="H240">
        <v>0</v>
      </c>
      <c r="I240">
        <v>0</v>
      </c>
      <c r="J240">
        <v>0</v>
      </c>
      <c r="K240">
        <v>66.67</v>
      </c>
      <c r="L240">
        <v>68.84</v>
      </c>
    </row>
    <row r="241" spans="1:12" x14ac:dyDescent="0.2">
      <c r="A241" s="4">
        <v>240</v>
      </c>
      <c r="B241" t="s">
        <v>279</v>
      </c>
      <c r="C241">
        <v>67.94</v>
      </c>
      <c r="D241">
        <v>7</v>
      </c>
      <c r="E241">
        <v>18</v>
      </c>
      <c r="F241">
        <v>75.489999999999995</v>
      </c>
      <c r="G241">
        <v>0</v>
      </c>
      <c r="H241">
        <v>0</v>
      </c>
      <c r="I241">
        <v>0</v>
      </c>
      <c r="J241">
        <v>1</v>
      </c>
      <c r="K241">
        <v>68.930000000000007</v>
      </c>
      <c r="L241">
        <v>66.56</v>
      </c>
    </row>
    <row r="242" spans="1:12" x14ac:dyDescent="0.2">
      <c r="A242" s="4">
        <v>241</v>
      </c>
      <c r="B242" t="s">
        <v>259</v>
      </c>
      <c r="C242">
        <v>67.930000000000007</v>
      </c>
      <c r="D242">
        <v>9</v>
      </c>
      <c r="E242">
        <v>21</v>
      </c>
      <c r="F242">
        <v>72.290000000000006</v>
      </c>
      <c r="G242">
        <v>0</v>
      </c>
      <c r="H242">
        <v>0</v>
      </c>
      <c r="I242">
        <v>0</v>
      </c>
      <c r="J242">
        <v>0</v>
      </c>
      <c r="K242">
        <v>64.97</v>
      </c>
      <c r="L242">
        <v>70.13</v>
      </c>
    </row>
    <row r="243" spans="1:12" x14ac:dyDescent="0.2">
      <c r="A243" s="4">
        <v>242</v>
      </c>
      <c r="B243" t="s">
        <v>188</v>
      </c>
      <c r="C243">
        <v>67.75</v>
      </c>
      <c r="D243">
        <v>12</v>
      </c>
      <c r="E243">
        <v>17</v>
      </c>
      <c r="F243">
        <v>69.680000000000007</v>
      </c>
      <c r="G243">
        <v>0</v>
      </c>
      <c r="H243">
        <v>0</v>
      </c>
      <c r="I243">
        <v>0</v>
      </c>
      <c r="J243">
        <v>0</v>
      </c>
      <c r="K243">
        <v>65.88</v>
      </c>
      <c r="L243">
        <v>69.13</v>
      </c>
    </row>
    <row r="244" spans="1:12" x14ac:dyDescent="0.2">
      <c r="A244" s="4">
        <v>243</v>
      </c>
      <c r="B244" t="s">
        <v>548</v>
      </c>
      <c r="C244">
        <v>67.73</v>
      </c>
      <c r="D244">
        <v>13</v>
      </c>
      <c r="E244">
        <v>17</v>
      </c>
      <c r="F244">
        <v>69.599999999999994</v>
      </c>
      <c r="G244">
        <v>0</v>
      </c>
      <c r="H244">
        <v>0</v>
      </c>
      <c r="I244">
        <v>0</v>
      </c>
      <c r="J244">
        <v>0</v>
      </c>
      <c r="K244">
        <v>66.510000000000005</v>
      </c>
      <c r="L244">
        <v>68.59</v>
      </c>
    </row>
    <row r="245" spans="1:12" x14ac:dyDescent="0.2">
      <c r="A245" s="4">
        <v>244</v>
      </c>
      <c r="B245" t="s">
        <v>842</v>
      </c>
      <c r="C245">
        <v>67.72</v>
      </c>
      <c r="D245">
        <v>20</v>
      </c>
      <c r="E245">
        <v>10</v>
      </c>
      <c r="F245">
        <v>63.82</v>
      </c>
      <c r="G245">
        <v>0</v>
      </c>
      <c r="H245">
        <v>0</v>
      </c>
      <c r="I245">
        <v>0</v>
      </c>
      <c r="J245">
        <v>0</v>
      </c>
      <c r="K245">
        <v>69.59</v>
      </c>
      <c r="L245">
        <v>65.22</v>
      </c>
    </row>
    <row r="246" spans="1:12" x14ac:dyDescent="0.2">
      <c r="A246" s="4">
        <v>245</v>
      </c>
      <c r="B246" t="s">
        <v>821</v>
      </c>
      <c r="C246">
        <v>67.66</v>
      </c>
      <c r="D246">
        <v>6</v>
      </c>
      <c r="E246">
        <v>22</v>
      </c>
      <c r="F246">
        <v>75.12</v>
      </c>
      <c r="G246">
        <v>0</v>
      </c>
      <c r="H246">
        <v>0</v>
      </c>
      <c r="I246">
        <v>0</v>
      </c>
      <c r="J246">
        <v>0</v>
      </c>
      <c r="K246">
        <v>65.87</v>
      </c>
      <c r="L246">
        <v>68.97</v>
      </c>
    </row>
    <row r="247" spans="1:12" x14ac:dyDescent="0.2">
      <c r="A247" s="4">
        <v>246</v>
      </c>
      <c r="B247" t="s">
        <v>829</v>
      </c>
      <c r="C247">
        <v>67.53</v>
      </c>
      <c r="D247">
        <v>13</v>
      </c>
      <c r="E247">
        <v>16</v>
      </c>
      <c r="F247">
        <v>69.03</v>
      </c>
      <c r="G247">
        <v>0</v>
      </c>
      <c r="H247">
        <v>0</v>
      </c>
      <c r="I247">
        <v>0</v>
      </c>
      <c r="J247">
        <v>1</v>
      </c>
      <c r="K247">
        <v>68.61</v>
      </c>
      <c r="L247">
        <v>66.03</v>
      </c>
    </row>
    <row r="248" spans="1:12" x14ac:dyDescent="0.2">
      <c r="A248" s="4">
        <v>247</v>
      </c>
      <c r="B248" t="s">
        <v>868</v>
      </c>
      <c r="C248">
        <v>67.52</v>
      </c>
      <c r="D248">
        <v>12</v>
      </c>
      <c r="E248">
        <v>18</v>
      </c>
      <c r="F248">
        <v>71.25</v>
      </c>
      <c r="G248">
        <v>0</v>
      </c>
      <c r="H248">
        <v>0</v>
      </c>
      <c r="I248">
        <v>0</v>
      </c>
      <c r="J248">
        <v>1</v>
      </c>
      <c r="K248">
        <v>68.33</v>
      </c>
      <c r="L248">
        <v>66.349999999999994</v>
      </c>
    </row>
    <row r="249" spans="1:12" x14ac:dyDescent="0.2">
      <c r="A249" s="4">
        <v>248</v>
      </c>
      <c r="B249" t="s">
        <v>168</v>
      </c>
      <c r="C249">
        <v>67.459999999999994</v>
      </c>
      <c r="D249">
        <v>7</v>
      </c>
      <c r="E249">
        <v>18</v>
      </c>
      <c r="F249">
        <v>74.290000000000006</v>
      </c>
      <c r="G249">
        <v>0</v>
      </c>
      <c r="H249">
        <v>0</v>
      </c>
      <c r="I249">
        <v>0</v>
      </c>
      <c r="J249">
        <v>0</v>
      </c>
      <c r="K249">
        <v>67.040000000000006</v>
      </c>
      <c r="L249">
        <v>67.59</v>
      </c>
    </row>
    <row r="250" spans="1:12" x14ac:dyDescent="0.2">
      <c r="A250" s="4">
        <v>249</v>
      </c>
      <c r="B250" t="s">
        <v>835</v>
      </c>
      <c r="C250">
        <v>67.290000000000006</v>
      </c>
      <c r="D250">
        <v>16</v>
      </c>
      <c r="E250">
        <v>13</v>
      </c>
      <c r="F250">
        <v>66.63</v>
      </c>
      <c r="G250">
        <v>0</v>
      </c>
      <c r="H250">
        <v>1</v>
      </c>
      <c r="I250">
        <v>0</v>
      </c>
      <c r="J250">
        <v>1</v>
      </c>
      <c r="K250">
        <v>67.319999999999993</v>
      </c>
      <c r="L250">
        <v>66.97</v>
      </c>
    </row>
    <row r="251" spans="1:12" x14ac:dyDescent="0.2">
      <c r="A251" s="4">
        <v>250</v>
      </c>
      <c r="B251" t="s">
        <v>139</v>
      </c>
      <c r="C251">
        <v>67.28</v>
      </c>
      <c r="D251">
        <v>12</v>
      </c>
      <c r="E251">
        <v>15</v>
      </c>
      <c r="F251">
        <v>68.930000000000007</v>
      </c>
      <c r="G251">
        <v>0</v>
      </c>
      <c r="H251">
        <v>0</v>
      </c>
      <c r="I251">
        <v>0</v>
      </c>
      <c r="J251">
        <v>0</v>
      </c>
      <c r="K251">
        <v>68.150000000000006</v>
      </c>
      <c r="L251">
        <v>66.040000000000006</v>
      </c>
    </row>
    <row r="252" spans="1:12" x14ac:dyDescent="0.2">
      <c r="A252" s="4">
        <v>251</v>
      </c>
      <c r="B252" t="s">
        <v>191</v>
      </c>
      <c r="C252">
        <v>67.25</v>
      </c>
      <c r="D252">
        <v>11</v>
      </c>
      <c r="E252">
        <v>15</v>
      </c>
      <c r="F252">
        <v>69.900000000000006</v>
      </c>
      <c r="G252">
        <v>0</v>
      </c>
      <c r="H252">
        <v>0</v>
      </c>
      <c r="I252">
        <v>0</v>
      </c>
      <c r="J252">
        <v>0</v>
      </c>
      <c r="K252">
        <v>68.36</v>
      </c>
      <c r="L252">
        <v>65.73</v>
      </c>
    </row>
    <row r="253" spans="1:12" x14ac:dyDescent="0.2">
      <c r="A253" s="4">
        <v>252</v>
      </c>
      <c r="B253" t="s">
        <v>892</v>
      </c>
      <c r="C253">
        <v>67.239999999999995</v>
      </c>
      <c r="D253">
        <v>18</v>
      </c>
      <c r="E253">
        <v>11</v>
      </c>
      <c r="F253">
        <v>64.290000000000006</v>
      </c>
      <c r="G253">
        <v>0</v>
      </c>
      <c r="H253">
        <v>0</v>
      </c>
      <c r="I253">
        <v>0</v>
      </c>
      <c r="J253">
        <v>1</v>
      </c>
      <c r="K253">
        <v>67.650000000000006</v>
      </c>
      <c r="L253">
        <v>66.510000000000005</v>
      </c>
    </row>
    <row r="254" spans="1:12" x14ac:dyDescent="0.2">
      <c r="A254" s="4">
        <v>253</v>
      </c>
      <c r="B254" t="s">
        <v>881</v>
      </c>
      <c r="C254">
        <v>67</v>
      </c>
      <c r="D254">
        <v>9</v>
      </c>
      <c r="E254">
        <v>20</v>
      </c>
      <c r="F254">
        <v>72.319999999999993</v>
      </c>
      <c r="G254">
        <v>0</v>
      </c>
      <c r="H254">
        <v>0</v>
      </c>
      <c r="I254">
        <v>0</v>
      </c>
      <c r="J254">
        <v>0</v>
      </c>
      <c r="K254">
        <v>65.13</v>
      </c>
      <c r="L254">
        <v>68.36</v>
      </c>
    </row>
    <row r="255" spans="1:12" x14ac:dyDescent="0.2">
      <c r="A255" s="4">
        <v>254</v>
      </c>
      <c r="B255" t="s">
        <v>836</v>
      </c>
      <c r="C255">
        <v>67</v>
      </c>
      <c r="D255">
        <v>9</v>
      </c>
      <c r="E255">
        <v>17</v>
      </c>
      <c r="F255">
        <v>71.819999999999993</v>
      </c>
      <c r="G255">
        <v>0</v>
      </c>
      <c r="H255">
        <v>0</v>
      </c>
      <c r="I255">
        <v>0</v>
      </c>
      <c r="J255">
        <v>0</v>
      </c>
      <c r="K255">
        <v>66.290000000000006</v>
      </c>
      <c r="L255">
        <v>67.38</v>
      </c>
    </row>
    <row r="256" spans="1:12" x14ac:dyDescent="0.2">
      <c r="A256" s="4">
        <v>255</v>
      </c>
      <c r="B256" t="s">
        <v>851</v>
      </c>
      <c r="C256">
        <v>66.8</v>
      </c>
      <c r="D256">
        <v>10</v>
      </c>
      <c r="E256">
        <v>15</v>
      </c>
      <c r="F256">
        <v>70.010000000000005</v>
      </c>
      <c r="G256">
        <v>0</v>
      </c>
      <c r="H256">
        <v>1</v>
      </c>
      <c r="I256">
        <v>0</v>
      </c>
      <c r="J256">
        <v>2</v>
      </c>
      <c r="K256">
        <v>66.47</v>
      </c>
      <c r="L256">
        <v>66.84</v>
      </c>
    </row>
    <row r="257" spans="1:12" x14ac:dyDescent="0.2">
      <c r="A257" s="4">
        <v>256</v>
      </c>
      <c r="B257" t="s">
        <v>172</v>
      </c>
      <c r="C257">
        <v>66.78</v>
      </c>
      <c r="D257">
        <v>8</v>
      </c>
      <c r="E257">
        <v>20</v>
      </c>
      <c r="F257">
        <v>73.73</v>
      </c>
      <c r="G257">
        <v>0</v>
      </c>
      <c r="H257">
        <v>0</v>
      </c>
      <c r="I257">
        <v>0</v>
      </c>
      <c r="J257">
        <v>4</v>
      </c>
      <c r="K257">
        <v>66.569999999999993</v>
      </c>
      <c r="L257">
        <v>66.7</v>
      </c>
    </row>
    <row r="258" spans="1:12" x14ac:dyDescent="0.2">
      <c r="A258" s="4">
        <v>257</v>
      </c>
      <c r="B258" t="s">
        <v>827</v>
      </c>
      <c r="C258">
        <v>66.77</v>
      </c>
      <c r="D258">
        <v>14</v>
      </c>
      <c r="E258">
        <v>15</v>
      </c>
      <c r="F258">
        <v>69.48</v>
      </c>
      <c r="G258">
        <v>0</v>
      </c>
      <c r="H258">
        <v>1</v>
      </c>
      <c r="I258">
        <v>0</v>
      </c>
      <c r="J258">
        <v>2</v>
      </c>
      <c r="K258">
        <v>67.83</v>
      </c>
      <c r="L258">
        <v>65.27</v>
      </c>
    </row>
    <row r="259" spans="1:12" x14ac:dyDescent="0.2">
      <c r="A259" s="4">
        <v>258</v>
      </c>
      <c r="B259" t="s">
        <v>233</v>
      </c>
      <c r="C259">
        <v>66.510000000000005</v>
      </c>
      <c r="D259">
        <v>9</v>
      </c>
      <c r="E259">
        <v>16</v>
      </c>
      <c r="F259">
        <v>72.06</v>
      </c>
      <c r="G259">
        <v>0</v>
      </c>
      <c r="H259">
        <v>1</v>
      </c>
      <c r="I259">
        <v>0</v>
      </c>
      <c r="J259">
        <v>2</v>
      </c>
      <c r="K259">
        <v>68.13</v>
      </c>
      <c r="L259">
        <v>64.27</v>
      </c>
    </row>
    <row r="260" spans="1:12" x14ac:dyDescent="0.2">
      <c r="A260" s="4">
        <v>259</v>
      </c>
      <c r="B260" t="s">
        <v>257</v>
      </c>
      <c r="C260">
        <v>66.290000000000006</v>
      </c>
      <c r="D260">
        <v>8</v>
      </c>
      <c r="E260">
        <v>19</v>
      </c>
      <c r="F260">
        <v>73.099999999999994</v>
      </c>
      <c r="G260">
        <v>0</v>
      </c>
      <c r="H260">
        <v>0</v>
      </c>
      <c r="I260">
        <v>0</v>
      </c>
      <c r="J260">
        <v>0</v>
      </c>
      <c r="K260">
        <v>66.81</v>
      </c>
      <c r="L260">
        <v>65.430000000000007</v>
      </c>
    </row>
    <row r="261" spans="1:12" x14ac:dyDescent="0.2">
      <c r="A261" s="4">
        <v>260</v>
      </c>
      <c r="B261" t="s">
        <v>182</v>
      </c>
      <c r="C261">
        <v>66.28</v>
      </c>
      <c r="D261">
        <v>12</v>
      </c>
      <c r="E261">
        <v>14</v>
      </c>
      <c r="F261">
        <v>68.94</v>
      </c>
      <c r="G261">
        <v>0</v>
      </c>
      <c r="H261">
        <v>0</v>
      </c>
      <c r="I261">
        <v>0</v>
      </c>
      <c r="J261">
        <v>1</v>
      </c>
      <c r="K261">
        <v>67.319999999999993</v>
      </c>
      <c r="L261">
        <v>64.819999999999993</v>
      </c>
    </row>
    <row r="262" spans="1:12" x14ac:dyDescent="0.2">
      <c r="A262" s="4">
        <v>261</v>
      </c>
      <c r="B262" t="s">
        <v>830</v>
      </c>
      <c r="C262">
        <v>66.12</v>
      </c>
      <c r="D262">
        <v>8</v>
      </c>
      <c r="E262">
        <v>17</v>
      </c>
      <c r="F262">
        <v>71.540000000000006</v>
      </c>
      <c r="G262">
        <v>0</v>
      </c>
      <c r="H262">
        <v>0</v>
      </c>
      <c r="I262">
        <v>0</v>
      </c>
      <c r="J262">
        <v>0</v>
      </c>
      <c r="K262">
        <v>66.13</v>
      </c>
      <c r="L262">
        <v>65.81</v>
      </c>
    </row>
    <row r="263" spans="1:12" x14ac:dyDescent="0.2">
      <c r="A263" s="4">
        <v>262</v>
      </c>
      <c r="B263" t="s">
        <v>260</v>
      </c>
      <c r="C263">
        <v>66.08</v>
      </c>
      <c r="D263">
        <v>17</v>
      </c>
      <c r="E263">
        <v>10</v>
      </c>
      <c r="F263">
        <v>62.02</v>
      </c>
      <c r="G263">
        <v>0</v>
      </c>
      <c r="H263">
        <v>0</v>
      </c>
      <c r="I263">
        <v>0</v>
      </c>
      <c r="J263">
        <v>2</v>
      </c>
      <c r="K263">
        <v>66.17</v>
      </c>
      <c r="L263">
        <v>65.7</v>
      </c>
    </row>
    <row r="264" spans="1:12" x14ac:dyDescent="0.2">
      <c r="A264" s="4">
        <v>263</v>
      </c>
      <c r="B264" t="s">
        <v>234</v>
      </c>
      <c r="C264">
        <v>65.88</v>
      </c>
      <c r="D264">
        <v>7</v>
      </c>
      <c r="E264">
        <v>21</v>
      </c>
      <c r="F264">
        <v>74.13</v>
      </c>
      <c r="G264">
        <v>0</v>
      </c>
      <c r="H264">
        <v>0</v>
      </c>
      <c r="I264">
        <v>0</v>
      </c>
      <c r="J264">
        <v>0</v>
      </c>
      <c r="K264">
        <v>65.58</v>
      </c>
      <c r="L264">
        <v>65.89</v>
      </c>
    </row>
    <row r="265" spans="1:12" x14ac:dyDescent="0.2">
      <c r="A265" s="4">
        <v>264</v>
      </c>
      <c r="B265" t="s">
        <v>108</v>
      </c>
      <c r="C265">
        <v>65.86</v>
      </c>
      <c r="D265">
        <v>11</v>
      </c>
      <c r="E265">
        <v>18</v>
      </c>
      <c r="F265">
        <v>71.94</v>
      </c>
      <c r="G265">
        <v>0</v>
      </c>
      <c r="H265">
        <v>0</v>
      </c>
      <c r="I265">
        <v>0</v>
      </c>
      <c r="J265">
        <v>0</v>
      </c>
      <c r="K265">
        <v>68.63</v>
      </c>
      <c r="L265">
        <v>61.62</v>
      </c>
    </row>
    <row r="266" spans="1:12" x14ac:dyDescent="0.2">
      <c r="A266" s="4">
        <v>265</v>
      </c>
      <c r="B266" t="s">
        <v>241</v>
      </c>
      <c r="C266">
        <v>65.77</v>
      </c>
      <c r="D266">
        <v>7</v>
      </c>
      <c r="E266">
        <v>20</v>
      </c>
      <c r="F266">
        <v>71.959999999999994</v>
      </c>
      <c r="G266">
        <v>0</v>
      </c>
      <c r="H266">
        <v>0</v>
      </c>
      <c r="I266">
        <v>0</v>
      </c>
      <c r="J266">
        <v>0</v>
      </c>
      <c r="K266">
        <v>63.95</v>
      </c>
      <c r="L266">
        <v>67.05</v>
      </c>
    </row>
    <row r="267" spans="1:12" x14ac:dyDescent="0.2">
      <c r="A267" s="4">
        <v>266</v>
      </c>
      <c r="B267" t="s">
        <v>206</v>
      </c>
      <c r="C267">
        <v>65.64</v>
      </c>
      <c r="D267">
        <v>10</v>
      </c>
      <c r="E267">
        <v>16</v>
      </c>
      <c r="F267">
        <v>69.73</v>
      </c>
      <c r="G267">
        <v>0</v>
      </c>
      <c r="H267">
        <v>1</v>
      </c>
      <c r="I267">
        <v>0</v>
      </c>
      <c r="J267">
        <v>1</v>
      </c>
      <c r="K267">
        <v>64.39</v>
      </c>
      <c r="L267">
        <v>66.489999999999995</v>
      </c>
    </row>
    <row r="268" spans="1:12" x14ac:dyDescent="0.2">
      <c r="A268" s="4">
        <v>267</v>
      </c>
      <c r="B268" t="s">
        <v>252</v>
      </c>
      <c r="C268">
        <v>65.45</v>
      </c>
      <c r="D268">
        <v>13</v>
      </c>
      <c r="E268">
        <v>16</v>
      </c>
      <c r="F268">
        <v>67.95</v>
      </c>
      <c r="G268">
        <v>0</v>
      </c>
      <c r="H268">
        <v>0</v>
      </c>
      <c r="I268">
        <v>0</v>
      </c>
      <c r="J268">
        <v>0</v>
      </c>
      <c r="K268">
        <v>65.290000000000006</v>
      </c>
      <c r="L268">
        <v>65.31</v>
      </c>
    </row>
    <row r="269" spans="1:12" x14ac:dyDescent="0.2">
      <c r="A269" s="4">
        <v>268</v>
      </c>
      <c r="B269" t="s">
        <v>203</v>
      </c>
      <c r="C269">
        <v>65.319999999999993</v>
      </c>
      <c r="D269">
        <v>14</v>
      </c>
      <c r="E269">
        <v>16</v>
      </c>
      <c r="F269">
        <v>66.19</v>
      </c>
      <c r="G269">
        <v>0</v>
      </c>
      <c r="H269">
        <v>0</v>
      </c>
      <c r="I269">
        <v>0</v>
      </c>
      <c r="J269">
        <v>1</v>
      </c>
      <c r="K269">
        <v>64.61</v>
      </c>
      <c r="L269">
        <v>65.709999999999994</v>
      </c>
    </row>
    <row r="270" spans="1:12" x14ac:dyDescent="0.2">
      <c r="A270" s="4">
        <v>269</v>
      </c>
      <c r="B270" t="s">
        <v>177</v>
      </c>
      <c r="C270">
        <v>65.180000000000007</v>
      </c>
      <c r="D270">
        <v>6</v>
      </c>
      <c r="E270">
        <v>24</v>
      </c>
      <c r="F270">
        <v>74.489999999999995</v>
      </c>
      <c r="G270">
        <v>1</v>
      </c>
      <c r="H270">
        <v>1</v>
      </c>
      <c r="I270">
        <v>1</v>
      </c>
      <c r="J270">
        <v>3</v>
      </c>
      <c r="K270">
        <v>63.34</v>
      </c>
      <c r="L270">
        <v>66.459999999999994</v>
      </c>
    </row>
    <row r="271" spans="1:12" x14ac:dyDescent="0.2">
      <c r="A271" s="4">
        <v>270</v>
      </c>
      <c r="B271" t="s">
        <v>834</v>
      </c>
      <c r="C271">
        <v>65.09</v>
      </c>
      <c r="D271">
        <v>18</v>
      </c>
      <c r="E271">
        <v>12</v>
      </c>
      <c r="F271">
        <v>63.51</v>
      </c>
      <c r="G271">
        <v>0</v>
      </c>
      <c r="H271">
        <v>1</v>
      </c>
      <c r="I271">
        <v>0</v>
      </c>
      <c r="J271">
        <v>1</v>
      </c>
      <c r="K271">
        <v>66.790000000000006</v>
      </c>
      <c r="L271">
        <v>62.65</v>
      </c>
    </row>
    <row r="272" spans="1:12" x14ac:dyDescent="0.2">
      <c r="A272" s="4">
        <v>271</v>
      </c>
      <c r="B272" t="s">
        <v>212</v>
      </c>
      <c r="C272">
        <v>64.89</v>
      </c>
      <c r="D272">
        <v>10</v>
      </c>
      <c r="E272">
        <v>20</v>
      </c>
      <c r="F272">
        <v>68.98</v>
      </c>
      <c r="G272">
        <v>0</v>
      </c>
      <c r="H272">
        <v>0</v>
      </c>
      <c r="I272">
        <v>0</v>
      </c>
      <c r="J272">
        <v>0</v>
      </c>
      <c r="K272">
        <v>62.08</v>
      </c>
      <c r="L272">
        <v>66.790000000000006</v>
      </c>
    </row>
    <row r="273" spans="1:12" x14ac:dyDescent="0.2">
      <c r="A273" s="4">
        <v>272</v>
      </c>
      <c r="B273" t="s">
        <v>158</v>
      </c>
      <c r="C273">
        <v>64.78</v>
      </c>
      <c r="D273">
        <v>5</v>
      </c>
      <c r="E273">
        <v>21</v>
      </c>
      <c r="F273">
        <v>73.010000000000005</v>
      </c>
      <c r="G273">
        <v>0</v>
      </c>
      <c r="H273">
        <v>0</v>
      </c>
      <c r="I273">
        <v>0</v>
      </c>
      <c r="J273">
        <v>2</v>
      </c>
      <c r="K273">
        <v>61.98</v>
      </c>
      <c r="L273">
        <v>66.67</v>
      </c>
    </row>
    <row r="274" spans="1:12" x14ac:dyDescent="0.2">
      <c r="A274" s="4">
        <v>273</v>
      </c>
      <c r="B274" t="s">
        <v>283</v>
      </c>
      <c r="C274">
        <v>64.36</v>
      </c>
      <c r="D274">
        <v>9</v>
      </c>
      <c r="E274">
        <v>20</v>
      </c>
      <c r="F274">
        <v>68.8</v>
      </c>
      <c r="G274">
        <v>0</v>
      </c>
      <c r="H274">
        <v>0</v>
      </c>
      <c r="I274">
        <v>0</v>
      </c>
      <c r="J274">
        <v>1</v>
      </c>
      <c r="K274">
        <v>62.54</v>
      </c>
      <c r="L274">
        <v>65.62</v>
      </c>
    </row>
    <row r="275" spans="1:12" x14ac:dyDescent="0.2">
      <c r="A275" s="4">
        <v>274</v>
      </c>
      <c r="B275" t="s">
        <v>888</v>
      </c>
      <c r="C275">
        <v>64.33</v>
      </c>
      <c r="D275">
        <v>10</v>
      </c>
      <c r="E275">
        <v>17</v>
      </c>
      <c r="F275">
        <v>69.42</v>
      </c>
      <c r="G275">
        <v>0</v>
      </c>
      <c r="H275">
        <v>1</v>
      </c>
      <c r="I275">
        <v>0</v>
      </c>
      <c r="J275">
        <v>1</v>
      </c>
      <c r="K275">
        <v>64.540000000000006</v>
      </c>
      <c r="L275">
        <v>63.81</v>
      </c>
    </row>
    <row r="276" spans="1:12" x14ac:dyDescent="0.2">
      <c r="A276" s="4">
        <v>275</v>
      </c>
      <c r="B276" t="s">
        <v>222</v>
      </c>
      <c r="C276">
        <v>63.84</v>
      </c>
      <c r="D276">
        <v>14</v>
      </c>
      <c r="E276">
        <v>18</v>
      </c>
      <c r="F276">
        <v>66.959999999999994</v>
      </c>
      <c r="G276">
        <v>0</v>
      </c>
      <c r="H276">
        <v>0</v>
      </c>
      <c r="I276">
        <v>0</v>
      </c>
      <c r="J276">
        <v>0</v>
      </c>
      <c r="K276">
        <v>64.599999999999994</v>
      </c>
      <c r="L276">
        <v>62.68</v>
      </c>
    </row>
    <row r="277" spans="1:12" x14ac:dyDescent="0.2">
      <c r="A277" s="4">
        <v>276</v>
      </c>
      <c r="B277" t="s">
        <v>202</v>
      </c>
      <c r="C277">
        <v>63.68</v>
      </c>
      <c r="D277">
        <v>11</v>
      </c>
      <c r="E277">
        <v>16</v>
      </c>
      <c r="F277">
        <v>68.2</v>
      </c>
      <c r="G277">
        <v>0</v>
      </c>
      <c r="H277">
        <v>0</v>
      </c>
      <c r="I277">
        <v>0</v>
      </c>
      <c r="J277">
        <v>1</v>
      </c>
      <c r="K277">
        <v>64.56</v>
      </c>
      <c r="L277">
        <v>62.35</v>
      </c>
    </row>
    <row r="278" spans="1:12" x14ac:dyDescent="0.2">
      <c r="A278" s="4">
        <v>277</v>
      </c>
      <c r="B278" t="s">
        <v>268</v>
      </c>
      <c r="C278">
        <v>63.53</v>
      </c>
      <c r="D278">
        <v>10</v>
      </c>
      <c r="E278">
        <v>17</v>
      </c>
      <c r="F278">
        <v>68.849999999999994</v>
      </c>
      <c r="G278">
        <v>0</v>
      </c>
      <c r="H278">
        <v>0</v>
      </c>
      <c r="I278">
        <v>0</v>
      </c>
      <c r="J278">
        <v>1</v>
      </c>
      <c r="K278">
        <v>64.17</v>
      </c>
      <c r="L278">
        <v>62.51</v>
      </c>
    </row>
    <row r="279" spans="1:12" x14ac:dyDescent="0.2">
      <c r="A279" s="4">
        <v>278</v>
      </c>
      <c r="B279" t="s">
        <v>189</v>
      </c>
      <c r="C279">
        <v>63.39</v>
      </c>
      <c r="D279">
        <v>7</v>
      </c>
      <c r="E279">
        <v>19</v>
      </c>
      <c r="F279">
        <v>71.08</v>
      </c>
      <c r="G279">
        <v>0</v>
      </c>
      <c r="H279">
        <v>0</v>
      </c>
      <c r="I279">
        <v>0</v>
      </c>
      <c r="J279">
        <v>0</v>
      </c>
      <c r="K279">
        <v>64.98</v>
      </c>
      <c r="L279">
        <v>61.01</v>
      </c>
    </row>
    <row r="280" spans="1:12" x14ac:dyDescent="0.2">
      <c r="A280" s="4">
        <v>279</v>
      </c>
      <c r="B280" t="s">
        <v>843</v>
      </c>
      <c r="C280">
        <v>63.23</v>
      </c>
      <c r="D280">
        <v>10</v>
      </c>
      <c r="E280">
        <v>19</v>
      </c>
      <c r="F280">
        <v>69.72</v>
      </c>
      <c r="G280">
        <v>0</v>
      </c>
      <c r="H280">
        <v>1</v>
      </c>
      <c r="I280">
        <v>0</v>
      </c>
      <c r="J280">
        <v>1</v>
      </c>
      <c r="K280">
        <v>63.1</v>
      </c>
      <c r="L280">
        <v>63.07</v>
      </c>
    </row>
    <row r="281" spans="1:12" x14ac:dyDescent="0.2">
      <c r="A281" s="4">
        <v>280</v>
      </c>
      <c r="B281" t="s">
        <v>822</v>
      </c>
      <c r="C281">
        <v>63.13</v>
      </c>
      <c r="D281">
        <v>7</v>
      </c>
      <c r="E281">
        <v>19</v>
      </c>
      <c r="F281">
        <v>69.45</v>
      </c>
      <c r="G281">
        <v>0</v>
      </c>
      <c r="H281">
        <v>0</v>
      </c>
      <c r="I281">
        <v>0</v>
      </c>
      <c r="J281">
        <v>0</v>
      </c>
      <c r="K281">
        <v>62.87</v>
      </c>
      <c r="L281">
        <v>63.1</v>
      </c>
    </row>
    <row r="282" spans="1:12" x14ac:dyDescent="0.2">
      <c r="A282" s="4">
        <v>281</v>
      </c>
      <c r="B282" t="s">
        <v>267</v>
      </c>
      <c r="C282">
        <v>63.08</v>
      </c>
      <c r="D282">
        <v>12</v>
      </c>
      <c r="E282">
        <v>18</v>
      </c>
      <c r="F282">
        <v>66.150000000000006</v>
      </c>
      <c r="G282">
        <v>0</v>
      </c>
      <c r="H282">
        <v>0</v>
      </c>
      <c r="I282">
        <v>0</v>
      </c>
      <c r="J282">
        <v>0</v>
      </c>
      <c r="K282">
        <v>62.51</v>
      </c>
      <c r="L282">
        <v>63.34</v>
      </c>
    </row>
    <row r="283" spans="1:12" x14ac:dyDescent="0.2">
      <c r="A283" s="4">
        <v>282</v>
      </c>
      <c r="B283" t="s">
        <v>169</v>
      </c>
      <c r="C283">
        <v>63.02</v>
      </c>
      <c r="D283">
        <v>4</v>
      </c>
      <c r="E283">
        <v>22</v>
      </c>
      <c r="F283">
        <v>73.67</v>
      </c>
      <c r="G283">
        <v>0</v>
      </c>
      <c r="H283">
        <v>0</v>
      </c>
      <c r="I283">
        <v>0</v>
      </c>
      <c r="J283">
        <v>0</v>
      </c>
      <c r="K283">
        <v>61.63</v>
      </c>
      <c r="L283">
        <v>63.95</v>
      </c>
    </row>
    <row r="284" spans="1:12" x14ac:dyDescent="0.2">
      <c r="A284" s="4">
        <v>283</v>
      </c>
      <c r="B284" t="s">
        <v>896</v>
      </c>
      <c r="C284">
        <v>62.62</v>
      </c>
      <c r="D284">
        <v>11</v>
      </c>
      <c r="E284">
        <v>14</v>
      </c>
      <c r="F284">
        <v>65.099999999999994</v>
      </c>
      <c r="G284">
        <v>0</v>
      </c>
      <c r="H284">
        <v>0</v>
      </c>
      <c r="I284">
        <v>0</v>
      </c>
      <c r="J284">
        <v>0</v>
      </c>
      <c r="K284">
        <v>63.3</v>
      </c>
      <c r="L284">
        <v>61.55</v>
      </c>
    </row>
    <row r="285" spans="1:12" x14ac:dyDescent="0.2">
      <c r="A285" s="4">
        <v>284</v>
      </c>
      <c r="B285" t="s">
        <v>549</v>
      </c>
      <c r="C285">
        <v>62.59</v>
      </c>
      <c r="D285">
        <v>10</v>
      </c>
      <c r="E285">
        <v>16</v>
      </c>
      <c r="F285">
        <v>67.16</v>
      </c>
      <c r="G285">
        <v>0</v>
      </c>
      <c r="H285">
        <v>0</v>
      </c>
      <c r="I285">
        <v>0</v>
      </c>
      <c r="J285">
        <v>0</v>
      </c>
      <c r="K285">
        <v>62.5</v>
      </c>
      <c r="L285">
        <v>62.38</v>
      </c>
    </row>
    <row r="286" spans="1:12" x14ac:dyDescent="0.2">
      <c r="A286" s="4">
        <v>285</v>
      </c>
      <c r="B286" t="s">
        <v>886</v>
      </c>
      <c r="C286">
        <v>62.58</v>
      </c>
      <c r="D286">
        <v>11</v>
      </c>
      <c r="E286">
        <v>18</v>
      </c>
      <c r="F286">
        <v>67.739999999999995</v>
      </c>
      <c r="G286">
        <v>0</v>
      </c>
      <c r="H286">
        <v>0</v>
      </c>
      <c r="I286">
        <v>0</v>
      </c>
      <c r="J286">
        <v>0</v>
      </c>
      <c r="K286">
        <v>63.48</v>
      </c>
      <c r="L286">
        <v>61.19</v>
      </c>
    </row>
    <row r="287" spans="1:12" x14ac:dyDescent="0.2">
      <c r="A287" s="4">
        <v>286</v>
      </c>
      <c r="B287" t="s">
        <v>282</v>
      </c>
      <c r="C287">
        <v>62.42</v>
      </c>
      <c r="D287">
        <v>5</v>
      </c>
      <c r="E287">
        <v>23</v>
      </c>
      <c r="F287">
        <v>73.31</v>
      </c>
      <c r="G287">
        <v>0</v>
      </c>
      <c r="H287">
        <v>0</v>
      </c>
      <c r="I287">
        <v>0</v>
      </c>
      <c r="J287">
        <v>0</v>
      </c>
      <c r="K287">
        <v>63.26</v>
      </c>
      <c r="L287">
        <v>61.13</v>
      </c>
    </row>
    <row r="288" spans="1:12" x14ac:dyDescent="0.2">
      <c r="A288" s="4">
        <v>287</v>
      </c>
      <c r="B288" t="s">
        <v>895</v>
      </c>
      <c r="C288">
        <v>62.38</v>
      </c>
      <c r="D288">
        <v>12</v>
      </c>
      <c r="E288">
        <v>17</v>
      </c>
      <c r="F288">
        <v>66.900000000000006</v>
      </c>
      <c r="G288">
        <v>0</v>
      </c>
      <c r="H288">
        <v>1</v>
      </c>
      <c r="I288">
        <v>0</v>
      </c>
      <c r="J288">
        <v>2</v>
      </c>
      <c r="K288">
        <v>62.63</v>
      </c>
      <c r="L288">
        <v>61.83</v>
      </c>
    </row>
    <row r="289" spans="1:12" x14ac:dyDescent="0.2">
      <c r="A289" s="4">
        <v>288</v>
      </c>
      <c r="B289" t="s">
        <v>247</v>
      </c>
      <c r="C289">
        <v>62.36</v>
      </c>
      <c r="D289">
        <v>9</v>
      </c>
      <c r="E289">
        <v>19</v>
      </c>
      <c r="F289">
        <v>69.510000000000005</v>
      </c>
      <c r="G289">
        <v>0</v>
      </c>
      <c r="H289">
        <v>0</v>
      </c>
      <c r="I289">
        <v>0</v>
      </c>
      <c r="J289">
        <v>2</v>
      </c>
      <c r="K289">
        <v>61.86</v>
      </c>
      <c r="L289">
        <v>62.56</v>
      </c>
    </row>
    <row r="290" spans="1:12" x14ac:dyDescent="0.2">
      <c r="A290" s="4">
        <v>289</v>
      </c>
      <c r="B290" t="s">
        <v>173</v>
      </c>
      <c r="C290">
        <v>62.29</v>
      </c>
      <c r="D290">
        <v>8</v>
      </c>
      <c r="E290">
        <v>18</v>
      </c>
      <c r="F290">
        <v>69.22</v>
      </c>
      <c r="G290">
        <v>0</v>
      </c>
      <c r="H290">
        <v>0</v>
      </c>
      <c r="I290">
        <v>0</v>
      </c>
      <c r="J290">
        <v>0</v>
      </c>
      <c r="K290">
        <v>62.67</v>
      </c>
      <c r="L290">
        <v>61.58</v>
      </c>
    </row>
    <row r="291" spans="1:12" x14ac:dyDescent="0.2">
      <c r="A291" s="4">
        <v>290</v>
      </c>
      <c r="B291" t="s">
        <v>889</v>
      </c>
      <c r="C291">
        <v>61.9</v>
      </c>
      <c r="D291">
        <v>4</v>
      </c>
      <c r="E291">
        <v>22</v>
      </c>
      <c r="F291">
        <v>71.31</v>
      </c>
      <c r="G291">
        <v>0</v>
      </c>
      <c r="H291">
        <v>0</v>
      </c>
      <c r="I291">
        <v>0</v>
      </c>
      <c r="J291">
        <v>0</v>
      </c>
      <c r="K291">
        <v>58.16</v>
      </c>
      <c r="L291">
        <v>64.08</v>
      </c>
    </row>
    <row r="292" spans="1:12" x14ac:dyDescent="0.2">
      <c r="A292" s="4">
        <v>291</v>
      </c>
      <c r="B292" t="s">
        <v>227</v>
      </c>
      <c r="C292">
        <v>61.81</v>
      </c>
      <c r="D292">
        <v>6</v>
      </c>
      <c r="E292">
        <v>20</v>
      </c>
      <c r="F292">
        <v>69.510000000000005</v>
      </c>
      <c r="G292">
        <v>0</v>
      </c>
      <c r="H292">
        <v>0</v>
      </c>
      <c r="I292">
        <v>0</v>
      </c>
      <c r="J292">
        <v>0</v>
      </c>
      <c r="K292">
        <v>61.59</v>
      </c>
      <c r="L292">
        <v>61.74</v>
      </c>
    </row>
    <row r="293" spans="1:12" x14ac:dyDescent="0.2">
      <c r="A293" s="4">
        <v>292</v>
      </c>
      <c r="B293" t="s">
        <v>852</v>
      </c>
      <c r="C293">
        <v>61.71</v>
      </c>
      <c r="D293">
        <v>11</v>
      </c>
      <c r="E293">
        <v>16</v>
      </c>
      <c r="F293">
        <v>64.989999999999995</v>
      </c>
      <c r="G293">
        <v>0</v>
      </c>
      <c r="H293">
        <v>0</v>
      </c>
      <c r="I293">
        <v>0</v>
      </c>
      <c r="J293">
        <v>1</v>
      </c>
      <c r="K293">
        <v>61.92</v>
      </c>
      <c r="L293">
        <v>61.18</v>
      </c>
    </row>
    <row r="294" spans="1:12" x14ac:dyDescent="0.2">
      <c r="A294" s="4">
        <v>293</v>
      </c>
      <c r="B294" t="s">
        <v>251</v>
      </c>
      <c r="C294">
        <v>61.65</v>
      </c>
      <c r="D294">
        <v>12</v>
      </c>
      <c r="E294">
        <v>18</v>
      </c>
      <c r="F294">
        <v>66.27</v>
      </c>
      <c r="G294">
        <v>0</v>
      </c>
      <c r="H294">
        <v>0</v>
      </c>
      <c r="I294">
        <v>0</v>
      </c>
      <c r="J294">
        <v>2</v>
      </c>
      <c r="K294">
        <v>62.15</v>
      </c>
      <c r="L294">
        <v>60.79</v>
      </c>
    </row>
    <row r="295" spans="1:12" x14ac:dyDescent="0.2">
      <c r="A295" s="4">
        <v>294</v>
      </c>
      <c r="B295" t="s">
        <v>831</v>
      </c>
      <c r="C295">
        <v>61.62</v>
      </c>
      <c r="D295">
        <v>4</v>
      </c>
      <c r="E295">
        <v>23</v>
      </c>
      <c r="F295">
        <v>73.28</v>
      </c>
      <c r="G295">
        <v>0</v>
      </c>
      <c r="H295">
        <v>0</v>
      </c>
      <c r="I295">
        <v>1</v>
      </c>
      <c r="J295">
        <v>0</v>
      </c>
      <c r="K295">
        <v>59.26</v>
      </c>
      <c r="L295">
        <v>63.13</v>
      </c>
    </row>
    <row r="296" spans="1:12" x14ac:dyDescent="0.2">
      <c r="A296" s="4">
        <v>295</v>
      </c>
      <c r="B296" t="s">
        <v>194</v>
      </c>
      <c r="C296">
        <v>61.54</v>
      </c>
      <c r="D296">
        <v>7</v>
      </c>
      <c r="E296">
        <v>21</v>
      </c>
      <c r="F296">
        <v>67.36</v>
      </c>
      <c r="G296">
        <v>0</v>
      </c>
      <c r="H296">
        <v>0</v>
      </c>
      <c r="I296">
        <v>0</v>
      </c>
      <c r="J296">
        <v>1</v>
      </c>
      <c r="K296">
        <v>58.96</v>
      </c>
      <c r="L296">
        <v>63.17</v>
      </c>
    </row>
    <row r="297" spans="1:12" x14ac:dyDescent="0.2">
      <c r="A297" s="4">
        <v>296</v>
      </c>
      <c r="B297" t="s">
        <v>197</v>
      </c>
      <c r="C297">
        <v>61.36</v>
      </c>
      <c r="D297">
        <v>10</v>
      </c>
      <c r="E297">
        <v>17</v>
      </c>
      <c r="F297">
        <v>67.39</v>
      </c>
      <c r="G297">
        <v>0</v>
      </c>
      <c r="H297">
        <v>1</v>
      </c>
      <c r="I297">
        <v>0</v>
      </c>
      <c r="J297">
        <v>2</v>
      </c>
      <c r="K297">
        <v>61.48</v>
      </c>
      <c r="L297">
        <v>60.94</v>
      </c>
    </row>
    <row r="298" spans="1:12" x14ac:dyDescent="0.2">
      <c r="A298" s="4">
        <v>297</v>
      </c>
      <c r="B298" t="s">
        <v>238</v>
      </c>
      <c r="C298">
        <v>61.19</v>
      </c>
      <c r="D298">
        <v>5</v>
      </c>
      <c r="E298">
        <v>24</v>
      </c>
      <c r="F298">
        <v>73.27</v>
      </c>
      <c r="G298">
        <v>0</v>
      </c>
      <c r="H298">
        <v>0</v>
      </c>
      <c r="I298">
        <v>0</v>
      </c>
      <c r="J298">
        <v>1</v>
      </c>
      <c r="K298">
        <v>62.06</v>
      </c>
      <c r="L298">
        <v>59.83</v>
      </c>
    </row>
    <row r="299" spans="1:12" x14ac:dyDescent="0.2">
      <c r="A299" s="4">
        <v>298</v>
      </c>
      <c r="B299" t="s">
        <v>295</v>
      </c>
      <c r="C299">
        <v>61.01</v>
      </c>
      <c r="D299">
        <v>4</v>
      </c>
      <c r="E299">
        <v>22</v>
      </c>
      <c r="F299">
        <v>72.13</v>
      </c>
      <c r="G299">
        <v>0</v>
      </c>
      <c r="H299">
        <v>0</v>
      </c>
      <c r="I299">
        <v>0</v>
      </c>
      <c r="J299">
        <v>0</v>
      </c>
      <c r="K299">
        <v>59.03</v>
      </c>
      <c r="L299">
        <v>62.28</v>
      </c>
    </row>
    <row r="300" spans="1:12" x14ac:dyDescent="0.2">
      <c r="A300" s="4">
        <v>299</v>
      </c>
      <c r="B300" t="s">
        <v>901</v>
      </c>
      <c r="C300">
        <v>60.98</v>
      </c>
      <c r="D300">
        <v>9</v>
      </c>
      <c r="E300">
        <v>19</v>
      </c>
      <c r="F300">
        <v>65.94</v>
      </c>
      <c r="G300">
        <v>0</v>
      </c>
      <c r="H300">
        <v>0</v>
      </c>
      <c r="I300">
        <v>0</v>
      </c>
      <c r="J300">
        <v>0</v>
      </c>
      <c r="K300">
        <v>59.87</v>
      </c>
      <c r="L300">
        <v>61.68</v>
      </c>
    </row>
    <row r="301" spans="1:12" x14ac:dyDescent="0.2">
      <c r="A301" s="4">
        <v>300</v>
      </c>
      <c r="B301" t="s">
        <v>211</v>
      </c>
      <c r="C301">
        <v>60.89</v>
      </c>
      <c r="D301">
        <v>9</v>
      </c>
      <c r="E301">
        <v>19</v>
      </c>
      <c r="F301">
        <v>67.83</v>
      </c>
      <c r="G301">
        <v>0</v>
      </c>
      <c r="H301">
        <v>2</v>
      </c>
      <c r="I301">
        <v>0</v>
      </c>
      <c r="J301">
        <v>2</v>
      </c>
      <c r="K301">
        <v>61.48</v>
      </c>
      <c r="L301">
        <v>59.9</v>
      </c>
    </row>
    <row r="302" spans="1:12" x14ac:dyDescent="0.2">
      <c r="A302" s="4">
        <v>301</v>
      </c>
      <c r="B302" t="s">
        <v>159</v>
      </c>
      <c r="C302">
        <v>60.44</v>
      </c>
      <c r="D302">
        <v>8</v>
      </c>
      <c r="E302">
        <v>20</v>
      </c>
      <c r="F302">
        <v>68.260000000000005</v>
      </c>
      <c r="G302">
        <v>0</v>
      </c>
      <c r="H302">
        <v>0</v>
      </c>
      <c r="I302">
        <v>0</v>
      </c>
      <c r="J302">
        <v>1</v>
      </c>
      <c r="K302">
        <v>60.9</v>
      </c>
      <c r="L302">
        <v>59.61</v>
      </c>
    </row>
    <row r="303" spans="1:12" x14ac:dyDescent="0.2">
      <c r="A303" s="4">
        <v>302</v>
      </c>
      <c r="B303" t="s">
        <v>199</v>
      </c>
      <c r="C303">
        <v>60.43</v>
      </c>
      <c r="D303">
        <v>4</v>
      </c>
      <c r="E303">
        <v>20</v>
      </c>
      <c r="F303">
        <v>71.790000000000006</v>
      </c>
      <c r="G303">
        <v>0</v>
      </c>
      <c r="H303">
        <v>0</v>
      </c>
      <c r="I303">
        <v>0</v>
      </c>
      <c r="J303">
        <v>0</v>
      </c>
      <c r="K303">
        <v>58.46</v>
      </c>
      <c r="L303">
        <v>61.69</v>
      </c>
    </row>
    <row r="304" spans="1:12" x14ac:dyDescent="0.2">
      <c r="A304" s="4">
        <v>303</v>
      </c>
      <c r="B304" t="s">
        <v>838</v>
      </c>
      <c r="C304">
        <v>60.43</v>
      </c>
      <c r="D304">
        <v>9</v>
      </c>
      <c r="E304">
        <v>19</v>
      </c>
      <c r="F304">
        <v>66.430000000000007</v>
      </c>
      <c r="G304">
        <v>0</v>
      </c>
      <c r="H304">
        <v>0</v>
      </c>
      <c r="I304">
        <v>0</v>
      </c>
      <c r="J304">
        <v>1</v>
      </c>
      <c r="K304">
        <v>60.41</v>
      </c>
      <c r="L304">
        <v>60.15</v>
      </c>
    </row>
    <row r="305" spans="1:12" x14ac:dyDescent="0.2">
      <c r="A305" s="4">
        <v>304</v>
      </c>
      <c r="B305" t="s">
        <v>299</v>
      </c>
      <c r="C305">
        <v>60.34</v>
      </c>
      <c r="D305">
        <v>11</v>
      </c>
      <c r="E305">
        <v>17</v>
      </c>
      <c r="F305">
        <v>66.150000000000006</v>
      </c>
      <c r="G305">
        <v>0</v>
      </c>
      <c r="H305">
        <v>1</v>
      </c>
      <c r="I305">
        <v>0</v>
      </c>
      <c r="J305">
        <v>2</v>
      </c>
      <c r="K305">
        <v>62.48</v>
      </c>
      <c r="L305">
        <v>56.45</v>
      </c>
    </row>
    <row r="306" spans="1:12" x14ac:dyDescent="0.2">
      <c r="A306" s="4">
        <v>305</v>
      </c>
      <c r="B306" t="s">
        <v>557</v>
      </c>
      <c r="C306">
        <v>60.24</v>
      </c>
      <c r="D306">
        <v>3</v>
      </c>
      <c r="E306">
        <v>21</v>
      </c>
      <c r="F306">
        <v>72.819999999999993</v>
      </c>
      <c r="G306">
        <v>0</v>
      </c>
      <c r="H306">
        <v>0</v>
      </c>
      <c r="I306">
        <v>0</v>
      </c>
      <c r="J306">
        <v>0</v>
      </c>
      <c r="K306">
        <v>56.57</v>
      </c>
      <c r="L306">
        <v>62.29</v>
      </c>
    </row>
    <row r="307" spans="1:12" x14ac:dyDescent="0.2">
      <c r="A307" s="4">
        <v>306</v>
      </c>
      <c r="B307" t="s">
        <v>237</v>
      </c>
      <c r="C307">
        <v>59.92</v>
      </c>
      <c r="D307">
        <v>4</v>
      </c>
      <c r="E307">
        <v>23</v>
      </c>
      <c r="F307">
        <v>68.61</v>
      </c>
      <c r="G307">
        <v>0</v>
      </c>
      <c r="H307">
        <v>0</v>
      </c>
      <c r="I307">
        <v>0</v>
      </c>
      <c r="J307">
        <v>0</v>
      </c>
      <c r="K307">
        <v>56.92</v>
      </c>
      <c r="L307">
        <v>61.68</v>
      </c>
    </row>
    <row r="308" spans="1:12" x14ac:dyDescent="0.2">
      <c r="A308" s="4">
        <v>307</v>
      </c>
      <c r="B308" t="s">
        <v>246</v>
      </c>
      <c r="C308">
        <v>59.46</v>
      </c>
      <c r="D308">
        <v>8</v>
      </c>
      <c r="E308">
        <v>20</v>
      </c>
      <c r="F308">
        <v>65.709999999999994</v>
      </c>
      <c r="G308">
        <v>0</v>
      </c>
      <c r="H308">
        <v>0</v>
      </c>
      <c r="I308">
        <v>0</v>
      </c>
      <c r="J308">
        <v>0</v>
      </c>
      <c r="K308">
        <v>57.68</v>
      </c>
      <c r="L308">
        <v>60.58</v>
      </c>
    </row>
    <row r="309" spans="1:12" x14ac:dyDescent="0.2">
      <c r="A309" s="4">
        <v>308</v>
      </c>
      <c r="B309" t="s">
        <v>903</v>
      </c>
      <c r="C309">
        <v>59.15</v>
      </c>
      <c r="D309">
        <v>8</v>
      </c>
      <c r="E309">
        <v>20</v>
      </c>
      <c r="F309">
        <v>66.7</v>
      </c>
      <c r="G309">
        <v>0</v>
      </c>
      <c r="H309">
        <v>0</v>
      </c>
      <c r="I309">
        <v>0</v>
      </c>
      <c r="J309">
        <v>1</v>
      </c>
      <c r="K309">
        <v>59.27</v>
      </c>
      <c r="L309">
        <v>58.72</v>
      </c>
    </row>
    <row r="310" spans="1:12" x14ac:dyDescent="0.2">
      <c r="A310" s="4">
        <v>309</v>
      </c>
      <c r="B310" t="s">
        <v>893</v>
      </c>
      <c r="C310">
        <v>59.07</v>
      </c>
      <c r="D310">
        <v>6</v>
      </c>
      <c r="E310">
        <v>21</v>
      </c>
      <c r="F310">
        <v>67.650000000000006</v>
      </c>
      <c r="G310">
        <v>0</v>
      </c>
      <c r="H310">
        <v>0</v>
      </c>
      <c r="I310">
        <v>0</v>
      </c>
      <c r="J310">
        <v>2</v>
      </c>
      <c r="K310">
        <v>56.85</v>
      </c>
      <c r="L310">
        <v>60.43</v>
      </c>
    </row>
    <row r="311" spans="1:12" x14ac:dyDescent="0.2">
      <c r="A311" s="4">
        <v>310</v>
      </c>
      <c r="B311" t="s">
        <v>209</v>
      </c>
      <c r="C311">
        <v>58.94</v>
      </c>
      <c r="D311">
        <v>4</v>
      </c>
      <c r="E311">
        <v>21</v>
      </c>
      <c r="F311">
        <v>69.930000000000007</v>
      </c>
      <c r="G311">
        <v>0</v>
      </c>
      <c r="H311">
        <v>0</v>
      </c>
      <c r="I311">
        <v>0</v>
      </c>
      <c r="J311">
        <v>0</v>
      </c>
      <c r="K311">
        <v>58.2</v>
      </c>
      <c r="L311">
        <v>59.33</v>
      </c>
    </row>
    <row r="312" spans="1:12" x14ac:dyDescent="0.2">
      <c r="A312" s="4">
        <v>311</v>
      </c>
      <c r="B312" t="s">
        <v>853</v>
      </c>
      <c r="C312">
        <v>58.88</v>
      </c>
      <c r="D312">
        <v>4</v>
      </c>
      <c r="E312">
        <v>24</v>
      </c>
      <c r="F312">
        <v>70.47</v>
      </c>
      <c r="G312">
        <v>0</v>
      </c>
      <c r="H312">
        <v>0</v>
      </c>
      <c r="I312">
        <v>0</v>
      </c>
      <c r="J312">
        <v>0</v>
      </c>
      <c r="K312">
        <v>57.1</v>
      </c>
      <c r="L312">
        <v>59.99</v>
      </c>
    </row>
    <row r="313" spans="1:12" x14ac:dyDescent="0.2">
      <c r="A313" s="4">
        <v>312</v>
      </c>
      <c r="B313" t="s">
        <v>867</v>
      </c>
      <c r="C313">
        <v>58.8</v>
      </c>
      <c r="D313">
        <v>8</v>
      </c>
      <c r="E313">
        <v>19</v>
      </c>
      <c r="F313">
        <v>67.55</v>
      </c>
      <c r="G313">
        <v>0</v>
      </c>
      <c r="H313">
        <v>0</v>
      </c>
      <c r="I313">
        <v>0</v>
      </c>
      <c r="J313">
        <v>1</v>
      </c>
      <c r="K313">
        <v>59.71</v>
      </c>
      <c r="L313">
        <v>57.33</v>
      </c>
    </row>
    <row r="314" spans="1:12" x14ac:dyDescent="0.2">
      <c r="A314" s="4">
        <v>313</v>
      </c>
      <c r="B314" t="s">
        <v>907</v>
      </c>
      <c r="C314">
        <v>58.32</v>
      </c>
      <c r="D314">
        <v>6</v>
      </c>
      <c r="E314">
        <v>22</v>
      </c>
      <c r="F314">
        <v>68.040000000000006</v>
      </c>
      <c r="G314">
        <v>0</v>
      </c>
      <c r="H314">
        <v>0</v>
      </c>
      <c r="I314">
        <v>0</v>
      </c>
      <c r="J314">
        <v>0</v>
      </c>
      <c r="K314">
        <v>57.77</v>
      </c>
      <c r="L314">
        <v>58.54</v>
      </c>
    </row>
    <row r="315" spans="1:12" x14ac:dyDescent="0.2">
      <c r="A315" s="4">
        <v>314</v>
      </c>
      <c r="B315" t="s">
        <v>235</v>
      </c>
      <c r="C315">
        <v>57.98</v>
      </c>
      <c r="D315">
        <v>9</v>
      </c>
      <c r="E315">
        <v>19</v>
      </c>
      <c r="F315">
        <v>66.28</v>
      </c>
      <c r="G315">
        <v>0</v>
      </c>
      <c r="H315">
        <v>0</v>
      </c>
      <c r="I315">
        <v>0</v>
      </c>
      <c r="J315">
        <v>1</v>
      </c>
      <c r="K315">
        <v>60.04</v>
      </c>
      <c r="L315">
        <v>53.83</v>
      </c>
    </row>
    <row r="316" spans="1:12" x14ac:dyDescent="0.2">
      <c r="A316" s="4">
        <v>315</v>
      </c>
      <c r="B316" t="s">
        <v>217</v>
      </c>
      <c r="C316">
        <v>57.84</v>
      </c>
      <c r="D316">
        <v>5</v>
      </c>
      <c r="E316">
        <v>23</v>
      </c>
      <c r="F316">
        <v>68.5</v>
      </c>
      <c r="G316">
        <v>0</v>
      </c>
      <c r="H316">
        <v>0</v>
      </c>
      <c r="I316">
        <v>0</v>
      </c>
      <c r="J316">
        <v>0</v>
      </c>
      <c r="K316">
        <v>55.85</v>
      </c>
      <c r="L316">
        <v>59.05</v>
      </c>
    </row>
    <row r="317" spans="1:12" x14ac:dyDescent="0.2">
      <c r="A317" s="4">
        <v>316</v>
      </c>
      <c r="B317" t="s">
        <v>832</v>
      </c>
      <c r="C317">
        <v>57.19</v>
      </c>
      <c r="D317">
        <v>5</v>
      </c>
      <c r="E317">
        <v>25</v>
      </c>
      <c r="F317">
        <v>68.53</v>
      </c>
      <c r="G317">
        <v>0</v>
      </c>
      <c r="H317">
        <v>1</v>
      </c>
      <c r="I317">
        <v>0</v>
      </c>
      <c r="J317">
        <v>1</v>
      </c>
      <c r="K317">
        <v>55.87</v>
      </c>
      <c r="L317">
        <v>57.99</v>
      </c>
    </row>
    <row r="318" spans="1:12" x14ac:dyDescent="0.2">
      <c r="A318" s="4">
        <v>317</v>
      </c>
      <c r="B318" t="s">
        <v>898</v>
      </c>
      <c r="C318">
        <v>56.75</v>
      </c>
      <c r="D318">
        <v>7</v>
      </c>
      <c r="E318">
        <v>19</v>
      </c>
      <c r="F318">
        <v>65.38</v>
      </c>
      <c r="G318">
        <v>0</v>
      </c>
      <c r="H318">
        <v>0</v>
      </c>
      <c r="I318">
        <v>0</v>
      </c>
      <c r="J318">
        <v>0</v>
      </c>
      <c r="K318">
        <v>57.79</v>
      </c>
      <c r="L318">
        <v>55.01</v>
      </c>
    </row>
    <row r="319" spans="1:12" x14ac:dyDescent="0.2">
      <c r="A319" s="4">
        <v>318</v>
      </c>
      <c r="B319" t="s">
        <v>841</v>
      </c>
      <c r="C319">
        <v>56.48</v>
      </c>
      <c r="D319">
        <v>3</v>
      </c>
      <c r="E319">
        <v>25</v>
      </c>
      <c r="F319">
        <v>69.13</v>
      </c>
      <c r="G319">
        <v>0</v>
      </c>
      <c r="H319">
        <v>0</v>
      </c>
      <c r="I319">
        <v>0</v>
      </c>
      <c r="J319">
        <v>1</v>
      </c>
      <c r="K319">
        <v>53.33</v>
      </c>
      <c r="L319">
        <v>58.15</v>
      </c>
    </row>
    <row r="320" spans="1:12" x14ac:dyDescent="0.2">
      <c r="A320" s="4">
        <v>319</v>
      </c>
      <c r="B320" t="s">
        <v>266</v>
      </c>
      <c r="C320">
        <v>54.9</v>
      </c>
      <c r="D320">
        <v>4</v>
      </c>
      <c r="E320">
        <v>25</v>
      </c>
      <c r="F320">
        <v>65.53</v>
      </c>
      <c r="G320">
        <v>0</v>
      </c>
      <c r="H320">
        <v>0</v>
      </c>
      <c r="I320">
        <v>0</v>
      </c>
      <c r="J320">
        <v>0</v>
      </c>
      <c r="K320">
        <v>51.82</v>
      </c>
      <c r="L320">
        <v>56.47</v>
      </c>
    </row>
    <row r="321" spans="1:12" x14ac:dyDescent="0.2">
      <c r="A321" s="4">
        <v>320</v>
      </c>
      <c r="B321" t="s">
        <v>137</v>
      </c>
      <c r="C321">
        <v>54.69</v>
      </c>
      <c r="D321">
        <v>3</v>
      </c>
      <c r="E321">
        <v>24</v>
      </c>
      <c r="F321">
        <v>68.02</v>
      </c>
      <c r="G321">
        <v>0</v>
      </c>
      <c r="H321">
        <v>0</v>
      </c>
      <c r="I321">
        <v>0</v>
      </c>
      <c r="J321">
        <v>0</v>
      </c>
      <c r="K321">
        <v>54.89</v>
      </c>
      <c r="L321">
        <v>54.16</v>
      </c>
    </row>
    <row r="322" spans="1:12" x14ac:dyDescent="0.2">
      <c r="A322" s="4">
        <v>321</v>
      </c>
      <c r="B322" t="s">
        <v>848</v>
      </c>
      <c r="C322">
        <v>54.42</v>
      </c>
      <c r="D322">
        <v>4</v>
      </c>
      <c r="E322">
        <v>23</v>
      </c>
      <c r="F322">
        <v>71.739999999999995</v>
      </c>
      <c r="G322">
        <v>0</v>
      </c>
      <c r="H322">
        <v>1</v>
      </c>
      <c r="I322">
        <v>0</v>
      </c>
      <c r="J322">
        <v>3</v>
      </c>
      <c r="K322">
        <v>56.23</v>
      </c>
      <c r="L322">
        <v>50.46</v>
      </c>
    </row>
    <row r="323" spans="1:12" x14ac:dyDescent="0.2">
      <c r="A323" s="4">
        <v>322</v>
      </c>
      <c r="B323" t="s">
        <v>554</v>
      </c>
      <c r="C323">
        <v>54.08</v>
      </c>
      <c r="D323">
        <v>5</v>
      </c>
      <c r="E323">
        <v>22</v>
      </c>
      <c r="F323">
        <v>67.2</v>
      </c>
      <c r="G323">
        <v>0</v>
      </c>
      <c r="H323">
        <v>0</v>
      </c>
      <c r="I323">
        <v>0</v>
      </c>
      <c r="J323">
        <v>1</v>
      </c>
      <c r="K323">
        <v>55.08</v>
      </c>
      <c r="L323">
        <v>52.33</v>
      </c>
    </row>
    <row r="324" spans="1:12" x14ac:dyDescent="0.2">
      <c r="A324" s="4">
        <v>323</v>
      </c>
      <c r="B324" t="s">
        <v>824</v>
      </c>
      <c r="C324">
        <v>53.99</v>
      </c>
      <c r="D324">
        <v>1</v>
      </c>
      <c r="E324">
        <v>26</v>
      </c>
      <c r="F324">
        <v>73.05</v>
      </c>
      <c r="G324">
        <v>0</v>
      </c>
      <c r="H324">
        <v>0</v>
      </c>
      <c r="I324">
        <v>0</v>
      </c>
      <c r="J324">
        <v>1</v>
      </c>
      <c r="K324">
        <v>51.1</v>
      </c>
      <c r="L324">
        <v>55.47</v>
      </c>
    </row>
    <row r="325" spans="1:12" x14ac:dyDescent="0.2">
      <c r="A325" s="4">
        <v>324</v>
      </c>
      <c r="B325" t="s">
        <v>845</v>
      </c>
      <c r="C325">
        <v>53.48</v>
      </c>
      <c r="D325">
        <v>1</v>
      </c>
      <c r="E325">
        <v>25</v>
      </c>
      <c r="F325">
        <v>72.62</v>
      </c>
      <c r="G325">
        <v>0</v>
      </c>
      <c r="H325">
        <v>0</v>
      </c>
      <c r="I325">
        <v>0</v>
      </c>
      <c r="J325">
        <v>1</v>
      </c>
      <c r="K325">
        <v>53.95</v>
      </c>
      <c r="L325">
        <v>52.6</v>
      </c>
    </row>
    <row r="326" spans="1:12" x14ac:dyDescent="0.2">
      <c r="A326" s="4">
        <v>325</v>
      </c>
      <c r="B326" t="s">
        <v>213</v>
      </c>
      <c r="C326">
        <v>51.5</v>
      </c>
      <c r="D326">
        <v>3</v>
      </c>
      <c r="E326">
        <v>24</v>
      </c>
      <c r="F326">
        <v>66.22</v>
      </c>
      <c r="G326">
        <v>0</v>
      </c>
      <c r="H326">
        <v>0</v>
      </c>
      <c r="I326">
        <v>0</v>
      </c>
      <c r="J326">
        <v>1</v>
      </c>
      <c r="K326">
        <v>50.42</v>
      </c>
      <c r="L326">
        <v>52.09</v>
      </c>
    </row>
    <row r="327" spans="1:12" x14ac:dyDescent="0.2">
      <c r="A327" s="4">
        <v>326</v>
      </c>
      <c r="B327" t="s">
        <v>844</v>
      </c>
      <c r="C327">
        <v>51.42</v>
      </c>
      <c r="D327">
        <v>2</v>
      </c>
      <c r="E327">
        <v>24</v>
      </c>
      <c r="F327">
        <v>70.12</v>
      </c>
      <c r="G327">
        <v>0</v>
      </c>
      <c r="H327">
        <v>0</v>
      </c>
      <c r="I327">
        <v>0</v>
      </c>
      <c r="J327">
        <v>1</v>
      </c>
      <c r="K327">
        <v>52.51</v>
      </c>
      <c r="L327">
        <v>49.38</v>
      </c>
    </row>
    <row r="328" spans="1:12" x14ac:dyDescent="0.2">
      <c r="A328" s="4">
        <v>327</v>
      </c>
      <c r="B328" t="s">
        <v>270</v>
      </c>
      <c r="C328">
        <v>50.52</v>
      </c>
      <c r="D328">
        <v>2</v>
      </c>
      <c r="E328">
        <v>26</v>
      </c>
      <c r="F328">
        <v>69.150000000000006</v>
      </c>
      <c r="G328">
        <v>0</v>
      </c>
      <c r="H328">
        <v>0</v>
      </c>
      <c r="I328">
        <v>0</v>
      </c>
      <c r="J328">
        <v>2</v>
      </c>
      <c r="K328">
        <v>50.7</v>
      </c>
      <c r="L328">
        <v>50.02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7A41-85C2-4E01-B171-68B9C6DAA597}">
  <dimension ref="A1:N354"/>
  <sheetViews>
    <sheetView topLeftCell="A267" workbookViewId="0">
      <selection activeCell="N287" sqref="N287"/>
    </sheetView>
  </sheetViews>
  <sheetFormatPr baseColWidth="10" defaultColWidth="8.83203125" defaultRowHeight="15" x14ac:dyDescent="0.2"/>
  <cols>
    <col min="2" max="2" width="17.33203125" bestFit="1" customWidth="1"/>
  </cols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  <c r="N1" t="s">
        <v>305</v>
      </c>
    </row>
    <row r="2" spans="1:14" x14ac:dyDescent="0.2">
      <c r="A2" s="1">
        <v>1</v>
      </c>
      <c r="B2" t="s">
        <v>9</v>
      </c>
      <c r="C2">
        <f xml:space="preserve">  95.95</f>
        <v>95.95</v>
      </c>
      <c r="D2">
        <v>32</v>
      </c>
      <c r="E2">
        <v>6</v>
      </c>
      <c r="F2">
        <v>82.54</v>
      </c>
      <c r="G2">
        <v>9</v>
      </c>
      <c r="H2">
        <v>5</v>
      </c>
      <c r="I2">
        <v>16</v>
      </c>
      <c r="J2">
        <v>6</v>
      </c>
      <c r="K2">
        <v>95.88</v>
      </c>
      <c r="L2">
        <v>95.73</v>
      </c>
      <c r="M2">
        <v>95.12</v>
      </c>
      <c r="N2" t="s">
        <v>10</v>
      </c>
    </row>
    <row r="3" spans="1:14" x14ac:dyDescent="0.2">
      <c r="A3" s="1">
        <v>2</v>
      </c>
      <c r="B3" t="s">
        <v>70</v>
      </c>
      <c r="C3">
        <f xml:space="preserve">  95.32</f>
        <v>95.32</v>
      </c>
      <c r="D3">
        <v>35</v>
      </c>
      <c r="E3">
        <v>3</v>
      </c>
      <c r="F3">
        <v>81.599999999999994</v>
      </c>
      <c r="G3">
        <v>8</v>
      </c>
      <c r="H3">
        <v>3</v>
      </c>
      <c r="I3">
        <v>17</v>
      </c>
      <c r="J3">
        <v>3</v>
      </c>
      <c r="K3">
        <v>94.78</v>
      </c>
      <c r="L3">
        <v>95.79</v>
      </c>
      <c r="M3">
        <v>100.16</v>
      </c>
      <c r="N3" t="s">
        <v>10</v>
      </c>
    </row>
    <row r="4" spans="1:14" x14ac:dyDescent="0.2">
      <c r="A4" s="1">
        <v>3</v>
      </c>
      <c r="B4" t="s">
        <v>0</v>
      </c>
      <c r="C4">
        <f xml:space="preserve">  95.23</f>
        <v>95.23</v>
      </c>
      <c r="D4">
        <v>33</v>
      </c>
      <c r="E4">
        <v>4</v>
      </c>
      <c r="F4">
        <v>75.819999999999993</v>
      </c>
      <c r="G4">
        <v>2</v>
      </c>
      <c r="H4">
        <v>3</v>
      </c>
      <c r="I4">
        <v>7</v>
      </c>
      <c r="J4">
        <v>4</v>
      </c>
      <c r="K4">
        <v>96.05</v>
      </c>
      <c r="L4">
        <v>94.18</v>
      </c>
      <c r="M4">
        <v>91.62</v>
      </c>
      <c r="N4" t="s">
        <v>1</v>
      </c>
    </row>
    <row r="5" spans="1:14" x14ac:dyDescent="0.2">
      <c r="A5" s="1">
        <v>4</v>
      </c>
      <c r="B5" t="s">
        <v>794</v>
      </c>
      <c r="C5">
        <f xml:space="preserve">  94.12</f>
        <v>94.12</v>
      </c>
      <c r="D5">
        <v>32</v>
      </c>
      <c r="E5">
        <v>7</v>
      </c>
      <c r="F5">
        <v>82.99</v>
      </c>
      <c r="G5">
        <v>10</v>
      </c>
      <c r="H5">
        <v>3</v>
      </c>
      <c r="I5">
        <v>21</v>
      </c>
      <c r="J5">
        <v>6</v>
      </c>
      <c r="K5">
        <v>93.93</v>
      </c>
      <c r="L5">
        <v>93.83</v>
      </c>
      <c r="M5">
        <v>94.57</v>
      </c>
      <c r="N5" t="s">
        <v>17</v>
      </c>
    </row>
    <row r="6" spans="1:14" x14ac:dyDescent="0.2">
      <c r="A6" s="1">
        <v>5</v>
      </c>
      <c r="B6" t="s">
        <v>36</v>
      </c>
      <c r="C6">
        <f xml:space="preserve">  93.49</f>
        <v>93.49</v>
      </c>
      <c r="D6">
        <v>29</v>
      </c>
      <c r="E6">
        <v>7</v>
      </c>
      <c r="F6">
        <v>82.3</v>
      </c>
      <c r="G6">
        <v>5</v>
      </c>
      <c r="H6">
        <v>6</v>
      </c>
      <c r="I6">
        <v>13</v>
      </c>
      <c r="J6">
        <v>7</v>
      </c>
      <c r="K6">
        <v>93.4</v>
      </c>
      <c r="L6">
        <v>93.03</v>
      </c>
      <c r="M6">
        <v>93.36</v>
      </c>
      <c r="N6" t="s">
        <v>10</v>
      </c>
    </row>
    <row r="7" spans="1:14" x14ac:dyDescent="0.2">
      <c r="A7" s="1">
        <v>6</v>
      </c>
      <c r="B7" t="s">
        <v>31</v>
      </c>
      <c r="C7">
        <f xml:space="preserve">  91.79</f>
        <v>91.79</v>
      </c>
      <c r="D7">
        <v>31</v>
      </c>
      <c r="E7">
        <v>7</v>
      </c>
      <c r="F7">
        <v>81.63</v>
      </c>
      <c r="G7">
        <v>8</v>
      </c>
      <c r="H7">
        <v>5</v>
      </c>
      <c r="I7">
        <v>16</v>
      </c>
      <c r="J7">
        <v>6</v>
      </c>
      <c r="K7">
        <v>91.36</v>
      </c>
      <c r="L7">
        <v>91.58</v>
      </c>
      <c r="M7">
        <v>96.54</v>
      </c>
      <c r="N7" t="s">
        <v>3</v>
      </c>
    </row>
    <row r="8" spans="1:14" x14ac:dyDescent="0.2">
      <c r="A8" s="1">
        <v>7</v>
      </c>
      <c r="B8" t="s">
        <v>15</v>
      </c>
      <c r="C8">
        <f xml:space="preserve">  91.75</f>
        <v>91.75</v>
      </c>
      <c r="D8">
        <v>30</v>
      </c>
      <c r="E8">
        <v>7</v>
      </c>
      <c r="F8">
        <v>81.680000000000007</v>
      </c>
      <c r="G8">
        <v>10</v>
      </c>
      <c r="H8">
        <v>5</v>
      </c>
      <c r="I8">
        <v>14</v>
      </c>
      <c r="J8">
        <v>5</v>
      </c>
      <c r="K8">
        <v>91.36</v>
      </c>
      <c r="L8">
        <v>92.1</v>
      </c>
      <c r="M8">
        <v>93</v>
      </c>
      <c r="N8" t="s">
        <v>14</v>
      </c>
    </row>
    <row r="9" spans="1:14" x14ac:dyDescent="0.2">
      <c r="A9" s="1">
        <v>8</v>
      </c>
      <c r="B9" t="s">
        <v>39</v>
      </c>
      <c r="C9">
        <f xml:space="preserve">  90.82</f>
        <v>90.82</v>
      </c>
      <c r="D9">
        <v>30</v>
      </c>
      <c r="E9">
        <v>7</v>
      </c>
      <c r="F9">
        <v>81.59</v>
      </c>
      <c r="G9">
        <v>5</v>
      </c>
      <c r="H9">
        <v>5</v>
      </c>
      <c r="I9">
        <v>16</v>
      </c>
      <c r="J9">
        <v>7</v>
      </c>
      <c r="K9">
        <v>90.71</v>
      </c>
      <c r="L9">
        <v>91.57</v>
      </c>
      <c r="M9">
        <v>88.81</v>
      </c>
      <c r="N9" t="s">
        <v>17</v>
      </c>
    </row>
    <row r="10" spans="1:14" x14ac:dyDescent="0.2">
      <c r="A10" s="1">
        <v>9</v>
      </c>
      <c r="B10" t="s">
        <v>13</v>
      </c>
      <c r="C10">
        <f xml:space="preserve">  90.74</f>
        <v>90.74</v>
      </c>
      <c r="D10">
        <v>30</v>
      </c>
      <c r="E10">
        <v>6</v>
      </c>
      <c r="F10">
        <v>81.09</v>
      </c>
      <c r="G10">
        <v>7</v>
      </c>
      <c r="H10">
        <v>6</v>
      </c>
      <c r="I10">
        <v>11</v>
      </c>
      <c r="J10">
        <v>6</v>
      </c>
      <c r="K10">
        <v>90.59</v>
      </c>
      <c r="L10">
        <v>91.23</v>
      </c>
      <c r="M10">
        <v>89.36</v>
      </c>
      <c r="N10" t="s">
        <v>14</v>
      </c>
    </row>
    <row r="11" spans="1:14" x14ac:dyDescent="0.2">
      <c r="A11" s="1">
        <v>10</v>
      </c>
      <c r="B11" t="s">
        <v>16</v>
      </c>
      <c r="C11">
        <f xml:space="preserve">  90.67</f>
        <v>90.67</v>
      </c>
      <c r="D11">
        <v>26</v>
      </c>
      <c r="E11">
        <v>10</v>
      </c>
      <c r="F11">
        <v>82.57</v>
      </c>
      <c r="G11">
        <v>4</v>
      </c>
      <c r="H11">
        <v>6</v>
      </c>
      <c r="I11">
        <v>15</v>
      </c>
      <c r="J11">
        <v>9</v>
      </c>
      <c r="K11">
        <v>90.49</v>
      </c>
      <c r="L11">
        <v>89.98</v>
      </c>
      <c r="M11">
        <v>92.21</v>
      </c>
      <c r="N11" t="s">
        <v>17</v>
      </c>
    </row>
    <row r="12" spans="1:14" x14ac:dyDescent="0.2">
      <c r="A12" s="1">
        <v>11</v>
      </c>
      <c r="B12" t="s">
        <v>33</v>
      </c>
      <c r="C12">
        <f xml:space="preserve">  90.49</f>
        <v>90.49</v>
      </c>
      <c r="D12">
        <v>29</v>
      </c>
      <c r="E12">
        <v>10</v>
      </c>
      <c r="F12">
        <v>82.14</v>
      </c>
      <c r="G12">
        <v>8</v>
      </c>
      <c r="H12">
        <v>6</v>
      </c>
      <c r="I12">
        <v>10</v>
      </c>
      <c r="J12">
        <v>9</v>
      </c>
      <c r="K12">
        <v>90.11</v>
      </c>
      <c r="L12">
        <v>89.81</v>
      </c>
      <c r="M12">
        <v>98.72</v>
      </c>
      <c r="N12" t="s">
        <v>14</v>
      </c>
    </row>
    <row r="13" spans="1:14" x14ac:dyDescent="0.2">
      <c r="A13" s="1">
        <v>12</v>
      </c>
      <c r="B13" t="s">
        <v>2</v>
      </c>
      <c r="C13">
        <f xml:space="preserve">  88.85</f>
        <v>88.85</v>
      </c>
      <c r="D13">
        <v>26</v>
      </c>
      <c r="E13">
        <v>10</v>
      </c>
      <c r="F13">
        <v>83.58</v>
      </c>
      <c r="G13">
        <v>8</v>
      </c>
      <c r="H13">
        <v>7</v>
      </c>
      <c r="I13">
        <v>15</v>
      </c>
      <c r="J13">
        <v>8</v>
      </c>
      <c r="K13">
        <v>88.81</v>
      </c>
      <c r="L13">
        <v>89.71</v>
      </c>
      <c r="M13">
        <v>86.28</v>
      </c>
      <c r="N13" t="s">
        <v>3</v>
      </c>
    </row>
    <row r="14" spans="1:14" x14ac:dyDescent="0.2">
      <c r="A14" s="1">
        <v>13</v>
      </c>
      <c r="B14" t="s">
        <v>41</v>
      </c>
      <c r="C14">
        <f xml:space="preserve">  88.81</f>
        <v>88.81</v>
      </c>
      <c r="D14">
        <v>26</v>
      </c>
      <c r="E14">
        <v>9</v>
      </c>
      <c r="F14">
        <v>79.36</v>
      </c>
      <c r="G14">
        <v>2</v>
      </c>
      <c r="H14">
        <v>6</v>
      </c>
      <c r="I14">
        <v>5</v>
      </c>
      <c r="J14">
        <v>9</v>
      </c>
      <c r="K14">
        <v>88.54</v>
      </c>
      <c r="L14">
        <v>88.71</v>
      </c>
      <c r="M14">
        <v>89.59</v>
      </c>
      <c r="N14" t="s">
        <v>10</v>
      </c>
    </row>
    <row r="15" spans="1:14" x14ac:dyDescent="0.2">
      <c r="A15" s="1">
        <v>14</v>
      </c>
      <c r="B15" t="s">
        <v>4</v>
      </c>
      <c r="C15">
        <f xml:space="preserve">  88.72</f>
        <v>88.72</v>
      </c>
      <c r="D15">
        <v>33</v>
      </c>
      <c r="E15">
        <v>4</v>
      </c>
      <c r="F15">
        <v>76.489999999999995</v>
      </c>
      <c r="G15">
        <v>3</v>
      </c>
      <c r="H15">
        <v>2</v>
      </c>
      <c r="I15">
        <v>7</v>
      </c>
      <c r="J15">
        <v>3</v>
      </c>
      <c r="K15">
        <v>88.43</v>
      </c>
      <c r="L15">
        <v>89.18</v>
      </c>
      <c r="M15">
        <v>88.59</v>
      </c>
      <c r="N15" t="s">
        <v>5</v>
      </c>
    </row>
    <row r="16" spans="1:14" x14ac:dyDescent="0.2">
      <c r="A16" s="1">
        <v>15</v>
      </c>
      <c r="B16" t="s">
        <v>795</v>
      </c>
      <c r="C16">
        <f xml:space="preserve">  88.04</f>
        <v>88.04</v>
      </c>
      <c r="D16">
        <v>23</v>
      </c>
      <c r="E16">
        <v>12</v>
      </c>
      <c r="F16">
        <v>81.39</v>
      </c>
      <c r="G16">
        <v>6</v>
      </c>
      <c r="H16">
        <v>4</v>
      </c>
      <c r="I16">
        <v>10</v>
      </c>
      <c r="J16">
        <v>10</v>
      </c>
      <c r="K16">
        <v>88.39</v>
      </c>
      <c r="L16">
        <v>87.26</v>
      </c>
      <c r="M16">
        <v>85.36</v>
      </c>
      <c r="N16" t="s">
        <v>3</v>
      </c>
    </row>
    <row r="17" spans="1:14" x14ac:dyDescent="0.2">
      <c r="A17" s="1">
        <v>16</v>
      </c>
      <c r="B17" t="s">
        <v>793</v>
      </c>
      <c r="C17">
        <f xml:space="preserve">  87.94</f>
        <v>87.94</v>
      </c>
      <c r="D17">
        <v>29</v>
      </c>
      <c r="E17">
        <v>8</v>
      </c>
      <c r="F17">
        <v>80.83</v>
      </c>
      <c r="G17">
        <v>6</v>
      </c>
      <c r="H17">
        <v>6</v>
      </c>
      <c r="I17">
        <v>11</v>
      </c>
      <c r="J17">
        <v>6</v>
      </c>
      <c r="K17">
        <v>87.47</v>
      </c>
      <c r="L17">
        <v>88.8</v>
      </c>
      <c r="M17">
        <v>89</v>
      </c>
      <c r="N17" t="s">
        <v>10</v>
      </c>
    </row>
    <row r="18" spans="1:14" x14ac:dyDescent="0.2">
      <c r="A18" s="1">
        <v>17</v>
      </c>
      <c r="B18" t="s">
        <v>43</v>
      </c>
      <c r="C18">
        <f xml:space="preserve">  87.22</f>
        <v>87.22</v>
      </c>
      <c r="D18">
        <v>23</v>
      </c>
      <c r="E18">
        <v>11</v>
      </c>
      <c r="F18">
        <v>82.69</v>
      </c>
      <c r="G18">
        <v>1</v>
      </c>
      <c r="H18">
        <v>5</v>
      </c>
      <c r="I18">
        <v>12</v>
      </c>
      <c r="J18">
        <v>10</v>
      </c>
      <c r="K18">
        <v>87.53</v>
      </c>
      <c r="L18">
        <v>87.49</v>
      </c>
      <c r="M18">
        <v>83.41</v>
      </c>
      <c r="N18" t="s">
        <v>17</v>
      </c>
    </row>
    <row r="19" spans="1:14" x14ac:dyDescent="0.2">
      <c r="A19" s="1">
        <v>18</v>
      </c>
      <c r="B19" t="s">
        <v>11</v>
      </c>
      <c r="C19">
        <f xml:space="preserve">  86.85</f>
        <v>86.85</v>
      </c>
      <c r="D19">
        <v>26</v>
      </c>
      <c r="E19">
        <v>10</v>
      </c>
      <c r="F19">
        <v>79.53</v>
      </c>
      <c r="G19">
        <v>1</v>
      </c>
      <c r="H19">
        <v>3</v>
      </c>
      <c r="I19">
        <v>5</v>
      </c>
      <c r="J19">
        <v>4</v>
      </c>
      <c r="K19">
        <v>86.77</v>
      </c>
      <c r="L19">
        <v>87.33</v>
      </c>
      <c r="M19">
        <v>84.91</v>
      </c>
      <c r="N19" t="s">
        <v>12</v>
      </c>
    </row>
    <row r="20" spans="1:14" x14ac:dyDescent="0.2">
      <c r="A20" s="1">
        <v>19</v>
      </c>
      <c r="B20" t="s">
        <v>273</v>
      </c>
      <c r="C20">
        <f xml:space="preserve">  86.85</f>
        <v>86.85</v>
      </c>
      <c r="D20">
        <v>28</v>
      </c>
      <c r="E20">
        <v>7</v>
      </c>
      <c r="F20">
        <v>80.38</v>
      </c>
      <c r="G20">
        <v>5</v>
      </c>
      <c r="H20">
        <v>5</v>
      </c>
      <c r="I20">
        <v>9</v>
      </c>
      <c r="J20">
        <v>6</v>
      </c>
      <c r="K20">
        <v>86.42</v>
      </c>
      <c r="L20">
        <v>87.29</v>
      </c>
      <c r="M20">
        <v>88.23</v>
      </c>
      <c r="N20" t="s">
        <v>14</v>
      </c>
    </row>
    <row r="21" spans="1:14" x14ac:dyDescent="0.2">
      <c r="A21" s="1">
        <v>20</v>
      </c>
      <c r="B21" t="s">
        <v>802</v>
      </c>
      <c r="C21">
        <f xml:space="preserve">  86.57</f>
        <v>86.57</v>
      </c>
      <c r="D21">
        <v>25</v>
      </c>
      <c r="E21">
        <v>9</v>
      </c>
      <c r="F21">
        <v>80.92</v>
      </c>
      <c r="G21">
        <v>4</v>
      </c>
      <c r="H21">
        <v>5</v>
      </c>
      <c r="I21">
        <v>11</v>
      </c>
      <c r="J21">
        <v>6</v>
      </c>
      <c r="K21">
        <v>86.68</v>
      </c>
      <c r="L21">
        <v>87.63</v>
      </c>
      <c r="M21">
        <v>82.89</v>
      </c>
      <c r="N21" t="s">
        <v>3</v>
      </c>
    </row>
    <row r="22" spans="1:14" x14ac:dyDescent="0.2">
      <c r="A22" s="1">
        <v>21</v>
      </c>
      <c r="B22" t="s">
        <v>38</v>
      </c>
      <c r="C22">
        <f xml:space="preserve">  86.26</f>
        <v>86.26</v>
      </c>
      <c r="D22">
        <v>21</v>
      </c>
      <c r="E22">
        <v>16</v>
      </c>
      <c r="F22">
        <v>81.94</v>
      </c>
      <c r="G22">
        <v>5</v>
      </c>
      <c r="H22">
        <v>7</v>
      </c>
      <c r="I22">
        <v>9</v>
      </c>
      <c r="J22">
        <v>11</v>
      </c>
      <c r="K22">
        <v>85.91</v>
      </c>
      <c r="L22">
        <v>85.59</v>
      </c>
      <c r="M22">
        <v>90.66</v>
      </c>
      <c r="N22" t="s">
        <v>3</v>
      </c>
    </row>
    <row r="23" spans="1:14" x14ac:dyDescent="0.2">
      <c r="A23" s="1">
        <v>22</v>
      </c>
      <c r="B23" t="s">
        <v>791</v>
      </c>
      <c r="C23">
        <f xml:space="preserve">  86.01</f>
        <v>86.01</v>
      </c>
      <c r="D23">
        <v>23</v>
      </c>
      <c r="E23">
        <v>11</v>
      </c>
      <c r="F23">
        <v>80.48</v>
      </c>
      <c r="G23">
        <v>3</v>
      </c>
      <c r="H23">
        <v>6</v>
      </c>
      <c r="I23">
        <v>8</v>
      </c>
      <c r="J23">
        <v>7</v>
      </c>
      <c r="K23">
        <v>86.08</v>
      </c>
      <c r="L23">
        <v>86.13</v>
      </c>
      <c r="M23">
        <v>83.58</v>
      </c>
      <c r="N23" t="s">
        <v>14</v>
      </c>
    </row>
    <row r="24" spans="1:14" x14ac:dyDescent="0.2">
      <c r="A24" s="1">
        <v>23</v>
      </c>
      <c r="B24" t="s">
        <v>119</v>
      </c>
      <c r="C24">
        <f xml:space="preserve">  85.95</f>
        <v>85.95</v>
      </c>
      <c r="D24">
        <v>29</v>
      </c>
      <c r="E24">
        <v>5</v>
      </c>
      <c r="F24">
        <v>74.61</v>
      </c>
      <c r="G24">
        <v>0</v>
      </c>
      <c r="H24">
        <v>1</v>
      </c>
      <c r="I24">
        <v>1</v>
      </c>
      <c r="J24">
        <v>2</v>
      </c>
      <c r="K24">
        <v>87.3</v>
      </c>
      <c r="L24">
        <v>85.98</v>
      </c>
      <c r="M24">
        <v>78.42</v>
      </c>
      <c r="N24" t="s">
        <v>56</v>
      </c>
    </row>
    <row r="25" spans="1:14" x14ac:dyDescent="0.2">
      <c r="A25" s="1">
        <v>24</v>
      </c>
      <c r="B25" t="s">
        <v>60</v>
      </c>
      <c r="C25">
        <f xml:space="preserve">  85.83</f>
        <v>85.83</v>
      </c>
      <c r="D25">
        <v>20</v>
      </c>
      <c r="E25">
        <v>16</v>
      </c>
      <c r="F25">
        <v>82.12</v>
      </c>
      <c r="G25">
        <v>1</v>
      </c>
      <c r="H25">
        <v>1</v>
      </c>
      <c r="I25">
        <v>6</v>
      </c>
      <c r="J25">
        <v>13</v>
      </c>
      <c r="K25">
        <v>85.83</v>
      </c>
      <c r="L25">
        <v>85.23</v>
      </c>
      <c r="M25">
        <v>85.24</v>
      </c>
      <c r="N25" t="s">
        <v>14</v>
      </c>
    </row>
    <row r="26" spans="1:14" x14ac:dyDescent="0.2">
      <c r="A26" s="1">
        <v>25</v>
      </c>
      <c r="B26" t="s">
        <v>99</v>
      </c>
      <c r="C26">
        <f xml:space="preserve">  85.78</f>
        <v>85.78</v>
      </c>
      <c r="D26">
        <v>28</v>
      </c>
      <c r="E26">
        <v>7</v>
      </c>
      <c r="F26">
        <v>77.09</v>
      </c>
      <c r="G26">
        <v>1</v>
      </c>
      <c r="H26">
        <v>3</v>
      </c>
      <c r="I26">
        <v>3</v>
      </c>
      <c r="J26">
        <v>6</v>
      </c>
      <c r="K26">
        <v>85.43</v>
      </c>
      <c r="L26">
        <v>86.56</v>
      </c>
      <c r="M26">
        <v>85.58</v>
      </c>
      <c r="N26" t="s">
        <v>5</v>
      </c>
    </row>
    <row r="27" spans="1:14" x14ac:dyDescent="0.2">
      <c r="A27" s="1">
        <v>26</v>
      </c>
      <c r="B27" t="s">
        <v>116</v>
      </c>
      <c r="C27">
        <f xml:space="preserve">  85.66</f>
        <v>85.66</v>
      </c>
      <c r="D27">
        <v>31</v>
      </c>
      <c r="E27">
        <v>4</v>
      </c>
      <c r="F27">
        <v>74.52</v>
      </c>
      <c r="G27">
        <v>0</v>
      </c>
      <c r="H27">
        <v>1</v>
      </c>
      <c r="I27">
        <v>1</v>
      </c>
      <c r="J27">
        <v>2</v>
      </c>
      <c r="K27">
        <v>85.42</v>
      </c>
      <c r="L27">
        <v>85.64</v>
      </c>
      <c r="M27">
        <v>85.9</v>
      </c>
      <c r="N27" t="s">
        <v>311</v>
      </c>
    </row>
    <row r="28" spans="1:14" x14ac:dyDescent="0.2">
      <c r="A28" s="1">
        <v>27</v>
      </c>
      <c r="B28" t="s">
        <v>59</v>
      </c>
      <c r="C28">
        <f xml:space="preserve">  85.62</f>
        <v>85.62</v>
      </c>
      <c r="D28">
        <v>25</v>
      </c>
      <c r="E28">
        <v>13</v>
      </c>
      <c r="F28">
        <v>77.44</v>
      </c>
      <c r="G28">
        <v>1</v>
      </c>
      <c r="H28">
        <v>2</v>
      </c>
      <c r="I28">
        <v>4</v>
      </c>
      <c r="J28">
        <v>5</v>
      </c>
      <c r="K28">
        <v>85.39</v>
      </c>
      <c r="L28">
        <v>84.44</v>
      </c>
      <c r="M28">
        <v>89.98</v>
      </c>
      <c r="N28" t="s">
        <v>7</v>
      </c>
    </row>
    <row r="29" spans="1:14" x14ac:dyDescent="0.2">
      <c r="A29" s="1">
        <v>28</v>
      </c>
      <c r="B29" t="s">
        <v>45</v>
      </c>
      <c r="C29">
        <f xml:space="preserve">  85.5</f>
        <v>85.5</v>
      </c>
      <c r="D29">
        <v>20</v>
      </c>
      <c r="E29">
        <v>14</v>
      </c>
      <c r="F29">
        <v>82.65</v>
      </c>
      <c r="G29">
        <v>1</v>
      </c>
      <c r="H29">
        <v>0</v>
      </c>
      <c r="I29">
        <v>8</v>
      </c>
      <c r="J29">
        <v>12</v>
      </c>
      <c r="K29">
        <v>85.57</v>
      </c>
      <c r="L29">
        <v>85.08</v>
      </c>
      <c r="M29">
        <v>83.93</v>
      </c>
      <c r="N29" t="s">
        <v>3</v>
      </c>
    </row>
    <row r="30" spans="1:14" x14ac:dyDescent="0.2">
      <c r="A30" s="1">
        <v>29</v>
      </c>
      <c r="B30" t="s">
        <v>75</v>
      </c>
      <c r="C30">
        <f xml:space="preserve">  85.48</f>
        <v>85.48</v>
      </c>
      <c r="D30">
        <v>23</v>
      </c>
      <c r="E30">
        <v>11</v>
      </c>
      <c r="F30">
        <v>80.97</v>
      </c>
      <c r="G30">
        <v>2</v>
      </c>
      <c r="H30">
        <v>7</v>
      </c>
      <c r="I30">
        <v>11</v>
      </c>
      <c r="J30">
        <v>9</v>
      </c>
      <c r="K30">
        <v>85.64</v>
      </c>
      <c r="L30">
        <v>86.02</v>
      </c>
      <c r="M30">
        <v>81.99</v>
      </c>
      <c r="N30" t="s">
        <v>17</v>
      </c>
    </row>
    <row r="31" spans="1:14" x14ac:dyDescent="0.2">
      <c r="A31" s="1">
        <v>30</v>
      </c>
      <c r="B31" t="s">
        <v>104</v>
      </c>
      <c r="C31">
        <f xml:space="preserve">  85.44</f>
        <v>85.44</v>
      </c>
      <c r="D31">
        <v>20</v>
      </c>
      <c r="E31">
        <v>14</v>
      </c>
      <c r="F31">
        <v>82.03</v>
      </c>
      <c r="G31">
        <v>3</v>
      </c>
      <c r="H31">
        <v>8</v>
      </c>
      <c r="I31">
        <v>5</v>
      </c>
      <c r="J31">
        <v>12</v>
      </c>
      <c r="K31">
        <v>86.28</v>
      </c>
      <c r="L31">
        <v>85.77</v>
      </c>
      <c r="M31">
        <v>79.150000000000006</v>
      </c>
      <c r="N31" t="s">
        <v>10</v>
      </c>
    </row>
    <row r="32" spans="1:14" x14ac:dyDescent="0.2">
      <c r="A32" s="1">
        <v>31</v>
      </c>
      <c r="B32" t="s">
        <v>65</v>
      </c>
      <c r="C32">
        <f xml:space="preserve">  85.32</f>
        <v>85.32</v>
      </c>
      <c r="D32">
        <v>24</v>
      </c>
      <c r="E32">
        <v>10</v>
      </c>
      <c r="F32">
        <v>78.95</v>
      </c>
      <c r="G32">
        <v>3</v>
      </c>
      <c r="H32">
        <v>2</v>
      </c>
      <c r="I32">
        <v>6</v>
      </c>
      <c r="J32">
        <v>4</v>
      </c>
      <c r="K32">
        <v>85.88</v>
      </c>
      <c r="L32">
        <v>85.89</v>
      </c>
      <c r="M32">
        <v>79.88</v>
      </c>
      <c r="N32" t="s">
        <v>12</v>
      </c>
    </row>
    <row r="33" spans="1:14" x14ac:dyDescent="0.2">
      <c r="A33" s="1">
        <v>32</v>
      </c>
      <c r="B33" t="s">
        <v>870</v>
      </c>
      <c r="C33">
        <f xml:space="preserve">  84.97</f>
        <v>84.97</v>
      </c>
      <c r="D33">
        <v>24</v>
      </c>
      <c r="E33">
        <v>12</v>
      </c>
      <c r="F33">
        <v>77.540000000000006</v>
      </c>
      <c r="G33">
        <v>1</v>
      </c>
      <c r="H33">
        <v>8</v>
      </c>
      <c r="I33">
        <v>5</v>
      </c>
      <c r="J33">
        <v>9</v>
      </c>
      <c r="K33">
        <v>84.98</v>
      </c>
      <c r="L33">
        <v>84.59</v>
      </c>
      <c r="M33">
        <v>83.69</v>
      </c>
      <c r="N33" t="s">
        <v>10</v>
      </c>
    </row>
    <row r="34" spans="1:14" x14ac:dyDescent="0.2">
      <c r="A34" s="1">
        <v>33</v>
      </c>
      <c r="B34" t="s">
        <v>874</v>
      </c>
      <c r="C34">
        <v>84.87</v>
      </c>
      <c r="D34">
        <v>24</v>
      </c>
      <c r="E34">
        <v>9</v>
      </c>
      <c r="F34">
        <v>76.650000000000006</v>
      </c>
      <c r="G34">
        <v>2</v>
      </c>
      <c r="H34">
        <v>3</v>
      </c>
      <c r="I34">
        <v>2</v>
      </c>
      <c r="J34">
        <v>3</v>
      </c>
      <c r="K34">
        <v>84.71</v>
      </c>
      <c r="L34">
        <v>84.86</v>
      </c>
      <c r="M34">
        <v>84.37</v>
      </c>
      <c r="N34" t="s">
        <v>5</v>
      </c>
    </row>
    <row r="35" spans="1:14" x14ac:dyDescent="0.2">
      <c r="A35" s="1">
        <v>34</v>
      </c>
      <c r="B35" t="s">
        <v>123</v>
      </c>
      <c r="C35">
        <f xml:space="preserve">  84.73</f>
        <v>84.73</v>
      </c>
      <c r="D35">
        <v>27</v>
      </c>
      <c r="E35">
        <v>5</v>
      </c>
      <c r="F35">
        <v>73.02</v>
      </c>
      <c r="G35">
        <v>0</v>
      </c>
      <c r="H35">
        <v>4</v>
      </c>
      <c r="I35">
        <v>0</v>
      </c>
      <c r="J35">
        <v>5</v>
      </c>
      <c r="K35">
        <v>84.27</v>
      </c>
      <c r="L35">
        <v>84.34</v>
      </c>
      <c r="M35">
        <v>89.7</v>
      </c>
      <c r="N35" t="s">
        <v>86</v>
      </c>
    </row>
    <row r="36" spans="1:14" x14ac:dyDescent="0.2">
      <c r="A36" s="1">
        <v>35</v>
      </c>
      <c r="B36" t="s">
        <v>78</v>
      </c>
      <c r="C36">
        <f xml:space="preserve">  84.38</f>
        <v>84.38</v>
      </c>
      <c r="D36">
        <v>20</v>
      </c>
      <c r="E36">
        <v>14</v>
      </c>
      <c r="F36">
        <v>79.38</v>
      </c>
      <c r="G36">
        <v>1</v>
      </c>
      <c r="H36">
        <v>6</v>
      </c>
      <c r="I36">
        <v>2</v>
      </c>
      <c r="J36">
        <v>12</v>
      </c>
      <c r="K36">
        <v>84.5</v>
      </c>
      <c r="L36">
        <v>84.27</v>
      </c>
      <c r="M36">
        <v>81.89</v>
      </c>
      <c r="N36" t="s">
        <v>10</v>
      </c>
    </row>
    <row r="37" spans="1:14" x14ac:dyDescent="0.2">
      <c r="A37" s="1">
        <v>36</v>
      </c>
      <c r="B37" t="s">
        <v>49</v>
      </c>
      <c r="C37">
        <f xml:space="preserve">  84.12</f>
        <v>84.12</v>
      </c>
      <c r="D37">
        <v>23</v>
      </c>
      <c r="E37">
        <v>14</v>
      </c>
      <c r="F37">
        <v>80.5</v>
      </c>
      <c r="G37">
        <v>5</v>
      </c>
      <c r="H37">
        <v>8</v>
      </c>
      <c r="I37">
        <v>8</v>
      </c>
      <c r="J37">
        <v>11</v>
      </c>
      <c r="K37">
        <v>84</v>
      </c>
      <c r="L37">
        <v>84.32</v>
      </c>
      <c r="M37">
        <v>82.83</v>
      </c>
      <c r="N37" t="s">
        <v>3</v>
      </c>
    </row>
    <row r="38" spans="1:14" x14ac:dyDescent="0.2">
      <c r="A38" s="1">
        <v>37</v>
      </c>
      <c r="B38" t="s">
        <v>32</v>
      </c>
      <c r="C38">
        <f xml:space="preserve">  83.94</f>
        <v>83.94</v>
      </c>
      <c r="D38">
        <v>23</v>
      </c>
      <c r="E38">
        <v>12</v>
      </c>
      <c r="F38">
        <v>80.97</v>
      </c>
      <c r="G38">
        <v>3</v>
      </c>
      <c r="H38">
        <v>7</v>
      </c>
      <c r="I38">
        <v>9</v>
      </c>
      <c r="J38">
        <v>11</v>
      </c>
      <c r="K38">
        <v>83.69</v>
      </c>
      <c r="L38">
        <v>84.48</v>
      </c>
      <c r="M38">
        <v>83.21</v>
      </c>
      <c r="N38" t="s">
        <v>17</v>
      </c>
    </row>
    <row r="39" spans="1:14" x14ac:dyDescent="0.2">
      <c r="A39" s="1">
        <v>38</v>
      </c>
      <c r="B39" t="s">
        <v>46</v>
      </c>
      <c r="C39">
        <f xml:space="preserve">  83.86</f>
        <v>83.86</v>
      </c>
      <c r="D39">
        <v>19</v>
      </c>
      <c r="E39">
        <v>16</v>
      </c>
      <c r="F39">
        <v>80.92</v>
      </c>
      <c r="G39">
        <v>3</v>
      </c>
      <c r="H39">
        <v>5</v>
      </c>
      <c r="I39">
        <v>7</v>
      </c>
      <c r="J39">
        <v>13</v>
      </c>
      <c r="K39">
        <v>84.07</v>
      </c>
      <c r="L39">
        <v>83.1</v>
      </c>
      <c r="M39">
        <v>81.900000000000006</v>
      </c>
      <c r="N39" t="s">
        <v>17</v>
      </c>
    </row>
    <row r="40" spans="1:14" x14ac:dyDescent="0.2">
      <c r="A40" s="1">
        <v>39</v>
      </c>
      <c r="B40" t="s">
        <v>120</v>
      </c>
      <c r="C40">
        <f xml:space="preserve">  83.79</f>
        <v>83.79</v>
      </c>
      <c r="D40">
        <v>18</v>
      </c>
      <c r="E40">
        <v>17</v>
      </c>
      <c r="F40">
        <v>82.12</v>
      </c>
      <c r="G40">
        <v>0</v>
      </c>
      <c r="H40">
        <v>8</v>
      </c>
      <c r="I40">
        <v>7</v>
      </c>
      <c r="J40">
        <v>15</v>
      </c>
      <c r="K40">
        <v>84.19</v>
      </c>
      <c r="L40">
        <v>83.18</v>
      </c>
      <c r="M40">
        <v>80.290000000000006</v>
      </c>
      <c r="N40" t="s">
        <v>17</v>
      </c>
    </row>
    <row r="41" spans="1:14" x14ac:dyDescent="0.2">
      <c r="A41" s="1">
        <v>40</v>
      </c>
      <c r="B41" t="s">
        <v>875</v>
      </c>
      <c r="C41">
        <f xml:space="preserve">  83.78</f>
        <v>83.78</v>
      </c>
      <c r="D41">
        <v>22</v>
      </c>
      <c r="E41">
        <v>12</v>
      </c>
      <c r="F41">
        <v>75.319999999999993</v>
      </c>
      <c r="G41">
        <v>1</v>
      </c>
      <c r="H41">
        <v>5</v>
      </c>
      <c r="I41">
        <v>1</v>
      </c>
      <c r="J41">
        <v>6</v>
      </c>
      <c r="K41">
        <v>83.45</v>
      </c>
      <c r="L41">
        <v>83.14</v>
      </c>
      <c r="M41">
        <v>87.22</v>
      </c>
      <c r="N41" t="s">
        <v>1</v>
      </c>
    </row>
    <row r="42" spans="1:14" x14ac:dyDescent="0.2">
      <c r="A42" s="1">
        <v>41</v>
      </c>
      <c r="B42" t="s">
        <v>73</v>
      </c>
      <c r="C42">
        <f xml:space="preserve">  83.73</f>
        <v>83.73</v>
      </c>
      <c r="D42">
        <v>20</v>
      </c>
      <c r="E42">
        <v>14</v>
      </c>
      <c r="F42">
        <v>80</v>
      </c>
      <c r="G42">
        <v>1</v>
      </c>
      <c r="H42">
        <v>6</v>
      </c>
      <c r="I42">
        <v>4</v>
      </c>
      <c r="J42">
        <v>11</v>
      </c>
      <c r="K42">
        <v>84.41</v>
      </c>
      <c r="L42">
        <v>83.83</v>
      </c>
      <c r="M42">
        <v>77.930000000000007</v>
      </c>
      <c r="N42" t="s">
        <v>10</v>
      </c>
    </row>
    <row r="43" spans="1:14" x14ac:dyDescent="0.2">
      <c r="A43" s="1">
        <v>42</v>
      </c>
      <c r="B43" t="s">
        <v>8</v>
      </c>
      <c r="C43">
        <f xml:space="preserve">  83.69</f>
        <v>83.69</v>
      </c>
      <c r="D43">
        <v>20</v>
      </c>
      <c r="E43">
        <v>14</v>
      </c>
      <c r="F43">
        <v>81.38</v>
      </c>
      <c r="G43">
        <v>4</v>
      </c>
      <c r="H43">
        <v>8</v>
      </c>
      <c r="I43">
        <v>9</v>
      </c>
      <c r="J43">
        <v>10</v>
      </c>
      <c r="K43">
        <v>83.92</v>
      </c>
      <c r="L43">
        <v>84.51</v>
      </c>
      <c r="M43">
        <v>79.290000000000006</v>
      </c>
      <c r="N43" t="s">
        <v>3</v>
      </c>
    </row>
    <row r="44" spans="1:14" x14ac:dyDescent="0.2">
      <c r="A44" s="1">
        <v>43</v>
      </c>
      <c r="B44" t="s">
        <v>809</v>
      </c>
      <c r="C44">
        <f xml:space="preserve">  83.51</f>
        <v>83.51</v>
      </c>
      <c r="D44">
        <v>20</v>
      </c>
      <c r="E44">
        <v>15</v>
      </c>
      <c r="F44">
        <v>81.63</v>
      </c>
      <c r="G44">
        <v>2</v>
      </c>
      <c r="H44">
        <v>8</v>
      </c>
      <c r="I44">
        <v>9</v>
      </c>
      <c r="J44">
        <v>12</v>
      </c>
      <c r="K44">
        <v>83.55</v>
      </c>
      <c r="L44">
        <v>83.51</v>
      </c>
      <c r="M44">
        <v>81.39</v>
      </c>
      <c r="N44" t="s">
        <v>17</v>
      </c>
    </row>
    <row r="45" spans="1:14" x14ac:dyDescent="0.2">
      <c r="A45" s="1">
        <v>44</v>
      </c>
      <c r="B45" t="s">
        <v>103</v>
      </c>
      <c r="C45">
        <f xml:space="preserve">  83.14</f>
        <v>83.14</v>
      </c>
      <c r="D45">
        <v>22</v>
      </c>
      <c r="E45">
        <v>14</v>
      </c>
      <c r="F45">
        <v>81.75</v>
      </c>
      <c r="G45">
        <v>3</v>
      </c>
      <c r="H45">
        <v>7</v>
      </c>
      <c r="I45">
        <v>10</v>
      </c>
      <c r="J45">
        <v>11</v>
      </c>
      <c r="K45">
        <v>82.8</v>
      </c>
      <c r="L45">
        <v>83.22</v>
      </c>
      <c r="M45">
        <v>84.38</v>
      </c>
      <c r="N45" t="s">
        <v>17</v>
      </c>
    </row>
    <row r="46" spans="1:14" x14ac:dyDescent="0.2">
      <c r="A46" s="1">
        <v>45</v>
      </c>
      <c r="B46" t="s">
        <v>111</v>
      </c>
      <c r="C46">
        <f xml:space="preserve">  82.84</f>
        <v>82.84</v>
      </c>
      <c r="D46">
        <v>27</v>
      </c>
      <c r="E46">
        <v>9</v>
      </c>
      <c r="F46">
        <v>77.38</v>
      </c>
      <c r="G46">
        <v>0</v>
      </c>
      <c r="H46">
        <v>4</v>
      </c>
      <c r="I46">
        <v>2</v>
      </c>
      <c r="J46">
        <v>7</v>
      </c>
      <c r="K46">
        <v>82.28</v>
      </c>
      <c r="L46">
        <v>83.77</v>
      </c>
      <c r="M46">
        <v>84.6</v>
      </c>
      <c r="N46" t="s">
        <v>7</v>
      </c>
    </row>
    <row r="47" spans="1:14" x14ac:dyDescent="0.2">
      <c r="A47" s="1">
        <v>46</v>
      </c>
      <c r="B47" t="s">
        <v>817</v>
      </c>
      <c r="C47">
        <f xml:space="preserve">  82.49</f>
        <v>82.49</v>
      </c>
      <c r="D47">
        <v>14</v>
      </c>
      <c r="E47">
        <v>18</v>
      </c>
      <c r="F47">
        <v>81.94</v>
      </c>
      <c r="G47">
        <v>2</v>
      </c>
      <c r="H47">
        <v>6</v>
      </c>
      <c r="I47">
        <v>4</v>
      </c>
      <c r="J47">
        <v>14</v>
      </c>
      <c r="K47">
        <v>82.38</v>
      </c>
      <c r="L47">
        <v>81.41</v>
      </c>
      <c r="M47">
        <v>84.17</v>
      </c>
      <c r="N47" t="s">
        <v>17</v>
      </c>
    </row>
    <row r="48" spans="1:14" x14ac:dyDescent="0.2">
      <c r="A48" s="1">
        <v>47</v>
      </c>
      <c r="B48" t="s">
        <v>52</v>
      </c>
      <c r="C48">
        <f xml:space="preserve">  82.27</f>
        <v>82.27</v>
      </c>
      <c r="D48">
        <v>19</v>
      </c>
      <c r="E48">
        <v>15</v>
      </c>
      <c r="F48">
        <v>79.75</v>
      </c>
      <c r="G48">
        <v>0</v>
      </c>
      <c r="H48">
        <v>3</v>
      </c>
      <c r="I48">
        <v>2</v>
      </c>
      <c r="J48">
        <v>8</v>
      </c>
      <c r="K48">
        <v>82.02</v>
      </c>
      <c r="L48">
        <v>81.53</v>
      </c>
      <c r="M48">
        <v>84.71</v>
      </c>
      <c r="N48" t="s">
        <v>12</v>
      </c>
    </row>
    <row r="49" spans="1:14" x14ac:dyDescent="0.2">
      <c r="A49" s="1">
        <v>48</v>
      </c>
      <c r="B49" t="s">
        <v>35</v>
      </c>
      <c r="C49">
        <f xml:space="preserve">  82.25</f>
        <v>82.25</v>
      </c>
      <c r="D49">
        <v>18</v>
      </c>
      <c r="E49">
        <v>16</v>
      </c>
      <c r="F49">
        <v>79.510000000000005</v>
      </c>
      <c r="G49">
        <v>1</v>
      </c>
      <c r="H49">
        <v>9</v>
      </c>
      <c r="I49">
        <v>3</v>
      </c>
      <c r="J49">
        <v>11</v>
      </c>
      <c r="K49">
        <v>82.27</v>
      </c>
      <c r="L49">
        <v>81.41</v>
      </c>
      <c r="M49">
        <v>81.91</v>
      </c>
      <c r="N49" t="s">
        <v>14</v>
      </c>
    </row>
    <row r="50" spans="1:14" x14ac:dyDescent="0.2">
      <c r="A50" s="1">
        <v>49</v>
      </c>
      <c r="B50" t="s">
        <v>100</v>
      </c>
      <c r="C50">
        <f xml:space="preserve">  82.16</f>
        <v>82.16</v>
      </c>
      <c r="D50">
        <v>20</v>
      </c>
      <c r="E50">
        <v>13</v>
      </c>
      <c r="F50">
        <v>79.88</v>
      </c>
      <c r="G50">
        <v>3</v>
      </c>
      <c r="H50">
        <v>7</v>
      </c>
      <c r="I50">
        <v>5</v>
      </c>
      <c r="J50">
        <v>9</v>
      </c>
      <c r="K50">
        <v>82.67</v>
      </c>
      <c r="L50">
        <v>82.03</v>
      </c>
      <c r="M50">
        <v>77.180000000000007</v>
      </c>
      <c r="N50" t="s">
        <v>14</v>
      </c>
    </row>
    <row r="51" spans="1:14" x14ac:dyDescent="0.2">
      <c r="A51" s="1">
        <v>50</v>
      </c>
      <c r="B51" t="s">
        <v>796</v>
      </c>
      <c r="C51">
        <f xml:space="preserve">  82.09</f>
        <v>82.09</v>
      </c>
      <c r="D51">
        <v>27</v>
      </c>
      <c r="E51">
        <v>7</v>
      </c>
      <c r="F51">
        <v>73.680000000000007</v>
      </c>
      <c r="G51">
        <v>1</v>
      </c>
      <c r="H51">
        <v>2</v>
      </c>
      <c r="I51">
        <v>2</v>
      </c>
      <c r="J51">
        <v>3</v>
      </c>
      <c r="K51">
        <v>82.12</v>
      </c>
      <c r="L51">
        <v>81.900000000000006</v>
      </c>
      <c r="M51">
        <v>80.349999999999994</v>
      </c>
      <c r="N51" t="s">
        <v>56</v>
      </c>
    </row>
    <row r="52" spans="1:14" x14ac:dyDescent="0.2">
      <c r="A52" s="1">
        <v>51</v>
      </c>
      <c r="B52" t="s">
        <v>811</v>
      </c>
      <c r="C52">
        <f xml:space="preserve">  81.77</f>
        <v>81.77</v>
      </c>
      <c r="D52">
        <v>23</v>
      </c>
      <c r="E52">
        <v>11</v>
      </c>
      <c r="F52">
        <v>77.62</v>
      </c>
      <c r="G52">
        <v>2</v>
      </c>
      <c r="H52">
        <v>1</v>
      </c>
      <c r="I52">
        <v>5</v>
      </c>
      <c r="J52">
        <v>4</v>
      </c>
      <c r="K52">
        <v>81.84</v>
      </c>
      <c r="L52">
        <v>81.709999999999994</v>
      </c>
      <c r="M52">
        <v>79.430000000000007</v>
      </c>
      <c r="N52" t="s">
        <v>7</v>
      </c>
    </row>
    <row r="53" spans="1:14" x14ac:dyDescent="0.2">
      <c r="A53" s="1">
        <v>52</v>
      </c>
      <c r="B53" t="s">
        <v>48</v>
      </c>
      <c r="C53">
        <f xml:space="preserve">  81.73</f>
        <v>81.73</v>
      </c>
      <c r="D53">
        <v>20</v>
      </c>
      <c r="E53">
        <v>14</v>
      </c>
      <c r="F53">
        <v>80.08</v>
      </c>
      <c r="G53">
        <v>2</v>
      </c>
      <c r="H53">
        <v>2</v>
      </c>
      <c r="I53">
        <v>7</v>
      </c>
      <c r="J53">
        <v>6</v>
      </c>
      <c r="K53">
        <v>81.34</v>
      </c>
      <c r="L53">
        <v>81.86</v>
      </c>
      <c r="M53">
        <v>83.39</v>
      </c>
      <c r="N53" t="s">
        <v>12</v>
      </c>
    </row>
    <row r="54" spans="1:14" x14ac:dyDescent="0.2">
      <c r="A54" s="1">
        <v>53</v>
      </c>
      <c r="B54" t="s">
        <v>876</v>
      </c>
      <c r="C54">
        <v>81.510000000000005</v>
      </c>
      <c r="D54">
        <v>25</v>
      </c>
      <c r="E54">
        <v>8</v>
      </c>
      <c r="F54">
        <v>74.03</v>
      </c>
      <c r="G54">
        <v>1</v>
      </c>
      <c r="H54">
        <v>1</v>
      </c>
      <c r="I54">
        <v>1</v>
      </c>
      <c r="J54">
        <v>2</v>
      </c>
      <c r="K54">
        <v>81.62</v>
      </c>
      <c r="L54">
        <v>81.28</v>
      </c>
      <c r="M54">
        <v>79.23</v>
      </c>
      <c r="N54" t="s">
        <v>63</v>
      </c>
    </row>
    <row r="55" spans="1:14" x14ac:dyDescent="0.2">
      <c r="A55" s="1">
        <v>54</v>
      </c>
      <c r="B55" t="s">
        <v>798</v>
      </c>
      <c r="C55">
        <f xml:space="preserve">  81.48</f>
        <v>81.48</v>
      </c>
      <c r="D55">
        <v>26</v>
      </c>
      <c r="E55">
        <v>5</v>
      </c>
      <c r="F55">
        <v>69.73</v>
      </c>
      <c r="G55">
        <v>0</v>
      </c>
      <c r="H55">
        <v>2</v>
      </c>
      <c r="I55">
        <v>1</v>
      </c>
      <c r="J55">
        <v>2</v>
      </c>
      <c r="K55">
        <v>81.05</v>
      </c>
      <c r="L55">
        <v>81.08</v>
      </c>
      <c r="M55">
        <v>85.4</v>
      </c>
      <c r="N55" t="s">
        <v>77</v>
      </c>
    </row>
    <row r="56" spans="1:14" x14ac:dyDescent="0.2">
      <c r="A56" s="1">
        <v>55</v>
      </c>
      <c r="B56" t="s">
        <v>87</v>
      </c>
      <c r="C56">
        <f xml:space="preserve">  81.46</f>
        <v>81.459999999999994</v>
      </c>
      <c r="D56">
        <v>26</v>
      </c>
      <c r="E56">
        <v>6</v>
      </c>
      <c r="F56">
        <v>70.73</v>
      </c>
      <c r="G56">
        <v>0</v>
      </c>
      <c r="H56">
        <v>1</v>
      </c>
      <c r="I56">
        <v>0</v>
      </c>
      <c r="J56">
        <v>2</v>
      </c>
      <c r="K56">
        <v>81.319999999999993</v>
      </c>
      <c r="L56">
        <v>80.98</v>
      </c>
      <c r="M56">
        <v>81.75</v>
      </c>
      <c r="N56" t="s">
        <v>77</v>
      </c>
    </row>
    <row r="57" spans="1:14" x14ac:dyDescent="0.2">
      <c r="A57" s="1">
        <v>56</v>
      </c>
      <c r="B57" t="s">
        <v>819</v>
      </c>
      <c r="C57">
        <f xml:space="preserve">  81.41</f>
        <v>81.41</v>
      </c>
      <c r="D57">
        <v>28</v>
      </c>
      <c r="E57">
        <v>5</v>
      </c>
      <c r="F57">
        <v>69.680000000000007</v>
      </c>
      <c r="G57">
        <v>0</v>
      </c>
      <c r="H57">
        <v>2</v>
      </c>
      <c r="I57">
        <v>0</v>
      </c>
      <c r="J57">
        <v>3</v>
      </c>
      <c r="K57">
        <v>80.81</v>
      </c>
      <c r="L57">
        <v>81.55</v>
      </c>
      <c r="M57">
        <v>86.43</v>
      </c>
      <c r="N57" t="s">
        <v>81</v>
      </c>
    </row>
    <row r="58" spans="1:14" x14ac:dyDescent="0.2">
      <c r="A58" s="1">
        <v>57</v>
      </c>
      <c r="B58" t="s">
        <v>40</v>
      </c>
      <c r="C58">
        <f xml:space="preserve">  81.23</f>
        <v>81.23</v>
      </c>
      <c r="D58">
        <v>22</v>
      </c>
      <c r="E58">
        <v>14</v>
      </c>
      <c r="F58">
        <v>76.3</v>
      </c>
      <c r="G58">
        <v>0</v>
      </c>
      <c r="H58">
        <v>7</v>
      </c>
      <c r="I58">
        <v>2</v>
      </c>
      <c r="J58">
        <v>9</v>
      </c>
      <c r="K58">
        <v>80.87</v>
      </c>
      <c r="L58">
        <v>80.72</v>
      </c>
      <c r="M58">
        <v>84.4</v>
      </c>
      <c r="N58" t="s">
        <v>5</v>
      </c>
    </row>
    <row r="59" spans="1:14" x14ac:dyDescent="0.2">
      <c r="A59" s="1">
        <v>58</v>
      </c>
      <c r="B59" t="s">
        <v>51</v>
      </c>
      <c r="C59">
        <f xml:space="preserve">  81.22</f>
        <v>81.22</v>
      </c>
      <c r="D59">
        <v>19</v>
      </c>
      <c r="E59">
        <v>16</v>
      </c>
      <c r="F59">
        <v>79.39</v>
      </c>
      <c r="G59">
        <v>1</v>
      </c>
      <c r="H59">
        <v>6</v>
      </c>
      <c r="I59">
        <v>3</v>
      </c>
      <c r="J59">
        <v>9</v>
      </c>
      <c r="K59">
        <v>80.86</v>
      </c>
      <c r="L59">
        <v>81.13</v>
      </c>
      <c r="M59">
        <v>83.14</v>
      </c>
      <c r="N59" t="s">
        <v>12</v>
      </c>
    </row>
    <row r="60" spans="1:14" x14ac:dyDescent="0.2">
      <c r="A60" s="1">
        <v>59</v>
      </c>
      <c r="B60" t="s">
        <v>42</v>
      </c>
      <c r="C60">
        <f xml:space="preserve">  81.01</f>
        <v>81.010000000000005</v>
      </c>
      <c r="D60">
        <v>18</v>
      </c>
      <c r="E60">
        <v>16</v>
      </c>
      <c r="F60">
        <v>80.430000000000007</v>
      </c>
      <c r="G60">
        <v>2</v>
      </c>
      <c r="H60">
        <v>8</v>
      </c>
      <c r="I60">
        <v>5</v>
      </c>
      <c r="J60">
        <v>11</v>
      </c>
      <c r="K60">
        <v>81.180000000000007</v>
      </c>
      <c r="L60">
        <v>81.489999999999995</v>
      </c>
      <c r="M60">
        <v>77.19</v>
      </c>
      <c r="N60" t="s">
        <v>14</v>
      </c>
    </row>
    <row r="61" spans="1:14" x14ac:dyDescent="0.2">
      <c r="A61" s="1">
        <v>60</v>
      </c>
      <c r="B61" t="s">
        <v>106</v>
      </c>
      <c r="C61">
        <f xml:space="preserve">  80.79</f>
        <v>80.790000000000006</v>
      </c>
      <c r="D61">
        <v>16</v>
      </c>
      <c r="E61">
        <v>17</v>
      </c>
      <c r="F61">
        <v>79.41</v>
      </c>
      <c r="G61">
        <v>1</v>
      </c>
      <c r="H61">
        <v>3</v>
      </c>
      <c r="I61">
        <v>3</v>
      </c>
      <c r="J61">
        <v>8</v>
      </c>
      <c r="K61">
        <v>81.069999999999993</v>
      </c>
      <c r="L61">
        <v>80.58</v>
      </c>
      <c r="M61">
        <v>77.19</v>
      </c>
      <c r="N61" t="s">
        <v>12</v>
      </c>
    </row>
    <row r="62" spans="1:14" x14ac:dyDescent="0.2">
      <c r="A62" s="1">
        <v>61</v>
      </c>
      <c r="B62" t="s">
        <v>209</v>
      </c>
      <c r="C62">
        <f xml:space="preserve">  80.71</f>
        <v>80.709999999999994</v>
      </c>
      <c r="D62">
        <v>27</v>
      </c>
      <c r="E62">
        <v>8</v>
      </c>
      <c r="F62">
        <v>71.540000000000006</v>
      </c>
      <c r="G62">
        <v>0</v>
      </c>
      <c r="H62">
        <v>1</v>
      </c>
      <c r="I62">
        <v>2</v>
      </c>
      <c r="J62">
        <v>3</v>
      </c>
      <c r="K62">
        <v>80.16</v>
      </c>
      <c r="L62">
        <v>80.62</v>
      </c>
      <c r="M62">
        <v>85.36</v>
      </c>
      <c r="N62" t="s">
        <v>138</v>
      </c>
    </row>
    <row r="63" spans="1:14" x14ac:dyDescent="0.2">
      <c r="A63" s="1">
        <v>62</v>
      </c>
      <c r="B63" t="s">
        <v>872</v>
      </c>
      <c r="C63">
        <f xml:space="preserve">  80.05</f>
        <v>80.05</v>
      </c>
      <c r="D63">
        <v>14</v>
      </c>
      <c r="E63">
        <v>18</v>
      </c>
      <c r="F63">
        <v>78.92</v>
      </c>
      <c r="G63">
        <v>0</v>
      </c>
      <c r="H63">
        <v>9</v>
      </c>
      <c r="I63">
        <v>1</v>
      </c>
      <c r="J63">
        <v>12</v>
      </c>
      <c r="K63">
        <v>80.27</v>
      </c>
      <c r="L63">
        <v>79.260000000000005</v>
      </c>
      <c r="M63">
        <v>77.86</v>
      </c>
      <c r="N63" t="s">
        <v>10</v>
      </c>
    </row>
    <row r="64" spans="1:14" x14ac:dyDescent="0.2">
      <c r="A64" s="1">
        <v>63</v>
      </c>
      <c r="B64" t="s">
        <v>44</v>
      </c>
      <c r="C64">
        <f xml:space="preserve">  80.05</f>
        <v>80.05</v>
      </c>
      <c r="D64">
        <v>18</v>
      </c>
      <c r="E64">
        <v>16</v>
      </c>
      <c r="F64">
        <v>78.64</v>
      </c>
      <c r="G64">
        <v>1</v>
      </c>
      <c r="H64">
        <v>4</v>
      </c>
      <c r="I64">
        <v>1</v>
      </c>
      <c r="J64">
        <v>9</v>
      </c>
      <c r="K64">
        <v>79.989999999999995</v>
      </c>
      <c r="L64">
        <v>80.680000000000007</v>
      </c>
      <c r="M64">
        <v>77.53</v>
      </c>
      <c r="N64" t="s">
        <v>12</v>
      </c>
    </row>
    <row r="65" spans="1:14" x14ac:dyDescent="0.2">
      <c r="A65" s="1">
        <v>64</v>
      </c>
      <c r="B65" t="s">
        <v>69</v>
      </c>
      <c r="C65">
        <f xml:space="preserve">  79.86</f>
        <v>79.86</v>
      </c>
      <c r="D65">
        <v>23</v>
      </c>
      <c r="E65">
        <v>13</v>
      </c>
      <c r="F65">
        <v>75.099999999999994</v>
      </c>
      <c r="G65">
        <v>0</v>
      </c>
      <c r="H65">
        <v>1</v>
      </c>
      <c r="I65">
        <v>1</v>
      </c>
      <c r="J65">
        <v>4</v>
      </c>
      <c r="K65">
        <v>79.760000000000005</v>
      </c>
      <c r="L65">
        <v>79.900000000000006</v>
      </c>
      <c r="M65">
        <v>78.739999999999995</v>
      </c>
      <c r="N65" t="s">
        <v>7</v>
      </c>
    </row>
    <row r="66" spans="1:14" x14ac:dyDescent="0.2">
      <c r="A66" s="1">
        <v>65</v>
      </c>
      <c r="B66" t="s">
        <v>96</v>
      </c>
      <c r="C66">
        <f xml:space="preserve">  79.85</f>
        <v>79.849999999999994</v>
      </c>
      <c r="D66">
        <v>15</v>
      </c>
      <c r="E66">
        <v>16</v>
      </c>
      <c r="F66">
        <v>80.94</v>
      </c>
      <c r="G66">
        <v>3</v>
      </c>
      <c r="H66">
        <v>8</v>
      </c>
      <c r="I66">
        <v>5</v>
      </c>
      <c r="J66">
        <v>10</v>
      </c>
      <c r="K66">
        <v>79.489999999999995</v>
      </c>
      <c r="L66">
        <v>79.81</v>
      </c>
      <c r="M66">
        <v>81.61</v>
      </c>
      <c r="N66" t="s">
        <v>14</v>
      </c>
    </row>
    <row r="67" spans="1:14" x14ac:dyDescent="0.2">
      <c r="A67" s="1">
        <v>66</v>
      </c>
      <c r="B67" t="s">
        <v>790</v>
      </c>
      <c r="C67">
        <f xml:space="preserve">  79.72</f>
        <v>79.72</v>
      </c>
      <c r="D67">
        <v>12</v>
      </c>
      <c r="E67">
        <v>20</v>
      </c>
      <c r="F67">
        <v>83.03</v>
      </c>
      <c r="G67">
        <v>2</v>
      </c>
      <c r="H67">
        <v>1</v>
      </c>
      <c r="I67">
        <v>4</v>
      </c>
      <c r="J67">
        <v>18</v>
      </c>
      <c r="K67">
        <v>79.52</v>
      </c>
      <c r="L67">
        <v>79.790000000000006</v>
      </c>
      <c r="M67">
        <v>79.489999999999995</v>
      </c>
      <c r="N67" t="s">
        <v>3</v>
      </c>
    </row>
    <row r="68" spans="1:14" x14ac:dyDescent="0.2">
      <c r="A68" s="1">
        <v>67</v>
      </c>
      <c r="B68" t="s">
        <v>804</v>
      </c>
      <c r="C68">
        <f xml:space="preserve">  79.64</f>
        <v>79.64</v>
      </c>
      <c r="D68">
        <v>22</v>
      </c>
      <c r="E68">
        <v>9</v>
      </c>
      <c r="F68">
        <v>72.25</v>
      </c>
      <c r="G68">
        <v>0</v>
      </c>
      <c r="H68">
        <v>2</v>
      </c>
      <c r="I68">
        <v>1</v>
      </c>
      <c r="J68">
        <v>5</v>
      </c>
      <c r="K68">
        <v>79.84</v>
      </c>
      <c r="L68">
        <v>79.45</v>
      </c>
      <c r="M68">
        <v>76.489999999999995</v>
      </c>
      <c r="N68" t="s">
        <v>56</v>
      </c>
    </row>
    <row r="69" spans="1:14" x14ac:dyDescent="0.2">
      <c r="A69" s="1">
        <v>68</v>
      </c>
      <c r="B69" t="s">
        <v>117</v>
      </c>
      <c r="C69">
        <f xml:space="preserve">  79.59</f>
        <v>79.59</v>
      </c>
      <c r="D69">
        <v>15</v>
      </c>
      <c r="E69">
        <v>17</v>
      </c>
      <c r="F69">
        <v>80.430000000000007</v>
      </c>
      <c r="G69">
        <v>0</v>
      </c>
      <c r="H69">
        <v>0</v>
      </c>
      <c r="I69">
        <v>2</v>
      </c>
      <c r="J69">
        <v>13</v>
      </c>
      <c r="K69">
        <v>79.28</v>
      </c>
      <c r="L69">
        <v>79.91</v>
      </c>
      <c r="M69">
        <v>79.87</v>
      </c>
      <c r="N69" t="s">
        <v>14</v>
      </c>
    </row>
    <row r="70" spans="1:14" x14ac:dyDescent="0.2">
      <c r="A70" s="1">
        <v>69</v>
      </c>
      <c r="B70" t="s">
        <v>62</v>
      </c>
      <c r="C70">
        <f xml:space="preserve">  79.45</f>
        <v>79.45</v>
      </c>
      <c r="D70">
        <v>21</v>
      </c>
      <c r="E70">
        <v>12</v>
      </c>
      <c r="F70">
        <v>73.87</v>
      </c>
      <c r="G70">
        <v>0</v>
      </c>
      <c r="H70">
        <v>3</v>
      </c>
      <c r="I70">
        <v>0</v>
      </c>
      <c r="J70">
        <v>4</v>
      </c>
      <c r="K70">
        <v>79.760000000000005</v>
      </c>
      <c r="L70">
        <v>78.98</v>
      </c>
      <c r="M70">
        <v>75.94</v>
      </c>
      <c r="N70" t="s">
        <v>63</v>
      </c>
    </row>
    <row r="71" spans="1:14" x14ac:dyDescent="0.2">
      <c r="A71" s="1">
        <v>70</v>
      </c>
      <c r="B71" t="s">
        <v>801</v>
      </c>
      <c r="C71">
        <f xml:space="preserve">  79.43</f>
        <v>79.430000000000007</v>
      </c>
      <c r="D71">
        <v>22</v>
      </c>
      <c r="E71">
        <v>15</v>
      </c>
      <c r="F71">
        <v>77.5</v>
      </c>
      <c r="G71">
        <v>0</v>
      </c>
      <c r="H71">
        <v>4</v>
      </c>
      <c r="I71">
        <v>4</v>
      </c>
      <c r="J71">
        <v>5</v>
      </c>
      <c r="K71">
        <v>78.72</v>
      </c>
      <c r="L71">
        <v>79.540000000000006</v>
      </c>
      <c r="M71">
        <v>86.5</v>
      </c>
      <c r="N71" t="s">
        <v>5</v>
      </c>
    </row>
    <row r="72" spans="1:14" x14ac:dyDescent="0.2">
      <c r="A72" s="1">
        <v>71</v>
      </c>
      <c r="B72" t="s">
        <v>112</v>
      </c>
      <c r="C72">
        <f xml:space="preserve">  79.42</f>
        <v>79.42</v>
      </c>
      <c r="D72">
        <v>23</v>
      </c>
      <c r="E72">
        <v>10</v>
      </c>
      <c r="F72">
        <v>76.209999999999994</v>
      </c>
      <c r="G72">
        <v>1</v>
      </c>
      <c r="H72">
        <v>3</v>
      </c>
      <c r="I72">
        <v>2</v>
      </c>
      <c r="J72">
        <v>4</v>
      </c>
      <c r="K72">
        <v>79.16</v>
      </c>
      <c r="L72">
        <v>80.069999999999993</v>
      </c>
      <c r="M72">
        <v>78.48</v>
      </c>
      <c r="N72" t="s">
        <v>5</v>
      </c>
    </row>
    <row r="73" spans="1:14" x14ac:dyDescent="0.2">
      <c r="A73" s="1">
        <v>72</v>
      </c>
      <c r="B73" t="s">
        <v>55</v>
      </c>
      <c r="C73">
        <f xml:space="preserve">  79.31</f>
        <v>79.31</v>
      </c>
      <c r="D73">
        <v>21</v>
      </c>
      <c r="E73">
        <v>13</v>
      </c>
      <c r="F73">
        <v>77.64</v>
      </c>
      <c r="G73">
        <v>1</v>
      </c>
      <c r="H73">
        <v>2</v>
      </c>
      <c r="I73">
        <v>5</v>
      </c>
      <c r="J73">
        <v>3</v>
      </c>
      <c r="K73">
        <v>79.709999999999994</v>
      </c>
      <c r="L73">
        <v>80.62</v>
      </c>
      <c r="M73">
        <v>72.459999999999994</v>
      </c>
      <c r="N73" t="s">
        <v>12</v>
      </c>
    </row>
    <row r="74" spans="1:14" x14ac:dyDescent="0.2">
      <c r="A74" s="1">
        <v>73</v>
      </c>
      <c r="B74" t="s">
        <v>6</v>
      </c>
      <c r="C74">
        <f xml:space="preserve">  79.18</f>
        <v>79.180000000000007</v>
      </c>
      <c r="D74">
        <v>17</v>
      </c>
      <c r="E74">
        <v>15</v>
      </c>
      <c r="F74">
        <v>77.459999999999994</v>
      </c>
      <c r="G74">
        <v>1</v>
      </c>
      <c r="H74">
        <v>2</v>
      </c>
      <c r="I74">
        <v>1</v>
      </c>
      <c r="J74">
        <v>6</v>
      </c>
      <c r="K74">
        <v>80.260000000000005</v>
      </c>
      <c r="L74">
        <v>79.36</v>
      </c>
      <c r="M74">
        <v>69.459999999999994</v>
      </c>
      <c r="N74" t="s">
        <v>7</v>
      </c>
    </row>
    <row r="75" spans="1:14" x14ac:dyDescent="0.2">
      <c r="A75" s="1">
        <v>74</v>
      </c>
      <c r="B75" t="s">
        <v>72</v>
      </c>
      <c r="C75">
        <f xml:space="preserve">  79.16</f>
        <v>79.16</v>
      </c>
      <c r="D75">
        <v>15</v>
      </c>
      <c r="E75">
        <v>21</v>
      </c>
      <c r="F75">
        <v>81.739999999999995</v>
      </c>
      <c r="G75">
        <v>3</v>
      </c>
      <c r="H75">
        <v>1</v>
      </c>
      <c r="I75">
        <v>6</v>
      </c>
      <c r="J75">
        <v>16</v>
      </c>
      <c r="K75">
        <v>79.459999999999994</v>
      </c>
      <c r="L75">
        <v>79.67</v>
      </c>
      <c r="M75">
        <v>74.11</v>
      </c>
      <c r="N75" t="s">
        <v>3</v>
      </c>
    </row>
    <row r="76" spans="1:14" x14ac:dyDescent="0.2">
      <c r="A76" s="1">
        <v>75</v>
      </c>
      <c r="B76" t="s">
        <v>79</v>
      </c>
      <c r="C76">
        <f xml:space="preserve">  78.94</f>
        <v>78.94</v>
      </c>
      <c r="D76">
        <v>13</v>
      </c>
      <c r="E76">
        <v>19</v>
      </c>
      <c r="F76">
        <v>79.86</v>
      </c>
      <c r="G76">
        <v>0</v>
      </c>
      <c r="H76">
        <v>6</v>
      </c>
      <c r="I76">
        <v>2</v>
      </c>
      <c r="J76">
        <v>15</v>
      </c>
      <c r="K76">
        <v>79.33</v>
      </c>
      <c r="L76">
        <v>78.39</v>
      </c>
      <c r="M76">
        <v>75.02</v>
      </c>
      <c r="N76" t="s">
        <v>17</v>
      </c>
    </row>
    <row r="77" spans="1:14" x14ac:dyDescent="0.2">
      <c r="A77" s="1">
        <v>76</v>
      </c>
      <c r="B77" t="s">
        <v>93</v>
      </c>
      <c r="C77">
        <f xml:space="preserve">  78.91</f>
        <v>78.91</v>
      </c>
      <c r="D77">
        <v>24</v>
      </c>
      <c r="E77">
        <v>8</v>
      </c>
      <c r="F77">
        <v>72.819999999999993</v>
      </c>
      <c r="G77">
        <v>0</v>
      </c>
      <c r="H77">
        <v>0</v>
      </c>
      <c r="I77">
        <v>0</v>
      </c>
      <c r="J77">
        <v>2</v>
      </c>
      <c r="K77">
        <v>78.67</v>
      </c>
      <c r="L77">
        <v>78.569999999999993</v>
      </c>
      <c r="M77">
        <v>79.989999999999995</v>
      </c>
      <c r="N77" t="s">
        <v>312</v>
      </c>
    </row>
    <row r="78" spans="1:14" x14ac:dyDescent="0.2">
      <c r="A78" s="1">
        <v>77</v>
      </c>
      <c r="B78" t="s">
        <v>57</v>
      </c>
      <c r="C78">
        <f xml:space="preserve">  78.79</f>
        <v>78.790000000000006</v>
      </c>
      <c r="D78">
        <v>14</v>
      </c>
      <c r="E78">
        <v>18</v>
      </c>
      <c r="F78">
        <v>80.36</v>
      </c>
      <c r="G78">
        <v>1</v>
      </c>
      <c r="H78">
        <v>9</v>
      </c>
      <c r="I78">
        <v>2</v>
      </c>
      <c r="J78">
        <v>13</v>
      </c>
      <c r="K78">
        <v>79.010000000000005</v>
      </c>
      <c r="L78">
        <v>78.61</v>
      </c>
      <c r="M78">
        <v>75.42</v>
      </c>
      <c r="N78" t="s">
        <v>14</v>
      </c>
    </row>
    <row r="79" spans="1:14" x14ac:dyDescent="0.2">
      <c r="A79" s="1">
        <v>78</v>
      </c>
      <c r="B79" t="s">
        <v>30</v>
      </c>
      <c r="C79">
        <f xml:space="preserve">  78.7</f>
        <v>78.7</v>
      </c>
      <c r="D79">
        <v>17</v>
      </c>
      <c r="E79">
        <v>16</v>
      </c>
      <c r="F79">
        <v>77.12</v>
      </c>
      <c r="G79">
        <v>0</v>
      </c>
      <c r="H79">
        <v>3</v>
      </c>
      <c r="I79">
        <v>2</v>
      </c>
      <c r="J79">
        <v>5</v>
      </c>
      <c r="K79">
        <v>79.099999999999994</v>
      </c>
      <c r="L79">
        <v>78.88</v>
      </c>
      <c r="M79">
        <v>73.44</v>
      </c>
      <c r="N79" t="s">
        <v>7</v>
      </c>
    </row>
    <row r="80" spans="1:14" x14ac:dyDescent="0.2">
      <c r="A80" s="1">
        <v>79</v>
      </c>
      <c r="B80" t="s">
        <v>95</v>
      </c>
      <c r="C80">
        <f xml:space="preserve">  78.5</f>
        <v>78.5</v>
      </c>
      <c r="D80">
        <v>22</v>
      </c>
      <c r="E80">
        <v>8</v>
      </c>
      <c r="F80">
        <v>70.84</v>
      </c>
      <c r="G80">
        <v>1</v>
      </c>
      <c r="H80">
        <v>1</v>
      </c>
      <c r="I80">
        <v>1</v>
      </c>
      <c r="J80">
        <v>3</v>
      </c>
      <c r="K80">
        <v>78.33</v>
      </c>
      <c r="L80">
        <v>78.17</v>
      </c>
      <c r="M80">
        <v>78.790000000000006</v>
      </c>
      <c r="N80" t="s">
        <v>86</v>
      </c>
    </row>
    <row r="81" spans="1:14" x14ac:dyDescent="0.2">
      <c r="A81" s="1">
        <v>80</v>
      </c>
      <c r="B81" t="s">
        <v>134</v>
      </c>
      <c r="C81">
        <f xml:space="preserve">  78.46</f>
        <v>78.459999999999994</v>
      </c>
      <c r="D81">
        <v>30</v>
      </c>
      <c r="E81">
        <v>6</v>
      </c>
      <c r="F81">
        <v>70.31</v>
      </c>
      <c r="G81">
        <v>1</v>
      </c>
      <c r="H81">
        <v>0</v>
      </c>
      <c r="I81">
        <v>2</v>
      </c>
      <c r="J81">
        <v>2</v>
      </c>
      <c r="K81">
        <v>77.84</v>
      </c>
      <c r="L81">
        <v>78.599999999999994</v>
      </c>
      <c r="M81">
        <v>83.12</v>
      </c>
      <c r="N81" t="s">
        <v>135</v>
      </c>
    </row>
    <row r="82" spans="1:14" x14ac:dyDescent="0.2">
      <c r="A82" s="1">
        <v>81</v>
      </c>
      <c r="B82" t="s">
        <v>54</v>
      </c>
      <c r="C82">
        <f xml:space="preserve">  78.44</f>
        <v>78.44</v>
      </c>
      <c r="D82">
        <v>14</v>
      </c>
      <c r="E82">
        <v>19</v>
      </c>
      <c r="F82">
        <v>79.19</v>
      </c>
      <c r="G82">
        <v>1</v>
      </c>
      <c r="H82">
        <v>7</v>
      </c>
      <c r="I82">
        <v>1</v>
      </c>
      <c r="J82">
        <v>13</v>
      </c>
      <c r="K82">
        <v>78.849999999999994</v>
      </c>
      <c r="L82">
        <v>78.81</v>
      </c>
      <c r="M82">
        <v>72.7</v>
      </c>
      <c r="N82" t="s">
        <v>10</v>
      </c>
    </row>
    <row r="83" spans="1:14" x14ac:dyDescent="0.2">
      <c r="A83" s="1">
        <v>82</v>
      </c>
      <c r="B83" t="s">
        <v>47</v>
      </c>
      <c r="C83">
        <f xml:space="preserve">  78.38</f>
        <v>78.38</v>
      </c>
      <c r="D83">
        <v>20</v>
      </c>
      <c r="E83">
        <v>10</v>
      </c>
      <c r="F83">
        <v>72.069999999999993</v>
      </c>
      <c r="G83">
        <v>0</v>
      </c>
      <c r="H83">
        <v>2</v>
      </c>
      <c r="I83">
        <v>1</v>
      </c>
      <c r="J83">
        <v>4</v>
      </c>
      <c r="K83">
        <v>79.150000000000006</v>
      </c>
      <c r="L83">
        <v>78.44</v>
      </c>
      <c r="M83">
        <v>70.56</v>
      </c>
      <c r="N83" t="s">
        <v>1</v>
      </c>
    </row>
    <row r="84" spans="1:14" x14ac:dyDescent="0.2">
      <c r="A84" s="1">
        <v>83</v>
      </c>
      <c r="B84" t="s">
        <v>877</v>
      </c>
      <c r="C84">
        <v>78.34</v>
      </c>
      <c r="D84">
        <v>16</v>
      </c>
      <c r="E84">
        <v>17</v>
      </c>
      <c r="F84">
        <v>76.11</v>
      </c>
      <c r="G84">
        <v>0</v>
      </c>
      <c r="H84">
        <v>2</v>
      </c>
      <c r="I84">
        <v>1</v>
      </c>
      <c r="J84">
        <v>7</v>
      </c>
      <c r="K84">
        <v>78.73</v>
      </c>
      <c r="L84">
        <v>78.09</v>
      </c>
      <c r="M84">
        <v>73.78</v>
      </c>
      <c r="N84" t="s">
        <v>7</v>
      </c>
    </row>
    <row r="85" spans="1:14" x14ac:dyDescent="0.2">
      <c r="A85" s="1">
        <v>84</v>
      </c>
      <c r="B85" t="s">
        <v>71</v>
      </c>
      <c r="C85">
        <f xml:space="preserve">  78.32</f>
        <v>78.319999999999993</v>
      </c>
      <c r="D85">
        <v>14</v>
      </c>
      <c r="E85">
        <v>17</v>
      </c>
      <c r="F85">
        <v>80.760000000000005</v>
      </c>
      <c r="G85">
        <v>0</v>
      </c>
      <c r="H85">
        <v>5</v>
      </c>
      <c r="I85">
        <v>6</v>
      </c>
      <c r="J85">
        <v>12</v>
      </c>
      <c r="K85">
        <v>78.3</v>
      </c>
      <c r="L85">
        <v>77.73</v>
      </c>
      <c r="M85">
        <v>77.819999999999993</v>
      </c>
      <c r="N85" t="s">
        <v>17</v>
      </c>
    </row>
    <row r="86" spans="1:14" x14ac:dyDescent="0.2">
      <c r="A86" s="1">
        <v>85</v>
      </c>
      <c r="B86" t="s">
        <v>89</v>
      </c>
      <c r="C86">
        <f xml:space="preserve">  78.31</f>
        <v>78.31</v>
      </c>
      <c r="D86">
        <v>26</v>
      </c>
      <c r="E86">
        <v>7</v>
      </c>
      <c r="F86">
        <v>68.680000000000007</v>
      </c>
      <c r="G86">
        <v>0</v>
      </c>
      <c r="H86">
        <v>2</v>
      </c>
      <c r="I86">
        <v>0</v>
      </c>
      <c r="J86">
        <v>3</v>
      </c>
      <c r="K86">
        <v>78.17</v>
      </c>
      <c r="L86">
        <v>78.11</v>
      </c>
      <c r="M86">
        <v>78</v>
      </c>
      <c r="N86" t="s">
        <v>90</v>
      </c>
    </row>
    <row r="87" spans="1:14" x14ac:dyDescent="0.2">
      <c r="A87" s="1">
        <v>86</v>
      </c>
      <c r="B87" t="s">
        <v>147</v>
      </c>
      <c r="C87">
        <f xml:space="preserve">  78.3</f>
        <v>78.3</v>
      </c>
      <c r="D87">
        <v>19</v>
      </c>
      <c r="E87">
        <v>14</v>
      </c>
      <c r="F87">
        <v>77.28</v>
      </c>
      <c r="G87">
        <v>1</v>
      </c>
      <c r="H87">
        <v>1</v>
      </c>
      <c r="I87">
        <v>2</v>
      </c>
      <c r="J87">
        <v>5</v>
      </c>
      <c r="K87">
        <v>78.28</v>
      </c>
      <c r="L87">
        <v>79.31</v>
      </c>
      <c r="M87">
        <v>74.760000000000005</v>
      </c>
      <c r="N87" t="s">
        <v>12</v>
      </c>
    </row>
    <row r="88" spans="1:14" x14ac:dyDescent="0.2">
      <c r="A88" s="1">
        <v>87</v>
      </c>
      <c r="B88" t="s">
        <v>805</v>
      </c>
      <c r="C88">
        <f xml:space="preserve">  78.28</f>
        <v>78.28</v>
      </c>
      <c r="D88">
        <v>20</v>
      </c>
      <c r="E88">
        <v>13</v>
      </c>
      <c r="F88">
        <v>74.23</v>
      </c>
      <c r="G88">
        <v>2</v>
      </c>
      <c r="H88">
        <v>3</v>
      </c>
      <c r="I88">
        <v>3</v>
      </c>
      <c r="J88">
        <v>5</v>
      </c>
      <c r="K88">
        <v>78</v>
      </c>
      <c r="L88">
        <v>77.86</v>
      </c>
      <c r="M88">
        <v>80.09</v>
      </c>
      <c r="N88" t="s">
        <v>56</v>
      </c>
    </row>
    <row r="89" spans="1:14" x14ac:dyDescent="0.2">
      <c r="A89" s="1">
        <v>88</v>
      </c>
      <c r="B89" t="s">
        <v>58</v>
      </c>
      <c r="C89">
        <f xml:space="preserve">  78.23</f>
        <v>78.23</v>
      </c>
      <c r="D89">
        <v>19</v>
      </c>
      <c r="E89">
        <v>13</v>
      </c>
      <c r="F89">
        <v>75.17</v>
      </c>
      <c r="G89">
        <v>0</v>
      </c>
      <c r="H89">
        <v>5</v>
      </c>
      <c r="I89">
        <v>2</v>
      </c>
      <c r="J89">
        <v>6</v>
      </c>
      <c r="K89">
        <v>78.36</v>
      </c>
      <c r="L89">
        <v>78.73</v>
      </c>
      <c r="M89">
        <v>74.349999999999994</v>
      </c>
      <c r="N89" t="s">
        <v>1</v>
      </c>
    </row>
    <row r="90" spans="1:14" x14ac:dyDescent="0.2">
      <c r="A90" s="1">
        <v>89</v>
      </c>
      <c r="B90" t="s">
        <v>812</v>
      </c>
      <c r="C90">
        <f xml:space="preserve">  78.17</f>
        <v>78.17</v>
      </c>
      <c r="D90">
        <v>18</v>
      </c>
      <c r="E90">
        <v>13</v>
      </c>
      <c r="F90">
        <v>76.06</v>
      </c>
      <c r="G90">
        <v>0</v>
      </c>
      <c r="H90">
        <v>0</v>
      </c>
      <c r="I90">
        <v>2</v>
      </c>
      <c r="J90">
        <v>2</v>
      </c>
      <c r="K90">
        <v>78.489999999999995</v>
      </c>
      <c r="L90">
        <v>78.239999999999995</v>
      </c>
      <c r="M90">
        <v>73.53</v>
      </c>
      <c r="N90" t="s">
        <v>7</v>
      </c>
    </row>
    <row r="91" spans="1:14" x14ac:dyDescent="0.2">
      <c r="A91" s="1">
        <v>90</v>
      </c>
      <c r="B91" t="s">
        <v>64</v>
      </c>
      <c r="C91">
        <f xml:space="preserve">  78.09</f>
        <v>78.09</v>
      </c>
      <c r="D91">
        <v>23</v>
      </c>
      <c r="E91">
        <v>10</v>
      </c>
      <c r="F91">
        <v>73.56</v>
      </c>
      <c r="G91">
        <v>0</v>
      </c>
      <c r="H91">
        <v>2</v>
      </c>
      <c r="I91">
        <v>0</v>
      </c>
      <c r="J91">
        <v>2</v>
      </c>
      <c r="K91">
        <v>78.16</v>
      </c>
      <c r="L91">
        <v>79.06</v>
      </c>
      <c r="M91">
        <v>73.89</v>
      </c>
      <c r="N91" t="s">
        <v>63</v>
      </c>
    </row>
    <row r="92" spans="1:14" x14ac:dyDescent="0.2">
      <c r="A92" s="1">
        <v>91</v>
      </c>
      <c r="B92" t="s">
        <v>34</v>
      </c>
      <c r="C92">
        <f xml:space="preserve">  78.02</f>
        <v>78.02</v>
      </c>
      <c r="D92">
        <v>12</v>
      </c>
      <c r="E92">
        <v>21</v>
      </c>
      <c r="F92">
        <v>81.93</v>
      </c>
      <c r="G92">
        <v>1</v>
      </c>
      <c r="H92">
        <v>6</v>
      </c>
      <c r="I92">
        <v>5</v>
      </c>
      <c r="J92">
        <v>15</v>
      </c>
      <c r="K92">
        <v>78.31</v>
      </c>
      <c r="L92">
        <v>78.06</v>
      </c>
      <c r="M92">
        <v>73.650000000000006</v>
      </c>
      <c r="N92" t="s">
        <v>17</v>
      </c>
    </row>
    <row r="93" spans="1:14" x14ac:dyDescent="0.2">
      <c r="A93" s="1">
        <v>92</v>
      </c>
      <c r="B93" t="s">
        <v>113</v>
      </c>
      <c r="C93">
        <f xml:space="preserve">  77.91</f>
        <v>77.91</v>
      </c>
      <c r="D93">
        <v>17</v>
      </c>
      <c r="E93">
        <v>14</v>
      </c>
      <c r="F93">
        <v>76.91</v>
      </c>
      <c r="G93">
        <v>0</v>
      </c>
      <c r="H93">
        <v>2</v>
      </c>
      <c r="I93">
        <v>0</v>
      </c>
      <c r="J93">
        <v>7</v>
      </c>
      <c r="K93">
        <v>77.75</v>
      </c>
      <c r="L93">
        <v>77.83</v>
      </c>
      <c r="M93">
        <v>77.58</v>
      </c>
      <c r="N93" t="s">
        <v>7</v>
      </c>
    </row>
    <row r="94" spans="1:14" x14ac:dyDescent="0.2">
      <c r="A94" s="1">
        <v>93</v>
      </c>
      <c r="B94" t="s">
        <v>37</v>
      </c>
      <c r="C94">
        <f xml:space="preserve">  77.82</f>
        <v>77.819999999999993</v>
      </c>
      <c r="D94">
        <v>16</v>
      </c>
      <c r="E94">
        <v>17</v>
      </c>
      <c r="F94">
        <v>75.97</v>
      </c>
      <c r="G94">
        <v>0</v>
      </c>
      <c r="H94">
        <v>6</v>
      </c>
      <c r="I94">
        <v>1</v>
      </c>
      <c r="J94">
        <v>9</v>
      </c>
      <c r="K94">
        <v>78.13</v>
      </c>
      <c r="L94">
        <v>77.180000000000007</v>
      </c>
      <c r="M94">
        <v>74.510000000000005</v>
      </c>
      <c r="N94" t="s">
        <v>5</v>
      </c>
    </row>
    <row r="95" spans="1:14" x14ac:dyDescent="0.2">
      <c r="A95" s="1">
        <v>94</v>
      </c>
      <c r="B95" t="s">
        <v>144</v>
      </c>
      <c r="C95">
        <f xml:space="preserve">  77.8</f>
        <v>77.8</v>
      </c>
      <c r="D95">
        <v>21</v>
      </c>
      <c r="E95">
        <v>8</v>
      </c>
      <c r="F95">
        <v>71.64</v>
      </c>
      <c r="G95">
        <v>0</v>
      </c>
      <c r="H95">
        <v>2</v>
      </c>
      <c r="I95">
        <v>0</v>
      </c>
      <c r="J95">
        <v>2</v>
      </c>
      <c r="K95">
        <v>77.44</v>
      </c>
      <c r="L95">
        <v>77.33</v>
      </c>
      <c r="M95">
        <v>80.650000000000006</v>
      </c>
      <c r="N95" t="s">
        <v>125</v>
      </c>
    </row>
    <row r="96" spans="1:14" x14ac:dyDescent="0.2">
      <c r="A96" s="1">
        <v>95</v>
      </c>
      <c r="B96" t="s">
        <v>859</v>
      </c>
      <c r="C96">
        <f xml:space="preserve">  77.74</f>
        <v>77.739999999999995</v>
      </c>
      <c r="D96">
        <v>23</v>
      </c>
      <c r="E96">
        <v>9</v>
      </c>
      <c r="F96">
        <v>68.41</v>
      </c>
      <c r="G96">
        <v>0</v>
      </c>
      <c r="H96">
        <v>2</v>
      </c>
      <c r="I96">
        <v>0</v>
      </c>
      <c r="J96">
        <v>2</v>
      </c>
      <c r="K96">
        <v>78.22</v>
      </c>
      <c r="L96">
        <v>77.12</v>
      </c>
      <c r="M96">
        <v>73.069999999999993</v>
      </c>
      <c r="N96" t="s">
        <v>82</v>
      </c>
    </row>
    <row r="97" spans="1:14" x14ac:dyDescent="0.2">
      <c r="A97" s="1">
        <v>96</v>
      </c>
      <c r="B97" t="s">
        <v>278</v>
      </c>
      <c r="C97">
        <f xml:space="preserve">  77.59</f>
        <v>77.59</v>
      </c>
      <c r="D97">
        <v>27</v>
      </c>
      <c r="E97">
        <v>7</v>
      </c>
      <c r="F97">
        <v>71</v>
      </c>
      <c r="G97">
        <v>0</v>
      </c>
      <c r="H97">
        <v>2</v>
      </c>
      <c r="I97">
        <v>0</v>
      </c>
      <c r="J97">
        <v>5</v>
      </c>
      <c r="K97">
        <v>77.12</v>
      </c>
      <c r="L97">
        <v>78.92</v>
      </c>
      <c r="M97">
        <v>77.44</v>
      </c>
      <c r="N97" t="s">
        <v>86</v>
      </c>
    </row>
    <row r="98" spans="1:14" x14ac:dyDescent="0.2">
      <c r="A98" s="1">
        <v>97</v>
      </c>
      <c r="B98" t="s">
        <v>61</v>
      </c>
      <c r="C98">
        <f xml:space="preserve">  77.44</f>
        <v>77.44</v>
      </c>
      <c r="D98">
        <v>15</v>
      </c>
      <c r="E98">
        <v>17</v>
      </c>
      <c r="F98">
        <v>75.650000000000006</v>
      </c>
      <c r="G98">
        <v>0</v>
      </c>
      <c r="H98">
        <v>5</v>
      </c>
      <c r="I98">
        <v>0</v>
      </c>
      <c r="J98">
        <v>8</v>
      </c>
      <c r="K98">
        <v>77.53</v>
      </c>
      <c r="L98">
        <v>76.459999999999994</v>
      </c>
      <c r="M98">
        <v>76.75</v>
      </c>
      <c r="N98" t="s">
        <v>5</v>
      </c>
    </row>
    <row r="99" spans="1:14" x14ac:dyDescent="0.2">
      <c r="A99" s="1">
        <v>98</v>
      </c>
      <c r="B99" t="s">
        <v>153</v>
      </c>
      <c r="C99">
        <f xml:space="preserve">  77.33</f>
        <v>77.33</v>
      </c>
      <c r="D99">
        <v>14</v>
      </c>
      <c r="E99">
        <v>19</v>
      </c>
      <c r="F99">
        <v>78.64</v>
      </c>
      <c r="G99">
        <v>1</v>
      </c>
      <c r="H99">
        <v>4</v>
      </c>
      <c r="I99">
        <v>2</v>
      </c>
      <c r="J99">
        <v>13</v>
      </c>
      <c r="K99">
        <v>77.69</v>
      </c>
      <c r="L99">
        <v>76.599999999999994</v>
      </c>
      <c r="M99">
        <v>73.72</v>
      </c>
      <c r="N99" t="s">
        <v>10</v>
      </c>
    </row>
    <row r="100" spans="1:14" x14ac:dyDescent="0.2">
      <c r="A100" s="1">
        <v>99</v>
      </c>
      <c r="B100" t="s">
        <v>302</v>
      </c>
      <c r="C100">
        <f xml:space="preserve">  77.29</f>
        <v>77.290000000000006</v>
      </c>
      <c r="D100">
        <v>20</v>
      </c>
      <c r="E100">
        <v>15</v>
      </c>
      <c r="F100">
        <v>74.95</v>
      </c>
      <c r="G100">
        <v>0</v>
      </c>
      <c r="H100">
        <v>2</v>
      </c>
      <c r="I100">
        <v>0</v>
      </c>
      <c r="J100">
        <v>8</v>
      </c>
      <c r="K100">
        <v>77.069999999999993</v>
      </c>
      <c r="L100">
        <v>76.739999999999995</v>
      </c>
      <c r="M100">
        <v>78.69</v>
      </c>
      <c r="N100" t="s">
        <v>1</v>
      </c>
    </row>
    <row r="101" spans="1:14" x14ac:dyDescent="0.2">
      <c r="A101" s="1">
        <v>100</v>
      </c>
      <c r="B101" t="s">
        <v>194</v>
      </c>
      <c r="C101">
        <f xml:space="preserve">  77.17</f>
        <v>77.17</v>
      </c>
      <c r="D101">
        <v>23</v>
      </c>
      <c r="E101">
        <v>11</v>
      </c>
      <c r="F101">
        <v>72.2</v>
      </c>
      <c r="G101">
        <v>0</v>
      </c>
      <c r="H101">
        <v>2</v>
      </c>
      <c r="I101">
        <v>0</v>
      </c>
      <c r="J101">
        <v>3</v>
      </c>
      <c r="K101">
        <v>76.680000000000007</v>
      </c>
      <c r="L101">
        <v>77.91</v>
      </c>
      <c r="M101">
        <v>78.400000000000006</v>
      </c>
      <c r="N101" t="s">
        <v>109</v>
      </c>
    </row>
    <row r="102" spans="1:14" x14ac:dyDescent="0.2">
      <c r="A102" s="1">
        <v>101</v>
      </c>
      <c r="B102" t="s">
        <v>74</v>
      </c>
      <c r="C102">
        <f xml:space="preserve">  77.16</f>
        <v>77.16</v>
      </c>
      <c r="D102">
        <v>23</v>
      </c>
      <c r="E102">
        <v>13</v>
      </c>
      <c r="F102">
        <v>73.599999999999994</v>
      </c>
      <c r="G102">
        <v>0</v>
      </c>
      <c r="H102">
        <v>3</v>
      </c>
      <c r="I102">
        <v>0</v>
      </c>
      <c r="J102">
        <v>3</v>
      </c>
      <c r="K102">
        <v>76.400000000000006</v>
      </c>
      <c r="L102">
        <v>77.650000000000006</v>
      </c>
      <c r="M102">
        <v>82.66</v>
      </c>
      <c r="N102" t="s">
        <v>63</v>
      </c>
    </row>
    <row r="103" spans="1:14" x14ac:dyDescent="0.2">
      <c r="A103" s="1">
        <v>102</v>
      </c>
      <c r="B103" t="s">
        <v>137</v>
      </c>
      <c r="C103">
        <f xml:space="preserve">  77.13</f>
        <v>77.13</v>
      </c>
      <c r="D103">
        <v>26</v>
      </c>
      <c r="E103">
        <v>7</v>
      </c>
      <c r="F103">
        <v>68.92</v>
      </c>
      <c r="G103">
        <v>1</v>
      </c>
      <c r="H103">
        <v>1</v>
      </c>
      <c r="I103">
        <v>1</v>
      </c>
      <c r="J103">
        <v>1</v>
      </c>
      <c r="K103">
        <v>76.41</v>
      </c>
      <c r="L103">
        <v>77.180000000000007</v>
      </c>
      <c r="M103">
        <v>83.78</v>
      </c>
      <c r="N103" t="s">
        <v>138</v>
      </c>
    </row>
    <row r="104" spans="1:14" x14ac:dyDescent="0.2">
      <c r="A104" s="1">
        <v>103</v>
      </c>
      <c r="B104" t="s">
        <v>553</v>
      </c>
      <c r="C104">
        <v>77.02</v>
      </c>
      <c r="D104">
        <v>22</v>
      </c>
      <c r="E104">
        <v>10</v>
      </c>
      <c r="F104">
        <v>70.86</v>
      </c>
      <c r="G104">
        <v>0</v>
      </c>
      <c r="H104">
        <v>0</v>
      </c>
      <c r="I104">
        <v>0</v>
      </c>
      <c r="J104">
        <v>4</v>
      </c>
      <c r="K104">
        <v>77.400000000000006</v>
      </c>
      <c r="L104">
        <v>77.12</v>
      </c>
      <c r="M104">
        <v>71.7</v>
      </c>
      <c r="N104" t="s">
        <v>86</v>
      </c>
    </row>
    <row r="105" spans="1:14" x14ac:dyDescent="0.2">
      <c r="A105" s="1">
        <v>104</v>
      </c>
      <c r="B105" t="s">
        <v>130</v>
      </c>
      <c r="C105">
        <f xml:space="preserve">  77</f>
        <v>77</v>
      </c>
      <c r="D105">
        <v>14</v>
      </c>
      <c r="E105">
        <v>18</v>
      </c>
      <c r="F105">
        <v>79.3</v>
      </c>
      <c r="G105">
        <v>0</v>
      </c>
      <c r="H105">
        <v>8</v>
      </c>
      <c r="I105">
        <v>3</v>
      </c>
      <c r="J105">
        <v>11</v>
      </c>
      <c r="K105">
        <v>77.22</v>
      </c>
      <c r="L105">
        <v>76.7</v>
      </c>
      <c r="M105">
        <v>73.73</v>
      </c>
      <c r="N105" t="s">
        <v>10</v>
      </c>
    </row>
    <row r="106" spans="1:14" x14ac:dyDescent="0.2">
      <c r="A106" s="1">
        <v>105</v>
      </c>
      <c r="B106" t="s">
        <v>286</v>
      </c>
      <c r="C106">
        <f xml:space="preserve">  76.97</f>
        <v>76.97</v>
      </c>
      <c r="D106">
        <v>11</v>
      </c>
      <c r="E106">
        <v>21</v>
      </c>
      <c r="F106">
        <v>79.989999999999995</v>
      </c>
      <c r="G106">
        <v>2</v>
      </c>
      <c r="H106">
        <v>8</v>
      </c>
      <c r="I106">
        <v>2</v>
      </c>
      <c r="J106">
        <v>12</v>
      </c>
      <c r="K106">
        <v>77.5</v>
      </c>
      <c r="L106">
        <v>76.349999999999994</v>
      </c>
      <c r="M106">
        <v>71.83</v>
      </c>
      <c r="N106" t="s">
        <v>14</v>
      </c>
    </row>
    <row r="107" spans="1:14" x14ac:dyDescent="0.2">
      <c r="A107" s="1">
        <v>106</v>
      </c>
      <c r="B107" t="s">
        <v>290</v>
      </c>
      <c r="C107">
        <f xml:space="preserve">  76.88</f>
        <v>76.88</v>
      </c>
      <c r="D107">
        <v>24</v>
      </c>
      <c r="E107">
        <v>9</v>
      </c>
      <c r="F107">
        <v>69.77</v>
      </c>
      <c r="G107">
        <v>0</v>
      </c>
      <c r="H107">
        <v>2</v>
      </c>
      <c r="I107">
        <v>0</v>
      </c>
      <c r="J107">
        <v>3</v>
      </c>
      <c r="K107">
        <v>76.680000000000007</v>
      </c>
      <c r="L107">
        <v>76.75</v>
      </c>
      <c r="M107">
        <v>77.05</v>
      </c>
      <c r="N107" t="s">
        <v>186</v>
      </c>
    </row>
    <row r="108" spans="1:14" x14ac:dyDescent="0.2">
      <c r="A108" s="1">
        <v>107</v>
      </c>
      <c r="B108" t="s">
        <v>97</v>
      </c>
      <c r="C108">
        <f xml:space="preserve">  76.7</f>
        <v>76.7</v>
      </c>
      <c r="D108">
        <v>19</v>
      </c>
      <c r="E108">
        <v>17</v>
      </c>
      <c r="F108">
        <v>76.31</v>
      </c>
      <c r="G108">
        <v>0</v>
      </c>
      <c r="H108">
        <v>2</v>
      </c>
      <c r="I108">
        <v>1</v>
      </c>
      <c r="J108">
        <v>6</v>
      </c>
      <c r="K108">
        <v>76.58</v>
      </c>
      <c r="L108">
        <v>76.540000000000006</v>
      </c>
      <c r="M108">
        <v>76.209999999999994</v>
      </c>
      <c r="N108" t="s">
        <v>12</v>
      </c>
    </row>
    <row r="109" spans="1:14" x14ac:dyDescent="0.2">
      <c r="A109" s="1">
        <v>108</v>
      </c>
      <c r="B109" t="s">
        <v>142</v>
      </c>
      <c r="C109">
        <f xml:space="preserve">  76.7</f>
        <v>76.7</v>
      </c>
      <c r="D109">
        <v>26</v>
      </c>
      <c r="E109">
        <v>8</v>
      </c>
      <c r="F109">
        <v>68.67</v>
      </c>
      <c r="G109">
        <v>0</v>
      </c>
      <c r="H109">
        <v>0</v>
      </c>
      <c r="I109">
        <v>0</v>
      </c>
      <c r="J109">
        <v>2</v>
      </c>
      <c r="K109">
        <v>76.8</v>
      </c>
      <c r="L109">
        <v>76.819999999999993</v>
      </c>
      <c r="M109">
        <v>73.64</v>
      </c>
      <c r="N109" t="s">
        <v>109</v>
      </c>
    </row>
    <row r="110" spans="1:14" x14ac:dyDescent="0.2">
      <c r="A110" s="1">
        <v>109</v>
      </c>
      <c r="B110" t="s">
        <v>121</v>
      </c>
      <c r="C110">
        <f xml:space="preserve">  76.68</f>
        <v>76.680000000000007</v>
      </c>
      <c r="D110">
        <v>20</v>
      </c>
      <c r="E110">
        <v>14</v>
      </c>
      <c r="F110">
        <v>73.55</v>
      </c>
      <c r="G110">
        <v>1</v>
      </c>
      <c r="H110">
        <v>0</v>
      </c>
      <c r="I110">
        <v>3</v>
      </c>
      <c r="J110">
        <v>2</v>
      </c>
      <c r="K110">
        <v>76.27</v>
      </c>
      <c r="L110">
        <v>76.7</v>
      </c>
      <c r="M110">
        <v>78.680000000000007</v>
      </c>
      <c r="N110" t="s">
        <v>67</v>
      </c>
    </row>
    <row r="111" spans="1:14" x14ac:dyDescent="0.2">
      <c r="A111" s="1">
        <v>110</v>
      </c>
      <c r="B111" t="s">
        <v>122</v>
      </c>
      <c r="C111">
        <f xml:space="preserve">  76.58</f>
        <v>76.58</v>
      </c>
      <c r="D111">
        <v>14</v>
      </c>
      <c r="E111">
        <v>17</v>
      </c>
      <c r="F111">
        <v>78.37</v>
      </c>
      <c r="G111">
        <v>1</v>
      </c>
      <c r="H111">
        <v>4</v>
      </c>
      <c r="I111">
        <v>3</v>
      </c>
      <c r="J111">
        <v>10</v>
      </c>
      <c r="K111">
        <v>76.89</v>
      </c>
      <c r="L111">
        <v>77.17</v>
      </c>
      <c r="M111">
        <v>70.75</v>
      </c>
      <c r="N111" t="s">
        <v>10</v>
      </c>
    </row>
    <row r="112" spans="1:14" x14ac:dyDescent="0.2">
      <c r="A112" s="1">
        <v>111</v>
      </c>
      <c r="B112" t="s">
        <v>280</v>
      </c>
      <c r="C112">
        <f xml:space="preserve">  76.43</f>
        <v>76.430000000000007</v>
      </c>
      <c r="D112">
        <v>26</v>
      </c>
      <c r="E112">
        <v>9</v>
      </c>
      <c r="F112">
        <v>71.34</v>
      </c>
      <c r="G112">
        <v>0</v>
      </c>
      <c r="H112">
        <v>1</v>
      </c>
      <c r="I112">
        <v>1</v>
      </c>
      <c r="J112">
        <v>1</v>
      </c>
      <c r="K112">
        <v>75.8</v>
      </c>
      <c r="L112">
        <v>77.2</v>
      </c>
      <c r="M112">
        <v>79.14</v>
      </c>
      <c r="N112" t="s">
        <v>67</v>
      </c>
    </row>
    <row r="113" spans="1:14" x14ac:dyDescent="0.2">
      <c r="A113" s="1">
        <v>112</v>
      </c>
      <c r="B113" t="s">
        <v>50</v>
      </c>
      <c r="C113">
        <f xml:space="preserve">  76.26</f>
        <v>76.260000000000005</v>
      </c>
      <c r="D113">
        <v>19</v>
      </c>
      <c r="E113">
        <v>14</v>
      </c>
      <c r="F113">
        <v>72.069999999999993</v>
      </c>
      <c r="G113">
        <v>0</v>
      </c>
      <c r="H113">
        <v>1</v>
      </c>
      <c r="I113">
        <v>0</v>
      </c>
      <c r="J113">
        <v>3</v>
      </c>
      <c r="K113">
        <v>76.23</v>
      </c>
      <c r="L113">
        <v>75.62</v>
      </c>
      <c r="M113">
        <v>75.89</v>
      </c>
      <c r="N113" t="s">
        <v>84</v>
      </c>
    </row>
    <row r="114" spans="1:14" x14ac:dyDescent="0.2">
      <c r="A114" s="1">
        <v>113</v>
      </c>
      <c r="B114" t="s">
        <v>98</v>
      </c>
      <c r="C114">
        <f xml:space="preserve">  76.13</f>
        <v>76.13</v>
      </c>
      <c r="D114">
        <v>15</v>
      </c>
      <c r="E114">
        <v>16</v>
      </c>
      <c r="F114">
        <v>76.75</v>
      </c>
      <c r="G114">
        <v>0</v>
      </c>
      <c r="H114">
        <v>4</v>
      </c>
      <c r="I114">
        <v>0</v>
      </c>
      <c r="J114">
        <v>7</v>
      </c>
      <c r="K114">
        <v>76.44</v>
      </c>
      <c r="L114">
        <v>77.010000000000005</v>
      </c>
      <c r="M114">
        <v>69.680000000000007</v>
      </c>
      <c r="N114" t="s">
        <v>7</v>
      </c>
    </row>
    <row r="115" spans="1:14" x14ac:dyDescent="0.2">
      <c r="A115" s="1">
        <v>114</v>
      </c>
      <c r="B115" t="s">
        <v>808</v>
      </c>
      <c r="C115">
        <f xml:space="preserve">  76.08</f>
        <v>76.08</v>
      </c>
      <c r="D115">
        <v>23</v>
      </c>
      <c r="E115">
        <v>10</v>
      </c>
      <c r="F115">
        <v>73.23</v>
      </c>
      <c r="G115">
        <v>0</v>
      </c>
      <c r="H115">
        <v>2</v>
      </c>
      <c r="I115">
        <v>0</v>
      </c>
      <c r="J115">
        <v>3</v>
      </c>
      <c r="K115">
        <v>75.41</v>
      </c>
      <c r="L115">
        <v>76.72</v>
      </c>
      <c r="M115">
        <v>79.67</v>
      </c>
      <c r="N115" t="s">
        <v>145</v>
      </c>
    </row>
    <row r="116" spans="1:14" x14ac:dyDescent="0.2">
      <c r="A116" s="1">
        <v>115</v>
      </c>
      <c r="B116" t="s">
        <v>297</v>
      </c>
      <c r="C116">
        <f xml:space="preserve">  75.98</f>
        <v>75.98</v>
      </c>
      <c r="D116">
        <v>18</v>
      </c>
      <c r="E116">
        <v>12</v>
      </c>
      <c r="F116">
        <v>73.819999999999993</v>
      </c>
      <c r="G116">
        <v>0</v>
      </c>
      <c r="H116">
        <v>1</v>
      </c>
      <c r="I116">
        <v>1</v>
      </c>
      <c r="J116">
        <v>2</v>
      </c>
      <c r="K116">
        <v>75.56</v>
      </c>
      <c r="L116">
        <v>75.819999999999993</v>
      </c>
      <c r="M116">
        <v>78.569999999999993</v>
      </c>
      <c r="N116" t="s">
        <v>125</v>
      </c>
    </row>
    <row r="117" spans="1:14" x14ac:dyDescent="0.2">
      <c r="A117" s="1">
        <v>116</v>
      </c>
      <c r="B117" t="s">
        <v>105</v>
      </c>
      <c r="C117">
        <f xml:space="preserve">  75.96</f>
        <v>75.959999999999994</v>
      </c>
      <c r="D117">
        <v>19</v>
      </c>
      <c r="E117">
        <v>14</v>
      </c>
      <c r="F117">
        <v>71.5</v>
      </c>
      <c r="G117">
        <v>0</v>
      </c>
      <c r="H117">
        <v>2</v>
      </c>
      <c r="I117">
        <v>0</v>
      </c>
      <c r="J117">
        <v>2</v>
      </c>
      <c r="K117">
        <v>75.94</v>
      </c>
      <c r="L117">
        <v>75.09</v>
      </c>
      <c r="M117">
        <v>76.069999999999993</v>
      </c>
      <c r="N117" t="s">
        <v>81</v>
      </c>
    </row>
    <row r="118" spans="1:14" x14ac:dyDescent="0.2">
      <c r="A118" s="1">
        <v>117</v>
      </c>
      <c r="B118" t="s">
        <v>200</v>
      </c>
      <c r="C118">
        <f xml:space="preserve">  75.89</f>
        <v>75.89</v>
      </c>
      <c r="D118">
        <v>19</v>
      </c>
      <c r="E118">
        <v>12</v>
      </c>
      <c r="F118">
        <v>72.989999999999995</v>
      </c>
      <c r="G118">
        <v>0</v>
      </c>
      <c r="H118">
        <v>0</v>
      </c>
      <c r="I118">
        <v>0</v>
      </c>
      <c r="J118">
        <v>1</v>
      </c>
      <c r="K118">
        <v>75.78</v>
      </c>
      <c r="L118">
        <v>75.7</v>
      </c>
      <c r="M118">
        <v>75.2</v>
      </c>
      <c r="N118" t="s">
        <v>145</v>
      </c>
    </row>
    <row r="119" spans="1:14" x14ac:dyDescent="0.2">
      <c r="A119" s="1">
        <v>118</v>
      </c>
      <c r="B119" t="s">
        <v>129</v>
      </c>
      <c r="C119">
        <f xml:space="preserve">  75.74</f>
        <v>75.739999999999995</v>
      </c>
      <c r="D119">
        <v>18</v>
      </c>
      <c r="E119">
        <v>15</v>
      </c>
      <c r="F119">
        <v>73.37</v>
      </c>
      <c r="G119">
        <v>0</v>
      </c>
      <c r="H119">
        <v>0</v>
      </c>
      <c r="I119">
        <v>0</v>
      </c>
      <c r="J119">
        <v>0</v>
      </c>
      <c r="K119">
        <v>75.540000000000006</v>
      </c>
      <c r="L119">
        <v>75.180000000000007</v>
      </c>
      <c r="M119">
        <v>76.930000000000007</v>
      </c>
      <c r="N119" t="s">
        <v>63</v>
      </c>
    </row>
    <row r="120" spans="1:14" x14ac:dyDescent="0.2">
      <c r="A120" s="1">
        <v>119</v>
      </c>
      <c r="B120" t="s">
        <v>68</v>
      </c>
      <c r="C120">
        <f xml:space="preserve">  75.72</f>
        <v>75.72</v>
      </c>
      <c r="D120">
        <v>18</v>
      </c>
      <c r="E120">
        <v>16</v>
      </c>
      <c r="F120">
        <v>72.989999999999995</v>
      </c>
      <c r="G120">
        <v>0</v>
      </c>
      <c r="H120">
        <v>0</v>
      </c>
      <c r="I120">
        <v>0</v>
      </c>
      <c r="J120">
        <v>2</v>
      </c>
      <c r="K120">
        <v>75.239999999999995</v>
      </c>
      <c r="L120">
        <v>74.680000000000007</v>
      </c>
      <c r="M120">
        <v>81.78</v>
      </c>
      <c r="N120" t="s">
        <v>63</v>
      </c>
    </row>
    <row r="121" spans="1:14" x14ac:dyDescent="0.2">
      <c r="A121" s="1">
        <v>120</v>
      </c>
      <c r="B121" t="s">
        <v>797</v>
      </c>
      <c r="C121">
        <f xml:space="preserve">  75.63</f>
        <v>75.63</v>
      </c>
      <c r="D121">
        <v>12</v>
      </c>
      <c r="E121">
        <v>20</v>
      </c>
      <c r="F121">
        <v>73.8</v>
      </c>
      <c r="G121">
        <v>0</v>
      </c>
      <c r="H121">
        <v>3</v>
      </c>
      <c r="I121">
        <v>0</v>
      </c>
      <c r="J121">
        <v>7</v>
      </c>
      <c r="K121">
        <v>76.239999999999995</v>
      </c>
      <c r="L121">
        <v>74.040000000000006</v>
      </c>
      <c r="M121">
        <v>71.569999999999993</v>
      </c>
      <c r="N121" t="s">
        <v>56</v>
      </c>
    </row>
    <row r="122" spans="1:14" x14ac:dyDescent="0.2">
      <c r="A122" s="1">
        <v>121</v>
      </c>
      <c r="B122" t="s">
        <v>183</v>
      </c>
      <c r="C122">
        <f xml:space="preserve">  75.59</f>
        <v>75.59</v>
      </c>
      <c r="D122">
        <v>23</v>
      </c>
      <c r="E122">
        <v>14</v>
      </c>
      <c r="F122">
        <v>73.34</v>
      </c>
      <c r="G122">
        <v>0</v>
      </c>
      <c r="H122">
        <v>3</v>
      </c>
      <c r="I122">
        <v>0</v>
      </c>
      <c r="J122">
        <v>5</v>
      </c>
      <c r="K122">
        <v>74.95</v>
      </c>
      <c r="L122">
        <v>75.14</v>
      </c>
      <c r="M122">
        <v>82.15</v>
      </c>
      <c r="N122" t="s">
        <v>5</v>
      </c>
    </row>
    <row r="123" spans="1:14" x14ac:dyDescent="0.2">
      <c r="A123" s="1">
        <v>122</v>
      </c>
      <c r="B123" t="s">
        <v>76</v>
      </c>
      <c r="C123">
        <f xml:space="preserve">  75.5</f>
        <v>75.5</v>
      </c>
      <c r="D123">
        <v>9</v>
      </c>
      <c r="E123">
        <v>23</v>
      </c>
      <c r="F123">
        <v>80.290000000000006</v>
      </c>
      <c r="G123">
        <v>0</v>
      </c>
      <c r="H123">
        <v>0</v>
      </c>
      <c r="I123">
        <v>0</v>
      </c>
      <c r="J123">
        <v>15</v>
      </c>
      <c r="K123">
        <v>76.319999999999993</v>
      </c>
      <c r="L123">
        <v>75.2</v>
      </c>
      <c r="M123">
        <v>66.45</v>
      </c>
      <c r="N123" t="s">
        <v>14</v>
      </c>
    </row>
    <row r="124" spans="1:14" x14ac:dyDescent="0.2">
      <c r="A124" s="1">
        <v>123</v>
      </c>
      <c r="B124" t="s">
        <v>149</v>
      </c>
      <c r="C124">
        <f xml:space="preserve">  75.48</f>
        <v>75.48</v>
      </c>
      <c r="D124">
        <v>18</v>
      </c>
      <c r="E124">
        <v>14</v>
      </c>
      <c r="F124">
        <v>75.78</v>
      </c>
      <c r="G124">
        <v>1</v>
      </c>
      <c r="H124">
        <v>5</v>
      </c>
      <c r="I124">
        <v>1</v>
      </c>
      <c r="J124">
        <v>6</v>
      </c>
      <c r="K124">
        <v>75.45</v>
      </c>
      <c r="L124">
        <v>75.98</v>
      </c>
      <c r="M124">
        <v>72.73</v>
      </c>
      <c r="N124" t="s">
        <v>5</v>
      </c>
    </row>
    <row r="125" spans="1:14" x14ac:dyDescent="0.2">
      <c r="A125" s="1">
        <v>124</v>
      </c>
      <c r="B125" t="s">
        <v>287</v>
      </c>
      <c r="C125">
        <f xml:space="preserve">  75.45</f>
        <v>75.45</v>
      </c>
      <c r="D125">
        <v>18</v>
      </c>
      <c r="E125">
        <v>12</v>
      </c>
      <c r="F125">
        <v>72.7</v>
      </c>
      <c r="G125">
        <v>1</v>
      </c>
      <c r="H125">
        <v>1</v>
      </c>
      <c r="I125">
        <v>1</v>
      </c>
      <c r="J125">
        <v>1</v>
      </c>
      <c r="K125">
        <v>75.2</v>
      </c>
      <c r="L125">
        <v>75.260000000000005</v>
      </c>
      <c r="M125">
        <v>76.27</v>
      </c>
      <c r="N125" t="s">
        <v>125</v>
      </c>
    </row>
    <row r="126" spans="1:14" x14ac:dyDescent="0.2">
      <c r="A126" s="1">
        <v>125</v>
      </c>
      <c r="B126" t="s">
        <v>814</v>
      </c>
      <c r="C126">
        <f xml:space="preserve">  75.41</f>
        <v>75.41</v>
      </c>
      <c r="D126">
        <v>19</v>
      </c>
      <c r="E126">
        <v>14</v>
      </c>
      <c r="F126">
        <v>71.040000000000006</v>
      </c>
      <c r="G126">
        <v>0</v>
      </c>
      <c r="H126">
        <v>1</v>
      </c>
      <c r="I126">
        <v>0</v>
      </c>
      <c r="J126">
        <v>3</v>
      </c>
      <c r="K126">
        <v>75.63</v>
      </c>
      <c r="L126">
        <v>74.63</v>
      </c>
      <c r="M126">
        <v>73.06</v>
      </c>
      <c r="N126" t="s">
        <v>186</v>
      </c>
    </row>
    <row r="127" spans="1:14" x14ac:dyDescent="0.2">
      <c r="A127" s="1">
        <v>126</v>
      </c>
      <c r="B127" t="s">
        <v>133</v>
      </c>
      <c r="C127">
        <f xml:space="preserve">  75.37</f>
        <v>75.37</v>
      </c>
      <c r="D127">
        <v>15</v>
      </c>
      <c r="E127">
        <v>16</v>
      </c>
      <c r="F127">
        <v>73.099999999999994</v>
      </c>
      <c r="G127">
        <v>0</v>
      </c>
      <c r="H127">
        <v>1</v>
      </c>
      <c r="I127">
        <v>0</v>
      </c>
      <c r="J127">
        <v>5</v>
      </c>
      <c r="K127">
        <v>75.5</v>
      </c>
      <c r="L127">
        <v>73.650000000000006</v>
      </c>
      <c r="M127">
        <v>75.84</v>
      </c>
      <c r="N127" t="s">
        <v>311</v>
      </c>
    </row>
    <row r="128" spans="1:14" x14ac:dyDescent="0.2">
      <c r="A128" s="1">
        <v>127</v>
      </c>
      <c r="B128" t="s">
        <v>207</v>
      </c>
      <c r="C128">
        <f xml:space="preserve">  75.36</f>
        <v>75.36</v>
      </c>
      <c r="D128">
        <v>20</v>
      </c>
      <c r="E128">
        <v>12</v>
      </c>
      <c r="F128">
        <v>72.75</v>
      </c>
      <c r="G128">
        <v>0</v>
      </c>
      <c r="H128">
        <v>0</v>
      </c>
      <c r="I128">
        <v>1</v>
      </c>
      <c r="J128">
        <v>2</v>
      </c>
      <c r="K128">
        <v>75.27</v>
      </c>
      <c r="L128">
        <v>74.12</v>
      </c>
      <c r="M128">
        <v>76.959999999999994</v>
      </c>
      <c r="N128" t="s">
        <v>311</v>
      </c>
    </row>
    <row r="129" spans="1:14" x14ac:dyDescent="0.2">
      <c r="A129" s="1">
        <v>128</v>
      </c>
      <c r="B129" t="s">
        <v>157</v>
      </c>
      <c r="C129">
        <v>75.3</v>
      </c>
      <c r="D129">
        <v>23</v>
      </c>
      <c r="E129">
        <v>9</v>
      </c>
      <c r="F129">
        <v>69.84</v>
      </c>
      <c r="G129">
        <v>0</v>
      </c>
      <c r="H129">
        <v>1</v>
      </c>
      <c r="I129">
        <v>0</v>
      </c>
      <c r="J129">
        <v>1</v>
      </c>
      <c r="K129">
        <v>74.88</v>
      </c>
      <c r="L129">
        <v>76.099999999999994</v>
      </c>
      <c r="M129">
        <v>75.62</v>
      </c>
      <c r="N129" t="s">
        <v>109</v>
      </c>
    </row>
    <row r="130" spans="1:14" x14ac:dyDescent="0.2">
      <c r="A130" s="1">
        <v>129</v>
      </c>
      <c r="B130" t="s">
        <v>146</v>
      </c>
      <c r="C130">
        <f xml:space="preserve">  75.3</f>
        <v>75.3</v>
      </c>
      <c r="D130">
        <v>23</v>
      </c>
      <c r="E130">
        <v>10</v>
      </c>
      <c r="F130">
        <v>70.400000000000006</v>
      </c>
      <c r="G130">
        <v>0</v>
      </c>
      <c r="H130">
        <v>0</v>
      </c>
      <c r="I130">
        <v>0</v>
      </c>
      <c r="J130">
        <v>2</v>
      </c>
      <c r="K130">
        <v>74.989999999999995</v>
      </c>
      <c r="L130">
        <v>75.739999999999995</v>
      </c>
      <c r="M130">
        <v>75.3</v>
      </c>
      <c r="N130" t="s">
        <v>81</v>
      </c>
    </row>
    <row r="131" spans="1:14" x14ac:dyDescent="0.2">
      <c r="A131" s="1">
        <v>130</v>
      </c>
      <c r="B131" t="s">
        <v>192</v>
      </c>
      <c r="C131">
        <f xml:space="preserve">  75.15</f>
        <v>75.150000000000006</v>
      </c>
      <c r="D131">
        <v>24</v>
      </c>
      <c r="E131">
        <v>9</v>
      </c>
      <c r="F131">
        <v>68.19</v>
      </c>
      <c r="G131">
        <v>0</v>
      </c>
      <c r="H131">
        <v>1</v>
      </c>
      <c r="I131">
        <v>0</v>
      </c>
      <c r="J131">
        <v>2</v>
      </c>
      <c r="K131">
        <v>74.64</v>
      </c>
      <c r="L131">
        <v>75.72</v>
      </c>
      <c r="M131">
        <v>76.84</v>
      </c>
      <c r="N131" t="s">
        <v>151</v>
      </c>
    </row>
    <row r="132" spans="1:14" x14ac:dyDescent="0.2">
      <c r="A132" s="1">
        <v>131</v>
      </c>
      <c r="B132" t="s">
        <v>91</v>
      </c>
      <c r="C132">
        <f xml:space="preserve">  75.12</f>
        <v>75.12</v>
      </c>
      <c r="D132">
        <v>22</v>
      </c>
      <c r="E132">
        <v>10</v>
      </c>
      <c r="F132">
        <v>72.06</v>
      </c>
      <c r="G132">
        <v>0</v>
      </c>
      <c r="H132">
        <v>1</v>
      </c>
      <c r="I132">
        <v>0</v>
      </c>
      <c r="J132">
        <v>1</v>
      </c>
      <c r="K132">
        <v>75.209999999999994</v>
      </c>
      <c r="L132">
        <v>75.38</v>
      </c>
      <c r="M132">
        <v>71.73</v>
      </c>
      <c r="N132" t="s">
        <v>84</v>
      </c>
    </row>
    <row r="133" spans="1:14" x14ac:dyDescent="0.2">
      <c r="A133" s="1">
        <v>132</v>
      </c>
      <c r="B133" t="s">
        <v>829</v>
      </c>
      <c r="C133">
        <f xml:space="preserve">  75.06</f>
        <v>75.06</v>
      </c>
      <c r="D133">
        <v>22</v>
      </c>
      <c r="E133">
        <v>9</v>
      </c>
      <c r="F133">
        <v>68.540000000000006</v>
      </c>
      <c r="G133">
        <v>0</v>
      </c>
      <c r="H133">
        <v>0</v>
      </c>
      <c r="I133">
        <v>0</v>
      </c>
      <c r="J133">
        <v>1</v>
      </c>
      <c r="K133">
        <v>74.73</v>
      </c>
      <c r="L133">
        <v>75.09</v>
      </c>
      <c r="M133">
        <v>76.22</v>
      </c>
      <c r="N133" t="s">
        <v>77</v>
      </c>
    </row>
    <row r="134" spans="1:14" x14ac:dyDescent="0.2">
      <c r="A134" s="1">
        <v>133</v>
      </c>
      <c r="B134" t="s">
        <v>136</v>
      </c>
      <c r="C134">
        <f xml:space="preserve">  74.63</f>
        <v>74.63</v>
      </c>
      <c r="D134">
        <v>17</v>
      </c>
      <c r="E134">
        <v>15</v>
      </c>
      <c r="F134">
        <v>72.27</v>
      </c>
      <c r="G134">
        <v>0</v>
      </c>
      <c r="H134">
        <v>1</v>
      </c>
      <c r="I134">
        <v>0</v>
      </c>
      <c r="J134">
        <v>3</v>
      </c>
      <c r="K134">
        <v>74.650000000000006</v>
      </c>
      <c r="L134">
        <v>74.12</v>
      </c>
      <c r="M134">
        <v>73.569999999999993</v>
      </c>
      <c r="N134" t="s">
        <v>84</v>
      </c>
    </row>
    <row r="135" spans="1:14" x14ac:dyDescent="0.2">
      <c r="A135" s="1">
        <v>134</v>
      </c>
      <c r="B135" t="s">
        <v>243</v>
      </c>
      <c r="C135">
        <f xml:space="preserve">  74.55</f>
        <v>74.55</v>
      </c>
      <c r="D135">
        <v>20</v>
      </c>
      <c r="E135">
        <v>12</v>
      </c>
      <c r="F135">
        <v>71.930000000000007</v>
      </c>
      <c r="G135">
        <v>0</v>
      </c>
      <c r="H135">
        <v>0</v>
      </c>
      <c r="I135">
        <v>0</v>
      </c>
      <c r="J135">
        <v>3</v>
      </c>
      <c r="K135">
        <v>74.239999999999995</v>
      </c>
      <c r="L135">
        <v>74.430000000000007</v>
      </c>
      <c r="M135">
        <v>75.78</v>
      </c>
      <c r="N135" t="s">
        <v>312</v>
      </c>
    </row>
    <row r="136" spans="1:14" x14ac:dyDescent="0.2">
      <c r="A136" s="1">
        <v>135</v>
      </c>
      <c r="B136" t="s">
        <v>140</v>
      </c>
      <c r="C136">
        <f xml:space="preserve">  74.54</f>
        <v>74.540000000000006</v>
      </c>
      <c r="D136">
        <v>23</v>
      </c>
      <c r="E136">
        <v>11</v>
      </c>
      <c r="F136">
        <v>69.2</v>
      </c>
      <c r="G136">
        <v>0</v>
      </c>
      <c r="H136">
        <v>1</v>
      </c>
      <c r="I136">
        <v>0</v>
      </c>
      <c r="J136">
        <v>3</v>
      </c>
      <c r="K136">
        <v>74.02</v>
      </c>
      <c r="L136">
        <v>73.95</v>
      </c>
      <c r="M136">
        <v>79.510000000000005</v>
      </c>
      <c r="N136" t="s">
        <v>141</v>
      </c>
    </row>
    <row r="137" spans="1:14" x14ac:dyDescent="0.2">
      <c r="A137" s="1">
        <v>136</v>
      </c>
      <c r="B137" t="s">
        <v>813</v>
      </c>
      <c r="C137">
        <f xml:space="preserve">  74.39</f>
        <v>74.39</v>
      </c>
      <c r="D137">
        <v>15</v>
      </c>
      <c r="E137">
        <v>17</v>
      </c>
      <c r="F137">
        <v>73.39</v>
      </c>
      <c r="G137">
        <v>0</v>
      </c>
      <c r="H137">
        <v>2</v>
      </c>
      <c r="I137">
        <v>0</v>
      </c>
      <c r="J137">
        <v>3</v>
      </c>
      <c r="K137">
        <v>74.760000000000005</v>
      </c>
      <c r="L137">
        <v>73.540000000000006</v>
      </c>
      <c r="M137">
        <v>70.650000000000006</v>
      </c>
      <c r="N137" t="s">
        <v>312</v>
      </c>
    </row>
    <row r="138" spans="1:14" x14ac:dyDescent="0.2">
      <c r="A138" s="1">
        <v>137</v>
      </c>
      <c r="B138" t="s">
        <v>172</v>
      </c>
      <c r="C138">
        <f xml:space="preserve">  74.34</f>
        <v>74.34</v>
      </c>
      <c r="D138">
        <v>20</v>
      </c>
      <c r="E138">
        <v>12</v>
      </c>
      <c r="F138">
        <v>72.5</v>
      </c>
      <c r="G138">
        <v>0</v>
      </c>
      <c r="H138">
        <v>2</v>
      </c>
      <c r="I138">
        <v>0</v>
      </c>
      <c r="J138">
        <v>3</v>
      </c>
      <c r="K138">
        <v>73.91</v>
      </c>
      <c r="L138">
        <v>74.59</v>
      </c>
      <c r="M138">
        <v>76.05</v>
      </c>
      <c r="N138" t="s">
        <v>1</v>
      </c>
    </row>
    <row r="139" spans="1:14" x14ac:dyDescent="0.2">
      <c r="A139" s="1">
        <v>138</v>
      </c>
      <c r="B139" t="s">
        <v>223</v>
      </c>
      <c r="C139">
        <f xml:space="preserve">  74.29</f>
        <v>74.290000000000006</v>
      </c>
      <c r="D139">
        <v>19</v>
      </c>
      <c r="E139">
        <v>11</v>
      </c>
      <c r="F139">
        <v>70.88</v>
      </c>
      <c r="G139">
        <v>1</v>
      </c>
      <c r="H139">
        <v>0</v>
      </c>
      <c r="I139">
        <v>1</v>
      </c>
      <c r="J139">
        <v>2</v>
      </c>
      <c r="K139">
        <v>74.02</v>
      </c>
      <c r="L139">
        <v>74.61</v>
      </c>
      <c r="M139">
        <v>74.16</v>
      </c>
      <c r="N139" t="s">
        <v>306</v>
      </c>
    </row>
    <row r="140" spans="1:14" x14ac:dyDescent="0.2">
      <c r="A140" s="1">
        <v>139</v>
      </c>
      <c r="B140" t="s">
        <v>236</v>
      </c>
      <c r="C140">
        <f xml:space="preserve">  74.28</f>
        <v>74.28</v>
      </c>
      <c r="D140">
        <v>15</v>
      </c>
      <c r="E140">
        <v>17</v>
      </c>
      <c r="F140">
        <v>73.3</v>
      </c>
      <c r="G140">
        <v>0</v>
      </c>
      <c r="H140">
        <v>1</v>
      </c>
      <c r="I140">
        <v>1</v>
      </c>
      <c r="J140">
        <v>1</v>
      </c>
      <c r="K140">
        <v>74.02</v>
      </c>
      <c r="L140">
        <v>72.94</v>
      </c>
      <c r="M140">
        <v>77.989999999999995</v>
      </c>
      <c r="N140" t="s">
        <v>312</v>
      </c>
    </row>
    <row r="141" spans="1:14" x14ac:dyDescent="0.2">
      <c r="A141" s="1">
        <v>140</v>
      </c>
      <c r="B141" t="s">
        <v>255</v>
      </c>
      <c r="C141">
        <f xml:space="preserve">  74.24</f>
        <v>74.239999999999995</v>
      </c>
      <c r="D141">
        <v>17</v>
      </c>
      <c r="E141">
        <v>12</v>
      </c>
      <c r="F141">
        <v>72.41</v>
      </c>
      <c r="G141">
        <v>0</v>
      </c>
      <c r="H141">
        <v>1</v>
      </c>
      <c r="I141">
        <v>0</v>
      </c>
      <c r="J141">
        <v>1</v>
      </c>
      <c r="K141">
        <v>74.599999999999994</v>
      </c>
      <c r="L141">
        <v>73.77</v>
      </c>
      <c r="M141">
        <v>69.81</v>
      </c>
      <c r="N141" t="s">
        <v>67</v>
      </c>
    </row>
    <row r="142" spans="1:14" x14ac:dyDescent="0.2">
      <c r="A142" s="1">
        <v>141</v>
      </c>
      <c r="B142" t="s">
        <v>228</v>
      </c>
      <c r="C142">
        <f xml:space="preserve">  74.05</f>
        <v>74.05</v>
      </c>
      <c r="D142">
        <v>20</v>
      </c>
      <c r="E142">
        <v>11</v>
      </c>
      <c r="F142">
        <v>69.239999999999995</v>
      </c>
      <c r="G142">
        <v>0</v>
      </c>
      <c r="H142">
        <v>1</v>
      </c>
      <c r="I142">
        <v>0</v>
      </c>
      <c r="J142">
        <v>2</v>
      </c>
      <c r="K142">
        <v>73.78</v>
      </c>
      <c r="L142">
        <v>73.87</v>
      </c>
      <c r="M142">
        <v>75</v>
      </c>
      <c r="N142" t="s">
        <v>77</v>
      </c>
    </row>
    <row r="143" spans="1:14" x14ac:dyDescent="0.2">
      <c r="A143" s="1">
        <v>142</v>
      </c>
      <c r="B143" t="s">
        <v>181</v>
      </c>
      <c r="C143">
        <f xml:space="preserve">  73.83</f>
        <v>73.83</v>
      </c>
      <c r="D143">
        <v>23</v>
      </c>
      <c r="E143">
        <v>14</v>
      </c>
      <c r="F143">
        <v>71.28</v>
      </c>
      <c r="G143">
        <v>0</v>
      </c>
      <c r="H143">
        <v>1</v>
      </c>
      <c r="I143">
        <v>0</v>
      </c>
      <c r="J143">
        <v>2</v>
      </c>
      <c r="K143">
        <v>73.010000000000005</v>
      </c>
      <c r="L143">
        <v>73.94</v>
      </c>
      <c r="M143">
        <v>80.62</v>
      </c>
      <c r="N143" t="s">
        <v>67</v>
      </c>
    </row>
    <row r="144" spans="1:14" x14ac:dyDescent="0.2">
      <c r="A144" s="1">
        <v>143</v>
      </c>
      <c r="B144" t="s">
        <v>191</v>
      </c>
      <c r="C144">
        <f xml:space="preserve">  73.75</f>
        <v>73.75</v>
      </c>
      <c r="D144">
        <v>16</v>
      </c>
      <c r="E144">
        <v>16</v>
      </c>
      <c r="F144">
        <v>73.099999999999994</v>
      </c>
      <c r="G144">
        <v>0</v>
      </c>
      <c r="H144">
        <v>2</v>
      </c>
      <c r="I144">
        <v>0</v>
      </c>
      <c r="J144">
        <v>4</v>
      </c>
      <c r="K144">
        <v>73.290000000000006</v>
      </c>
      <c r="L144">
        <v>73.66</v>
      </c>
      <c r="M144">
        <v>76.56</v>
      </c>
      <c r="N144" t="s">
        <v>145</v>
      </c>
    </row>
    <row r="145" spans="1:14" x14ac:dyDescent="0.2">
      <c r="A145" s="1">
        <v>144</v>
      </c>
      <c r="B145" t="s">
        <v>101</v>
      </c>
      <c r="C145">
        <f xml:space="preserve">  73.71</f>
        <v>73.709999999999994</v>
      </c>
      <c r="D145">
        <v>18</v>
      </c>
      <c r="E145">
        <v>13</v>
      </c>
      <c r="F145">
        <v>70.92</v>
      </c>
      <c r="G145">
        <v>0</v>
      </c>
      <c r="H145">
        <v>1</v>
      </c>
      <c r="I145">
        <v>0</v>
      </c>
      <c r="J145">
        <v>1</v>
      </c>
      <c r="K145">
        <v>73.650000000000006</v>
      </c>
      <c r="L145">
        <v>73.790000000000006</v>
      </c>
      <c r="M145">
        <v>72.010000000000005</v>
      </c>
      <c r="N145" t="s">
        <v>67</v>
      </c>
    </row>
    <row r="146" spans="1:14" x14ac:dyDescent="0.2">
      <c r="A146" s="1">
        <v>145</v>
      </c>
      <c r="B146" t="s">
        <v>803</v>
      </c>
      <c r="C146">
        <f xml:space="preserve">  73.67</f>
        <v>73.67</v>
      </c>
      <c r="D146">
        <v>20</v>
      </c>
      <c r="E146">
        <v>11</v>
      </c>
      <c r="F146">
        <v>72.94</v>
      </c>
      <c r="G146">
        <v>0</v>
      </c>
      <c r="H146">
        <v>0</v>
      </c>
      <c r="I146">
        <v>0</v>
      </c>
      <c r="J146">
        <v>3</v>
      </c>
      <c r="K146">
        <v>73.45</v>
      </c>
      <c r="L146">
        <v>74.16</v>
      </c>
      <c r="M146">
        <v>72.73</v>
      </c>
      <c r="N146" t="s">
        <v>311</v>
      </c>
    </row>
    <row r="147" spans="1:14" x14ac:dyDescent="0.2">
      <c r="A147" s="1">
        <v>146</v>
      </c>
      <c r="B147" t="s">
        <v>115</v>
      </c>
      <c r="C147">
        <f xml:space="preserve">  73.64</f>
        <v>73.64</v>
      </c>
      <c r="D147">
        <v>17</v>
      </c>
      <c r="E147">
        <v>14</v>
      </c>
      <c r="F147">
        <v>72.22</v>
      </c>
      <c r="G147">
        <v>0</v>
      </c>
      <c r="H147">
        <v>3</v>
      </c>
      <c r="I147">
        <v>0</v>
      </c>
      <c r="J147">
        <v>4</v>
      </c>
      <c r="K147">
        <v>73.64</v>
      </c>
      <c r="L147">
        <v>73.599999999999994</v>
      </c>
      <c r="M147">
        <v>71.680000000000007</v>
      </c>
      <c r="N147" t="s">
        <v>56</v>
      </c>
    </row>
    <row r="148" spans="1:14" x14ac:dyDescent="0.2">
      <c r="A148" s="1">
        <v>147</v>
      </c>
      <c r="B148" t="s">
        <v>159</v>
      </c>
      <c r="C148">
        <f xml:space="preserve">  73.39</f>
        <v>73.39</v>
      </c>
      <c r="D148">
        <v>15</v>
      </c>
      <c r="E148">
        <v>17</v>
      </c>
      <c r="F148">
        <v>71.63</v>
      </c>
      <c r="G148">
        <v>0</v>
      </c>
      <c r="H148">
        <v>0</v>
      </c>
      <c r="I148">
        <v>0</v>
      </c>
      <c r="J148">
        <v>1</v>
      </c>
      <c r="K148">
        <v>73.14</v>
      </c>
      <c r="L148">
        <v>72.08</v>
      </c>
      <c r="M148">
        <v>76.8</v>
      </c>
      <c r="N148" t="s">
        <v>145</v>
      </c>
    </row>
    <row r="149" spans="1:14" x14ac:dyDescent="0.2">
      <c r="A149" s="1">
        <v>148</v>
      </c>
      <c r="B149" t="s">
        <v>252</v>
      </c>
      <c r="C149">
        <f xml:space="preserve">  73.37</f>
        <v>73.37</v>
      </c>
      <c r="D149">
        <v>21</v>
      </c>
      <c r="E149">
        <v>12</v>
      </c>
      <c r="F149">
        <v>70.13</v>
      </c>
      <c r="G149">
        <v>0</v>
      </c>
      <c r="H149">
        <v>0</v>
      </c>
      <c r="I149">
        <v>0</v>
      </c>
      <c r="J149">
        <v>3</v>
      </c>
      <c r="K149">
        <v>73.260000000000005</v>
      </c>
      <c r="L149">
        <v>73.67</v>
      </c>
      <c r="M149">
        <v>71.69</v>
      </c>
      <c r="N149" t="s">
        <v>141</v>
      </c>
    </row>
    <row r="150" spans="1:14" x14ac:dyDescent="0.2">
      <c r="A150" s="1">
        <v>149</v>
      </c>
      <c r="B150" t="s">
        <v>861</v>
      </c>
      <c r="C150">
        <f xml:space="preserve">  73.21</f>
        <v>73.209999999999994</v>
      </c>
      <c r="D150">
        <v>22</v>
      </c>
      <c r="E150">
        <v>10</v>
      </c>
      <c r="F150">
        <v>70.25</v>
      </c>
      <c r="G150">
        <v>0</v>
      </c>
      <c r="H150">
        <v>0</v>
      </c>
      <c r="I150">
        <v>0</v>
      </c>
      <c r="J150">
        <v>1</v>
      </c>
      <c r="K150">
        <v>73.430000000000007</v>
      </c>
      <c r="L150">
        <v>73.16</v>
      </c>
      <c r="M150">
        <v>69.069999999999993</v>
      </c>
      <c r="N150" t="s">
        <v>145</v>
      </c>
    </row>
    <row r="151" spans="1:14" x14ac:dyDescent="0.2">
      <c r="A151" s="1">
        <v>150</v>
      </c>
      <c r="B151" t="s">
        <v>66</v>
      </c>
      <c r="C151">
        <f xml:space="preserve">  73.16</f>
        <v>73.16</v>
      </c>
      <c r="D151">
        <v>18</v>
      </c>
      <c r="E151">
        <v>15</v>
      </c>
      <c r="F151">
        <v>71.2</v>
      </c>
      <c r="G151">
        <v>0</v>
      </c>
      <c r="H151">
        <v>2</v>
      </c>
      <c r="I151">
        <v>0</v>
      </c>
      <c r="J151">
        <v>2</v>
      </c>
      <c r="K151">
        <v>72.709999999999994</v>
      </c>
      <c r="L151">
        <v>72.97</v>
      </c>
      <c r="M151">
        <v>76.040000000000006</v>
      </c>
      <c r="N151" t="s">
        <v>67</v>
      </c>
    </row>
    <row r="152" spans="1:14" x14ac:dyDescent="0.2">
      <c r="A152" s="1">
        <v>151</v>
      </c>
      <c r="B152" t="s">
        <v>783</v>
      </c>
      <c r="C152">
        <f xml:space="preserve">  73.08</f>
        <v>73.08</v>
      </c>
      <c r="D152">
        <v>14</v>
      </c>
      <c r="E152">
        <v>19</v>
      </c>
      <c r="F152">
        <v>73.709999999999994</v>
      </c>
      <c r="G152">
        <v>0</v>
      </c>
      <c r="H152">
        <v>1</v>
      </c>
      <c r="I152">
        <v>0</v>
      </c>
      <c r="J152">
        <v>2</v>
      </c>
      <c r="K152">
        <v>72.900000000000006</v>
      </c>
      <c r="L152">
        <v>72.900000000000006</v>
      </c>
      <c r="M152">
        <v>73.11</v>
      </c>
      <c r="N152" t="s">
        <v>63</v>
      </c>
    </row>
    <row r="153" spans="1:14" x14ac:dyDescent="0.2">
      <c r="A153" s="1">
        <v>152</v>
      </c>
      <c r="B153" t="s">
        <v>118</v>
      </c>
      <c r="C153">
        <f xml:space="preserve">  73.04</f>
        <v>73.040000000000006</v>
      </c>
      <c r="D153">
        <v>18</v>
      </c>
      <c r="E153">
        <v>15</v>
      </c>
      <c r="F153">
        <v>72.03</v>
      </c>
      <c r="G153">
        <v>0</v>
      </c>
      <c r="H153">
        <v>2</v>
      </c>
      <c r="I153">
        <v>0</v>
      </c>
      <c r="J153">
        <v>3</v>
      </c>
      <c r="K153">
        <v>72.69</v>
      </c>
      <c r="L153">
        <v>73.849999999999994</v>
      </c>
      <c r="M153">
        <v>72.680000000000007</v>
      </c>
      <c r="N153" t="s">
        <v>63</v>
      </c>
    </row>
    <row r="154" spans="1:14" x14ac:dyDescent="0.2">
      <c r="A154" s="1">
        <v>153</v>
      </c>
      <c r="B154" t="s">
        <v>114</v>
      </c>
      <c r="C154">
        <f xml:space="preserve">  73.02</f>
        <v>73.02</v>
      </c>
      <c r="D154">
        <v>19</v>
      </c>
      <c r="E154">
        <v>15</v>
      </c>
      <c r="F154">
        <v>72.010000000000005</v>
      </c>
      <c r="G154">
        <v>0</v>
      </c>
      <c r="H154">
        <v>1</v>
      </c>
      <c r="I154">
        <v>1</v>
      </c>
      <c r="J154">
        <v>1</v>
      </c>
      <c r="K154">
        <v>72.489999999999995</v>
      </c>
      <c r="L154">
        <v>72.760000000000005</v>
      </c>
      <c r="M154">
        <v>76.959999999999994</v>
      </c>
      <c r="N154" t="s">
        <v>84</v>
      </c>
    </row>
    <row r="155" spans="1:14" x14ac:dyDescent="0.2">
      <c r="A155" s="1">
        <v>154</v>
      </c>
      <c r="B155" t="s">
        <v>53</v>
      </c>
      <c r="C155">
        <f xml:space="preserve">  73</f>
        <v>73</v>
      </c>
      <c r="D155">
        <v>11</v>
      </c>
      <c r="E155">
        <v>20</v>
      </c>
      <c r="F155">
        <v>79.12</v>
      </c>
      <c r="G155">
        <v>0</v>
      </c>
      <c r="H155">
        <v>8</v>
      </c>
      <c r="I155">
        <v>1</v>
      </c>
      <c r="J155">
        <v>12</v>
      </c>
      <c r="K155">
        <v>72.72</v>
      </c>
      <c r="L155">
        <v>73.17</v>
      </c>
      <c r="M155">
        <v>73.34</v>
      </c>
      <c r="N155" t="s">
        <v>10</v>
      </c>
    </row>
    <row r="156" spans="1:14" x14ac:dyDescent="0.2">
      <c r="A156" s="1">
        <v>155</v>
      </c>
      <c r="B156" t="s">
        <v>232</v>
      </c>
      <c r="C156">
        <f xml:space="preserve">  72.96</f>
        <v>72.959999999999994</v>
      </c>
      <c r="D156">
        <v>14</v>
      </c>
      <c r="E156">
        <v>14</v>
      </c>
      <c r="F156">
        <v>72.88</v>
      </c>
      <c r="G156">
        <v>0</v>
      </c>
      <c r="H156">
        <v>0</v>
      </c>
      <c r="I156">
        <v>0</v>
      </c>
      <c r="J156">
        <v>2</v>
      </c>
      <c r="K156">
        <v>72.66</v>
      </c>
      <c r="L156">
        <v>72.72</v>
      </c>
      <c r="M156">
        <v>74.3</v>
      </c>
      <c r="N156" t="s">
        <v>67</v>
      </c>
    </row>
    <row r="157" spans="1:14" x14ac:dyDescent="0.2">
      <c r="A157" s="1">
        <v>156</v>
      </c>
      <c r="B157" t="s">
        <v>890</v>
      </c>
      <c r="C157">
        <f xml:space="preserve">  72.89</f>
        <v>72.89</v>
      </c>
      <c r="D157">
        <v>18</v>
      </c>
      <c r="E157">
        <v>16</v>
      </c>
      <c r="F157">
        <v>70.62</v>
      </c>
      <c r="G157">
        <v>0</v>
      </c>
      <c r="H157">
        <v>3</v>
      </c>
      <c r="I157">
        <v>0</v>
      </c>
      <c r="J157">
        <v>4</v>
      </c>
      <c r="K157">
        <v>72.849999999999994</v>
      </c>
      <c r="L157">
        <v>72.180000000000007</v>
      </c>
      <c r="M157">
        <v>72.69</v>
      </c>
      <c r="N157" t="s">
        <v>145</v>
      </c>
    </row>
    <row r="158" spans="1:14" x14ac:dyDescent="0.2">
      <c r="A158" s="1">
        <v>157</v>
      </c>
      <c r="B158" t="s">
        <v>873</v>
      </c>
      <c r="C158">
        <f xml:space="preserve">  72.67</f>
        <v>72.67</v>
      </c>
      <c r="D158">
        <v>13</v>
      </c>
      <c r="E158">
        <v>17</v>
      </c>
      <c r="F158">
        <v>74.42</v>
      </c>
      <c r="G158">
        <v>0</v>
      </c>
      <c r="H158">
        <v>0</v>
      </c>
      <c r="I158">
        <v>0</v>
      </c>
      <c r="J158">
        <v>2</v>
      </c>
      <c r="K158">
        <v>72.709999999999994</v>
      </c>
      <c r="L158">
        <v>72.55</v>
      </c>
      <c r="M158">
        <v>70.459999999999994</v>
      </c>
      <c r="N158" t="s">
        <v>311</v>
      </c>
    </row>
    <row r="159" spans="1:14" x14ac:dyDescent="0.2">
      <c r="A159" s="1">
        <v>158</v>
      </c>
      <c r="B159" t="s">
        <v>83</v>
      </c>
      <c r="C159">
        <f xml:space="preserve">  72.48</f>
        <v>72.48</v>
      </c>
      <c r="D159">
        <v>18</v>
      </c>
      <c r="E159">
        <v>12</v>
      </c>
      <c r="F159">
        <v>69.989999999999995</v>
      </c>
      <c r="G159">
        <v>0</v>
      </c>
      <c r="H159">
        <v>0</v>
      </c>
      <c r="I159">
        <v>0</v>
      </c>
      <c r="J159">
        <v>1</v>
      </c>
      <c r="K159">
        <v>72.37</v>
      </c>
      <c r="L159">
        <v>73.040000000000006</v>
      </c>
      <c r="M159">
        <v>70.19</v>
      </c>
      <c r="N159" t="s">
        <v>67</v>
      </c>
    </row>
    <row r="160" spans="1:14" x14ac:dyDescent="0.2">
      <c r="A160" s="1">
        <v>159</v>
      </c>
      <c r="B160" t="s">
        <v>201</v>
      </c>
      <c r="C160">
        <f xml:space="preserve">  72.34</f>
        <v>72.34</v>
      </c>
      <c r="D160">
        <v>15</v>
      </c>
      <c r="E160">
        <v>18</v>
      </c>
      <c r="F160">
        <v>72.34</v>
      </c>
      <c r="G160">
        <v>0</v>
      </c>
      <c r="H160">
        <v>2</v>
      </c>
      <c r="I160">
        <v>1</v>
      </c>
      <c r="J160">
        <v>3</v>
      </c>
      <c r="K160">
        <v>71.94</v>
      </c>
      <c r="L160">
        <v>71.400000000000006</v>
      </c>
      <c r="M160">
        <v>76.37</v>
      </c>
      <c r="N160" t="s">
        <v>1</v>
      </c>
    </row>
    <row r="161" spans="1:14" x14ac:dyDescent="0.2">
      <c r="A161" s="1">
        <v>160</v>
      </c>
      <c r="B161" t="s">
        <v>298</v>
      </c>
      <c r="C161">
        <f xml:space="preserve">  72.3</f>
        <v>72.3</v>
      </c>
      <c r="D161">
        <v>18</v>
      </c>
      <c r="E161">
        <v>12</v>
      </c>
      <c r="F161">
        <v>70.48</v>
      </c>
      <c r="G161">
        <v>0</v>
      </c>
      <c r="H161">
        <v>0</v>
      </c>
      <c r="I161">
        <v>0</v>
      </c>
      <c r="J161">
        <v>0</v>
      </c>
      <c r="K161">
        <v>71.81</v>
      </c>
      <c r="L161">
        <v>72.44</v>
      </c>
      <c r="M161">
        <v>74.760000000000005</v>
      </c>
      <c r="N161" t="s">
        <v>125</v>
      </c>
    </row>
    <row r="162" spans="1:14" x14ac:dyDescent="0.2">
      <c r="A162" s="1">
        <v>161</v>
      </c>
      <c r="B162" t="s">
        <v>276</v>
      </c>
      <c r="C162">
        <f xml:space="preserve">  72.3</f>
        <v>72.3</v>
      </c>
      <c r="D162">
        <v>13</v>
      </c>
      <c r="E162">
        <v>18</v>
      </c>
      <c r="F162">
        <v>73.66</v>
      </c>
      <c r="G162">
        <v>1</v>
      </c>
      <c r="H162">
        <v>1</v>
      </c>
      <c r="I162">
        <v>1</v>
      </c>
      <c r="J162">
        <v>5</v>
      </c>
      <c r="K162">
        <v>72.239999999999995</v>
      </c>
      <c r="L162">
        <v>72.81</v>
      </c>
      <c r="M162">
        <v>69.569999999999993</v>
      </c>
      <c r="N162" t="s">
        <v>56</v>
      </c>
    </row>
    <row r="163" spans="1:14" x14ac:dyDescent="0.2">
      <c r="A163" s="1">
        <v>162</v>
      </c>
      <c r="B163" t="s">
        <v>102</v>
      </c>
      <c r="C163">
        <f xml:space="preserve">  72.15</f>
        <v>72.150000000000006</v>
      </c>
      <c r="D163">
        <v>14</v>
      </c>
      <c r="E163">
        <v>18</v>
      </c>
      <c r="F163">
        <v>73.45</v>
      </c>
      <c r="G163">
        <v>0</v>
      </c>
      <c r="H163">
        <v>0</v>
      </c>
      <c r="I163">
        <v>0</v>
      </c>
      <c r="J163">
        <v>2</v>
      </c>
      <c r="K163">
        <v>71.75</v>
      </c>
      <c r="L163">
        <v>72.17</v>
      </c>
      <c r="M163">
        <v>73.89</v>
      </c>
      <c r="N163" t="s">
        <v>84</v>
      </c>
    </row>
    <row r="164" spans="1:14" x14ac:dyDescent="0.2">
      <c r="A164" s="1">
        <v>163</v>
      </c>
      <c r="B164" t="s">
        <v>205</v>
      </c>
      <c r="C164">
        <f xml:space="preserve">  71.95</f>
        <v>71.95</v>
      </c>
      <c r="D164">
        <v>19</v>
      </c>
      <c r="E164">
        <v>13</v>
      </c>
      <c r="F164">
        <v>70.94</v>
      </c>
      <c r="G164">
        <v>0</v>
      </c>
      <c r="H164">
        <v>0</v>
      </c>
      <c r="I164">
        <v>0</v>
      </c>
      <c r="J164">
        <v>1</v>
      </c>
      <c r="K164">
        <v>71.88</v>
      </c>
      <c r="L164">
        <v>72.16</v>
      </c>
      <c r="M164">
        <v>70.040000000000006</v>
      </c>
      <c r="N164" t="s">
        <v>63</v>
      </c>
    </row>
    <row r="165" spans="1:14" x14ac:dyDescent="0.2">
      <c r="A165" s="1">
        <v>164</v>
      </c>
      <c r="B165" t="s">
        <v>281</v>
      </c>
      <c r="C165">
        <f xml:space="preserve">  71.94</f>
        <v>71.94</v>
      </c>
      <c r="D165">
        <v>17</v>
      </c>
      <c r="E165">
        <v>13</v>
      </c>
      <c r="F165">
        <v>71.239999999999995</v>
      </c>
      <c r="G165">
        <v>0</v>
      </c>
      <c r="H165">
        <v>2</v>
      </c>
      <c r="I165">
        <v>0</v>
      </c>
      <c r="J165">
        <v>2</v>
      </c>
      <c r="K165">
        <v>71.69</v>
      </c>
      <c r="L165">
        <v>71.8</v>
      </c>
      <c r="M165">
        <v>72.52</v>
      </c>
      <c r="N165" t="s">
        <v>145</v>
      </c>
    </row>
    <row r="166" spans="1:14" x14ac:dyDescent="0.2">
      <c r="A166" s="1">
        <v>165</v>
      </c>
      <c r="B166" t="s">
        <v>238</v>
      </c>
      <c r="C166">
        <f xml:space="preserve">  71.88</f>
        <v>71.88</v>
      </c>
      <c r="D166">
        <v>11</v>
      </c>
      <c r="E166">
        <v>17</v>
      </c>
      <c r="F166">
        <v>75.540000000000006</v>
      </c>
      <c r="G166">
        <v>0</v>
      </c>
      <c r="H166">
        <v>2</v>
      </c>
      <c r="I166">
        <v>0</v>
      </c>
      <c r="J166">
        <v>5</v>
      </c>
      <c r="K166">
        <v>71.819999999999993</v>
      </c>
      <c r="L166">
        <v>72.39</v>
      </c>
      <c r="M166">
        <v>69.2</v>
      </c>
      <c r="N166" t="s">
        <v>312</v>
      </c>
    </row>
    <row r="167" spans="1:14" x14ac:dyDescent="0.2">
      <c r="A167" s="1">
        <v>166</v>
      </c>
      <c r="B167" t="s">
        <v>818</v>
      </c>
      <c r="C167">
        <f xml:space="preserve">  71.85</f>
        <v>71.849999999999994</v>
      </c>
      <c r="D167">
        <v>16</v>
      </c>
      <c r="E167">
        <v>16</v>
      </c>
      <c r="F167">
        <v>72.930000000000007</v>
      </c>
      <c r="G167">
        <v>0</v>
      </c>
      <c r="H167">
        <v>0</v>
      </c>
      <c r="I167">
        <v>0</v>
      </c>
      <c r="J167">
        <v>2</v>
      </c>
      <c r="K167">
        <v>71.73</v>
      </c>
      <c r="L167">
        <v>72.44</v>
      </c>
      <c r="M167">
        <v>69.59</v>
      </c>
      <c r="N167" t="s">
        <v>84</v>
      </c>
    </row>
    <row r="168" spans="1:14" x14ac:dyDescent="0.2">
      <c r="A168" s="1">
        <v>167</v>
      </c>
      <c r="B168" t="s">
        <v>237</v>
      </c>
      <c r="C168">
        <f xml:space="preserve">  71.78</f>
        <v>71.78</v>
      </c>
      <c r="D168">
        <v>20</v>
      </c>
      <c r="E168">
        <v>11</v>
      </c>
      <c r="F168">
        <v>68.88</v>
      </c>
      <c r="G168">
        <v>0</v>
      </c>
      <c r="H168">
        <v>1</v>
      </c>
      <c r="I168">
        <v>0</v>
      </c>
      <c r="J168">
        <v>1</v>
      </c>
      <c r="K168">
        <v>71.94</v>
      </c>
      <c r="L168">
        <v>72.63</v>
      </c>
      <c r="M168">
        <v>65.7</v>
      </c>
      <c r="N168" t="s">
        <v>141</v>
      </c>
    </row>
    <row r="169" spans="1:14" x14ac:dyDescent="0.2">
      <c r="A169" s="1">
        <v>168</v>
      </c>
      <c r="B169" t="s">
        <v>132</v>
      </c>
      <c r="C169">
        <f xml:space="preserve">  71.71</f>
        <v>71.709999999999994</v>
      </c>
      <c r="D169">
        <v>23</v>
      </c>
      <c r="E169">
        <v>7</v>
      </c>
      <c r="F169">
        <v>66.16</v>
      </c>
      <c r="G169">
        <v>0</v>
      </c>
      <c r="H169">
        <v>2</v>
      </c>
      <c r="I169">
        <v>0</v>
      </c>
      <c r="J169">
        <v>2</v>
      </c>
      <c r="K169">
        <v>70.989999999999995</v>
      </c>
      <c r="L169">
        <v>71.95</v>
      </c>
      <c r="M169">
        <v>76.260000000000005</v>
      </c>
      <c r="N169" t="s">
        <v>179</v>
      </c>
    </row>
    <row r="170" spans="1:14" x14ac:dyDescent="0.2">
      <c r="A170" s="1">
        <v>169</v>
      </c>
      <c r="B170" t="s">
        <v>907</v>
      </c>
      <c r="C170">
        <f xml:space="preserve">  71.67</f>
        <v>71.67</v>
      </c>
      <c r="D170">
        <v>23</v>
      </c>
      <c r="E170">
        <v>9</v>
      </c>
      <c r="F170">
        <v>67.790000000000006</v>
      </c>
      <c r="G170">
        <v>0</v>
      </c>
      <c r="H170">
        <v>0</v>
      </c>
      <c r="I170">
        <v>0</v>
      </c>
      <c r="J170">
        <v>0</v>
      </c>
      <c r="K170">
        <v>71.64</v>
      </c>
      <c r="L170">
        <v>72.28</v>
      </c>
      <c r="M170">
        <v>68.33</v>
      </c>
      <c r="N170" t="s">
        <v>90</v>
      </c>
    </row>
    <row r="171" spans="1:14" x14ac:dyDescent="0.2">
      <c r="A171" s="1">
        <v>170</v>
      </c>
      <c r="B171" t="s">
        <v>143</v>
      </c>
      <c r="C171">
        <f xml:space="preserve">  71.37</f>
        <v>71.37</v>
      </c>
      <c r="D171">
        <v>20</v>
      </c>
      <c r="E171">
        <v>10</v>
      </c>
      <c r="F171">
        <v>67.599999999999994</v>
      </c>
      <c r="G171">
        <v>0</v>
      </c>
      <c r="H171">
        <v>0</v>
      </c>
      <c r="I171">
        <v>0</v>
      </c>
      <c r="J171">
        <v>1</v>
      </c>
      <c r="K171">
        <v>71.2</v>
      </c>
      <c r="L171">
        <v>71.650000000000006</v>
      </c>
      <c r="M171">
        <v>70.33</v>
      </c>
      <c r="N171" t="s">
        <v>135</v>
      </c>
    </row>
    <row r="172" spans="1:14" x14ac:dyDescent="0.2">
      <c r="A172" s="1">
        <v>171</v>
      </c>
      <c r="B172" t="s">
        <v>810</v>
      </c>
      <c r="C172">
        <f xml:space="preserve">  71.19</f>
        <v>71.19</v>
      </c>
      <c r="D172">
        <v>11</v>
      </c>
      <c r="E172">
        <v>20</v>
      </c>
      <c r="F172">
        <v>73.36</v>
      </c>
      <c r="G172">
        <v>0</v>
      </c>
      <c r="H172">
        <v>2</v>
      </c>
      <c r="I172">
        <v>0</v>
      </c>
      <c r="J172">
        <v>5</v>
      </c>
      <c r="K172">
        <v>71.56</v>
      </c>
      <c r="L172">
        <v>70.81</v>
      </c>
      <c r="M172">
        <v>65.8</v>
      </c>
      <c r="N172" t="s">
        <v>56</v>
      </c>
    </row>
    <row r="173" spans="1:14" x14ac:dyDescent="0.2">
      <c r="A173" s="1">
        <v>172</v>
      </c>
      <c r="B173" t="s">
        <v>289</v>
      </c>
      <c r="C173">
        <f xml:space="preserve">  71.17</f>
        <v>71.17</v>
      </c>
      <c r="D173">
        <v>16</v>
      </c>
      <c r="E173">
        <v>16</v>
      </c>
      <c r="F173">
        <v>70.03</v>
      </c>
      <c r="G173">
        <v>0</v>
      </c>
      <c r="H173">
        <v>1</v>
      </c>
      <c r="I173">
        <v>0</v>
      </c>
      <c r="J173">
        <v>4</v>
      </c>
      <c r="K173">
        <v>71.400000000000006</v>
      </c>
      <c r="L173">
        <v>70.14</v>
      </c>
      <c r="M173">
        <v>69.05</v>
      </c>
      <c r="N173" t="s">
        <v>86</v>
      </c>
    </row>
    <row r="174" spans="1:14" x14ac:dyDescent="0.2">
      <c r="A174" s="1">
        <v>173</v>
      </c>
      <c r="B174" t="s">
        <v>291</v>
      </c>
      <c r="C174">
        <f xml:space="preserve">  71.15</f>
        <v>71.150000000000006</v>
      </c>
      <c r="D174">
        <v>20</v>
      </c>
      <c r="E174">
        <v>12</v>
      </c>
      <c r="F174">
        <v>68.819999999999993</v>
      </c>
      <c r="G174">
        <v>0</v>
      </c>
      <c r="H174">
        <v>2</v>
      </c>
      <c r="I174">
        <v>0</v>
      </c>
      <c r="J174">
        <v>2</v>
      </c>
      <c r="K174">
        <v>70.209999999999994</v>
      </c>
      <c r="L174">
        <v>70.87</v>
      </c>
      <c r="M174">
        <v>79.760000000000005</v>
      </c>
      <c r="N174" t="s">
        <v>306</v>
      </c>
    </row>
    <row r="175" spans="1:14" x14ac:dyDescent="0.2">
      <c r="A175" s="1">
        <v>174</v>
      </c>
      <c r="B175" t="s">
        <v>155</v>
      </c>
      <c r="C175">
        <f xml:space="preserve">  71.12</f>
        <v>71.12</v>
      </c>
      <c r="D175">
        <v>15</v>
      </c>
      <c r="E175">
        <v>12</v>
      </c>
      <c r="F175">
        <v>69.739999999999995</v>
      </c>
      <c r="G175">
        <v>0</v>
      </c>
      <c r="H175">
        <v>2</v>
      </c>
      <c r="I175">
        <v>0</v>
      </c>
      <c r="J175">
        <v>2</v>
      </c>
      <c r="K175">
        <v>71.25</v>
      </c>
      <c r="L175">
        <v>70.86</v>
      </c>
      <c r="M175">
        <v>68.13</v>
      </c>
      <c r="N175" t="s">
        <v>306</v>
      </c>
    </row>
    <row r="176" spans="1:14" x14ac:dyDescent="0.2">
      <c r="A176" s="1">
        <v>175</v>
      </c>
      <c r="B176" t="s">
        <v>904</v>
      </c>
      <c r="C176">
        <f xml:space="preserve">  71.03</f>
        <v>71.03</v>
      </c>
      <c r="D176">
        <v>20</v>
      </c>
      <c r="E176">
        <v>11</v>
      </c>
      <c r="F176">
        <v>69.73</v>
      </c>
      <c r="G176">
        <v>0</v>
      </c>
      <c r="H176">
        <v>1</v>
      </c>
      <c r="I176">
        <v>0</v>
      </c>
      <c r="J176">
        <v>3</v>
      </c>
      <c r="K176">
        <v>70.69</v>
      </c>
      <c r="L176">
        <v>71.25</v>
      </c>
      <c r="M176">
        <v>71.81</v>
      </c>
      <c r="N176" t="s">
        <v>82</v>
      </c>
    </row>
    <row r="177" spans="1:14" x14ac:dyDescent="0.2">
      <c r="A177" s="1">
        <v>176</v>
      </c>
      <c r="B177" t="s">
        <v>860</v>
      </c>
      <c r="C177">
        <f xml:space="preserve">  71.02</f>
        <v>71.02</v>
      </c>
      <c r="D177">
        <v>15</v>
      </c>
      <c r="E177">
        <v>16</v>
      </c>
      <c r="F177">
        <v>72.16</v>
      </c>
      <c r="G177">
        <v>0</v>
      </c>
      <c r="H177">
        <v>0</v>
      </c>
      <c r="I177">
        <v>0</v>
      </c>
      <c r="J177">
        <v>1</v>
      </c>
      <c r="K177">
        <v>71.09</v>
      </c>
      <c r="L177">
        <v>71.38</v>
      </c>
      <c r="M177">
        <v>67.16</v>
      </c>
      <c r="N177" t="s">
        <v>84</v>
      </c>
    </row>
    <row r="178" spans="1:14" x14ac:dyDescent="0.2">
      <c r="A178" s="1">
        <v>177</v>
      </c>
      <c r="B178" t="s">
        <v>259</v>
      </c>
      <c r="C178">
        <f xml:space="preserve">  70.89</f>
        <v>70.89</v>
      </c>
      <c r="D178">
        <v>19</v>
      </c>
      <c r="E178">
        <v>17</v>
      </c>
      <c r="F178">
        <v>71.66</v>
      </c>
      <c r="G178">
        <v>0</v>
      </c>
      <c r="H178">
        <v>1</v>
      </c>
      <c r="I178">
        <v>0</v>
      </c>
      <c r="J178">
        <v>4</v>
      </c>
      <c r="K178">
        <v>70.25</v>
      </c>
      <c r="L178">
        <v>70.7</v>
      </c>
      <c r="M178">
        <v>75.55</v>
      </c>
      <c r="N178" t="s">
        <v>186</v>
      </c>
    </row>
    <row r="179" spans="1:14" x14ac:dyDescent="0.2">
      <c r="A179" s="1">
        <v>178</v>
      </c>
      <c r="B179" t="s">
        <v>124</v>
      </c>
      <c r="C179">
        <f xml:space="preserve">  70.86</f>
        <v>70.86</v>
      </c>
      <c r="D179">
        <v>14</v>
      </c>
      <c r="E179">
        <v>12</v>
      </c>
      <c r="F179">
        <v>72.28</v>
      </c>
      <c r="G179">
        <v>0</v>
      </c>
      <c r="H179">
        <v>1</v>
      </c>
      <c r="I179">
        <v>0</v>
      </c>
      <c r="J179">
        <v>1</v>
      </c>
      <c r="K179">
        <v>70.7</v>
      </c>
      <c r="L179">
        <v>71.45</v>
      </c>
      <c r="M179">
        <v>68.98</v>
      </c>
      <c r="N179" t="s">
        <v>125</v>
      </c>
    </row>
    <row r="180" spans="1:14" x14ac:dyDescent="0.2">
      <c r="A180" s="1">
        <v>179</v>
      </c>
      <c r="B180" t="s">
        <v>277</v>
      </c>
      <c r="C180">
        <f xml:space="preserve">  70.86</f>
        <v>70.86</v>
      </c>
      <c r="D180">
        <v>16</v>
      </c>
      <c r="E180">
        <v>13</v>
      </c>
      <c r="F180">
        <v>68.8</v>
      </c>
      <c r="G180">
        <v>0</v>
      </c>
      <c r="H180">
        <v>0</v>
      </c>
      <c r="I180">
        <v>0</v>
      </c>
      <c r="J180">
        <v>0</v>
      </c>
      <c r="K180">
        <v>70.88</v>
      </c>
      <c r="L180">
        <v>70.13</v>
      </c>
      <c r="M180">
        <v>70.16</v>
      </c>
      <c r="N180" t="s">
        <v>135</v>
      </c>
    </row>
    <row r="181" spans="1:14" x14ac:dyDescent="0.2">
      <c r="A181" s="1">
        <v>180</v>
      </c>
      <c r="B181" t="s">
        <v>148</v>
      </c>
      <c r="C181">
        <f xml:space="preserve">  70.7</f>
        <v>70.7</v>
      </c>
      <c r="D181">
        <v>14</v>
      </c>
      <c r="E181">
        <v>16</v>
      </c>
      <c r="F181">
        <v>71.47</v>
      </c>
      <c r="G181">
        <v>0</v>
      </c>
      <c r="H181">
        <v>0</v>
      </c>
      <c r="I181">
        <v>1</v>
      </c>
      <c r="J181">
        <v>0</v>
      </c>
      <c r="K181">
        <v>70.650000000000006</v>
      </c>
      <c r="L181">
        <v>70.3</v>
      </c>
      <c r="M181">
        <v>69.89</v>
      </c>
      <c r="N181" t="s">
        <v>67</v>
      </c>
    </row>
    <row r="182" spans="1:14" x14ac:dyDescent="0.2">
      <c r="A182" s="1">
        <v>181</v>
      </c>
      <c r="B182" t="s">
        <v>878</v>
      </c>
      <c r="C182">
        <f xml:space="preserve">  70.68</f>
        <v>70.680000000000007</v>
      </c>
      <c r="D182">
        <v>15</v>
      </c>
      <c r="E182">
        <v>17</v>
      </c>
      <c r="F182">
        <v>70.72</v>
      </c>
      <c r="G182">
        <v>0</v>
      </c>
      <c r="H182">
        <v>1</v>
      </c>
      <c r="I182">
        <v>0</v>
      </c>
      <c r="J182">
        <v>1</v>
      </c>
      <c r="K182">
        <v>70.45</v>
      </c>
      <c r="L182">
        <v>70.34</v>
      </c>
      <c r="M182">
        <v>71.63</v>
      </c>
      <c r="N182" t="s">
        <v>186</v>
      </c>
    </row>
    <row r="183" spans="1:14" x14ac:dyDescent="0.2">
      <c r="A183" s="1">
        <v>182</v>
      </c>
      <c r="B183" t="s">
        <v>837</v>
      </c>
      <c r="C183">
        <f xml:space="preserve">  70.65</f>
        <v>70.650000000000006</v>
      </c>
      <c r="D183">
        <v>18</v>
      </c>
      <c r="E183">
        <v>12</v>
      </c>
      <c r="F183">
        <v>67.95</v>
      </c>
      <c r="G183">
        <v>0</v>
      </c>
      <c r="H183">
        <v>0</v>
      </c>
      <c r="I183">
        <v>0</v>
      </c>
      <c r="J183">
        <v>2</v>
      </c>
      <c r="K183">
        <v>70.48</v>
      </c>
      <c r="L183">
        <v>70.11</v>
      </c>
      <c r="M183">
        <v>71.459999999999994</v>
      </c>
      <c r="N183" t="s">
        <v>179</v>
      </c>
    </row>
    <row r="184" spans="1:14" x14ac:dyDescent="0.2">
      <c r="A184" s="1">
        <v>183</v>
      </c>
      <c r="B184" t="s">
        <v>126</v>
      </c>
      <c r="C184">
        <f xml:space="preserve">  70.58</f>
        <v>70.58</v>
      </c>
      <c r="D184">
        <v>13</v>
      </c>
      <c r="E184">
        <v>17</v>
      </c>
      <c r="F184">
        <v>74.36</v>
      </c>
      <c r="G184">
        <v>0</v>
      </c>
      <c r="H184">
        <v>1</v>
      </c>
      <c r="I184">
        <v>0</v>
      </c>
      <c r="J184">
        <v>3</v>
      </c>
      <c r="K184">
        <v>69.81</v>
      </c>
      <c r="L184">
        <v>71.37</v>
      </c>
      <c r="M184">
        <v>74.27</v>
      </c>
      <c r="N184" t="s">
        <v>311</v>
      </c>
    </row>
    <row r="185" spans="1:14" x14ac:dyDescent="0.2">
      <c r="A185" s="1">
        <v>184</v>
      </c>
      <c r="B185" t="s">
        <v>821</v>
      </c>
      <c r="C185">
        <f xml:space="preserve">  70.51</f>
        <v>70.510000000000005</v>
      </c>
      <c r="D185">
        <v>13</v>
      </c>
      <c r="E185">
        <v>16</v>
      </c>
      <c r="F185">
        <v>73.260000000000005</v>
      </c>
      <c r="G185">
        <v>0</v>
      </c>
      <c r="H185">
        <v>0</v>
      </c>
      <c r="I185">
        <v>0</v>
      </c>
      <c r="J185">
        <v>2</v>
      </c>
      <c r="K185">
        <v>70.52</v>
      </c>
      <c r="L185">
        <v>71.069999999999993</v>
      </c>
      <c r="M185">
        <v>66.84</v>
      </c>
      <c r="N185" t="s">
        <v>84</v>
      </c>
    </row>
    <row r="186" spans="1:14" x14ac:dyDescent="0.2">
      <c r="A186" s="1">
        <v>185</v>
      </c>
      <c r="B186" t="s">
        <v>218</v>
      </c>
      <c r="C186">
        <f xml:space="preserve">  70.38</f>
        <v>70.38</v>
      </c>
      <c r="D186">
        <v>12</v>
      </c>
      <c r="E186">
        <v>18</v>
      </c>
      <c r="F186">
        <v>73.47</v>
      </c>
      <c r="G186">
        <v>0</v>
      </c>
      <c r="H186">
        <v>3</v>
      </c>
      <c r="I186">
        <v>0</v>
      </c>
      <c r="J186">
        <v>5</v>
      </c>
      <c r="K186">
        <v>70.56</v>
      </c>
      <c r="L186">
        <v>70.319999999999993</v>
      </c>
      <c r="M186">
        <v>66.290000000000006</v>
      </c>
      <c r="N186" t="s">
        <v>1</v>
      </c>
    </row>
    <row r="187" spans="1:14" x14ac:dyDescent="0.2">
      <c r="A187" s="1">
        <v>186</v>
      </c>
      <c r="B187" t="s">
        <v>548</v>
      </c>
      <c r="C187">
        <f xml:space="preserve">  70.33</f>
        <v>70.33</v>
      </c>
      <c r="D187">
        <v>17</v>
      </c>
      <c r="E187">
        <v>16</v>
      </c>
      <c r="F187">
        <v>68.25</v>
      </c>
      <c r="G187">
        <v>0</v>
      </c>
      <c r="H187">
        <v>1</v>
      </c>
      <c r="I187">
        <v>0</v>
      </c>
      <c r="J187">
        <v>1</v>
      </c>
      <c r="K187">
        <v>69.52</v>
      </c>
      <c r="L187">
        <v>70.12</v>
      </c>
      <c r="M187">
        <v>76.78</v>
      </c>
      <c r="N187" t="s">
        <v>107</v>
      </c>
    </row>
    <row r="188" spans="1:14" x14ac:dyDescent="0.2">
      <c r="A188" s="1">
        <v>187</v>
      </c>
      <c r="B188" t="s">
        <v>879</v>
      </c>
      <c r="C188">
        <f xml:space="preserve">  70.31</f>
        <v>70.31</v>
      </c>
      <c r="D188">
        <v>15</v>
      </c>
      <c r="E188">
        <v>15</v>
      </c>
      <c r="F188">
        <v>69.62</v>
      </c>
      <c r="G188">
        <v>0</v>
      </c>
      <c r="H188">
        <v>0</v>
      </c>
      <c r="I188">
        <v>0</v>
      </c>
      <c r="J188">
        <v>1</v>
      </c>
      <c r="K188">
        <v>69.94</v>
      </c>
      <c r="L188">
        <v>70.03</v>
      </c>
      <c r="M188">
        <v>72.349999999999994</v>
      </c>
      <c r="N188" t="s">
        <v>82</v>
      </c>
    </row>
    <row r="189" spans="1:14" x14ac:dyDescent="0.2">
      <c r="A189" s="1">
        <v>188</v>
      </c>
      <c r="B189" t="s">
        <v>222</v>
      </c>
      <c r="C189">
        <f xml:space="preserve">  70.24</f>
        <v>70.239999999999995</v>
      </c>
      <c r="D189">
        <v>17</v>
      </c>
      <c r="E189">
        <v>15</v>
      </c>
      <c r="F189">
        <v>68.400000000000006</v>
      </c>
      <c r="G189">
        <v>0</v>
      </c>
      <c r="H189">
        <v>2</v>
      </c>
      <c r="I189">
        <v>0</v>
      </c>
      <c r="J189">
        <v>3</v>
      </c>
      <c r="K189">
        <v>70.16</v>
      </c>
      <c r="L189">
        <v>69.8</v>
      </c>
      <c r="M189">
        <v>69.89</v>
      </c>
      <c r="N189" t="s">
        <v>90</v>
      </c>
    </row>
    <row r="190" spans="1:14" x14ac:dyDescent="0.2">
      <c r="A190" s="1">
        <v>189</v>
      </c>
      <c r="B190" t="s">
        <v>253</v>
      </c>
      <c r="C190">
        <f xml:space="preserve">  70.22</f>
        <v>70.22</v>
      </c>
      <c r="D190">
        <v>15</v>
      </c>
      <c r="E190">
        <v>17</v>
      </c>
      <c r="F190">
        <v>68.819999999999993</v>
      </c>
      <c r="G190">
        <v>0</v>
      </c>
      <c r="H190">
        <v>0</v>
      </c>
      <c r="I190">
        <v>0</v>
      </c>
      <c r="J190">
        <v>0</v>
      </c>
      <c r="K190">
        <v>69.72</v>
      </c>
      <c r="L190">
        <v>68.92</v>
      </c>
      <c r="M190">
        <v>75.900000000000006</v>
      </c>
      <c r="N190" t="s">
        <v>306</v>
      </c>
    </row>
    <row r="191" spans="1:14" x14ac:dyDescent="0.2">
      <c r="A191" s="1">
        <v>190</v>
      </c>
      <c r="B191" t="s">
        <v>80</v>
      </c>
      <c r="C191">
        <f xml:space="preserve">  70.21</f>
        <v>70.209999999999994</v>
      </c>
      <c r="D191">
        <v>13</v>
      </c>
      <c r="E191">
        <v>20</v>
      </c>
      <c r="F191">
        <v>71.040000000000006</v>
      </c>
      <c r="G191">
        <v>0</v>
      </c>
      <c r="H191">
        <v>0</v>
      </c>
      <c r="I191">
        <v>0</v>
      </c>
      <c r="J191">
        <v>0</v>
      </c>
      <c r="K191">
        <v>70.27</v>
      </c>
      <c r="L191">
        <v>69.56</v>
      </c>
      <c r="M191">
        <v>68.92</v>
      </c>
      <c r="N191" t="s">
        <v>63</v>
      </c>
    </row>
    <row r="192" spans="1:14" x14ac:dyDescent="0.2">
      <c r="A192" s="1">
        <v>191</v>
      </c>
      <c r="B192" t="s">
        <v>862</v>
      </c>
      <c r="C192">
        <f xml:space="preserve">  70.19</f>
        <v>70.19</v>
      </c>
      <c r="D192">
        <v>17</v>
      </c>
      <c r="E192">
        <v>16</v>
      </c>
      <c r="F192">
        <v>70.14</v>
      </c>
      <c r="G192">
        <v>0</v>
      </c>
      <c r="H192">
        <v>3</v>
      </c>
      <c r="I192">
        <v>0</v>
      </c>
      <c r="J192">
        <v>3</v>
      </c>
      <c r="K192">
        <v>69.45</v>
      </c>
      <c r="L192">
        <v>70.13</v>
      </c>
      <c r="M192">
        <v>75.44</v>
      </c>
      <c r="N192" t="s">
        <v>82</v>
      </c>
    </row>
    <row r="193" spans="1:14" x14ac:dyDescent="0.2">
      <c r="A193" s="1">
        <v>192</v>
      </c>
      <c r="B193" t="s">
        <v>293</v>
      </c>
      <c r="C193">
        <f xml:space="preserve">  70.14</f>
        <v>70.14</v>
      </c>
      <c r="D193">
        <v>19</v>
      </c>
      <c r="E193">
        <v>11</v>
      </c>
      <c r="F193">
        <v>66.91</v>
      </c>
      <c r="G193">
        <v>0</v>
      </c>
      <c r="H193">
        <v>1</v>
      </c>
      <c r="I193">
        <v>0</v>
      </c>
      <c r="J193">
        <v>1</v>
      </c>
      <c r="K193">
        <v>70.400000000000006</v>
      </c>
      <c r="L193">
        <v>70.41</v>
      </c>
      <c r="M193">
        <v>64.11</v>
      </c>
      <c r="N193" t="s">
        <v>151</v>
      </c>
    </row>
    <row r="194" spans="1:14" x14ac:dyDescent="0.2">
      <c r="A194" s="1">
        <v>193</v>
      </c>
      <c r="B194" t="s">
        <v>268</v>
      </c>
      <c r="C194">
        <v>70.03</v>
      </c>
      <c r="D194">
        <v>14</v>
      </c>
      <c r="E194">
        <v>16</v>
      </c>
      <c r="F194">
        <v>69.28</v>
      </c>
      <c r="G194">
        <v>0</v>
      </c>
      <c r="H194">
        <v>1</v>
      </c>
      <c r="I194">
        <v>0</v>
      </c>
      <c r="J194">
        <v>3</v>
      </c>
      <c r="K194">
        <v>69.87</v>
      </c>
      <c r="L194">
        <v>68.91</v>
      </c>
      <c r="M194">
        <v>71.900000000000006</v>
      </c>
      <c r="N194" t="s">
        <v>306</v>
      </c>
    </row>
    <row r="195" spans="1:14" x14ac:dyDescent="0.2">
      <c r="A195" s="1">
        <v>194</v>
      </c>
      <c r="B195" t="s">
        <v>880</v>
      </c>
      <c r="C195">
        <f xml:space="preserve">  69.97</f>
        <v>69.97</v>
      </c>
      <c r="D195">
        <v>14</v>
      </c>
      <c r="E195">
        <v>17</v>
      </c>
      <c r="F195">
        <v>72.06</v>
      </c>
      <c r="G195">
        <v>0</v>
      </c>
      <c r="H195">
        <v>3</v>
      </c>
      <c r="I195">
        <v>0</v>
      </c>
      <c r="J195">
        <v>5</v>
      </c>
      <c r="K195">
        <v>69.489999999999995</v>
      </c>
      <c r="L195">
        <v>69.03</v>
      </c>
      <c r="M195">
        <v>74.53</v>
      </c>
      <c r="N195" t="s">
        <v>138</v>
      </c>
    </row>
    <row r="196" spans="1:14" x14ac:dyDescent="0.2">
      <c r="A196" s="1">
        <v>195</v>
      </c>
      <c r="B196" t="s">
        <v>152</v>
      </c>
      <c r="C196">
        <f xml:space="preserve">  69.83</f>
        <v>69.83</v>
      </c>
      <c r="D196">
        <v>16</v>
      </c>
      <c r="E196">
        <v>15</v>
      </c>
      <c r="F196">
        <v>68.16</v>
      </c>
      <c r="G196">
        <v>0</v>
      </c>
      <c r="H196">
        <v>0</v>
      </c>
      <c r="I196">
        <v>0</v>
      </c>
      <c r="J196">
        <v>1</v>
      </c>
      <c r="K196">
        <v>69.89</v>
      </c>
      <c r="L196">
        <v>69.5</v>
      </c>
      <c r="M196">
        <v>67.72</v>
      </c>
      <c r="N196" t="s">
        <v>81</v>
      </c>
    </row>
    <row r="197" spans="1:14" x14ac:dyDescent="0.2">
      <c r="A197" s="1">
        <v>196</v>
      </c>
      <c r="B197" t="s">
        <v>284</v>
      </c>
      <c r="C197">
        <f xml:space="preserve">  69.81</f>
        <v>69.81</v>
      </c>
      <c r="D197">
        <v>13</v>
      </c>
      <c r="E197">
        <v>18</v>
      </c>
      <c r="F197">
        <v>72.12</v>
      </c>
      <c r="G197">
        <v>0</v>
      </c>
      <c r="H197">
        <v>0</v>
      </c>
      <c r="I197">
        <v>0</v>
      </c>
      <c r="J197">
        <v>0</v>
      </c>
      <c r="K197">
        <v>69.25</v>
      </c>
      <c r="L197">
        <v>70.61</v>
      </c>
      <c r="M197">
        <v>71.44</v>
      </c>
      <c r="N197" t="s">
        <v>84</v>
      </c>
    </row>
    <row r="198" spans="1:14" x14ac:dyDescent="0.2">
      <c r="A198" s="1">
        <v>197</v>
      </c>
      <c r="B198" t="s">
        <v>807</v>
      </c>
      <c r="C198">
        <f xml:space="preserve">  69.76</f>
        <v>69.760000000000005</v>
      </c>
      <c r="D198">
        <v>11</v>
      </c>
      <c r="E198">
        <v>21</v>
      </c>
      <c r="F198">
        <v>74.7</v>
      </c>
      <c r="G198">
        <v>0</v>
      </c>
      <c r="H198">
        <v>0</v>
      </c>
      <c r="I198">
        <v>0</v>
      </c>
      <c r="J198">
        <v>5</v>
      </c>
      <c r="K198">
        <v>69.89</v>
      </c>
      <c r="L198">
        <v>70.2</v>
      </c>
      <c r="M198">
        <v>64.790000000000006</v>
      </c>
      <c r="N198" t="s">
        <v>7</v>
      </c>
    </row>
    <row r="199" spans="1:14" x14ac:dyDescent="0.2">
      <c r="A199" s="1">
        <v>198</v>
      </c>
      <c r="B199" t="s">
        <v>221</v>
      </c>
      <c r="C199">
        <f xml:space="preserve">  69.71</f>
        <v>69.709999999999994</v>
      </c>
      <c r="D199">
        <v>14</v>
      </c>
      <c r="E199">
        <v>16</v>
      </c>
      <c r="F199">
        <v>70.98</v>
      </c>
      <c r="G199">
        <v>0</v>
      </c>
      <c r="H199">
        <v>0</v>
      </c>
      <c r="I199">
        <v>0</v>
      </c>
      <c r="J199">
        <v>0</v>
      </c>
      <c r="K199">
        <v>69.63</v>
      </c>
      <c r="L199">
        <v>69.680000000000007</v>
      </c>
      <c r="M199">
        <v>68.42</v>
      </c>
      <c r="N199" t="s">
        <v>186</v>
      </c>
    </row>
    <row r="200" spans="1:14" x14ac:dyDescent="0.2">
      <c r="A200" s="1">
        <v>199</v>
      </c>
      <c r="B200" t="s">
        <v>88</v>
      </c>
      <c r="C200">
        <f xml:space="preserve">  69.7</f>
        <v>69.7</v>
      </c>
      <c r="D200">
        <v>15</v>
      </c>
      <c r="E200">
        <v>15</v>
      </c>
      <c r="F200">
        <v>72.53</v>
      </c>
      <c r="G200">
        <v>0</v>
      </c>
      <c r="H200">
        <v>2</v>
      </c>
      <c r="I200">
        <v>0</v>
      </c>
      <c r="J200">
        <v>6</v>
      </c>
      <c r="K200">
        <v>69.28</v>
      </c>
      <c r="L200">
        <v>70.11</v>
      </c>
      <c r="M200">
        <v>70.73</v>
      </c>
      <c r="N200" t="s">
        <v>1</v>
      </c>
    </row>
    <row r="201" spans="1:14" x14ac:dyDescent="0.2">
      <c r="A201" s="1">
        <v>200</v>
      </c>
      <c r="B201" t="s">
        <v>195</v>
      </c>
      <c r="C201">
        <f xml:space="preserve">  69.67</f>
        <v>69.67</v>
      </c>
      <c r="D201">
        <v>16</v>
      </c>
      <c r="E201">
        <v>15</v>
      </c>
      <c r="F201">
        <v>67.52</v>
      </c>
      <c r="G201">
        <v>0</v>
      </c>
      <c r="H201">
        <v>0</v>
      </c>
      <c r="I201">
        <v>0</v>
      </c>
      <c r="J201">
        <v>1</v>
      </c>
      <c r="K201">
        <v>69.69</v>
      </c>
      <c r="L201">
        <v>70.16</v>
      </c>
      <c r="M201">
        <v>65.89</v>
      </c>
      <c r="N201" t="s">
        <v>107</v>
      </c>
    </row>
    <row r="202" spans="1:14" x14ac:dyDescent="0.2">
      <c r="A202" s="1">
        <v>201</v>
      </c>
      <c r="B202" t="s">
        <v>189</v>
      </c>
      <c r="C202">
        <f xml:space="preserve">  69.66</f>
        <v>69.66</v>
      </c>
      <c r="D202">
        <v>17</v>
      </c>
      <c r="E202">
        <v>13</v>
      </c>
      <c r="F202">
        <v>69.02</v>
      </c>
      <c r="G202">
        <v>0</v>
      </c>
      <c r="H202">
        <v>0</v>
      </c>
      <c r="I202">
        <v>0</v>
      </c>
      <c r="J202">
        <v>0</v>
      </c>
      <c r="K202">
        <v>69.16</v>
      </c>
      <c r="L202">
        <v>69.28</v>
      </c>
      <c r="M202">
        <v>73.2</v>
      </c>
      <c r="N202" t="s">
        <v>306</v>
      </c>
    </row>
    <row r="203" spans="1:14" x14ac:dyDescent="0.2">
      <c r="A203" s="1">
        <v>202</v>
      </c>
      <c r="B203" t="s">
        <v>282</v>
      </c>
      <c r="C203">
        <f xml:space="preserve">  69.57</f>
        <v>69.569999999999993</v>
      </c>
      <c r="D203">
        <v>9</v>
      </c>
      <c r="E203">
        <v>20</v>
      </c>
      <c r="F203">
        <v>72.56</v>
      </c>
      <c r="G203">
        <v>0</v>
      </c>
      <c r="H203">
        <v>1</v>
      </c>
      <c r="I203">
        <v>0</v>
      </c>
      <c r="J203">
        <v>4</v>
      </c>
      <c r="K203">
        <v>70.02</v>
      </c>
      <c r="L203">
        <v>68.02</v>
      </c>
      <c r="M203">
        <v>66</v>
      </c>
      <c r="N203" t="s">
        <v>86</v>
      </c>
    </row>
    <row r="204" spans="1:14" x14ac:dyDescent="0.2">
      <c r="A204" s="1">
        <v>203</v>
      </c>
      <c r="B204" t="s">
        <v>169</v>
      </c>
      <c r="C204">
        <f xml:space="preserve">  69.54</f>
        <v>69.540000000000006</v>
      </c>
      <c r="D204">
        <v>14</v>
      </c>
      <c r="E204">
        <v>18</v>
      </c>
      <c r="F204">
        <v>71.52</v>
      </c>
      <c r="G204">
        <v>0</v>
      </c>
      <c r="H204">
        <v>0</v>
      </c>
      <c r="I204">
        <v>0</v>
      </c>
      <c r="J204">
        <v>4</v>
      </c>
      <c r="K204">
        <v>69.64</v>
      </c>
      <c r="L204">
        <v>69.62</v>
      </c>
      <c r="M204">
        <v>65.91</v>
      </c>
      <c r="N204" t="s">
        <v>135</v>
      </c>
    </row>
    <row r="205" spans="1:14" x14ac:dyDescent="0.2">
      <c r="A205" s="1">
        <v>204</v>
      </c>
      <c r="B205" t="s">
        <v>299</v>
      </c>
      <c r="C205">
        <f xml:space="preserve">  69.53</f>
        <v>69.53</v>
      </c>
      <c r="D205">
        <v>22</v>
      </c>
      <c r="E205">
        <v>14</v>
      </c>
      <c r="F205">
        <v>66.87</v>
      </c>
      <c r="G205">
        <v>0</v>
      </c>
      <c r="H205">
        <v>2</v>
      </c>
      <c r="I205">
        <v>2</v>
      </c>
      <c r="J205">
        <v>2</v>
      </c>
      <c r="K205">
        <v>68.58</v>
      </c>
      <c r="L205">
        <v>69.430000000000007</v>
      </c>
      <c r="M205">
        <v>76.790000000000006</v>
      </c>
      <c r="N205" t="s">
        <v>204</v>
      </c>
    </row>
    <row r="206" spans="1:14" x14ac:dyDescent="0.2">
      <c r="A206" s="1">
        <v>205</v>
      </c>
      <c r="B206" t="s">
        <v>272</v>
      </c>
      <c r="C206">
        <f xml:space="preserve">  69.45</f>
        <v>69.45</v>
      </c>
      <c r="D206">
        <v>14</v>
      </c>
      <c r="E206">
        <v>17</v>
      </c>
      <c r="F206">
        <v>70.069999999999993</v>
      </c>
      <c r="G206">
        <v>0</v>
      </c>
      <c r="H206">
        <v>0</v>
      </c>
      <c r="I206">
        <v>0</v>
      </c>
      <c r="J206">
        <v>0</v>
      </c>
      <c r="K206">
        <v>69.569999999999993</v>
      </c>
      <c r="L206">
        <v>69.19</v>
      </c>
      <c r="M206">
        <v>66.52</v>
      </c>
      <c r="N206" t="s">
        <v>186</v>
      </c>
    </row>
    <row r="207" spans="1:14" x14ac:dyDescent="0.2">
      <c r="A207" s="1">
        <v>206</v>
      </c>
      <c r="B207" t="s">
        <v>816</v>
      </c>
      <c r="C207">
        <f xml:space="preserve">  69.37</f>
        <v>69.37</v>
      </c>
      <c r="D207">
        <v>16</v>
      </c>
      <c r="E207">
        <v>15</v>
      </c>
      <c r="F207">
        <v>67.52</v>
      </c>
      <c r="G207">
        <v>0</v>
      </c>
      <c r="H207">
        <v>0</v>
      </c>
      <c r="I207">
        <v>0</v>
      </c>
      <c r="J207">
        <v>1</v>
      </c>
      <c r="K207">
        <v>69.239999999999995</v>
      </c>
      <c r="L207">
        <v>69.88</v>
      </c>
      <c r="M207">
        <v>67.25</v>
      </c>
      <c r="N207" t="s">
        <v>151</v>
      </c>
    </row>
    <row r="208" spans="1:14" x14ac:dyDescent="0.2">
      <c r="A208" s="1">
        <v>207</v>
      </c>
      <c r="B208" t="s">
        <v>897</v>
      </c>
      <c r="C208">
        <f xml:space="preserve">  69.3</f>
        <v>69.3</v>
      </c>
      <c r="D208">
        <v>18</v>
      </c>
      <c r="E208">
        <v>17</v>
      </c>
      <c r="F208">
        <v>70.260000000000005</v>
      </c>
      <c r="G208">
        <v>0</v>
      </c>
      <c r="H208">
        <v>2</v>
      </c>
      <c r="I208">
        <v>0</v>
      </c>
      <c r="J208">
        <v>3</v>
      </c>
      <c r="K208">
        <v>69.040000000000006</v>
      </c>
      <c r="L208">
        <v>69.11</v>
      </c>
      <c r="M208">
        <v>70.12</v>
      </c>
      <c r="N208" t="s">
        <v>81</v>
      </c>
    </row>
    <row r="209" spans="1:14" x14ac:dyDescent="0.2">
      <c r="A209" s="1">
        <v>208</v>
      </c>
      <c r="B209" t="s">
        <v>258</v>
      </c>
      <c r="C209">
        <f xml:space="preserve">  69.29</f>
        <v>69.290000000000006</v>
      </c>
      <c r="D209">
        <v>13</v>
      </c>
      <c r="E209">
        <v>17</v>
      </c>
      <c r="F209">
        <v>71.069999999999993</v>
      </c>
      <c r="G209">
        <v>0</v>
      </c>
      <c r="H209">
        <v>1</v>
      </c>
      <c r="I209">
        <v>0</v>
      </c>
      <c r="J209">
        <v>1</v>
      </c>
      <c r="K209">
        <v>68.930000000000007</v>
      </c>
      <c r="L209">
        <v>69.5</v>
      </c>
      <c r="M209">
        <v>70.3</v>
      </c>
      <c r="N209" t="s">
        <v>109</v>
      </c>
    </row>
    <row r="210" spans="1:14" x14ac:dyDescent="0.2">
      <c r="A210" s="1">
        <v>209</v>
      </c>
      <c r="B210" t="s">
        <v>165</v>
      </c>
      <c r="C210">
        <f xml:space="preserve">  69.21</f>
        <v>69.209999999999994</v>
      </c>
      <c r="D210">
        <v>11</v>
      </c>
      <c r="E210">
        <v>21</v>
      </c>
      <c r="F210">
        <v>71.94</v>
      </c>
      <c r="G210">
        <v>0</v>
      </c>
      <c r="H210">
        <v>1</v>
      </c>
      <c r="I210">
        <v>0</v>
      </c>
      <c r="J210">
        <v>1</v>
      </c>
      <c r="K210">
        <v>69.599999999999994</v>
      </c>
      <c r="L210">
        <v>68.41</v>
      </c>
      <c r="M210">
        <v>64.42</v>
      </c>
      <c r="N210" t="s">
        <v>63</v>
      </c>
    </row>
    <row r="211" spans="1:14" x14ac:dyDescent="0.2">
      <c r="A211" s="1">
        <v>210</v>
      </c>
      <c r="B211" t="s">
        <v>881</v>
      </c>
      <c r="C211">
        <f xml:space="preserve">  69.19</f>
        <v>69.19</v>
      </c>
      <c r="D211">
        <v>16</v>
      </c>
      <c r="E211">
        <v>14</v>
      </c>
      <c r="F211">
        <v>71.53</v>
      </c>
      <c r="G211">
        <v>0</v>
      </c>
      <c r="H211">
        <v>0</v>
      </c>
      <c r="I211">
        <v>0</v>
      </c>
      <c r="J211">
        <v>1</v>
      </c>
      <c r="K211">
        <v>68.78</v>
      </c>
      <c r="L211">
        <v>69.8</v>
      </c>
      <c r="M211">
        <v>69.680000000000007</v>
      </c>
      <c r="N211" t="s">
        <v>67</v>
      </c>
    </row>
    <row r="212" spans="1:14" x14ac:dyDescent="0.2">
      <c r="A212" s="1">
        <v>211</v>
      </c>
      <c r="B212" t="s">
        <v>882</v>
      </c>
      <c r="C212">
        <v>69.180000000000007</v>
      </c>
      <c r="D212">
        <v>21</v>
      </c>
      <c r="E212">
        <v>13</v>
      </c>
      <c r="F212">
        <v>68.31</v>
      </c>
      <c r="G212">
        <v>0</v>
      </c>
      <c r="H212">
        <v>1</v>
      </c>
      <c r="I212">
        <v>0</v>
      </c>
      <c r="J212">
        <v>1</v>
      </c>
      <c r="K212">
        <v>68.89</v>
      </c>
      <c r="L212">
        <v>69.47</v>
      </c>
      <c r="M212">
        <v>69.260000000000005</v>
      </c>
      <c r="N212" t="s">
        <v>138</v>
      </c>
    </row>
    <row r="213" spans="1:14" x14ac:dyDescent="0.2">
      <c r="A213" s="1">
        <v>212</v>
      </c>
      <c r="B213" t="s">
        <v>158</v>
      </c>
      <c r="C213">
        <f xml:space="preserve">  69.17</f>
        <v>69.17</v>
      </c>
      <c r="D213">
        <v>15</v>
      </c>
      <c r="E213">
        <v>17</v>
      </c>
      <c r="F213">
        <v>69.83</v>
      </c>
      <c r="G213">
        <v>0</v>
      </c>
      <c r="H213">
        <v>1</v>
      </c>
      <c r="I213">
        <v>0</v>
      </c>
      <c r="J213">
        <v>1</v>
      </c>
      <c r="K213">
        <v>68.91</v>
      </c>
      <c r="L213">
        <v>68.680000000000007</v>
      </c>
      <c r="M213">
        <v>70.73</v>
      </c>
      <c r="N213" t="s">
        <v>145</v>
      </c>
    </row>
    <row r="214" spans="1:14" x14ac:dyDescent="0.2">
      <c r="A214" s="1">
        <v>213</v>
      </c>
      <c r="B214" t="s">
        <v>883</v>
      </c>
      <c r="C214">
        <v>68.930000000000007</v>
      </c>
      <c r="D214">
        <v>17</v>
      </c>
      <c r="E214">
        <v>16</v>
      </c>
      <c r="F214">
        <v>68.680000000000007</v>
      </c>
      <c r="G214">
        <v>0</v>
      </c>
      <c r="H214">
        <v>0</v>
      </c>
      <c r="I214">
        <v>0</v>
      </c>
      <c r="J214">
        <v>1</v>
      </c>
      <c r="K214">
        <v>68.67</v>
      </c>
      <c r="L214">
        <v>67.5</v>
      </c>
      <c r="M214">
        <v>72.31</v>
      </c>
      <c r="N214" t="s">
        <v>306</v>
      </c>
    </row>
    <row r="215" spans="1:14" x14ac:dyDescent="0.2">
      <c r="A215" s="1">
        <v>214</v>
      </c>
      <c r="B215" t="s">
        <v>131</v>
      </c>
      <c r="C215">
        <f xml:space="preserve">  68.93</f>
        <v>68.930000000000007</v>
      </c>
      <c r="D215">
        <v>8</v>
      </c>
      <c r="E215">
        <v>23</v>
      </c>
      <c r="F215">
        <v>76.94</v>
      </c>
      <c r="G215">
        <v>0</v>
      </c>
      <c r="H215">
        <v>0</v>
      </c>
      <c r="I215">
        <v>1</v>
      </c>
      <c r="J215">
        <v>3</v>
      </c>
      <c r="K215">
        <v>68.5</v>
      </c>
      <c r="L215">
        <v>69.03</v>
      </c>
      <c r="M215">
        <v>70.78</v>
      </c>
      <c r="N215" t="s">
        <v>7</v>
      </c>
    </row>
    <row r="216" spans="1:14" x14ac:dyDescent="0.2">
      <c r="A216" s="1">
        <v>215</v>
      </c>
      <c r="B216" t="s">
        <v>839</v>
      </c>
      <c r="C216">
        <f xml:space="preserve">  68.87</f>
        <v>68.87</v>
      </c>
      <c r="D216">
        <v>13</v>
      </c>
      <c r="E216">
        <v>19</v>
      </c>
      <c r="F216">
        <v>72.28</v>
      </c>
      <c r="G216">
        <v>0</v>
      </c>
      <c r="H216">
        <v>1</v>
      </c>
      <c r="I216">
        <v>0</v>
      </c>
      <c r="J216">
        <v>1</v>
      </c>
      <c r="K216">
        <v>68.33</v>
      </c>
      <c r="L216">
        <v>68.540000000000006</v>
      </c>
      <c r="M216">
        <v>72.540000000000006</v>
      </c>
      <c r="N216" t="s">
        <v>135</v>
      </c>
    </row>
    <row r="217" spans="1:14" x14ac:dyDescent="0.2">
      <c r="A217" s="1">
        <v>216</v>
      </c>
      <c r="B217" t="s">
        <v>826</v>
      </c>
      <c r="C217">
        <f xml:space="preserve">  68.84</f>
        <v>68.84</v>
      </c>
      <c r="D217">
        <v>8</v>
      </c>
      <c r="E217">
        <v>21</v>
      </c>
      <c r="F217">
        <v>73.17</v>
      </c>
      <c r="G217">
        <v>0</v>
      </c>
      <c r="H217">
        <v>1</v>
      </c>
      <c r="I217">
        <v>0</v>
      </c>
      <c r="J217">
        <v>1</v>
      </c>
      <c r="K217">
        <v>68.900000000000006</v>
      </c>
      <c r="L217">
        <v>67.66</v>
      </c>
      <c r="M217">
        <v>68.66</v>
      </c>
      <c r="N217" t="s">
        <v>145</v>
      </c>
    </row>
    <row r="218" spans="1:14" x14ac:dyDescent="0.2">
      <c r="A218" s="1">
        <v>217</v>
      </c>
      <c r="B218" t="s">
        <v>234</v>
      </c>
      <c r="C218">
        <f xml:space="preserve">  68.64</f>
        <v>68.64</v>
      </c>
      <c r="D218">
        <v>9</v>
      </c>
      <c r="E218">
        <v>21</v>
      </c>
      <c r="F218">
        <v>72.989999999999995</v>
      </c>
      <c r="G218">
        <v>0</v>
      </c>
      <c r="H218">
        <v>0</v>
      </c>
      <c r="I218">
        <v>0</v>
      </c>
      <c r="J218">
        <v>0</v>
      </c>
      <c r="K218">
        <v>68.849999999999994</v>
      </c>
      <c r="L218">
        <v>68.53</v>
      </c>
      <c r="M218">
        <v>64.010000000000005</v>
      </c>
      <c r="N218" t="s">
        <v>84</v>
      </c>
    </row>
    <row r="219" spans="1:14" x14ac:dyDescent="0.2">
      <c r="A219" s="1">
        <v>218</v>
      </c>
      <c r="B219" t="s">
        <v>250</v>
      </c>
      <c r="C219">
        <f xml:space="preserve">  68.6</f>
        <v>68.599999999999994</v>
      </c>
      <c r="D219">
        <v>15</v>
      </c>
      <c r="E219">
        <v>15</v>
      </c>
      <c r="F219">
        <v>66.790000000000006</v>
      </c>
      <c r="G219">
        <v>0</v>
      </c>
      <c r="H219">
        <v>0</v>
      </c>
      <c r="I219">
        <v>0</v>
      </c>
      <c r="J219">
        <v>0</v>
      </c>
      <c r="K219">
        <v>68.63</v>
      </c>
      <c r="L219">
        <v>67.849999999999994</v>
      </c>
      <c r="M219">
        <v>67.89</v>
      </c>
      <c r="N219" t="s">
        <v>141</v>
      </c>
    </row>
    <row r="220" spans="1:14" x14ac:dyDescent="0.2">
      <c r="A220" s="1">
        <v>219</v>
      </c>
      <c r="B220" t="s">
        <v>303</v>
      </c>
      <c r="C220">
        <f xml:space="preserve">  68.59</f>
        <v>68.59</v>
      </c>
      <c r="D220">
        <v>11</v>
      </c>
      <c r="E220">
        <v>17</v>
      </c>
      <c r="F220">
        <v>69.39</v>
      </c>
      <c r="G220">
        <v>0</v>
      </c>
      <c r="H220">
        <v>1</v>
      </c>
      <c r="I220">
        <v>0</v>
      </c>
      <c r="J220">
        <v>2</v>
      </c>
      <c r="K220">
        <v>68.709999999999994</v>
      </c>
      <c r="L220">
        <v>68.63</v>
      </c>
      <c r="M220">
        <v>64.75</v>
      </c>
      <c r="N220" t="s">
        <v>82</v>
      </c>
    </row>
    <row r="221" spans="1:14" x14ac:dyDescent="0.2">
      <c r="A221" s="1">
        <v>220</v>
      </c>
      <c r="B221" t="s">
        <v>178</v>
      </c>
      <c r="C221">
        <f xml:space="preserve">  68.54</f>
        <v>68.540000000000006</v>
      </c>
      <c r="D221">
        <v>10</v>
      </c>
      <c r="E221">
        <v>21</v>
      </c>
      <c r="F221">
        <v>73.22</v>
      </c>
      <c r="G221">
        <v>0</v>
      </c>
      <c r="H221">
        <v>2</v>
      </c>
      <c r="I221">
        <v>0</v>
      </c>
      <c r="J221">
        <v>2</v>
      </c>
      <c r="K221">
        <v>68.319999999999993</v>
      </c>
      <c r="L221">
        <v>68.28</v>
      </c>
      <c r="M221">
        <v>69.25</v>
      </c>
      <c r="N221" t="s">
        <v>63</v>
      </c>
    </row>
    <row r="222" spans="1:14" x14ac:dyDescent="0.2">
      <c r="A222" s="1">
        <v>221</v>
      </c>
      <c r="B222" t="s">
        <v>193</v>
      </c>
      <c r="C222">
        <f xml:space="preserve">  68.43</f>
        <v>68.430000000000007</v>
      </c>
      <c r="D222">
        <v>18</v>
      </c>
      <c r="E222">
        <v>13</v>
      </c>
      <c r="F222">
        <v>67.459999999999994</v>
      </c>
      <c r="G222">
        <v>0</v>
      </c>
      <c r="H222">
        <v>0</v>
      </c>
      <c r="I222">
        <v>0</v>
      </c>
      <c r="J222">
        <v>2</v>
      </c>
      <c r="K222">
        <v>67.739999999999995</v>
      </c>
      <c r="L222">
        <v>69.2</v>
      </c>
      <c r="M222">
        <v>71.11</v>
      </c>
      <c r="N222" t="s">
        <v>90</v>
      </c>
    </row>
    <row r="223" spans="1:14" x14ac:dyDescent="0.2">
      <c r="A223" s="1">
        <v>222</v>
      </c>
      <c r="B223" t="s">
        <v>266</v>
      </c>
      <c r="C223">
        <v>68.41</v>
      </c>
      <c r="D223">
        <v>19</v>
      </c>
      <c r="E223">
        <v>14</v>
      </c>
      <c r="F223">
        <v>65.989999999999995</v>
      </c>
      <c r="G223">
        <v>0</v>
      </c>
      <c r="H223">
        <v>1</v>
      </c>
      <c r="I223">
        <v>0</v>
      </c>
      <c r="J223">
        <v>1</v>
      </c>
      <c r="K223">
        <v>67.48</v>
      </c>
      <c r="L223">
        <v>67.89</v>
      </c>
      <c r="M223">
        <v>75.989999999999995</v>
      </c>
      <c r="N223" t="s">
        <v>167</v>
      </c>
    </row>
    <row r="224" spans="1:14" x14ac:dyDescent="0.2">
      <c r="A224" s="1">
        <v>223</v>
      </c>
      <c r="B224" t="s">
        <v>176</v>
      </c>
      <c r="C224">
        <f xml:space="preserve">  68.35</f>
        <v>68.349999999999994</v>
      </c>
      <c r="D224">
        <v>12</v>
      </c>
      <c r="E224">
        <v>18</v>
      </c>
      <c r="F224">
        <v>70.84</v>
      </c>
      <c r="G224">
        <v>0</v>
      </c>
      <c r="H224">
        <v>2</v>
      </c>
      <c r="I224">
        <v>0</v>
      </c>
      <c r="J224">
        <v>3</v>
      </c>
      <c r="K224">
        <v>68.05</v>
      </c>
      <c r="L224">
        <v>68.55</v>
      </c>
      <c r="M224">
        <v>68.739999999999995</v>
      </c>
      <c r="N224" t="s">
        <v>138</v>
      </c>
    </row>
    <row r="225" spans="1:14" x14ac:dyDescent="0.2">
      <c r="A225" s="1">
        <v>224</v>
      </c>
      <c r="B225" t="s">
        <v>239</v>
      </c>
      <c r="C225">
        <f xml:space="preserve">  68.22</f>
        <v>68.22</v>
      </c>
      <c r="D225">
        <v>8</v>
      </c>
      <c r="E225">
        <v>21</v>
      </c>
      <c r="F225">
        <v>71.06</v>
      </c>
      <c r="G225">
        <v>0</v>
      </c>
      <c r="H225">
        <v>1</v>
      </c>
      <c r="I225">
        <v>0</v>
      </c>
      <c r="J225">
        <v>1</v>
      </c>
      <c r="K225">
        <v>68.47</v>
      </c>
      <c r="L225">
        <v>67.92</v>
      </c>
      <c r="M225">
        <v>63.54</v>
      </c>
      <c r="N225" t="s">
        <v>145</v>
      </c>
    </row>
    <row r="226" spans="1:14" x14ac:dyDescent="0.2">
      <c r="A226" s="1">
        <v>225</v>
      </c>
      <c r="B226" t="s">
        <v>264</v>
      </c>
      <c r="C226">
        <f xml:space="preserve">  68.15</f>
        <v>68.150000000000006</v>
      </c>
      <c r="D226">
        <v>8</v>
      </c>
      <c r="E226">
        <v>18</v>
      </c>
      <c r="F226">
        <v>71.13</v>
      </c>
      <c r="G226">
        <v>0</v>
      </c>
      <c r="H226">
        <v>0</v>
      </c>
      <c r="I226">
        <v>0</v>
      </c>
      <c r="J226">
        <v>0</v>
      </c>
      <c r="K226">
        <v>67.61</v>
      </c>
      <c r="L226">
        <v>66.540000000000006</v>
      </c>
      <c r="M226">
        <v>74.2</v>
      </c>
      <c r="N226" t="s">
        <v>125</v>
      </c>
    </row>
    <row r="227" spans="1:14" x14ac:dyDescent="0.2">
      <c r="A227" s="1">
        <v>226</v>
      </c>
      <c r="B227" t="s">
        <v>216</v>
      </c>
      <c r="C227">
        <f xml:space="preserve">  68.1</f>
        <v>68.099999999999994</v>
      </c>
      <c r="D227">
        <v>13</v>
      </c>
      <c r="E227">
        <v>18</v>
      </c>
      <c r="F227">
        <v>72.3</v>
      </c>
      <c r="G227">
        <v>0</v>
      </c>
      <c r="H227">
        <v>3</v>
      </c>
      <c r="I227">
        <v>0</v>
      </c>
      <c r="J227">
        <v>5</v>
      </c>
      <c r="K227">
        <v>67.989999999999995</v>
      </c>
      <c r="L227">
        <v>68.62</v>
      </c>
      <c r="M227">
        <v>65.73</v>
      </c>
      <c r="N227" t="s">
        <v>56</v>
      </c>
    </row>
    <row r="228" spans="1:14" x14ac:dyDescent="0.2">
      <c r="A228" s="1">
        <v>227</v>
      </c>
      <c r="B228" t="s">
        <v>210</v>
      </c>
      <c r="C228">
        <f xml:space="preserve">  68.07</f>
        <v>68.069999999999993</v>
      </c>
      <c r="D228">
        <v>15</v>
      </c>
      <c r="E228">
        <v>16</v>
      </c>
      <c r="F228">
        <v>70.41</v>
      </c>
      <c r="G228">
        <v>0</v>
      </c>
      <c r="H228">
        <v>1</v>
      </c>
      <c r="I228">
        <v>0</v>
      </c>
      <c r="J228">
        <v>2</v>
      </c>
      <c r="K228">
        <v>67.599999999999994</v>
      </c>
      <c r="L228">
        <v>68.05</v>
      </c>
      <c r="M228">
        <v>70.44</v>
      </c>
      <c r="N228" t="s">
        <v>81</v>
      </c>
    </row>
    <row r="229" spans="1:14" x14ac:dyDescent="0.2">
      <c r="A229" s="1">
        <v>228</v>
      </c>
      <c r="B229" t="s">
        <v>262</v>
      </c>
      <c r="C229">
        <f xml:space="preserve">  67.97</f>
        <v>67.97</v>
      </c>
      <c r="D229">
        <v>16</v>
      </c>
      <c r="E229">
        <v>13</v>
      </c>
      <c r="F229">
        <v>66.59</v>
      </c>
      <c r="G229">
        <v>0</v>
      </c>
      <c r="H229">
        <v>1</v>
      </c>
      <c r="I229">
        <v>0</v>
      </c>
      <c r="J229">
        <v>1</v>
      </c>
      <c r="K229">
        <v>67.27</v>
      </c>
      <c r="L229">
        <v>67.64</v>
      </c>
      <c r="M229">
        <v>73.08</v>
      </c>
      <c r="N229" t="s">
        <v>179</v>
      </c>
    </row>
    <row r="230" spans="1:14" x14ac:dyDescent="0.2">
      <c r="A230" s="1">
        <v>229</v>
      </c>
      <c r="B230" t="s">
        <v>184</v>
      </c>
      <c r="C230">
        <f xml:space="preserve">  67.97</f>
        <v>67.97</v>
      </c>
      <c r="D230">
        <v>15</v>
      </c>
      <c r="E230">
        <v>18</v>
      </c>
      <c r="F230">
        <v>69.14</v>
      </c>
      <c r="G230">
        <v>0</v>
      </c>
      <c r="H230">
        <v>0</v>
      </c>
      <c r="I230">
        <v>0</v>
      </c>
      <c r="J230">
        <v>3</v>
      </c>
      <c r="K230">
        <v>67.2</v>
      </c>
      <c r="L230">
        <v>68.03</v>
      </c>
      <c r="M230">
        <v>72.819999999999993</v>
      </c>
      <c r="N230" t="s">
        <v>151</v>
      </c>
    </row>
    <row r="231" spans="1:14" x14ac:dyDescent="0.2">
      <c r="A231" s="1">
        <v>230</v>
      </c>
      <c r="B231" t="s">
        <v>295</v>
      </c>
      <c r="C231">
        <f xml:space="preserve">  67.87</f>
        <v>67.87</v>
      </c>
      <c r="D231">
        <v>13</v>
      </c>
      <c r="E231">
        <v>16</v>
      </c>
      <c r="F231">
        <v>71.73</v>
      </c>
      <c r="G231">
        <v>0</v>
      </c>
      <c r="H231">
        <v>0</v>
      </c>
      <c r="I231">
        <v>0</v>
      </c>
      <c r="J231">
        <v>1</v>
      </c>
      <c r="K231">
        <v>67.150000000000006</v>
      </c>
      <c r="L231">
        <v>68.41</v>
      </c>
      <c r="M231">
        <v>71.239999999999995</v>
      </c>
      <c r="N231" t="s">
        <v>125</v>
      </c>
    </row>
    <row r="232" spans="1:14" x14ac:dyDescent="0.2">
      <c r="A232" s="1">
        <v>231</v>
      </c>
      <c r="B232" t="s">
        <v>894</v>
      </c>
      <c r="C232">
        <f xml:space="preserve">  67.82</f>
        <v>67.819999999999993</v>
      </c>
      <c r="D232">
        <v>14</v>
      </c>
      <c r="E232">
        <v>18</v>
      </c>
      <c r="F232">
        <v>68.55</v>
      </c>
      <c r="G232">
        <v>0</v>
      </c>
      <c r="H232">
        <v>0</v>
      </c>
      <c r="I232">
        <v>0</v>
      </c>
      <c r="J232">
        <v>0</v>
      </c>
      <c r="K232">
        <v>67.59</v>
      </c>
      <c r="L232">
        <v>67.22</v>
      </c>
      <c r="M232">
        <v>69.209999999999994</v>
      </c>
      <c r="N232" t="s">
        <v>141</v>
      </c>
    </row>
    <row r="233" spans="1:14" x14ac:dyDescent="0.2">
      <c r="A233" s="1">
        <v>232</v>
      </c>
      <c r="B233" t="s">
        <v>128</v>
      </c>
      <c r="C233">
        <f xml:space="preserve">  67.67</f>
        <v>67.67</v>
      </c>
      <c r="D233">
        <v>9</v>
      </c>
      <c r="E233">
        <v>21</v>
      </c>
      <c r="F233">
        <v>73.81</v>
      </c>
      <c r="G233">
        <v>0</v>
      </c>
      <c r="H233">
        <v>1</v>
      </c>
      <c r="I233">
        <v>0</v>
      </c>
      <c r="J233">
        <v>2</v>
      </c>
      <c r="K233">
        <v>67.22</v>
      </c>
      <c r="L233">
        <v>67.7</v>
      </c>
      <c r="M233">
        <v>69.790000000000006</v>
      </c>
      <c r="N233" t="s">
        <v>67</v>
      </c>
    </row>
    <row r="234" spans="1:14" x14ac:dyDescent="0.2">
      <c r="A234" s="1">
        <v>233</v>
      </c>
      <c r="B234" t="s">
        <v>235</v>
      </c>
      <c r="C234">
        <f xml:space="preserve">  67.59</f>
        <v>67.59</v>
      </c>
      <c r="D234">
        <v>21</v>
      </c>
      <c r="E234">
        <v>13</v>
      </c>
      <c r="F234">
        <v>65.819999999999993</v>
      </c>
      <c r="G234">
        <v>0</v>
      </c>
      <c r="H234">
        <v>0</v>
      </c>
      <c r="I234">
        <v>0</v>
      </c>
      <c r="J234">
        <v>1</v>
      </c>
      <c r="K234">
        <v>66.77</v>
      </c>
      <c r="L234">
        <v>67.45</v>
      </c>
      <c r="M234">
        <v>73.19</v>
      </c>
      <c r="N234" t="s">
        <v>204</v>
      </c>
    </row>
    <row r="235" spans="1:14" x14ac:dyDescent="0.2">
      <c r="A235" s="1">
        <v>234</v>
      </c>
      <c r="B235" t="s">
        <v>227</v>
      </c>
      <c r="C235">
        <f xml:space="preserve">  67.59</f>
        <v>67.59</v>
      </c>
      <c r="D235">
        <v>15</v>
      </c>
      <c r="E235">
        <v>16</v>
      </c>
      <c r="F235">
        <v>66.760000000000005</v>
      </c>
      <c r="G235">
        <v>0</v>
      </c>
      <c r="H235">
        <v>2</v>
      </c>
      <c r="I235">
        <v>0</v>
      </c>
      <c r="J235">
        <v>4</v>
      </c>
      <c r="K235">
        <v>67.099999999999994</v>
      </c>
      <c r="L235">
        <v>67.069999999999993</v>
      </c>
      <c r="M235">
        <v>71.150000000000006</v>
      </c>
      <c r="N235" t="s">
        <v>179</v>
      </c>
    </row>
    <row r="236" spans="1:14" x14ac:dyDescent="0.2">
      <c r="A236" s="1">
        <v>235</v>
      </c>
      <c r="B236" t="s">
        <v>203</v>
      </c>
      <c r="C236">
        <f xml:space="preserve">  67.48</f>
        <v>67.48</v>
      </c>
      <c r="D236">
        <v>16</v>
      </c>
      <c r="E236">
        <v>15</v>
      </c>
      <c r="F236">
        <v>66.260000000000005</v>
      </c>
      <c r="G236">
        <v>0</v>
      </c>
      <c r="H236">
        <v>1</v>
      </c>
      <c r="I236">
        <v>0</v>
      </c>
      <c r="J236">
        <v>1</v>
      </c>
      <c r="K236">
        <v>67.510000000000005</v>
      </c>
      <c r="L236">
        <v>67.819999999999993</v>
      </c>
      <c r="M236">
        <v>63.97</v>
      </c>
      <c r="N236" t="s">
        <v>107</v>
      </c>
    </row>
    <row r="237" spans="1:14" x14ac:dyDescent="0.2">
      <c r="A237" s="1">
        <v>236</v>
      </c>
      <c r="B237" t="s">
        <v>301</v>
      </c>
      <c r="C237">
        <f xml:space="preserve">  67.47</f>
        <v>67.47</v>
      </c>
      <c r="D237">
        <v>9</v>
      </c>
      <c r="E237">
        <v>20</v>
      </c>
      <c r="F237">
        <v>71.34</v>
      </c>
      <c r="G237">
        <v>0</v>
      </c>
      <c r="H237">
        <v>0</v>
      </c>
      <c r="I237">
        <v>0</v>
      </c>
      <c r="J237">
        <v>2</v>
      </c>
      <c r="K237">
        <v>67.66</v>
      </c>
      <c r="L237">
        <v>67.209999999999994</v>
      </c>
      <c r="M237">
        <v>63.51</v>
      </c>
      <c r="N237" t="s">
        <v>135</v>
      </c>
    </row>
    <row r="238" spans="1:14" x14ac:dyDescent="0.2">
      <c r="A238" s="1">
        <v>237</v>
      </c>
      <c r="B238" t="s">
        <v>263</v>
      </c>
      <c r="C238">
        <f xml:space="preserve">  67.35</f>
        <v>67.349999999999994</v>
      </c>
      <c r="D238">
        <v>16</v>
      </c>
      <c r="E238">
        <v>17</v>
      </c>
      <c r="F238">
        <v>69.5</v>
      </c>
      <c r="G238">
        <v>0</v>
      </c>
      <c r="H238">
        <v>1</v>
      </c>
      <c r="I238">
        <v>0</v>
      </c>
      <c r="J238">
        <v>1</v>
      </c>
      <c r="K238">
        <v>67.37</v>
      </c>
      <c r="L238">
        <v>67.709999999999994</v>
      </c>
      <c r="M238">
        <v>63.83</v>
      </c>
      <c r="N238" t="s">
        <v>141</v>
      </c>
    </row>
    <row r="239" spans="1:14" x14ac:dyDescent="0.2">
      <c r="A239" s="1">
        <v>238</v>
      </c>
      <c r="B239" t="s">
        <v>211</v>
      </c>
      <c r="C239">
        <f xml:space="preserve">  67.32</f>
        <v>67.319999999999993</v>
      </c>
      <c r="D239">
        <v>14</v>
      </c>
      <c r="E239">
        <v>15</v>
      </c>
      <c r="F239">
        <v>69.150000000000006</v>
      </c>
      <c r="G239">
        <v>0</v>
      </c>
      <c r="H239">
        <v>0</v>
      </c>
      <c r="I239">
        <v>0</v>
      </c>
      <c r="J239">
        <v>2</v>
      </c>
      <c r="K239">
        <v>67.11</v>
      </c>
      <c r="L239">
        <v>67.069999999999993</v>
      </c>
      <c r="M239">
        <v>67.84</v>
      </c>
      <c r="N239" t="s">
        <v>306</v>
      </c>
    </row>
    <row r="240" spans="1:14" x14ac:dyDescent="0.2">
      <c r="A240" s="1">
        <v>239</v>
      </c>
      <c r="B240" t="s">
        <v>245</v>
      </c>
      <c r="C240">
        <f xml:space="preserve">  67.17</f>
        <v>67.17</v>
      </c>
      <c r="D240">
        <v>7</v>
      </c>
      <c r="E240">
        <v>24</v>
      </c>
      <c r="F240">
        <v>73.73</v>
      </c>
      <c r="G240">
        <v>0</v>
      </c>
      <c r="H240">
        <v>2</v>
      </c>
      <c r="I240">
        <v>0</v>
      </c>
      <c r="J240">
        <v>4</v>
      </c>
      <c r="K240">
        <v>67.28</v>
      </c>
      <c r="L240">
        <v>66.599999999999994</v>
      </c>
      <c r="M240">
        <v>65.069999999999993</v>
      </c>
      <c r="N240" t="s">
        <v>312</v>
      </c>
    </row>
    <row r="241" spans="1:14" x14ac:dyDescent="0.2">
      <c r="A241" s="1">
        <v>240</v>
      </c>
      <c r="B241" t="s">
        <v>294</v>
      </c>
      <c r="C241">
        <f xml:space="preserve">  67.12</f>
        <v>67.12</v>
      </c>
      <c r="D241">
        <v>10</v>
      </c>
      <c r="E241">
        <v>18</v>
      </c>
      <c r="F241">
        <v>71.989999999999995</v>
      </c>
      <c r="G241">
        <v>0</v>
      </c>
      <c r="H241">
        <v>1</v>
      </c>
      <c r="I241">
        <v>0</v>
      </c>
      <c r="J241">
        <v>1</v>
      </c>
      <c r="K241">
        <v>67.040000000000006</v>
      </c>
      <c r="L241">
        <v>66.78</v>
      </c>
      <c r="M241">
        <v>66.489999999999995</v>
      </c>
      <c r="N241" t="s">
        <v>145</v>
      </c>
    </row>
    <row r="242" spans="1:14" x14ac:dyDescent="0.2">
      <c r="A242" s="1">
        <v>241</v>
      </c>
      <c r="B242" t="s">
        <v>906</v>
      </c>
      <c r="C242">
        <f xml:space="preserve">  67.1</f>
        <v>67.099999999999994</v>
      </c>
      <c r="D242">
        <v>12</v>
      </c>
      <c r="E242">
        <v>15</v>
      </c>
      <c r="F242">
        <v>69.459999999999994</v>
      </c>
      <c r="G242">
        <v>0</v>
      </c>
      <c r="H242">
        <v>1</v>
      </c>
      <c r="I242">
        <v>0</v>
      </c>
      <c r="J242">
        <v>1</v>
      </c>
      <c r="K242">
        <v>66.59</v>
      </c>
      <c r="L242">
        <v>65.760000000000005</v>
      </c>
      <c r="M242">
        <v>72.25</v>
      </c>
      <c r="N242" t="s">
        <v>81</v>
      </c>
    </row>
    <row r="243" spans="1:14" x14ac:dyDescent="0.2">
      <c r="A243" s="1">
        <v>242</v>
      </c>
      <c r="B243" t="s">
        <v>173</v>
      </c>
      <c r="C243">
        <f xml:space="preserve">  67.02</f>
        <v>67.02</v>
      </c>
      <c r="D243">
        <v>9</v>
      </c>
      <c r="E243">
        <v>19</v>
      </c>
      <c r="F243">
        <v>70.7</v>
      </c>
      <c r="G243">
        <v>0</v>
      </c>
      <c r="H243">
        <v>0</v>
      </c>
      <c r="I243">
        <v>0</v>
      </c>
      <c r="J243">
        <v>1</v>
      </c>
      <c r="K243">
        <v>67.069999999999993</v>
      </c>
      <c r="L243">
        <v>66.209999999999994</v>
      </c>
      <c r="M243">
        <v>66.099999999999994</v>
      </c>
      <c r="N243" t="s">
        <v>125</v>
      </c>
    </row>
    <row r="244" spans="1:14" x14ac:dyDescent="0.2">
      <c r="A244" s="1">
        <v>243</v>
      </c>
      <c r="B244" t="s">
        <v>199</v>
      </c>
      <c r="C244">
        <f xml:space="preserve">  66.89</f>
        <v>66.89</v>
      </c>
      <c r="D244">
        <v>11</v>
      </c>
      <c r="E244">
        <v>18</v>
      </c>
      <c r="F244">
        <v>71.08</v>
      </c>
      <c r="G244">
        <v>0</v>
      </c>
      <c r="H244">
        <v>2</v>
      </c>
      <c r="I244">
        <v>0</v>
      </c>
      <c r="J244">
        <v>2</v>
      </c>
      <c r="K244">
        <v>66.599999999999994</v>
      </c>
      <c r="L244">
        <v>66.819999999999993</v>
      </c>
      <c r="M244">
        <v>67.790000000000006</v>
      </c>
      <c r="N244" t="s">
        <v>77</v>
      </c>
    </row>
    <row r="245" spans="1:14" x14ac:dyDescent="0.2">
      <c r="A245" s="1">
        <v>244</v>
      </c>
      <c r="B245" t="s">
        <v>162</v>
      </c>
      <c r="C245">
        <f xml:space="preserve">  66.83</f>
        <v>66.83</v>
      </c>
      <c r="D245">
        <v>12</v>
      </c>
      <c r="E245">
        <v>19</v>
      </c>
      <c r="F245">
        <v>70.33</v>
      </c>
      <c r="G245">
        <v>0</v>
      </c>
      <c r="H245">
        <v>0</v>
      </c>
      <c r="I245">
        <v>0</v>
      </c>
      <c r="J245">
        <v>0</v>
      </c>
      <c r="K245">
        <v>66.83</v>
      </c>
      <c r="L245">
        <v>66.69</v>
      </c>
      <c r="M245">
        <v>64.92</v>
      </c>
      <c r="N245" t="s">
        <v>109</v>
      </c>
    </row>
    <row r="246" spans="1:14" x14ac:dyDescent="0.2">
      <c r="A246" s="1">
        <v>245</v>
      </c>
      <c r="B246" t="s">
        <v>150</v>
      </c>
      <c r="C246">
        <f xml:space="preserve">  66.73</f>
        <v>66.73</v>
      </c>
      <c r="D246">
        <v>15</v>
      </c>
      <c r="E246">
        <v>16</v>
      </c>
      <c r="F246">
        <v>69.239999999999995</v>
      </c>
      <c r="G246">
        <v>0</v>
      </c>
      <c r="H246">
        <v>0</v>
      </c>
      <c r="I246">
        <v>0</v>
      </c>
      <c r="J246">
        <v>1</v>
      </c>
      <c r="K246">
        <v>66.31</v>
      </c>
      <c r="L246">
        <v>67.44</v>
      </c>
      <c r="M246">
        <v>67.069999999999993</v>
      </c>
      <c r="N246" t="s">
        <v>109</v>
      </c>
    </row>
    <row r="247" spans="1:14" x14ac:dyDescent="0.2">
      <c r="A247" s="1">
        <v>246</v>
      </c>
      <c r="B247" t="s">
        <v>815</v>
      </c>
      <c r="C247">
        <f xml:space="preserve">  66.72</f>
        <v>66.72</v>
      </c>
      <c r="D247">
        <v>11</v>
      </c>
      <c r="E247">
        <v>19</v>
      </c>
      <c r="F247">
        <v>71.819999999999993</v>
      </c>
      <c r="G247">
        <v>0</v>
      </c>
      <c r="H247">
        <v>0</v>
      </c>
      <c r="I247">
        <v>0</v>
      </c>
      <c r="J247">
        <v>2</v>
      </c>
      <c r="K247">
        <v>66.45</v>
      </c>
      <c r="L247">
        <v>66.78</v>
      </c>
      <c r="M247">
        <v>67.17</v>
      </c>
      <c r="N247" t="s">
        <v>145</v>
      </c>
    </row>
    <row r="248" spans="1:14" x14ac:dyDescent="0.2">
      <c r="A248" s="1">
        <v>247</v>
      </c>
      <c r="B248" t="s">
        <v>820</v>
      </c>
      <c r="C248">
        <f xml:space="preserve">  66.58</f>
        <v>66.58</v>
      </c>
      <c r="D248">
        <v>11</v>
      </c>
      <c r="E248">
        <v>20</v>
      </c>
      <c r="F248">
        <v>71.959999999999994</v>
      </c>
      <c r="G248">
        <v>0</v>
      </c>
      <c r="H248">
        <v>0</v>
      </c>
      <c r="I248">
        <v>0</v>
      </c>
      <c r="J248">
        <v>1</v>
      </c>
      <c r="K248">
        <v>66.260000000000005</v>
      </c>
      <c r="L248">
        <v>66.14</v>
      </c>
      <c r="M248">
        <v>68.489999999999995</v>
      </c>
      <c r="N248" t="s">
        <v>77</v>
      </c>
    </row>
    <row r="249" spans="1:14" x14ac:dyDescent="0.2">
      <c r="A249" s="1">
        <v>248</v>
      </c>
      <c r="B249" t="s">
        <v>196</v>
      </c>
      <c r="C249">
        <f xml:space="preserve">  66.46</f>
        <v>66.459999999999994</v>
      </c>
      <c r="D249">
        <v>17</v>
      </c>
      <c r="E249">
        <v>16</v>
      </c>
      <c r="F249">
        <v>67.72</v>
      </c>
      <c r="G249">
        <v>0</v>
      </c>
      <c r="H249">
        <v>0</v>
      </c>
      <c r="I249">
        <v>0</v>
      </c>
      <c r="J249">
        <v>0</v>
      </c>
      <c r="K249">
        <v>66.239999999999995</v>
      </c>
      <c r="L249">
        <v>66.319999999999993</v>
      </c>
      <c r="M249">
        <v>66.81</v>
      </c>
      <c r="N249" t="s">
        <v>107</v>
      </c>
    </row>
    <row r="250" spans="1:14" x14ac:dyDescent="0.2">
      <c r="A250" s="1">
        <v>249</v>
      </c>
      <c r="B250" t="s">
        <v>212</v>
      </c>
      <c r="C250">
        <f xml:space="preserve">  66.43</f>
        <v>66.430000000000007</v>
      </c>
      <c r="D250">
        <v>15</v>
      </c>
      <c r="E250">
        <v>17</v>
      </c>
      <c r="F250">
        <v>68.63</v>
      </c>
      <c r="G250">
        <v>0</v>
      </c>
      <c r="H250">
        <v>2</v>
      </c>
      <c r="I250">
        <v>0</v>
      </c>
      <c r="J250">
        <v>3</v>
      </c>
      <c r="K250">
        <v>66.31</v>
      </c>
      <c r="L250">
        <v>67.099999999999994</v>
      </c>
      <c r="M250">
        <v>63.71</v>
      </c>
      <c r="N250" t="s">
        <v>107</v>
      </c>
    </row>
    <row r="251" spans="1:14" x14ac:dyDescent="0.2">
      <c r="A251" s="1">
        <v>250</v>
      </c>
      <c r="B251" t="s">
        <v>903</v>
      </c>
      <c r="C251">
        <f xml:space="preserve">  66.36</f>
        <v>66.36</v>
      </c>
      <c r="D251">
        <v>11</v>
      </c>
      <c r="E251">
        <v>20</v>
      </c>
      <c r="F251">
        <v>67.53</v>
      </c>
      <c r="G251">
        <v>0</v>
      </c>
      <c r="H251">
        <v>0</v>
      </c>
      <c r="I251">
        <v>0</v>
      </c>
      <c r="J251">
        <v>0</v>
      </c>
      <c r="K251">
        <v>66.19</v>
      </c>
      <c r="L251">
        <v>65.319999999999993</v>
      </c>
      <c r="M251">
        <v>67.989999999999995</v>
      </c>
      <c r="N251" t="s">
        <v>90</v>
      </c>
    </row>
    <row r="252" spans="1:14" x14ac:dyDescent="0.2">
      <c r="A252" s="1">
        <v>251</v>
      </c>
      <c r="B252" t="s">
        <v>154</v>
      </c>
      <c r="C252">
        <f xml:space="preserve">  66.26</f>
        <v>66.260000000000005</v>
      </c>
      <c r="D252">
        <v>9</v>
      </c>
      <c r="E252">
        <v>23</v>
      </c>
      <c r="F252">
        <v>71.010000000000005</v>
      </c>
      <c r="G252">
        <v>0</v>
      </c>
      <c r="H252">
        <v>1</v>
      </c>
      <c r="I252">
        <v>0</v>
      </c>
      <c r="J252">
        <v>1</v>
      </c>
      <c r="K252">
        <v>65.88</v>
      </c>
      <c r="L252">
        <v>66.14</v>
      </c>
      <c r="M252">
        <v>67.959999999999994</v>
      </c>
      <c r="N252" t="s">
        <v>109</v>
      </c>
    </row>
    <row r="253" spans="1:14" x14ac:dyDescent="0.2">
      <c r="A253" s="1">
        <v>252</v>
      </c>
      <c r="B253" t="s">
        <v>893</v>
      </c>
      <c r="C253">
        <f xml:space="preserve">  66.23</f>
        <v>66.23</v>
      </c>
      <c r="D253">
        <v>16</v>
      </c>
      <c r="E253">
        <v>15</v>
      </c>
      <c r="F253">
        <v>66.510000000000005</v>
      </c>
      <c r="G253">
        <v>0</v>
      </c>
      <c r="H253">
        <v>2</v>
      </c>
      <c r="I253">
        <v>0</v>
      </c>
      <c r="J253">
        <v>4</v>
      </c>
      <c r="K253">
        <v>65.58</v>
      </c>
      <c r="L253">
        <v>66.77</v>
      </c>
      <c r="M253">
        <v>68.930000000000007</v>
      </c>
      <c r="N253" t="s">
        <v>167</v>
      </c>
    </row>
    <row r="254" spans="1:14" x14ac:dyDescent="0.2">
      <c r="A254" s="1">
        <v>253</v>
      </c>
      <c r="B254" t="s">
        <v>871</v>
      </c>
      <c r="C254">
        <v>66.19</v>
      </c>
      <c r="D254">
        <v>15</v>
      </c>
      <c r="E254">
        <v>16</v>
      </c>
      <c r="F254">
        <v>65.64</v>
      </c>
      <c r="G254">
        <v>0</v>
      </c>
      <c r="H254">
        <v>0</v>
      </c>
      <c r="I254">
        <v>0</v>
      </c>
      <c r="J254">
        <v>0</v>
      </c>
      <c r="K254">
        <v>65.72</v>
      </c>
      <c r="L254">
        <v>65.44</v>
      </c>
      <c r="M254">
        <v>69.91</v>
      </c>
      <c r="N254" t="s">
        <v>167</v>
      </c>
    </row>
    <row r="255" spans="1:14" x14ac:dyDescent="0.2">
      <c r="A255" s="1">
        <v>254</v>
      </c>
      <c r="B255" t="s">
        <v>275</v>
      </c>
      <c r="C255">
        <f xml:space="preserve">  66.16</f>
        <v>66.16</v>
      </c>
      <c r="D255">
        <v>10</v>
      </c>
      <c r="E255">
        <v>21</v>
      </c>
      <c r="F255">
        <v>73.36</v>
      </c>
      <c r="G255">
        <v>1</v>
      </c>
      <c r="H255">
        <v>2</v>
      </c>
      <c r="I255">
        <v>1</v>
      </c>
      <c r="J255">
        <v>3</v>
      </c>
      <c r="K255">
        <v>65.989999999999995</v>
      </c>
      <c r="L255">
        <v>66.27</v>
      </c>
      <c r="M255">
        <v>65.39</v>
      </c>
      <c r="N255" t="s">
        <v>5</v>
      </c>
    </row>
    <row r="256" spans="1:14" x14ac:dyDescent="0.2">
      <c r="A256" s="1">
        <v>255</v>
      </c>
      <c r="B256" t="s">
        <v>823</v>
      </c>
      <c r="C256">
        <f xml:space="preserve">  66.14</f>
        <v>66.14</v>
      </c>
      <c r="D256">
        <v>14</v>
      </c>
      <c r="E256">
        <v>17</v>
      </c>
      <c r="F256">
        <v>68.069999999999993</v>
      </c>
      <c r="G256">
        <v>0</v>
      </c>
      <c r="H256">
        <v>0</v>
      </c>
      <c r="I256">
        <v>0</v>
      </c>
      <c r="J256">
        <v>3</v>
      </c>
      <c r="K256">
        <v>65.760000000000005</v>
      </c>
      <c r="L256">
        <v>66.75</v>
      </c>
      <c r="M256">
        <v>66.319999999999993</v>
      </c>
      <c r="N256" t="s">
        <v>151</v>
      </c>
    </row>
    <row r="257" spans="1:14" x14ac:dyDescent="0.2">
      <c r="A257" s="1">
        <v>256</v>
      </c>
      <c r="B257" t="s">
        <v>549</v>
      </c>
      <c r="C257">
        <f xml:space="preserve">  66.05</f>
        <v>66.05</v>
      </c>
      <c r="D257">
        <v>12</v>
      </c>
      <c r="E257">
        <v>19</v>
      </c>
      <c r="F257">
        <v>68.680000000000007</v>
      </c>
      <c r="G257">
        <v>0</v>
      </c>
      <c r="H257">
        <v>1</v>
      </c>
      <c r="I257">
        <v>0</v>
      </c>
      <c r="J257">
        <v>1</v>
      </c>
      <c r="K257">
        <v>66.13</v>
      </c>
      <c r="L257">
        <v>65.95</v>
      </c>
      <c r="M257">
        <v>63.07</v>
      </c>
      <c r="N257" t="s">
        <v>141</v>
      </c>
    </row>
    <row r="258" spans="1:14" x14ac:dyDescent="0.2">
      <c r="A258" s="1">
        <v>257</v>
      </c>
      <c r="B258" t="s">
        <v>219</v>
      </c>
      <c r="C258">
        <f xml:space="preserve">  66</f>
        <v>66</v>
      </c>
      <c r="D258">
        <v>15</v>
      </c>
      <c r="E258">
        <v>14</v>
      </c>
      <c r="F258">
        <v>67.11</v>
      </c>
      <c r="G258">
        <v>0</v>
      </c>
      <c r="H258">
        <v>0</v>
      </c>
      <c r="I258">
        <v>0</v>
      </c>
      <c r="J258">
        <v>1</v>
      </c>
      <c r="K258">
        <v>65.400000000000006</v>
      </c>
      <c r="L258">
        <v>66.89</v>
      </c>
      <c r="M258">
        <v>67.64</v>
      </c>
      <c r="N258" t="s">
        <v>179</v>
      </c>
    </row>
    <row r="259" spans="1:14" x14ac:dyDescent="0.2">
      <c r="A259" s="1">
        <v>258</v>
      </c>
      <c r="B259" t="s">
        <v>843</v>
      </c>
      <c r="C259">
        <f xml:space="preserve">  66</f>
        <v>66</v>
      </c>
      <c r="D259">
        <v>19</v>
      </c>
      <c r="E259">
        <v>14</v>
      </c>
      <c r="F259">
        <v>64.75</v>
      </c>
      <c r="G259">
        <v>0</v>
      </c>
      <c r="H259">
        <v>1</v>
      </c>
      <c r="I259">
        <v>0</v>
      </c>
      <c r="J259">
        <v>1</v>
      </c>
      <c r="K259">
        <v>65.33</v>
      </c>
      <c r="L259">
        <v>65.680000000000007</v>
      </c>
      <c r="M259">
        <v>70.48</v>
      </c>
      <c r="N259" t="s">
        <v>313</v>
      </c>
    </row>
    <row r="260" spans="1:14" x14ac:dyDescent="0.2">
      <c r="A260" s="1">
        <v>259</v>
      </c>
      <c r="B260" t="s">
        <v>265</v>
      </c>
      <c r="C260">
        <f xml:space="preserve">  65.98</f>
        <v>65.98</v>
      </c>
      <c r="D260">
        <v>8</v>
      </c>
      <c r="E260">
        <v>18</v>
      </c>
      <c r="F260">
        <v>70.010000000000005</v>
      </c>
      <c r="G260">
        <v>0</v>
      </c>
      <c r="H260">
        <v>1</v>
      </c>
      <c r="I260">
        <v>0</v>
      </c>
      <c r="J260">
        <v>2</v>
      </c>
      <c r="K260">
        <v>65.819999999999993</v>
      </c>
      <c r="L260">
        <v>65.02</v>
      </c>
      <c r="M260">
        <v>67.53</v>
      </c>
      <c r="N260" t="s">
        <v>82</v>
      </c>
    </row>
    <row r="261" spans="1:14" x14ac:dyDescent="0.2">
      <c r="A261" s="1">
        <v>260</v>
      </c>
      <c r="B261" t="s">
        <v>248</v>
      </c>
      <c r="C261">
        <f xml:space="preserve">  65.91</f>
        <v>65.91</v>
      </c>
      <c r="D261">
        <v>12</v>
      </c>
      <c r="E261">
        <v>21</v>
      </c>
      <c r="F261">
        <v>69.69</v>
      </c>
      <c r="G261">
        <v>0</v>
      </c>
      <c r="H261">
        <v>0</v>
      </c>
      <c r="I261">
        <v>0</v>
      </c>
      <c r="J261">
        <v>0</v>
      </c>
      <c r="K261">
        <v>65.650000000000006</v>
      </c>
      <c r="L261">
        <v>64.95</v>
      </c>
      <c r="M261">
        <v>68.239999999999995</v>
      </c>
      <c r="N261" t="s">
        <v>135</v>
      </c>
    </row>
    <row r="262" spans="1:14" x14ac:dyDescent="0.2">
      <c r="A262" s="1">
        <v>261</v>
      </c>
      <c r="B262" t="s">
        <v>558</v>
      </c>
      <c r="C262">
        <f xml:space="preserve">  65.88</f>
        <v>65.88</v>
      </c>
      <c r="D262">
        <v>10</v>
      </c>
      <c r="E262">
        <v>21</v>
      </c>
      <c r="F262">
        <v>71.81</v>
      </c>
      <c r="G262">
        <v>0</v>
      </c>
      <c r="H262">
        <v>0</v>
      </c>
      <c r="I262">
        <v>0</v>
      </c>
      <c r="J262">
        <v>2</v>
      </c>
      <c r="K262">
        <v>65.37</v>
      </c>
      <c r="L262">
        <v>65.64</v>
      </c>
      <c r="M262">
        <v>69</v>
      </c>
      <c r="N262" t="s">
        <v>81</v>
      </c>
    </row>
    <row r="263" spans="1:14" x14ac:dyDescent="0.2">
      <c r="A263" s="1">
        <v>262</v>
      </c>
      <c r="B263" t="s">
        <v>288</v>
      </c>
      <c r="C263">
        <f xml:space="preserve">  65.87</f>
        <v>65.87</v>
      </c>
      <c r="D263">
        <v>11</v>
      </c>
      <c r="E263">
        <v>20</v>
      </c>
      <c r="F263">
        <v>69.59</v>
      </c>
      <c r="G263">
        <v>0</v>
      </c>
      <c r="H263">
        <v>0</v>
      </c>
      <c r="I263">
        <v>0</v>
      </c>
      <c r="J263">
        <v>0</v>
      </c>
      <c r="K263">
        <v>65.83</v>
      </c>
      <c r="L263">
        <v>65.900000000000006</v>
      </c>
      <c r="M263">
        <v>63.95</v>
      </c>
      <c r="N263" t="s">
        <v>63</v>
      </c>
    </row>
    <row r="264" spans="1:14" x14ac:dyDescent="0.2">
      <c r="A264" s="1">
        <v>263</v>
      </c>
      <c r="B264" t="s">
        <v>85</v>
      </c>
      <c r="C264">
        <f xml:space="preserve">  65.86</f>
        <v>65.86</v>
      </c>
      <c r="D264">
        <v>9</v>
      </c>
      <c r="E264">
        <v>20</v>
      </c>
      <c r="F264">
        <v>71.739999999999995</v>
      </c>
      <c r="G264">
        <v>0</v>
      </c>
      <c r="H264">
        <v>1</v>
      </c>
      <c r="I264">
        <v>0</v>
      </c>
      <c r="J264">
        <v>4</v>
      </c>
      <c r="K264">
        <v>65.83</v>
      </c>
      <c r="L264">
        <v>65.13</v>
      </c>
      <c r="M264">
        <v>65.62</v>
      </c>
      <c r="N264" t="s">
        <v>86</v>
      </c>
    </row>
    <row r="265" spans="1:14" x14ac:dyDescent="0.2">
      <c r="A265" s="1">
        <v>264</v>
      </c>
      <c r="B265" t="s">
        <v>300</v>
      </c>
      <c r="C265">
        <f xml:space="preserve">  65.83</f>
        <v>65.83</v>
      </c>
      <c r="D265">
        <v>11</v>
      </c>
      <c r="E265">
        <v>19</v>
      </c>
      <c r="F265">
        <v>70.94</v>
      </c>
      <c r="G265">
        <v>0</v>
      </c>
      <c r="H265">
        <v>1</v>
      </c>
      <c r="I265">
        <v>0</v>
      </c>
      <c r="J265">
        <v>1</v>
      </c>
      <c r="K265">
        <v>65.5</v>
      </c>
      <c r="L265">
        <v>65.72</v>
      </c>
      <c r="M265">
        <v>67.09</v>
      </c>
      <c r="N265" t="s">
        <v>67</v>
      </c>
    </row>
    <row r="266" spans="1:14" x14ac:dyDescent="0.2">
      <c r="A266" s="1">
        <v>265</v>
      </c>
      <c r="B266" t="s">
        <v>174</v>
      </c>
      <c r="C266">
        <f xml:space="preserve">  65.82</f>
        <v>65.819999999999993</v>
      </c>
      <c r="D266">
        <v>12</v>
      </c>
      <c r="E266">
        <v>19</v>
      </c>
      <c r="F266">
        <v>69.650000000000006</v>
      </c>
      <c r="G266">
        <v>0</v>
      </c>
      <c r="H266">
        <v>0</v>
      </c>
      <c r="I266">
        <v>0</v>
      </c>
      <c r="J266">
        <v>0</v>
      </c>
      <c r="K266">
        <v>65.53</v>
      </c>
      <c r="L266">
        <v>66.2</v>
      </c>
      <c r="M266">
        <v>65.760000000000005</v>
      </c>
      <c r="N266" t="s">
        <v>109</v>
      </c>
    </row>
    <row r="267" spans="1:14" x14ac:dyDescent="0.2">
      <c r="A267" s="1">
        <v>266</v>
      </c>
      <c r="B267" t="s">
        <v>185</v>
      </c>
      <c r="C267">
        <f xml:space="preserve">  65.8</f>
        <v>65.8</v>
      </c>
      <c r="D267">
        <v>11</v>
      </c>
      <c r="E267">
        <v>20</v>
      </c>
      <c r="F267">
        <v>72.48</v>
      </c>
      <c r="G267">
        <v>0</v>
      </c>
      <c r="H267">
        <v>0</v>
      </c>
      <c r="I267">
        <v>0</v>
      </c>
      <c r="J267">
        <v>0</v>
      </c>
      <c r="K267">
        <v>65.63</v>
      </c>
      <c r="L267">
        <v>66.760000000000005</v>
      </c>
      <c r="M267">
        <v>62.8</v>
      </c>
      <c r="N267" t="s">
        <v>186</v>
      </c>
    </row>
    <row r="268" spans="1:14" x14ac:dyDescent="0.2">
      <c r="A268" s="1">
        <v>267</v>
      </c>
      <c r="B268" t="s">
        <v>187</v>
      </c>
      <c r="C268">
        <f xml:space="preserve">  65.76</f>
        <v>65.760000000000005</v>
      </c>
      <c r="D268">
        <v>9</v>
      </c>
      <c r="E268">
        <v>24</v>
      </c>
      <c r="F268">
        <v>72.510000000000005</v>
      </c>
      <c r="G268">
        <v>0</v>
      </c>
      <c r="H268">
        <v>2</v>
      </c>
      <c r="I268">
        <v>0</v>
      </c>
      <c r="J268">
        <v>2</v>
      </c>
      <c r="K268">
        <v>65.69</v>
      </c>
      <c r="L268">
        <v>65.95</v>
      </c>
      <c r="M268">
        <v>63.8</v>
      </c>
      <c r="N268" t="s">
        <v>63</v>
      </c>
    </row>
    <row r="269" spans="1:14" x14ac:dyDescent="0.2">
      <c r="A269" s="1">
        <v>268</v>
      </c>
      <c r="B269" t="s">
        <v>246</v>
      </c>
      <c r="C269">
        <f xml:space="preserve">  65.63</f>
        <v>65.63</v>
      </c>
      <c r="D269">
        <v>14</v>
      </c>
      <c r="E269">
        <v>17</v>
      </c>
      <c r="F269">
        <v>66.14</v>
      </c>
      <c r="G269">
        <v>0</v>
      </c>
      <c r="H269">
        <v>0</v>
      </c>
      <c r="I269">
        <v>0</v>
      </c>
      <c r="J269">
        <v>0</v>
      </c>
      <c r="K269">
        <v>65.430000000000007</v>
      </c>
      <c r="L269">
        <v>64.59</v>
      </c>
      <c r="M269">
        <v>67.52</v>
      </c>
      <c r="N269" t="s">
        <v>167</v>
      </c>
    </row>
    <row r="270" spans="1:14" x14ac:dyDescent="0.2">
      <c r="A270" s="1">
        <v>269</v>
      </c>
      <c r="B270" t="s">
        <v>161</v>
      </c>
      <c r="C270">
        <f xml:space="preserve">  65.62</f>
        <v>65.62</v>
      </c>
      <c r="D270">
        <v>14</v>
      </c>
      <c r="E270">
        <v>21</v>
      </c>
      <c r="F270">
        <v>69.19</v>
      </c>
      <c r="G270">
        <v>0</v>
      </c>
      <c r="H270">
        <v>1</v>
      </c>
      <c r="I270">
        <v>0</v>
      </c>
      <c r="J270">
        <v>1</v>
      </c>
      <c r="K270">
        <v>65.05</v>
      </c>
      <c r="L270">
        <v>65.819999999999993</v>
      </c>
      <c r="M270">
        <v>68.3</v>
      </c>
      <c r="N270" t="s">
        <v>107</v>
      </c>
    </row>
    <row r="271" spans="1:14" x14ac:dyDescent="0.2">
      <c r="A271" s="1">
        <v>270</v>
      </c>
      <c r="B271" t="s">
        <v>110</v>
      </c>
      <c r="C271">
        <f xml:space="preserve">  65.57</f>
        <v>65.569999999999993</v>
      </c>
      <c r="D271">
        <v>4</v>
      </c>
      <c r="E271">
        <v>27</v>
      </c>
      <c r="F271">
        <v>75.58</v>
      </c>
      <c r="G271">
        <v>0</v>
      </c>
      <c r="H271">
        <v>3</v>
      </c>
      <c r="I271">
        <v>0</v>
      </c>
      <c r="J271">
        <v>4</v>
      </c>
      <c r="K271">
        <v>65.989999999999995</v>
      </c>
      <c r="L271">
        <v>64.88</v>
      </c>
      <c r="M271">
        <v>58.48</v>
      </c>
      <c r="N271" t="s">
        <v>5</v>
      </c>
    </row>
    <row r="272" spans="1:14" x14ac:dyDescent="0.2">
      <c r="A272" s="1">
        <v>271</v>
      </c>
      <c r="B272" t="s">
        <v>164</v>
      </c>
      <c r="C272">
        <f xml:space="preserve">  65.47</f>
        <v>65.47</v>
      </c>
      <c r="D272">
        <v>15</v>
      </c>
      <c r="E272">
        <v>17</v>
      </c>
      <c r="F272">
        <v>67.709999999999994</v>
      </c>
      <c r="G272">
        <v>0</v>
      </c>
      <c r="H272">
        <v>0</v>
      </c>
      <c r="I272">
        <v>0</v>
      </c>
      <c r="J272">
        <v>0</v>
      </c>
      <c r="K272">
        <v>64.77</v>
      </c>
      <c r="L272">
        <v>65.680000000000007</v>
      </c>
      <c r="M272">
        <v>69.099999999999994</v>
      </c>
      <c r="N272" t="s">
        <v>151</v>
      </c>
    </row>
    <row r="273" spans="1:14" x14ac:dyDescent="0.2">
      <c r="A273" s="1">
        <v>272</v>
      </c>
      <c r="B273" t="s">
        <v>251</v>
      </c>
      <c r="C273">
        <f xml:space="preserve">  65.37</f>
        <v>65.37</v>
      </c>
      <c r="D273">
        <v>16</v>
      </c>
      <c r="E273">
        <v>17</v>
      </c>
      <c r="F273">
        <v>65.92</v>
      </c>
      <c r="G273">
        <v>0</v>
      </c>
      <c r="H273">
        <v>1</v>
      </c>
      <c r="I273">
        <v>0</v>
      </c>
      <c r="J273">
        <v>2</v>
      </c>
      <c r="K273">
        <v>64.87</v>
      </c>
      <c r="L273">
        <v>65.180000000000007</v>
      </c>
      <c r="M273">
        <v>68.28</v>
      </c>
      <c r="N273" t="s">
        <v>167</v>
      </c>
    </row>
    <row r="274" spans="1:14" x14ac:dyDescent="0.2">
      <c r="A274" s="1">
        <v>273</v>
      </c>
      <c r="B274" t="s">
        <v>198</v>
      </c>
      <c r="C274">
        <f xml:space="preserve">  65.21</f>
        <v>65.209999999999994</v>
      </c>
      <c r="D274">
        <v>9</v>
      </c>
      <c r="E274">
        <v>18</v>
      </c>
      <c r="F274">
        <v>72.13</v>
      </c>
      <c r="G274">
        <v>0</v>
      </c>
      <c r="H274">
        <v>1</v>
      </c>
      <c r="I274">
        <v>0</v>
      </c>
      <c r="J274">
        <v>4</v>
      </c>
      <c r="K274">
        <v>65.25</v>
      </c>
      <c r="L274">
        <v>65.510000000000005</v>
      </c>
      <c r="M274">
        <v>61.3</v>
      </c>
      <c r="N274" t="s">
        <v>86</v>
      </c>
    </row>
    <row r="275" spans="1:14" x14ac:dyDescent="0.2">
      <c r="A275" s="1">
        <v>274</v>
      </c>
      <c r="B275" t="s">
        <v>831</v>
      </c>
      <c r="C275">
        <f xml:space="preserve">  65.19</f>
        <v>65.19</v>
      </c>
      <c r="D275">
        <v>10</v>
      </c>
      <c r="E275">
        <v>20</v>
      </c>
      <c r="F275">
        <v>70.81</v>
      </c>
      <c r="G275">
        <v>0</v>
      </c>
      <c r="H275">
        <v>0</v>
      </c>
      <c r="I275">
        <v>0</v>
      </c>
      <c r="J275">
        <v>1</v>
      </c>
      <c r="K275">
        <v>64.86</v>
      </c>
      <c r="L275">
        <v>64.87</v>
      </c>
      <c r="M275">
        <v>66.95</v>
      </c>
      <c r="N275" t="s">
        <v>186</v>
      </c>
    </row>
    <row r="276" spans="1:14" x14ac:dyDescent="0.2">
      <c r="A276" s="1">
        <v>275</v>
      </c>
      <c r="B276" t="s">
        <v>825</v>
      </c>
      <c r="C276">
        <f xml:space="preserve">  65.18</f>
        <v>65.180000000000007</v>
      </c>
      <c r="D276">
        <v>13</v>
      </c>
      <c r="E276">
        <v>16</v>
      </c>
      <c r="F276">
        <v>67.38</v>
      </c>
      <c r="G276">
        <v>0</v>
      </c>
      <c r="H276">
        <v>0</v>
      </c>
      <c r="I276">
        <v>0</v>
      </c>
      <c r="J276">
        <v>1</v>
      </c>
      <c r="K276">
        <v>64.59</v>
      </c>
      <c r="L276">
        <v>65.67</v>
      </c>
      <c r="M276">
        <v>67.489999999999995</v>
      </c>
      <c r="N276" t="s">
        <v>151</v>
      </c>
    </row>
    <row r="277" spans="1:14" x14ac:dyDescent="0.2">
      <c r="A277" s="1">
        <v>276</v>
      </c>
      <c r="B277" t="s">
        <v>840</v>
      </c>
      <c r="C277">
        <f xml:space="preserve">  65.12</f>
        <v>65.12</v>
      </c>
      <c r="D277">
        <v>8</v>
      </c>
      <c r="E277">
        <v>21</v>
      </c>
      <c r="F277">
        <v>70.84</v>
      </c>
      <c r="G277">
        <v>0</v>
      </c>
      <c r="H277">
        <v>0</v>
      </c>
      <c r="I277">
        <v>0</v>
      </c>
      <c r="J277">
        <v>1</v>
      </c>
      <c r="K277">
        <v>64.06</v>
      </c>
      <c r="L277">
        <v>64.52</v>
      </c>
      <c r="M277">
        <v>72.64</v>
      </c>
      <c r="N277" t="s">
        <v>186</v>
      </c>
    </row>
    <row r="278" spans="1:14" x14ac:dyDescent="0.2">
      <c r="A278" s="1">
        <v>277</v>
      </c>
      <c r="B278" t="s">
        <v>190</v>
      </c>
      <c r="C278">
        <f xml:space="preserve">  65.1</f>
        <v>65.099999999999994</v>
      </c>
      <c r="D278">
        <v>12</v>
      </c>
      <c r="E278">
        <v>19</v>
      </c>
      <c r="F278">
        <v>67.180000000000007</v>
      </c>
      <c r="G278">
        <v>0</v>
      </c>
      <c r="H278">
        <v>0</v>
      </c>
      <c r="I278">
        <v>0</v>
      </c>
      <c r="J278">
        <v>1</v>
      </c>
      <c r="K278">
        <v>65.34</v>
      </c>
      <c r="L278">
        <v>65.040000000000006</v>
      </c>
      <c r="M278">
        <v>58.95</v>
      </c>
      <c r="N278" t="s">
        <v>107</v>
      </c>
    </row>
    <row r="279" spans="1:14" x14ac:dyDescent="0.2">
      <c r="A279" s="1">
        <v>278</v>
      </c>
      <c r="B279" t="s">
        <v>160</v>
      </c>
      <c r="C279">
        <f xml:space="preserve">  65.04</f>
        <v>65.040000000000006</v>
      </c>
      <c r="D279">
        <v>9</v>
      </c>
      <c r="E279">
        <v>21</v>
      </c>
      <c r="F279">
        <v>71.44</v>
      </c>
      <c r="G279">
        <v>0</v>
      </c>
      <c r="H279">
        <v>0</v>
      </c>
      <c r="I279">
        <v>0</v>
      </c>
      <c r="J279">
        <v>1</v>
      </c>
      <c r="K279">
        <v>64.86</v>
      </c>
      <c r="L279">
        <v>65.349999999999994</v>
      </c>
      <c r="M279">
        <v>64.03</v>
      </c>
      <c r="N279" t="s">
        <v>82</v>
      </c>
    </row>
    <row r="280" spans="1:14" x14ac:dyDescent="0.2">
      <c r="A280" s="1">
        <v>279</v>
      </c>
      <c r="B280" t="s">
        <v>283</v>
      </c>
      <c r="C280">
        <f xml:space="preserve">  65.03</f>
        <v>65.03</v>
      </c>
      <c r="D280">
        <v>12</v>
      </c>
      <c r="E280">
        <v>19</v>
      </c>
      <c r="F280">
        <v>69.790000000000006</v>
      </c>
      <c r="G280">
        <v>0</v>
      </c>
      <c r="H280">
        <v>0</v>
      </c>
      <c r="I280">
        <v>0</v>
      </c>
      <c r="J280">
        <v>1</v>
      </c>
      <c r="K280">
        <v>63.8</v>
      </c>
      <c r="L280">
        <v>64.94</v>
      </c>
      <c r="M280">
        <v>72.81</v>
      </c>
      <c r="N280" t="s">
        <v>141</v>
      </c>
    </row>
    <row r="281" spans="1:14" x14ac:dyDescent="0.2">
      <c r="A281" s="1">
        <v>280</v>
      </c>
      <c r="B281" t="s">
        <v>208</v>
      </c>
      <c r="C281">
        <f xml:space="preserve">  65.02</f>
        <v>65.02</v>
      </c>
      <c r="D281">
        <v>13</v>
      </c>
      <c r="E281">
        <v>17</v>
      </c>
      <c r="F281">
        <v>67.75</v>
      </c>
      <c r="G281">
        <v>0</v>
      </c>
      <c r="H281">
        <v>0</v>
      </c>
      <c r="I281">
        <v>0</v>
      </c>
      <c r="J281">
        <v>0</v>
      </c>
      <c r="K281">
        <v>65.06</v>
      </c>
      <c r="L281">
        <v>64.430000000000007</v>
      </c>
      <c r="M281">
        <v>63.76</v>
      </c>
      <c r="N281" t="s">
        <v>90</v>
      </c>
    </row>
    <row r="282" spans="1:14" x14ac:dyDescent="0.2">
      <c r="A282" s="1">
        <v>281</v>
      </c>
      <c r="B282" t="s">
        <v>108</v>
      </c>
      <c r="C282">
        <f xml:space="preserve">  64.97</f>
        <v>64.97</v>
      </c>
      <c r="D282">
        <v>9</v>
      </c>
      <c r="E282">
        <v>22</v>
      </c>
      <c r="F282">
        <v>69.38</v>
      </c>
      <c r="G282">
        <v>0</v>
      </c>
      <c r="H282">
        <v>1</v>
      </c>
      <c r="I282">
        <v>0</v>
      </c>
      <c r="J282">
        <v>1</v>
      </c>
      <c r="K282">
        <v>65.010000000000005</v>
      </c>
      <c r="L282">
        <v>64.36</v>
      </c>
      <c r="M282">
        <v>63.65</v>
      </c>
      <c r="N282" t="s">
        <v>109</v>
      </c>
    </row>
    <row r="283" spans="1:14" x14ac:dyDescent="0.2">
      <c r="A283" s="1">
        <v>282</v>
      </c>
      <c r="B283" t="s">
        <v>822</v>
      </c>
      <c r="C283">
        <f xml:space="preserve">  64.96</f>
        <v>64.959999999999994</v>
      </c>
      <c r="D283">
        <v>12</v>
      </c>
      <c r="E283">
        <v>16</v>
      </c>
      <c r="F283">
        <v>67.14</v>
      </c>
      <c r="G283">
        <v>0</v>
      </c>
      <c r="H283">
        <v>0</v>
      </c>
      <c r="I283">
        <v>0</v>
      </c>
      <c r="J283">
        <v>1</v>
      </c>
      <c r="K283">
        <v>64.599999999999994</v>
      </c>
      <c r="L283">
        <v>64.63</v>
      </c>
      <c r="M283">
        <v>66.91</v>
      </c>
      <c r="N283" t="s">
        <v>151</v>
      </c>
    </row>
    <row r="284" spans="1:14" x14ac:dyDescent="0.2">
      <c r="A284" s="1">
        <v>283</v>
      </c>
      <c r="B284" t="s">
        <v>92</v>
      </c>
      <c r="C284">
        <f xml:space="preserve">  64.85</f>
        <v>64.849999999999994</v>
      </c>
      <c r="D284">
        <v>7</v>
      </c>
      <c r="E284">
        <v>24</v>
      </c>
      <c r="F284">
        <v>72.27</v>
      </c>
      <c r="G284">
        <v>0</v>
      </c>
      <c r="H284">
        <v>1</v>
      </c>
      <c r="I284">
        <v>0</v>
      </c>
      <c r="J284">
        <v>3</v>
      </c>
      <c r="K284">
        <v>64.53</v>
      </c>
      <c r="L284">
        <v>65.209999999999994</v>
      </c>
      <c r="M284">
        <v>65.150000000000006</v>
      </c>
      <c r="N284" t="s">
        <v>56</v>
      </c>
    </row>
    <row r="285" spans="1:14" x14ac:dyDescent="0.2">
      <c r="A285" s="1">
        <v>284</v>
      </c>
      <c r="B285" t="s">
        <v>285</v>
      </c>
      <c r="C285">
        <f xml:space="preserve">  64.61</f>
        <v>64.61</v>
      </c>
      <c r="D285">
        <v>8</v>
      </c>
      <c r="E285">
        <v>21</v>
      </c>
      <c r="F285">
        <v>71.59</v>
      </c>
      <c r="G285">
        <v>0</v>
      </c>
      <c r="H285">
        <v>0</v>
      </c>
      <c r="I285">
        <v>0</v>
      </c>
      <c r="J285">
        <v>1</v>
      </c>
      <c r="K285">
        <v>63.81</v>
      </c>
      <c r="L285">
        <v>64.290000000000006</v>
      </c>
      <c r="M285">
        <v>69.8</v>
      </c>
      <c r="N285" t="s">
        <v>67</v>
      </c>
    </row>
    <row r="286" spans="1:14" x14ac:dyDescent="0.2">
      <c r="A286" s="1">
        <v>285</v>
      </c>
      <c r="B286" t="s">
        <v>249</v>
      </c>
      <c r="C286">
        <f xml:space="preserve">  64.61</f>
        <v>64.61</v>
      </c>
      <c r="D286">
        <v>8</v>
      </c>
      <c r="E286">
        <v>22</v>
      </c>
      <c r="F286">
        <v>70.2</v>
      </c>
      <c r="G286">
        <v>0</v>
      </c>
      <c r="H286">
        <v>1</v>
      </c>
      <c r="I286">
        <v>0</v>
      </c>
      <c r="J286">
        <v>2</v>
      </c>
      <c r="K286">
        <v>65.06</v>
      </c>
      <c r="L286">
        <v>63.75</v>
      </c>
      <c r="M286">
        <v>57.16</v>
      </c>
      <c r="N286" t="s">
        <v>186</v>
      </c>
    </row>
    <row r="287" spans="1:14" x14ac:dyDescent="0.2">
      <c r="A287" s="1">
        <v>286</v>
      </c>
      <c r="B287" t="s">
        <v>163</v>
      </c>
      <c r="C287">
        <f xml:space="preserve">  64.52</f>
        <v>64.52</v>
      </c>
      <c r="D287">
        <v>6</v>
      </c>
      <c r="E287">
        <v>21</v>
      </c>
      <c r="F287">
        <v>71.09</v>
      </c>
      <c r="G287">
        <v>0</v>
      </c>
      <c r="H287">
        <v>0</v>
      </c>
      <c r="I287">
        <v>0</v>
      </c>
      <c r="J287">
        <v>1</v>
      </c>
      <c r="K287">
        <v>64.739999999999995</v>
      </c>
      <c r="L287">
        <v>63.83</v>
      </c>
      <c r="M287">
        <v>61.11</v>
      </c>
      <c r="N287" t="s">
        <v>67</v>
      </c>
    </row>
    <row r="288" spans="1:14" x14ac:dyDescent="0.2">
      <c r="A288" s="1">
        <v>287</v>
      </c>
      <c r="B288" t="s">
        <v>170</v>
      </c>
      <c r="C288">
        <f xml:space="preserve">  64.5</f>
        <v>64.5</v>
      </c>
      <c r="D288">
        <v>13</v>
      </c>
      <c r="E288">
        <v>18</v>
      </c>
      <c r="F288">
        <v>67.94</v>
      </c>
      <c r="G288">
        <v>0</v>
      </c>
      <c r="H288">
        <v>0</v>
      </c>
      <c r="I288">
        <v>0</v>
      </c>
      <c r="J288">
        <v>0</v>
      </c>
      <c r="K288">
        <v>63.6</v>
      </c>
      <c r="L288">
        <v>63.91</v>
      </c>
      <c r="M288">
        <v>70.709999999999994</v>
      </c>
      <c r="N288" t="s">
        <v>306</v>
      </c>
    </row>
    <row r="289" spans="1:14" x14ac:dyDescent="0.2">
      <c r="A289" s="1">
        <v>288</v>
      </c>
      <c r="B289" t="s">
        <v>217</v>
      </c>
      <c r="C289">
        <f xml:space="preserve">  64.44</f>
        <v>64.44</v>
      </c>
      <c r="D289">
        <v>11</v>
      </c>
      <c r="E289">
        <v>21</v>
      </c>
      <c r="F289">
        <v>69.290000000000006</v>
      </c>
      <c r="G289">
        <v>0</v>
      </c>
      <c r="H289">
        <v>0</v>
      </c>
      <c r="I289">
        <v>0</v>
      </c>
      <c r="J289">
        <v>2</v>
      </c>
      <c r="K289">
        <v>64.08</v>
      </c>
      <c r="L289">
        <v>63.78</v>
      </c>
      <c r="M289">
        <v>67.010000000000005</v>
      </c>
      <c r="N289" t="s">
        <v>141</v>
      </c>
    </row>
    <row r="290" spans="1:14" x14ac:dyDescent="0.2">
      <c r="A290" s="1">
        <v>289</v>
      </c>
      <c r="B290" t="s">
        <v>188</v>
      </c>
      <c r="C290">
        <f xml:space="preserve">  64.42</f>
        <v>64.42</v>
      </c>
      <c r="D290">
        <v>9</v>
      </c>
      <c r="E290">
        <v>22</v>
      </c>
      <c r="F290">
        <v>66.92</v>
      </c>
      <c r="G290">
        <v>0</v>
      </c>
      <c r="H290">
        <v>1</v>
      </c>
      <c r="I290">
        <v>0</v>
      </c>
      <c r="J290">
        <v>1</v>
      </c>
      <c r="K290">
        <v>64.69</v>
      </c>
      <c r="L290">
        <v>63.57</v>
      </c>
      <c r="M290">
        <v>60.81</v>
      </c>
      <c r="N290" t="s">
        <v>107</v>
      </c>
    </row>
    <row r="291" spans="1:14" x14ac:dyDescent="0.2">
      <c r="A291" s="1">
        <v>290</v>
      </c>
      <c r="B291" t="s">
        <v>867</v>
      </c>
      <c r="C291">
        <f xml:space="preserve">  64.41</f>
        <v>64.41</v>
      </c>
      <c r="D291">
        <v>14</v>
      </c>
      <c r="E291">
        <v>17</v>
      </c>
      <c r="F291">
        <v>64.62</v>
      </c>
      <c r="G291">
        <v>0</v>
      </c>
      <c r="H291">
        <v>2</v>
      </c>
      <c r="I291">
        <v>0</v>
      </c>
      <c r="J291">
        <v>3</v>
      </c>
      <c r="K291">
        <v>64.239999999999995</v>
      </c>
      <c r="L291">
        <v>63.65</v>
      </c>
      <c r="M291">
        <v>65.5</v>
      </c>
      <c r="N291" t="s">
        <v>204</v>
      </c>
    </row>
    <row r="292" spans="1:14" x14ac:dyDescent="0.2">
      <c r="A292" s="1">
        <v>291</v>
      </c>
      <c r="B292" t="s">
        <v>891</v>
      </c>
      <c r="C292">
        <f xml:space="preserve">  64.37</f>
        <v>64.37</v>
      </c>
      <c r="D292">
        <v>10</v>
      </c>
      <c r="E292">
        <v>19</v>
      </c>
      <c r="F292">
        <v>69.760000000000005</v>
      </c>
      <c r="G292">
        <v>0</v>
      </c>
      <c r="H292">
        <v>0</v>
      </c>
      <c r="I292">
        <v>0</v>
      </c>
      <c r="J292">
        <v>0</v>
      </c>
      <c r="K292">
        <v>63.79</v>
      </c>
      <c r="L292">
        <v>63.77</v>
      </c>
      <c r="M292">
        <v>68.47</v>
      </c>
      <c r="N292" t="s">
        <v>77</v>
      </c>
    </row>
    <row r="293" spans="1:14" x14ac:dyDescent="0.2">
      <c r="A293" s="1">
        <v>292</v>
      </c>
      <c r="B293" t="s">
        <v>296</v>
      </c>
      <c r="C293">
        <f xml:space="preserve">  64.37</f>
        <v>64.37</v>
      </c>
      <c r="D293">
        <v>10</v>
      </c>
      <c r="E293">
        <v>20</v>
      </c>
      <c r="F293">
        <v>68.47</v>
      </c>
      <c r="G293">
        <v>0</v>
      </c>
      <c r="H293">
        <v>0</v>
      </c>
      <c r="I293">
        <v>0</v>
      </c>
      <c r="J293">
        <v>1</v>
      </c>
      <c r="K293">
        <v>64.45</v>
      </c>
      <c r="L293">
        <v>64</v>
      </c>
      <c r="M293">
        <v>61.87</v>
      </c>
      <c r="N293" t="s">
        <v>138</v>
      </c>
    </row>
    <row r="294" spans="1:14" x14ac:dyDescent="0.2">
      <c r="A294" s="1">
        <v>293</v>
      </c>
      <c r="B294" t="s">
        <v>887</v>
      </c>
      <c r="C294">
        <v>64.36</v>
      </c>
      <c r="D294">
        <v>10</v>
      </c>
      <c r="E294">
        <v>18</v>
      </c>
      <c r="F294">
        <v>67.66</v>
      </c>
      <c r="G294">
        <v>0</v>
      </c>
      <c r="H294">
        <v>1</v>
      </c>
      <c r="I294">
        <v>0</v>
      </c>
      <c r="J294">
        <v>1</v>
      </c>
      <c r="K294">
        <v>64.3</v>
      </c>
      <c r="L294">
        <v>63.88</v>
      </c>
      <c r="M294">
        <v>63.9</v>
      </c>
      <c r="N294" t="s">
        <v>179</v>
      </c>
    </row>
    <row r="295" spans="1:14" x14ac:dyDescent="0.2">
      <c r="A295" s="1">
        <v>294</v>
      </c>
      <c r="B295" t="s">
        <v>892</v>
      </c>
      <c r="C295">
        <f xml:space="preserve">  64.11</f>
        <v>64.11</v>
      </c>
      <c r="D295">
        <v>15</v>
      </c>
      <c r="E295">
        <v>16</v>
      </c>
      <c r="F295">
        <v>65.989999999999995</v>
      </c>
      <c r="G295">
        <v>0</v>
      </c>
      <c r="H295">
        <v>0</v>
      </c>
      <c r="I295">
        <v>0</v>
      </c>
      <c r="J295">
        <v>0</v>
      </c>
      <c r="K295">
        <v>63.85</v>
      </c>
      <c r="L295">
        <v>64.489999999999995</v>
      </c>
      <c r="M295">
        <v>63.74</v>
      </c>
      <c r="N295" t="s">
        <v>167</v>
      </c>
    </row>
    <row r="296" spans="1:14" x14ac:dyDescent="0.2">
      <c r="A296" s="1">
        <v>295</v>
      </c>
      <c r="B296" t="s">
        <v>261</v>
      </c>
      <c r="C296">
        <f xml:space="preserve">  64.05</f>
        <v>64.05</v>
      </c>
      <c r="D296">
        <v>10</v>
      </c>
      <c r="E296">
        <v>18</v>
      </c>
      <c r="F296">
        <v>68.02</v>
      </c>
      <c r="G296">
        <v>0</v>
      </c>
      <c r="H296">
        <v>1</v>
      </c>
      <c r="I296">
        <v>0</v>
      </c>
      <c r="J296">
        <v>1</v>
      </c>
      <c r="K296">
        <v>63.73</v>
      </c>
      <c r="L296">
        <v>63.18</v>
      </c>
      <c r="M296">
        <v>66.62</v>
      </c>
      <c r="N296" t="s">
        <v>179</v>
      </c>
    </row>
    <row r="297" spans="1:14" x14ac:dyDescent="0.2">
      <c r="A297" s="1">
        <v>296</v>
      </c>
      <c r="B297" t="s">
        <v>240</v>
      </c>
      <c r="C297">
        <f xml:space="preserve">  63.98</f>
        <v>63.98</v>
      </c>
      <c r="D297">
        <v>15</v>
      </c>
      <c r="E297">
        <v>16</v>
      </c>
      <c r="F297">
        <v>63.05</v>
      </c>
      <c r="G297">
        <v>0</v>
      </c>
      <c r="H297">
        <v>1</v>
      </c>
      <c r="I297">
        <v>0</v>
      </c>
      <c r="J297">
        <v>2</v>
      </c>
      <c r="K297">
        <v>63.5</v>
      </c>
      <c r="L297">
        <v>62.56</v>
      </c>
      <c r="M297">
        <v>68.569999999999993</v>
      </c>
      <c r="N297" t="s">
        <v>313</v>
      </c>
    </row>
    <row r="298" spans="1:14" x14ac:dyDescent="0.2">
      <c r="A298" s="1">
        <v>297</v>
      </c>
      <c r="B298" t="s">
        <v>139</v>
      </c>
      <c r="C298">
        <f xml:space="preserve">  63.97</f>
        <v>63.97</v>
      </c>
      <c r="D298">
        <v>10</v>
      </c>
      <c r="E298">
        <v>16</v>
      </c>
      <c r="F298">
        <v>67.39</v>
      </c>
      <c r="G298">
        <v>0</v>
      </c>
      <c r="H298">
        <v>0</v>
      </c>
      <c r="I298">
        <v>1</v>
      </c>
      <c r="J298">
        <v>0</v>
      </c>
      <c r="K298">
        <v>64.06</v>
      </c>
      <c r="L298">
        <v>64.75</v>
      </c>
      <c r="M298">
        <v>56.09</v>
      </c>
      <c r="N298" t="s">
        <v>179</v>
      </c>
    </row>
    <row r="299" spans="1:14" x14ac:dyDescent="0.2">
      <c r="A299" s="1">
        <v>298</v>
      </c>
      <c r="B299" t="s">
        <v>202</v>
      </c>
      <c r="C299">
        <f xml:space="preserve">  63.95</f>
        <v>63.95</v>
      </c>
      <c r="D299">
        <v>9</v>
      </c>
      <c r="E299">
        <v>21</v>
      </c>
      <c r="F299">
        <v>69.489999999999995</v>
      </c>
      <c r="G299">
        <v>0</v>
      </c>
      <c r="H299">
        <v>1</v>
      </c>
      <c r="I299">
        <v>0</v>
      </c>
      <c r="J299">
        <v>1</v>
      </c>
      <c r="K299">
        <v>62.98</v>
      </c>
      <c r="L299">
        <v>64.08</v>
      </c>
      <c r="M299">
        <v>69.34</v>
      </c>
      <c r="N299" t="s">
        <v>109</v>
      </c>
    </row>
    <row r="300" spans="1:14" x14ac:dyDescent="0.2">
      <c r="A300" s="1">
        <v>299</v>
      </c>
      <c r="B300" t="s">
        <v>206</v>
      </c>
      <c r="C300">
        <f xml:space="preserve">  63.82</f>
        <v>63.82</v>
      </c>
      <c r="D300">
        <v>8</v>
      </c>
      <c r="E300">
        <v>21</v>
      </c>
      <c r="F300">
        <v>69.069999999999993</v>
      </c>
      <c r="G300">
        <v>0</v>
      </c>
      <c r="H300">
        <v>0</v>
      </c>
      <c r="I300">
        <v>0</v>
      </c>
      <c r="J300">
        <v>2</v>
      </c>
      <c r="K300">
        <v>63.85</v>
      </c>
      <c r="L300">
        <v>63.2</v>
      </c>
      <c r="M300">
        <v>62.62</v>
      </c>
      <c r="N300" t="s">
        <v>82</v>
      </c>
    </row>
    <row r="301" spans="1:14" x14ac:dyDescent="0.2">
      <c r="A301" s="1">
        <v>300</v>
      </c>
      <c r="B301" t="s">
        <v>241</v>
      </c>
      <c r="C301">
        <f xml:space="preserve">  63.79</f>
        <v>63.79</v>
      </c>
      <c r="D301">
        <v>7</v>
      </c>
      <c r="E301">
        <v>22</v>
      </c>
      <c r="F301">
        <v>69.83</v>
      </c>
      <c r="G301">
        <v>0</v>
      </c>
      <c r="H301">
        <v>2</v>
      </c>
      <c r="I301">
        <v>0</v>
      </c>
      <c r="J301">
        <v>2</v>
      </c>
      <c r="K301">
        <v>63.57</v>
      </c>
      <c r="L301">
        <v>63.95</v>
      </c>
      <c r="M301">
        <v>63.47</v>
      </c>
      <c r="N301" t="s">
        <v>82</v>
      </c>
    </row>
    <row r="302" spans="1:14" x14ac:dyDescent="0.2">
      <c r="A302" s="1">
        <v>301</v>
      </c>
      <c r="B302" t="s">
        <v>256</v>
      </c>
      <c r="C302">
        <f xml:space="preserve">  63.78</f>
        <v>63.78</v>
      </c>
      <c r="D302">
        <v>11</v>
      </c>
      <c r="E302">
        <v>19</v>
      </c>
      <c r="F302">
        <v>68.77</v>
      </c>
      <c r="G302">
        <v>0</v>
      </c>
      <c r="H302">
        <v>0</v>
      </c>
      <c r="I302">
        <v>0</v>
      </c>
      <c r="J302">
        <v>2</v>
      </c>
      <c r="K302">
        <v>63.19</v>
      </c>
      <c r="L302">
        <v>63.55</v>
      </c>
      <c r="M302">
        <v>67.28</v>
      </c>
      <c r="N302" t="s">
        <v>179</v>
      </c>
    </row>
    <row r="303" spans="1:14" x14ac:dyDescent="0.2">
      <c r="A303" s="1">
        <v>302</v>
      </c>
      <c r="B303" t="s">
        <v>889</v>
      </c>
      <c r="C303">
        <v>63.75</v>
      </c>
      <c r="D303">
        <v>8</v>
      </c>
      <c r="E303">
        <v>21</v>
      </c>
      <c r="F303">
        <v>69.37</v>
      </c>
      <c r="G303">
        <v>0</v>
      </c>
      <c r="H303">
        <v>1</v>
      </c>
      <c r="I303">
        <v>0</v>
      </c>
      <c r="J303">
        <v>1</v>
      </c>
      <c r="K303">
        <v>63.05</v>
      </c>
      <c r="L303">
        <v>63.17</v>
      </c>
      <c r="M303">
        <v>68.5</v>
      </c>
      <c r="N303" t="s">
        <v>77</v>
      </c>
    </row>
    <row r="304" spans="1:14" x14ac:dyDescent="0.2">
      <c r="A304" s="1">
        <v>303</v>
      </c>
      <c r="B304" t="s">
        <v>836</v>
      </c>
      <c r="C304">
        <f xml:space="preserve">  63.68</f>
        <v>63.68</v>
      </c>
      <c r="D304">
        <v>7</v>
      </c>
      <c r="E304">
        <v>21</v>
      </c>
      <c r="F304">
        <v>70.58</v>
      </c>
      <c r="G304">
        <v>0</v>
      </c>
      <c r="H304">
        <v>1</v>
      </c>
      <c r="I304">
        <v>0</v>
      </c>
      <c r="J304">
        <v>1</v>
      </c>
      <c r="K304">
        <v>63.52</v>
      </c>
      <c r="L304">
        <v>63.32</v>
      </c>
      <c r="M304">
        <v>63.93</v>
      </c>
      <c r="N304" t="s">
        <v>77</v>
      </c>
    </row>
    <row r="305" spans="1:14" x14ac:dyDescent="0.2">
      <c r="A305" s="1">
        <v>304</v>
      </c>
      <c r="B305" t="s">
        <v>271</v>
      </c>
      <c r="C305">
        <f xml:space="preserve">  63.65</f>
        <v>63.65</v>
      </c>
      <c r="D305">
        <v>13</v>
      </c>
      <c r="E305">
        <v>18</v>
      </c>
      <c r="F305">
        <v>68.38</v>
      </c>
      <c r="G305">
        <v>0</v>
      </c>
      <c r="H305">
        <v>2</v>
      </c>
      <c r="I305">
        <v>0</v>
      </c>
      <c r="J305">
        <v>2</v>
      </c>
      <c r="K305">
        <v>63.71</v>
      </c>
      <c r="L305">
        <v>64.05</v>
      </c>
      <c r="M305">
        <v>58.62</v>
      </c>
      <c r="N305" t="s">
        <v>77</v>
      </c>
    </row>
    <row r="306" spans="1:14" x14ac:dyDescent="0.2">
      <c r="A306" s="1">
        <v>305</v>
      </c>
      <c r="B306" t="s">
        <v>226</v>
      </c>
      <c r="C306">
        <f xml:space="preserve">  63.54</f>
        <v>63.54</v>
      </c>
      <c r="D306">
        <v>6</v>
      </c>
      <c r="E306">
        <v>25</v>
      </c>
      <c r="F306">
        <v>73.239999999999995</v>
      </c>
      <c r="G306">
        <v>0</v>
      </c>
      <c r="H306">
        <v>0</v>
      </c>
      <c r="I306">
        <v>0</v>
      </c>
      <c r="J306">
        <v>4</v>
      </c>
      <c r="K306">
        <v>63.58</v>
      </c>
      <c r="L306">
        <v>62.86</v>
      </c>
      <c r="M306">
        <v>62.45</v>
      </c>
      <c r="N306" t="s">
        <v>86</v>
      </c>
    </row>
    <row r="307" spans="1:14" x14ac:dyDescent="0.2">
      <c r="A307" s="1">
        <v>306</v>
      </c>
      <c r="B307" t="s">
        <v>229</v>
      </c>
      <c r="C307">
        <f xml:space="preserve">  63.17</f>
        <v>63.17</v>
      </c>
      <c r="D307">
        <v>17</v>
      </c>
      <c r="E307">
        <v>13</v>
      </c>
      <c r="F307">
        <v>63.82</v>
      </c>
      <c r="G307">
        <v>0</v>
      </c>
      <c r="H307">
        <v>1</v>
      </c>
      <c r="I307">
        <v>0</v>
      </c>
      <c r="J307">
        <v>3</v>
      </c>
      <c r="K307">
        <v>62.41</v>
      </c>
      <c r="L307">
        <v>63.04</v>
      </c>
      <c r="M307">
        <v>67.52</v>
      </c>
      <c r="N307" t="s">
        <v>313</v>
      </c>
    </row>
    <row r="308" spans="1:14" x14ac:dyDescent="0.2">
      <c r="A308" s="1">
        <v>307</v>
      </c>
      <c r="B308" t="s">
        <v>244</v>
      </c>
      <c r="C308">
        <f xml:space="preserve">  63.08</f>
        <v>63.08</v>
      </c>
      <c r="D308">
        <v>9</v>
      </c>
      <c r="E308">
        <v>20</v>
      </c>
      <c r="F308">
        <v>68.739999999999995</v>
      </c>
      <c r="G308">
        <v>0</v>
      </c>
      <c r="H308">
        <v>0</v>
      </c>
      <c r="I308">
        <v>0</v>
      </c>
      <c r="J308">
        <v>0</v>
      </c>
      <c r="K308">
        <v>62.9</v>
      </c>
      <c r="L308">
        <v>62.82</v>
      </c>
      <c r="M308">
        <v>63.26</v>
      </c>
      <c r="N308" t="s">
        <v>141</v>
      </c>
    </row>
    <row r="309" spans="1:14" x14ac:dyDescent="0.2">
      <c r="A309" s="1">
        <v>308</v>
      </c>
      <c r="B309" t="s">
        <v>127</v>
      </c>
      <c r="C309">
        <f xml:space="preserve">  62.99</f>
        <v>62.99</v>
      </c>
      <c r="D309">
        <v>10</v>
      </c>
      <c r="E309">
        <v>22</v>
      </c>
      <c r="F309">
        <v>67.069999999999993</v>
      </c>
      <c r="G309">
        <v>0</v>
      </c>
      <c r="H309">
        <v>1</v>
      </c>
      <c r="I309">
        <v>0</v>
      </c>
      <c r="J309">
        <v>3</v>
      </c>
      <c r="K309">
        <v>62.65</v>
      </c>
      <c r="L309">
        <v>62.53</v>
      </c>
      <c r="M309">
        <v>64.91</v>
      </c>
      <c r="N309" t="s">
        <v>107</v>
      </c>
    </row>
    <row r="310" spans="1:14" x14ac:dyDescent="0.2">
      <c r="A310" s="1">
        <v>309</v>
      </c>
      <c r="B310" t="s">
        <v>166</v>
      </c>
      <c r="C310">
        <f xml:space="preserve">  62.91</f>
        <v>62.91</v>
      </c>
      <c r="D310">
        <v>11</v>
      </c>
      <c r="E310">
        <v>17</v>
      </c>
      <c r="F310">
        <v>66.67</v>
      </c>
      <c r="G310">
        <v>0</v>
      </c>
      <c r="H310">
        <v>0</v>
      </c>
      <c r="I310">
        <v>0</v>
      </c>
      <c r="J310">
        <v>0</v>
      </c>
      <c r="K310">
        <v>62.82</v>
      </c>
      <c r="L310">
        <v>63.33</v>
      </c>
      <c r="M310">
        <v>60.42</v>
      </c>
      <c r="N310" t="s">
        <v>167</v>
      </c>
    </row>
    <row r="311" spans="1:14" x14ac:dyDescent="0.2">
      <c r="A311" s="1">
        <v>310</v>
      </c>
      <c r="B311" t="s">
        <v>180</v>
      </c>
      <c r="C311">
        <f xml:space="preserve">  62.88</f>
        <v>62.88</v>
      </c>
      <c r="D311">
        <v>13</v>
      </c>
      <c r="E311">
        <v>19</v>
      </c>
      <c r="F311">
        <v>66.58</v>
      </c>
      <c r="G311">
        <v>0</v>
      </c>
      <c r="H311">
        <v>0</v>
      </c>
      <c r="I311">
        <v>0</v>
      </c>
      <c r="J311">
        <v>0</v>
      </c>
      <c r="K311">
        <v>62.86</v>
      </c>
      <c r="L311">
        <v>63.46</v>
      </c>
      <c r="M311">
        <v>58.54</v>
      </c>
      <c r="N311" t="s">
        <v>107</v>
      </c>
    </row>
    <row r="312" spans="1:14" x14ac:dyDescent="0.2">
      <c r="A312" s="1">
        <v>311</v>
      </c>
      <c r="B312" t="s">
        <v>168</v>
      </c>
      <c r="C312">
        <f xml:space="preserve">  62.75</f>
        <v>62.75</v>
      </c>
      <c r="D312">
        <v>7</v>
      </c>
      <c r="E312">
        <v>23</v>
      </c>
      <c r="F312">
        <v>70.19</v>
      </c>
      <c r="G312">
        <v>0</v>
      </c>
      <c r="H312">
        <v>0</v>
      </c>
      <c r="I312">
        <v>0</v>
      </c>
      <c r="J312">
        <v>0</v>
      </c>
      <c r="K312">
        <v>62.55</v>
      </c>
      <c r="L312">
        <v>62.5</v>
      </c>
      <c r="M312">
        <v>63.11</v>
      </c>
      <c r="N312" t="s">
        <v>135</v>
      </c>
    </row>
    <row r="313" spans="1:14" x14ac:dyDescent="0.2">
      <c r="A313" s="1">
        <v>312</v>
      </c>
      <c r="B313" t="s">
        <v>279</v>
      </c>
      <c r="C313">
        <f xml:space="preserve">  62.65</f>
        <v>62.65</v>
      </c>
      <c r="D313">
        <v>8</v>
      </c>
      <c r="E313">
        <v>21</v>
      </c>
      <c r="F313">
        <v>71.959999999999994</v>
      </c>
      <c r="G313">
        <v>0</v>
      </c>
      <c r="H313">
        <v>2</v>
      </c>
      <c r="I313">
        <v>0</v>
      </c>
      <c r="J313">
        <v>5</v>
      </c>
      <c r="K313">
        <v>61.46</v>
      </c>
      <c r="L313">
        <v>61.94</v>
      </c>
      <c r="M313">
        <v>70.13</v>
      </c>
      <c r="N313" t="s">
        <v>86</v>
      </c>
    </row>
    <row r="314" spans="1:14" x14ac:dyDescent="0.2">
      <c r="A314" s="1">
        <v>313</v>
      </c>
      <c r="B314" t="s">
        <v>214</v>
      </c>
      <c r="C314">
        <f xml:space="preserve">  62.54</f>
        <v>62.54</v>
      </c>
      <c r="D314">
        <v>11</v>
      </c>
      <c r="E314">
        <v>21</v>
      </c>
      <c r="F314">
        <v>67.08</v>
      </c>
      <c r="G314">
        <v>0</v>
      </c>
      <c r="H314">
        <v>0</v>
      </c>
      <c r="I314">
        <v>0</v>
      </c>
      <c r="J314">
        <v>0</v>
      </c>
      <c r="K314">
        <v>62.28</v>
      </c>
      <c r="L314">
        <v>62.73</v>
      </c>
      <c r="M314">
        <v>62.55</v>
      </c>
      <c r="N314" t="s">
        <v>107</v>
      </c>
    </row>
    <row r="315" spans="1:14" x14ac:dyDescent="0.2">
      <c r="A315" s="1">
        <v>314</v>
      </c>
      <c r="B315" t="s">
        <v>845</v>
      </c>
      <c r="C315">
        <f xml:space="preserve">  62.48</f>
        <v>62.48</v>
      </c>
      <c r="D315">
        <v>10</v>
      </c>
      <c r="E315">
        <v>17</v>
      </c>
      <c r="F315">
        <v>66.84</v>
      </c>
      <c r="G315">
        <v>0</v>
      </c>
      <c r="H315">
        <v>0</v>
      </c>
      <c r="I315">
        <v>0</v>
      </c>
      <c r="J315">
        <v>3</v>
      </c>
      <c r="K315">
        <v>61.86</v>
      </c>
      <c r="L315">
        <v>61.89</v>
      </c>
      <c r="M315">
        <v>66.599999999999994</v>
      </c>
      <c r="N315" t="s">
        <v>179</v>
      </c>
    </row>
    <row r="316" spans="1:14" x14ac:dyDescent="0.2">
      <c r="A316" s="1">
        <v>315</v>
      </c>
      <c r="B316" t="s">
        <v>254</v>
      </c>
      <c r="C316">
        <f xml:space="preserve">  62.24</f>
        <v>62.24</v>
      </c>
      <c r="D316">
        <v>10</v>
      </c>
      <c r="E316">
        <v>21</v>
      </c>
      <c r="F316">
        <v>68.09</v>
      </c>
      <c r="G316">
        <v>0</v>
      </c>
      <c r="H316">
        <v>0</v>
      </c>
      <c r="I316">
        <v>0</v>
      </c>
      <c r="J316">
        <v>0</v>
      </c>
      <c r="K316">
        <v>61.77</v>
      </c>
      <c r="L316">
        <v>62.43</v>
      </c>
      <c r="M316">
        <v>64.069999999999993</v>
      </c>
      <c r="N316" t="s">
        <v>151</v>
      </c>
    </row>
    <row r="317" spans="1:14" x14ac:dyDescent="0.2">
      <c r="A317" s="1">
        <v>316</v>
      </c>
      <c r="B317" t="s">
        <v>224</v>
      </c>
      <c r="C317">
        <f xml:space="preserve">  61.87</f>
        <v>61.87</v>
      </c>
      <c r="D317">
        <v>14</v>
      </c>
      <c r="E317">
        <v>17</v>
      </c>
      <c r="F317">
        <v>64.930000000000007</v>
      </c>
      <c r="G317">
        <v>0</v>
      </c>
      <c r="H317">
        <v>0</v>
      </c>
      <c r="I317">
        <v>0</v>
      </c>
      <c r="J317">
        <v>0</v>
      </c>
      <c r="K317">
        <v>61.21</v>
      </c>
      <c r="L317">
        <v>61.56</v>
      </c>
      <c r="M317">
        <v>65.819999999999993</v>
      </c>
      <c r="N317" t="s">
        <v>313</v>
      </c>
    </row>
    <row r="318" spans="1:14" x14ac:dyDescent="0.2">
      <c r="A318" s="1">
        <v>317</v>
      </c>
      <c r="B318" t="s">
        <v>895</v>
      </c>
      <c r="C318">
        <f xml:space="preserve">  61.79</f>
        <v>61.79</v>
      </c>
      <c r="D318">
        <v>12</v>
      </c>
      <c r="E318">
        <v>17</v>
      </c>
      <c r="F318">
        <v>63.73</v>
      </c>
      <c r="G318">
        <v>0</v>
      </c>
      <c r="H318">
        <v>0</v>
      </c>
      <c r="I318">
        <v>0</v>
      </c>
      <c r="J318">
        <v>2</v>
      </c>
      <c r="K318">
        <v>61.6</v>
      </c>
      <c r="L318">
        <v>61.96</v>
      </c>
      <c r="M318">
        <v>61.15</v>
      </c>
      <c r="N318" t="s">
        <v>313</v>
      </c>
    </row>
    <row r="319" spans="1:14" x14ac:dyDescent="0.2">
      <c r="A319" s="1">
        <v>318</v>
      </c>
      <c r="B319" t="s">
        <v>242</v>
      </c>
      <c r="C319">
        <f xml:space="preserve">  61.68</f>
        <v>61.68</v>
      </c>
      <c r="D319">
        <v>7</v>
      </c>
      <c r="E319">
        <v>22</v>
      </c>
      <c r="F319">
        <v>71.97</v>
      </c>
      <c r="G319">
        <v>0</v>
      </c>
      <c r="H319">
        <v>1</v>
      </c>
      <c r="I319">
        <v>0</v>
      </c>
      <c r="J319">
        <v>1</v>
      </c>
      <c r="K319">
        <v>61.3</v>
      </c>
      <c r="L319">
        <v>60.31</v>
      </c>
      <c r="M319">
        <v>65.27</v>
      </c>
      <c r="N319" t="s">
        <v>138</v>
      </c>
    </row>
    <row r="320" spans="1:14" x14ac:dyDescent="0.2">
      <c r="A320" s="1">
        <v>319</v>
      </c>
      <c r="B320" t="s">
        <v>830</v>
      </c>
      <c r="C320">
        <f xml:space="preserve">  61.63</f>
        <v>61.63</v>
      </c>
      <c r="D320">
        <v>9</v>
      </c>
      <c r="E320">
        <v>19</v>
      </c>
      <c r="F320">
        <v>68.7</v>
      </c>
      <c r="G320">
        <v>0</v>
      </c>
      <c r="H320">
        <v>1</v>
      </c>
      <c r="I320">
        <v>0</v>
      </c>
      <c r="J320">
        <v>1</v>
      </c>
      <c r="K320">
        <v>61.56</v>
      </c>
      <c r="L320">
        <v>61.87</v>
      </c>
      <c r="M320">
        <v>59.25</v>
      </c>
      <c r="N320" t="s">
        <v>151</v>
      </c>
    </row>
    <row r="321" spans="1:14" x14ac:dyDescent="0.2">
      <c r="A321" s="1">
        <v>320</v>
      </c>
      <c r="B321" t="s">
        <v>220</v>
      </c>
      <c r="C321">
        <f xml:space="preserve">  61.54</f>
        <v>61.54</v>
      </c>
      <c r="D321">
        <v>6</v>
      </c>
      <c r="E321">
        <v>23</v>
      </c>
      <c r="F321">
        <v>69.400000000000006</v>
      </c>
      <c r="G321">
        <v>0</v>
      </c>
      <c r="H321">
        <v>3</v>
      </c>
      <c r="I321">
        <v>0</v>
      </c>
      <c r="J321">
        <v>3</v>
      </c>
      <c r="K321">
        <v>61.33</v>
      </c>
      <c r="L321">
        <v>61.34</v>
      </c>
      <c r="M321">
        <v>61.99</v>
      </c>
      <c r="N321" t="s">
        <v>77</v>
      </c>
    </row>
    <row r="322" spans="1:14" x14ac:dyDescent="0.2">
      <c r="A322" s="1">
        <v>321</v>
      </c>
      <c r="B322" t="s">
        <v>177</v>
      </c>
      <c r="C322">
        <f xml:space="preserve">  61.29</f>
        <v>61.29</v>
      </c>
      <c r="D322">
        <v>5</v>
      </c>
      <c r="E322">
        <v>25</v>
      </c>
      <c r="F322">
        <v>72.290000000000006</v>
      </c>
      <c r="G322">
        <v>0</v>
      </c>
      <c r="H322">
        <v>1</v>
      </c>
      <c r="I322">
        <v>0</v>
      </c>
      <c r="J322">
        <v>2</v>
      </c>
      <c r="K322">
        <v>61.43</v>
      </c>
      <c r="L322">
        <v>60.61</v>
      </c>
      <c r="M322">
        <v>58.78</v>
      </c>
      <c r="N322" t="s">
        <v>1</v>
      </c>
    </row>
    <row r="323" spans="1:14" x14ac:dyDescent="0.2">
      <c r="A323" s="1">
        <v>322</v>
      </c>
      <c r="B323" t="s">
        <v>270</v>
      </c>
      <c r="C323">
        <f xml:space="preserve">  61.26</f>
        <v>61.26</v>
      </c>
      <c r="D323">
        <v>12</v>
      </c>
      <c r="E323">
        <v>19</v>
      </c>
      <c r="F323">
        <v>66.41</v>
      </c>
      <c r="G323">
        <v>0</v>
      </c>
      <c r="H323">
        <v>2</v>
      </c>
      <c r="I323">
        <v>0</v>
      </c>
      <c r="J323">
        <v>2</v>
      </c>
      <c r="K323">
        <v>60.58</v>
      </c>
      <c r="L323">
        <v>61.46</v>
      </c>
      <c r="M323">
        <v>64.430000000000007</v>
      </c>
      <c r="N323" t="s">
        <v>204</v>
      </c>
    </row>
    <row r="324" spans="1:14" x14ac:dyDescent="0.2">
      <c r="A324" s="1">
        <v>323</v>
      </c>
      <c r="B324" t="s">
        <v>901</v>
      </c>
      <c r="C324">
        <f xml:space="preserve">  61.11</f>
        <v>61.11</v>
      </c>
      <c r="D324">
        <v>8</v>
      </c>
      <c r="E324">
        <v>23</v>
      </c>
      <c r="F324">
        <v>68.67</v>
      </c>
      <c r="G324">
        <v>0</v>
      </c>
      <c r="H324">
        <v>1</v>
      </c>
      <c r="I324">
        <v>0</v>
      </c>
      <c r="J324">
        <v>1</v>
      </c>
      <c r="K324">
        <v>60.1</v>
      </c>
      <c r="L324">
        <v>60.87</v>
      </c>
      <c r="M324">
        <v>66.73</v>
      </c>
      <c r="N324" t="s">
        <v>90</v>
      </c>
    </row>
    <row r="325" spans="1:14" x14ac:dyDescent="0.2">
      <c r="A325" s="1">
        <v>324</v>
      </c>
      <c r="B325" t="s">
        <v>902</v>
      </c>
      <c r="C325">
        <f xml:space="preserve">  60.94</f>
        <v>60.94</v>
      </c>
      <c r="D325">
        <v>8</v>
      </c>
      <c r="E325">
        <v>21</v>
      </c>
      <c r="F325">
        <v>68.7</v>
      </c>
      <c r="G325">
        <v>0</v>
      </c>
      <c r="H325">
        <v>0</v>
      </c>
      <c r="I325">
        <v>0</v>
      </c>
      <c r="J325">
        <v>0</v>
      </c>
      <c r="K325">
        <v>60.6</v>
      </c>
      <c r="L325">
        <v>60.54</v>
      </c>
      <c r="M325">
        <v>62.8</v>
      </c>
      <c r="N325" t="s">
        <v>77</v>
      </c>
    </row>
    <row r="326" spans="1:14" x14ac:dyDescent="0.2">
      <c r="A326" s="1">
        <v>325</v>
      </c>
      <c r="B326" t="s">
        <v>884</v>
      </c>
      <c r="C326">
        <v>60.94</v>
      </c>
      <c r="D326">
        <v>9</v>
      </c>
      <c r="E326">
        <v>20</v>
      </c>
      <c r="F326">
        <v>67.16</v>
      </c>
      <c r="G326">
        <v>0</v>
      </c>
      <c r="H326">
        <v>1</v>
      </c>
      <c r="I326">
        <v>0</v>
      </c>
      <c r="J326">
        <v>1</v>
      </c>
      <c r="K326">
        <v>61.01</v>
      </c>
      <c r="L326">
        <v>61.04</v>
      </c>
      <c r="M326">
        <v>56.83</v>
      </c>
      <c r="N326" t="s">
        <v>167</v>
      </c>
    </row>
    <row r="327" spans="1:14" x14ac:dyDescent="0.2">
      <c r="A327" s="1">
        <v>326</v>
      </c>
      <c r="B327" t="s">
        <v>833</v>
      </c>
      <c r="C327">
        <f xml:space="preserve">  60.56</f>
        <v>60.56</v>
      </c>
      <c r="D327">
        <v>6</v>
      </c>
      <c r="E327">
        <v>21</v>
      </c>
      <c r="F327">
        <v>67.44</v>
      </c>
      <c r="G327">
        <v>0</v>
      </c>
      <c r="H327">
        <v>1</v>
      </c>
      <c r="I327">
        <v>0</v>
      </c>
      <c r="J327">
        <v>2</v>
      </c>
      <c r="K327">
        <v>60.43</v>
      </c>
      <c r="L327">
        <v>60.43</v>
      </c>
      <c r="M327">
        <v>60.08</v>
      </c>
      <c r="N327" t="s">
        <v>179</v>
      </c>
    </row>
    <row r="328" spans="1:14" x14ac:dyDescent="0.2">
      <c r="A328" s="1">
        <v>327</v>
      </c>
      <c r="B328" t="s">
        <v>850</v>
      </c>
      <c r="C328">
        <f xml:space="preserve">  60.48</f>
        <v>60.48</v>
      </c>
      <c r="D328">
        <v>4</v>
      </c>
      <c r="E328">
        <v>23</v>
      </c>
      <c r="F328">
        <v>69.81</v>
      </c>
      <c r="G328">
        <v>0</v>
      </c>
      <c r="H328">
        <v>0</v>
      </c>
      <c r="I328">
        <v>0</v>
      </c>
      <c r="J328">
        <v>0</v>
      </c>
      <c r="K328">
        <v>60.26</v>
      </c>
      <c r="L328">
        <v>59.91</v>
      </c>
      <c r="M328">
        <v>61.69</v>
      </c>
      <c r="N328" t="s">
        <v>135</v>
      </c>
    </row>
    <row r="329" spans="1:14" x14ac:dyDescent="0.2">
      <c r="A329" s="1">
        <v>328</v>
      </c>
      <c r="B329" t="s">
        <v>213</v>
      </c>
      <c r="C329">
        <f xml:space="preserve">  60.42</f>
        <v>60.42</v>
      </c>
      <c r="D329">
        <v>7</v>
      </c>
      <c r="E329">
        <v>22</v>
      </c>
      <c r="F329">
        <v>67.67</v>
      </c>
      <c r="G329">
        <v>0</v>
      </c>
      <c r="H329">
        <v>0</v>
      </c>
      <c r="I329">
        <v>0</v>
      </c>
      <c r="J329">
        <v>3</v>
      </c>
      <c r="K329">
        <v>59.9</v>
      </c>
      <c r="L329">
        <v>59.52</v>
      </c>
      <c r="M329">
        <v>64.180000000000007</v>
      </c>
      <c r="N329" t="s">
        <v>167</v>
      </c>
    </row>
    <row r="330" spans="1:14" x14ac:dyDescent="0.2">
      <c r="A330" s="1">
        <v>329</v>
      </c>
      <c r="B330" t="s">
        <v>247</v>
      </c>
      <c r="C330">
        <f xml:space="preserve">  60.3</f>
        <v>60.3</v>
      </c>
      <c r="D330">
        <v>10</v>
      </c>
      <c r="E330">
        <v>19</v>
      </c>
      <c r="F330">
        <v>66.13</v>
      </c>
      <c r="G330">
        <v>0</v>
      </c>
      <c r="H330">
        <v>0</v>
      </c>
      <c r="I330">
        <v>0</v>
      </c>
      <c r="J330">
        <v>1</v>
      </c>
      <c r="K330">
        <v>59.73</v>
      </c>
      <c r="L330">
        <v>60.01</v>
      </c>
      <c r="M330">
        <v>63.48</v>
      </c>
      <c r="N330" t="s">
        <v>313</v>
      </c>
    </row>
    <row r="331" spans="1:14" x14ac:dyDescent="0.2">
      <c r="A331" s="1">
        <v>330</v>
      </c>
      <c r="B331" t="s">
        <v>838</v>
      </c>
      <c r="C331">
        <f xml:space="preserve">  59.94</f>
        <v>59.94</v>
      </c>
      <c r="D331">
        <v>11</v>
      </c>
      <c r="E331">
        <v>19</v>
      </c>
      <c r="F331">
        <v>65.25</v>
      </c>
      <c r="G331">
        <v>0</v>
      </c>
      <c r="H331">
        <v>0</v>
      </c>
      <c r="I331">
        <v>0</v>
      </c>
      <c r="J331">
        <v>0</v>
      </c>
      <c r="K331">
        <v>59.99</v>
      </c>
      <c r="L331">
        <v>59.23</v>
      </c>
      <c r="M331">
        <v>58.74</v>
      </c>
      <c r="N331" t="s">
        <v>204</v>
      </c>
    </row>
    <row r="332" spans="1:14" x14ac:dyDescent="0.2">
      <c r="A332" s="1">
        <v>331</v>
      </c>
      <c r="B332" t="s">
        <v>175</v>
      </c>
      <c r="C332">
        <f xml:space="preserve">  59.93</f>
        <v>59.93</v>
      </c>
      <c r="D332">
        <v>10</v>
      </c>
      <c r="E332">
        <v>20</v>
      </c>
      <c r="F332">
        <v>66.5</v>
      </c>
      <c r="G332">
        <v>0</v>
      </c>
      <c r="H332">
        <v>0</v>
      </c>
      <c r="I332">
        <v>0</v>
      </c>
      <c r="J332">
        <v>1</v>
      </c>
      <c r="K332">
        <v>59.21</v>
      </c>
      <c r="L332">
        <v>60.25</v>
      </c>
      <c r="M332">
        <v>63.08</v>
      </c>
      <c r="N332" t="s">
        <v>167</v>
      </c>
    </row>
    <row r="333" spans="1:14" x14ac:dyDescent="0.2">
      <c r="A333" s="1">
        <v>332</v>
      </c>
      <c r="B333" t="s">
        <v>267</v>
      </c>
      <c r="C333">
        <f xml:space="preserve">  59.71</f>
        <v>59.71</v>
      </c>
      <c r="D333">
        <v>4</v>
      </c>
      <c r="E333">
        <v>27</v>
      </c>
      <c r="F333">
        <v>70.14</v>
      </c>
      <c r="G333">
        <v>0</v>
      </c>
      <c r="H333">
        <v>0</v>
      </c>
      <c r="I333">
        <v>0</v>
      </c>
      <c r="J333">
        <v>1</v>
      </c>
      <c r="K333">
        <v>59.98</v>
      </c>
      <c r="L333">
        <v>58.88</v>
      </c>
      <c r="M333">
        <v>54.96</v>
      </c>
      <c r="N333" t="s">
        <v>90</v>
      </c>
    </row>
    <row r="334" spans="1:14" x14ac:dyDescent="0.2">
      <c r="A334" s="1">
        <v>333</v>
      </c>
      <c r="B334" t="s">
        <v>834</v>
      </c>
      <c r="C334">
        <f xml:space="preserve">  59.59</f>
        <v>59.59</v>
      </c>
      <c r="D334">
        <v>10</v>
      </c>
      <c r="E334">
        <v>19</v>
      </c>
      <c r="F334">
        <v>66.33</v>
      </c>
      <c r="G334">
        <v>0</v>
      </c>
      <c r="H334">
        <v>1</v>
      </c>
      <c r="I334">
        <v>0</v>
      </c>
      <c r="J334">
        <v>3</v>
      </c>
      <c r="K334">
        <v>59.2</v>
      </c>
      <c r="L334">
        <v>59.58</v>
      </c>
      <c r="M334">
        <v>61.1</v>
      </c>
      <c r="N334" t="s">
        <v>204</v>
      </c>
    </row>
    <row r="335" spans="1:14" x14ac:dyDescent="0.2">
      <c r="A335" s="1">
        <v>334</v>
      </c>
      <c r="B335" t="s">
        <v>898</v>
      </c>
      <c r="C335">
        <f xml:space="preserve">  59.1</f>
        <v>59.1</v>
      </c>
      <c r="D335">
        <v>6</v>
      </c>
      <c r="E335">
        <v>25</v>
      </c>
      <c r="F335">
        <v>66.16</v>
      </c>
      <c r="G335">
        <v>0</v>
      </c>
      <c r="H335">
        <v>1</v>
      </c>
      <c r="I335">
        <v>0</v>
      </c>
      <c r="J335">
        <v>4</v>
      </c>
      <c r="K335">
        <v>58.37</v>
      </c>
      <c r="L335">
        <v>57.14</v>
      </c>
      <c r="M335">
        <v>64.709999999999994</v>
      </c>
      <c r="N335" t="s">
        <v>204</v>
      </c>
    </row>
    <row r="336" spans="1:14" x14ac:dyDescent="0.2">
      <c r="A336" s="1">
        <v>335</v>
      </c>
      <c r="B336" t="s">
        <v>233</v>
      </c>
      <c r="C336">
        <f xml:space="preserve">  59.04</f>
        <v>59.04</v>
      </c>
      <c r="D336">
        <v>5</v>
      </c>
      <c r="E336">
        <v>24</v>
      </c>
      <c r="F336">
        <v>68.849999999999994</v>
      </c>
      <c r="G336">
        <v>0</v>
      </c>
      <c r="H336">
        <v>1</v>
      </c>
      <c r="I336">
        <v>0</v>
      </c>
      <c r="J336">
        <v>2</v>
      </c>
      <c r="K336">
        <v>58.42</v>
      </c>
      <c r="L336">
        <v>57.84</v>
      </c>
      <c r="M336">
        <v>63.54</v>
      </c>
      <c r="N336" t="s">
        <v>138</v>
      </c>
    </row>
    <row r="337" spans="1:14" x14ac:dyDescent="0.2">
      <c r="A337" s="1">
        <v>336</v>
      </c>
      <c r="B337" t="s">
        <v>868</v>
      </c>
      <c r="C337">
        <f xml:space="preserve">  58.47</f>
        <v>58.47</v>
      </c>
      <c r="D337">
        <v>8</v>
      </c>
      <c r="E337">
        <v>20</v>
      </c>
      <c r="F337">
        <v>67.290000000000006</v>
      </c>
      <c r="G337">
        <v>0</v>
      </c>
      <c r="H337">
        <v>2</v>
      </c>
      <c r="I337">
        <v>0</v>
      </c>
      <c r="J337">
        <v>2</v>
      </c>
      <c r="K337">
        <v>58.4</v>
      </c>
      <c r="L337">
        <v>58.43</v>
      </c>
      <c r="M337">
        <v>56.91</v>
      </c>
      <c r="N337" t="s">
        <v>179</v>
      </c>
    </row>
    <row r="338" spans="1:14" x14ac:dyDescent="0.2">
      <c r="A338" s="1">
        <v>337</v>
      </c>
      <c r="B338" t="s">
        <v>841</v>
      </c>
      <c r="C338">
        <f xml:space="preserve">  58.28</f>
        <v>58.28</v>
      </c>
      <c r="D338">
        <v>8</v>
      </c>
      <c r="E338">
        <v>20</v>
      </c>
      <c r="F338">
        <v>62.37</v>
      </c>
      <c r="G338">
        <v>0</v>
      </c>
      <c r="H338">
        <v>2</v>
      </c>
      <c r="I338">
        <v>0</v>
      </c>
      <c r="J338">
        <v>2</v>
      </c>
      <c r="K338">
        <v>58.56</v>
      </c>
      <c r="L338">
        <v>57.65</v>
      </c>
      <c r="M338">
        <v>51.04</v>
      </c>
      <c r="N338" t="s">
        <v>313</v>
      </c>
    </row>
    <row r="339" spans="1:14" x14ac:dyDescent="0.2">
      <c r="A339" s="1">
        <v>338</v>
      </c>
      <c r="B339" t="s">
        <v>828</v>
      </c>
      <c r="C339">
        <f xml:space="preserve">  58.22</f>
        <v>58.22</v>
      </c>
      <c r="D339">
        <v>3</v>
      </c>
      <c r="E339">
        <v>27</v>
      </c>
      <c r="F339">
        <v>72.42</v>
      </c>
      <c r="G339">
        <v>0</v>
      </c>
      <c r="H339">
        <v>1</v>
      </c>
      <c r="I339">
        <v>0</v>
      </c>
      <c r="J339">
        <v>4</v>
      </c>
      <c r="K339">
        <v>58.02</v>
      </c>
      <c r="L339">
        <v>58.65</v>
      </c>
      <c r="M339">
        <v>56.98</v>
      </c>
      <c r="N339" t="s">
        <v>56</v>
      </c>
    </row>
    <row r="340" spans="1:14" x14ac:dyDescent="0.2">
      <c r="A340" s="1">
        <v>339</v>
      </c>
      <c r="B340" t="s">
        <v>231</v>
      </c>
      <c r="C340">
        <f xml:space="preserve">  58.16</f>
        <v>58.16</v>
      </c>
      <c r="D340">
        <v>3</v>
      </c>
      <c r="E340">
        <v>26</v>
      </c>
      <c r="F340">
        <v>69.31</v>
      </c>
      <c r="G340">
        <v>0</v>
      </c>
      <c r="H340">
        <v>0</v>
      </c>
      <c r="I340">
        <v>0</v>
      </c>
      <c r="J340">
        <v>1</v>
      </c>
      <c r="K340">
        <v>58.29</v>
      </c>
      <c r="L340">
        <v>56.91</v>
      </c>
      <c r="M340">
        <v>57.09</v>
      </c>
      <c r="N340" t="s">
        <v>306</v>
      </c>
    </row>
    <row r="341" spans="1:14" x14ac:dyDescent="0.2">
      <c r="A341" s="1">
        <v>340</v>
      </c>
      <c r="B341" t="s">
        <v>197</v>
      </c>
      <c r="C341">
        <f xml:space="preserve">  57.7</f>
        <v>57.7</v>
      </c>
      <c r="D341">
        <v>3</v>
      </c>
      <c r="E341">
        <v>24</v>
      </c>
      <c r="F341">
        <v>67.900000000000006</v>
      </c>
      <c r="G341">
        <v>0</v>
      </c>
      <c r="H341">
        <v>0</v>
      </c>
      <c r="I341">
        <v>0</v>
      </c>
      <c r="J341">
        <v>0</v>
      </c>
      <c r="K341">
        <v>57.45</v>
      </c>
      <c r="L341">
        <v>56.95</v>
      </c>
      <c r="M341">
        <v>59.33</v>
      </c>
      <c r="N341" t="s">
        <v>90</v>
      </c>
    </row>
    <row r="342" spans="1:14" x14ac:dyDescent="0.2">
      <c r="A342" s="1">
        <v>341</v>
      </c>
      <c r="B342" t="s">
        <v>900</v>
      </c>
      <c r="C342">
        <f xml:space="preserve">  57.57</f>
        <v>57.57</v>
      </c>
      <c r="D342">
        <v>6</v>
      </c>
      <c r="E342">
        <v>26</v>
      </c>
      <c r="F342">
        <v>65.569999999999993</v>
      </c>
      <c r="G342">
        <v>0</v>
      </c>
      <c r="H342">
        <v>2</v>
      </c>
      <c r="I342">
        <v>0</v>
      </c>
      <c r="J342">
        <v>3</v>
      </c>
      <c r="K342">
        <v>57.56</v>
      </c>
      <c r="L342">
        <v>55.8</v>
      </c>
      <c r="M342">
        <v>58.85</v>
      </c>
      <c r="N342" t="s">
        <v>313</v>
      </c>
    </row>
    <row r="343" spans="1:14" x14ac:dyDescent="0.2">
      <c r="A343" s="1">
        <v>342</v>
      </c>
      <c r="B343" t="s">
        <v>865</v>
      </c>
      <c r="C343">
        <f xml:space="preserve">  57.36</f>
        <v>57.36</v>
      </c>
      <c r="D343">
        <v>4</v>
      </c>
      <c r="E343">
        <v>26</v>
      </c>
      <c r="F343">
        <v>72.099999999999994</v>
      </c>
      <c r="G343">
        <v>0</v>
      </c>
      <c r="H343">
        <v>1</v>
      </c>
      <c r="I343">
        <v>0</v>
      </c>
      <c r="J343">
        <v>1</v>
      </c>
      <c r="K343">
        <v>57.06</v>
      </c>
      <c r="L343">
        <v>57.32</v>
      </c>
      <c r="M343">
        <v>58.23</v>
      </c>
      <c r="N343" t="s">
        <v>138</v>
      </c>
    </row>
    <row r="344" spans="1:14" x14ac:dyDescent="0.2">
      <c r="A344" s="1">
        <v>343</v>
      </c>
      <c r="B344" t="s">
        <v>257</v>
      </c>
      <c r="C344">
        <f xml:space="preserve">  57.2</f>
        <v>57.2</v>
      </c>
      <c r="D344">
        <v>3</v>
      </c>
      <c r="E344">
        <v>26</v>
      </c>
      <c r="F344">
        <v>67.510000000000005</v>
      </c>
      <c r="G344">
        <v>0</v>
      </c>
      <c r="H344">
        <v>0</v>
      </c>
      <c r="I344">
        <v>0</v>
      </c>
      <c r="J344">
        <v>0</v>
      </c>
      <c r="K344">
        <v>56.94</v>
      </c>
      <c r="L344">
        <v>57.65</v>
      </c>
      <c r="M344">
        <v>56.6</v>
      </c>
      <c r="N344" t="s">
        <v>151</v>
      </c>
    </row>
    <row r="345" spans="1:14" x14ac:dyDescent="0.2">
      <c r="A345" s="1">
        <v>344</v>
      </c>
      <c r="B345" t="s">
        <v>182</v>
      </c>
      <c r="C345">
        <f xml:space="preserve">  56.84</f>
        <v>56.84</v>
      </c>
      <c r="D345">
        <v>2</v>
      </c>
      <c r="E345">
        <v>26</v>
      </c>
      <c r="F345">
        <v>70.650000000000006</v>
      </c>
      <c r="G345">
        <v>0</v>
      </c>
      <c r="H345">
        <v>1</v>
      </c>
      <c r="I345">
        <v>0</v>
      </c>
      <c r="J345">
        <v>3</v>
      </c>
      <c r="K345">
        <v>56.41</v>
      </c>
      <c r="L345">
        <v>56.69</v>
      </c>
      <c r="M345">
        <v>58.79</v>
      </c>
      <c r="N345" t="s">
        <v>306</v>
      </c>
    </row>
    <row r="346" spans="1:14" x14ac:dyDescent="0.2">
      <c r="A346" s="1">
        <v>345</v>
      </c>
      <c r="B346" t="s">
        <v>832</v>
      </c>
      <c r="C346">
        <f xml:space="preserve">  56.34</f>
        <v>56.34</v>
      </c>
      <c r="D346">
        <v>8</v>
      </c>
      <c r="E346">
        <v>25</v>
      </c>
      <c r="F346">
        <v>66.08</v>
      </c>
      <c r="G346">
        <v>0</v>
      </c>
      <c r="H346">
        <v>3</v>
      </c>
      <c r="I346">
        <v>0</v>
      </c>
      <c r="J346">
        <v>4</v>
      </c>
      <c r="K346">
        <v>55.93</v>
      </c>
      <c r="L346">
        <v>55.93</v>
      </c>
      <c r="M346">
        <v>58.57</v>
      </c>
      <c r="N346" t="s">
        <v>313</v>
      </c>
    </row>
    <row r="347" spans="1:14" x14ac:dyDescent="0.2">
      <c r="A347" s="1">
        <v>346</v>
      </c>
      <c r="B347" t="s">
        <v>844</v>
      </c>
      <c r="C347">
        <f xml:space="preserve">  56.22</f>
        <v>56.22</v>
      </c>
      <c r="D347">
        <v>10</v>
      </c>
      <c r="E347">
        <v>20</v>
      </c>
      <c r="F347">
        <v>64.45</v>
      </c>
      <c r="G347">
        <v>0</v>
      </c>
      <c r="H347">
        <v>1</v>
      </c>
      <c r="I347">
        <v>0</v>
      </c>
      <c r="J347">
        <v>2</v>
      </c>
      <c r="K347">
        <v>55.61</v>
      </c>
      <c r="L347">
        <v>56.92</v>
      </c>
      <c r="M347">
        <v>57.88</v>
      </c>
      <c r="N347" t="s">
        <v>313</v>
      </c>
    </row>
    <row r="348" spans="1:14" x14ac:dyDescent="0.2">
      <c r="A348" s="1">
        <v>347</v>
      </c>
      <c r="B348" t="s">
        <v>269</v>
      </c>
      <c r="C348">
        <f xml:space="preserve">  55.62</f>
        <v>55.62</v>
      </c>
      <c r="D348">
        <v>2</v>
      </c>
      <c r="E348">
        <v>25</v>
      </c>
      <c r="F348">
        <v>68.23</v>
      </c>
      <c r="G348">
        <v>0</v>
      </c>
      <c r="H348">
        <v>2</v>
      </c>
      <c r="I348">
        <v>0</v>
      </c>
      <c r="J348">
        <v>2</v>
      </c>
      <c r="K348">
        <v>55.77</v>
      </c>
      <c r="L348">
        <v>54.73</v>
      </c>
      <c r="M348">
        <v>53.09</v>
      </c>
      <c r="N348" t="s">
        <v>179</v>
      </c>
    </row>
    <row r="349" spans="1:14" x14ac:dyDescent="0.2">
      <c r="A349" s="1">
        <v>348</v>
      </c>
      <c r="B349" t="s">
        <v>260</v>
      </c>
      <c r="C349">
        <f xml:space="preserve">  55.1</f>
        <v>55.1</v>
      </c>
      <c r="D349">
        <v>5</v>
      </c>
      <c r="E349">
        <v>27</v>
      </c>
      <c r="F349">
        <v>65.89</v>
      </c>
      <c r="G349">
        <v>0</v>
      </c>
      <c r="H349">
        <v>1</v>
      </c>
      <c r="I349">
        <v>0</v>
      </c>
      <c r="J349">
        <v>1</v>
      </c>
      <c r="K349">
        <v>55.23</v>
      </c>
      <c r="L349">
        <v>53.95</v>
      </c>
      <c r="M349">
        <v>53.72</v>
      </c>
      <c r="N349" t="s">
        <v>204</v>
      </c>
    </row>
    <row r="350" spans="1:14" x14ac:dyDescent="0.2">
      <c r="A350" s="1">
        <v>349</v>
      </c>
      <c r="B350" t="s">
        <v>842</v>
      </c>
      <c r="C350">
        <f xml:space="preserve">  54.57</f>
        <v>54.57</v>
      </c>
      <c r="D350">
        <v>6</v>
      </c>
      <c r="E350">
        <v>21</v>
      </c>
      <c r="F350">
        <v>65.540000000000006</v>
      </c>
      <c r="G350">
        <v>0</v>
      </c>
      <c r="H350">
        <v>1</v>
      </c>
      <c r="I350">
        <v>0</v>
      </c>
      <c r="J350">
        <v>1</v>
      </c>
      <c r="K350">
        <v>54.03</v>
      </c>
      <c r="L350">
        <v>55.01</v>
      </c>
      <c r="M350">
        <v>56.28</v>
      </c>
      <c r="N350" t="s">
        <v>204</v>
      </c>
    </row>
    <row r="351" spans="1:14" x14ac:dyDescent="0.2">
      <c r="A351" s="1">
        <v>350</v>
      </c>
      <c r="B351" t="s">
        <v>885</v>
      </c>
      <c r="C351">
        <v>53.85</v>
      </c>
      <c r="D351">
        <v>5</v>
      </c>
      <c r="E351">
        <v>26</v>
      </c>
      <c r="F351">
        <v>66.78</v>
      </c>
      <c r="G351">
        <v>0</v>
      </c>
      <c r="H351">
        <v>1</v>
      </c>
      <c r="I351">
        <v>0</v>
      </c>
      <c r="J351">
        <v>3</v>
      </c>
      <c r="K351">
        <v>53.47</v>
      </c>
      <c r="L351">
        <v>53.47</v>
      </c>
      <c r="M351">
        <v>55.8</v>
      </c>
      <c r="N351" t="s">
        <v>204</v>
      </c>
    </row>
    <row r="352" spans="1:14" x14ac:dyDescent="0.2">
      <c r="A352" s="1">
        <v>351</v>
      </c>
      <c r="B352" t="s">
        <v>886</v>
      </c>
      <c r="C352">
        <v>52.12</v>
      </c>
      <c r="D352">
        <v>5</v>
      </c>
      <c r="E352">
        <v>25</v>
      </c>
      <c r="F352">
        <v>65.930000000000007</v>
      </c>
      <c r="G352">
        <v>0</v>
      </c>
      <c r="H352">
        <v>1</v>
      </c>
      <c r="I352">
        <v>0</v>
      </c>
      <c r="J352">
        <v>2</v>
      </c>
      <c r="K352">
        <v>51.57</v>
      </c>
      <c r="L352">
        <v>51.79</v>
      </c>
      <c r="M352">
        <v>54.81</v>
      </c>
      <c r="N352" t="s">
        <v>313</v>
      </c>
    </row>
    <row r="353" spans="1:14" x14ac:dyDescent="0.2">
      <c r="A353" s="1">
        <v>352</v>
      </c>
      <c r="B353" t="s">
        <v>824</v>
      </c>
      <c r="C353">
        <f xml:space="preserve">  50.48</f>
        <v>50.48</v>
      </c>
      <c r="D353">
        <v>1</v>
      </c>
      <c r="E353">
        <v>29</v>
      </c>
      <c r="F353">
        <v>73.86</v>
      </c>
      <c r="G353">
        <v>0</v>
      </c>
      <c r="H353">
        <v>0</v>
      </c>
      <c r="I353">
        <v>0</v>
      </c>
      <c r="J353">
        <v>1</v>
      </c>
      <c r="K353">
        <v>49.56</v>
      </c>
      <c r="L353">
        <v>50.53</v>
      </c>
      <c r="M353">
        <v>54.16</v>
      </c>
      <c r="N353" t="s">
        <v>81</v>
      </c>
    </row>
    <row r="354" spans="1:14" x14ac:dyDescent="0.2">
      <c r="A354" s="2">
        <v>353</v>
      </c>
      <c r="B354" t="s">
        <v>835</v>
      </c>
      <c r="C354">
        <f xml:space="preserve">  50.33</f>
        <v>50.33</v>
      </c>
      <c r="D354">
        <v>4</v>
      </c>
      <c r="E354">
        <v>25</v>
      </c>
      <c r="F354">
        <v>64.900000000000006</v>
      </c>
      <c r="G354">
        <v>0</v>
      </c>
      <c r="H354">
        <v>0</v>
      </c>
      <c r="I354">
        <v>0</v>
      </c>
      <c r="J354">
        <v>0</v>
      </c>
      <c r="K354">
        <v>49.49</v>
      </c>
      <c r="L354">
        <v>50.23</v>
      </c>
      <c r="M354">
        <v>53.86</v>
      </c>
      <c r="N354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7F9F-0682-4318-A74E-99CDA5D71B03}">
  <dimension ref="A1:M352"/>
  <sheetViews>
    <sheetView topLeftCell="A225" workbookViewId="0">
      <selection activeCell="F231" sqref="F231"/>
    </sheetView>
  </sheetViews>
  <sheetFormatPr baseColWidth="10" defaultColWidth="8.83203125" defaultRowHeight="15" x14ac:dyDescent="0.2"/>
  <sheetData>
    <row r="1" spans="1:13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</row>
    <row r="2" spans="1:13" x14ac:dyDescent="0.2">
      <c r="A2" s="1">
        <v>1</v>
      </c>
      <c r="B2" t="s">
        <v>11</v>
      </c>
      <c r="C2">
        <f xml:space="preserve">  96.13</f>
        <v>96.13</v>
      </c>
      <c r="D2">
        <v>36</v>
      </c>
      <c r="E2">
        <v>4</v>
      </c>
      <c r="F2">
        <v>81.349999999999994</v>
      </c>
      <c r="G2">
        <v>12</v>
      </c>
      <c r="H2">
        <v>1</v>
      </c>
      <c r="I2">
        <v>17</v>
      </c>
      <c r="J2">
        <v>2</v>
      </c>
      <c r="K2">
        <v>95.73</v>
      </c>
      <c r="L2">
        <v>95.94</v>
      </c>
      <c r="M2">
        <v>105.27</v>
      </c>
    </row>
    <row r="3" spans="1:13" x14ac:dyDescent="0.2">
      <c r="A3" s="1">
        <v>2</v>
      </c>
      <c r="B3" t="s">
        <v>9</v>
      </c>
      <c r="C3">
        <f xml:space="preserve">  93.76</f>
        <v>93.76</v>
      </c>
      <c r="D3">
        <v>29</v>
      </c>
      <c r="E3">
        <v>8</v>
      </c>
      <c r="F3">
        <v>80.92</v>
      </c>
      <c r="G3">
        <v>5</v>
      </c>
      <c r="H3">
        <v>4</v>
      </c>
      <c r="I3">
        <v>14</v>
      </c>
      <c r="J3">
        <v>5</v>
      </c>
      <c r="K3">
        <v>94.24</v>
      </c>
      <c r="L3">
        <v>93.39</v>
      </c>
      <c r="M3">
        <v>88.79</v>
      </c>
    </row>
    <row r="4" spans="1:13" x14ac:dyDescent="0.2">
      <c r="A4" s="1">
        <v>3</v>
      </c>
      <c r="B4" t="s">
        <v>16</v>
      </c>
      <c r="C4">
        <f xml:space="preserve">  91.75</f>
        <v>91.75</v>
      </c>
      <c r="D4">
        <v>30</v>
      </c>
      <c r="E4">
        <v>7</v>
      </c>
      <c r="F4">
        <v>80.069999999999993</v>
      </c>
      <c r="G4">
        <v>5</v>
      </c>
      <c r="H4">
        <v>5</v>
      </c>
      <c r="I4">
        <v>11</v>
      </c>
      <c r="J4">
        <v>5</v>
      </c>
      <c r="K4">
        <v>92.38</v>
      </c>
      <c r="L4">
        <v>91.66</v>
      </c>
      <c r="M4">
        <v>85.56</v>
      </c>
    </row>
    <row r="5" spans="1:13" x14ac:dyDescent="0.2">
      <c r="A5" s="1">
        <v>4</v>
      </c>
      <c r="B5" t="s">
        <v>2</v>
      </c>
      <c r="C5">
        <f xml:space="preserve">  91.6</f>
        <v>91.6</v>
      </c>
      <c r="D5">
        <v>31</v>
      </c>
      <c r="E5">
        <v>8</v>
      </c>
      <c r="F5">
        <v>82.7</v>
      </c>
      <c r="G5">
        <v>9</v>
      </c>
      <c r="H5">
        <v>2</v>
      </c>
      <c r="I5">
        <v>20</v>
      </c>
      <c r="J5">
        <v>6</v>
      </c>
      <c r="K5">
        <v>91.36</v>
      </c>
      <c r="L5">
        <v>91.2</v>
      </c>
      <c r="M5">
        <v>92.73</v>
      </c>
    </row>
    <row r="6" spans="1:13" x14ac:dyDescent="0.2">
      <c r="A6" s="1">
        <v>5</v>
      </c>
      <c r="B6" t="s">
        <v>794</v>
      </c>
      <c r="C6">
        <f xml:space="preserve">  91.26</f>
        <v>91.26</v>
      </c>
      <c r="D6">
        <v>30</v>
      </c>
      <c r="E6">
        <v>5</v>
      </c>
      <c r="F6">
        <v>78.680000000000007</v>
      </c>
      <c r="G6">
        <v>2</v>
      </c>
      <c r="H6">
        <v>4</v>
      </c>
      <c r="I6">
        <v>6</v>
      </c>
      <c r="J6">
        <v>5</v>
      </c>
      <c r="K6">
        <v>91.89</v>
      </c>
      <c r="L6">
        <v>91.68</v>
      </c>
      <c r="M6">
        <v>84.52</v>
      </c>
    </row>
    <row r="7" spans="1:13" x14ac:dyDescent="0.2">
      <c r="A7" s="1">
        <v>6</v>
      </c>
      <c r="B7" t="s">
        <v>99</v>
      </c>
      <c r="C7">
        <f xml:space="preserve">  91</f>
        <v>91</v>
      </c>
      <c r="D7">
        <v>31</v>
      </c>
      <c r="E7">
        <v>5</v>
      </c>
      <c r="F7">
        <v>76.16</v>
      </c>
      <c r="G7">
        <v>3</v>
      </c>
      <c r="H7">
        <v>4</v>
      </c>
      <c r="I7">
        <v>4</v>
      </c>
      <c r="J7">
        <v>5</v>
      </c>
      <c r="K7">
        <v>91.2</v>
      </c>
      <c r="L7">
        <v>91.03</v>
      </c>
      <c r="M7">
        <v>86.53</v>
      </c>
    </row>
    <row r="8" spans="1:13" x14ac:dyDescent="0.2">
      <c r="A8" s="1">
        <v>7</v>
      </c>
      <c r="B8" t="s">
        <v>70</v>
      </c>
      <c r="C8">
        <f xml:space="preserve">  90.67</f>
        <v>90.67</v>
      </c>
      <c r="D8">
        <v>31</v>
      </c>
      <c r="E8">
        <v>3</v>
      </c>
      <c r="F8">
        <v>80.27</v>
      </c>
      <c r="G8">
        <v>6</v>
      </c>
      <c r="H8">
        <v>1</v>
      </c>
      <c r="I8">
        <v>15</v>
      </c>
      <c r="J8">
        <v>2</v>
      </c>
      <c r="K8">
        <v>92.26</v>
      </c>
      <c r="L8">
        <v>92.84</v>
      </c>
      <c r="M8">
        <v>80.37</v>
      </c>
    </row>
    <row r="9" spans="1:13" x14ac:dyDescent="0.2">
      <c r="A9" s="1">
        <v>8</v>
      </c>
      <c r="B9" t="s">
        <v>72</v>
      </c>
      <c r="C9">
        <f xml:space="preserve">  90.26</f>
        <v>90.26</v>
      </c>
      <c r="D9">
        <v>26</v>
      </c>
      <c r="E9">
        <v>11</v>
      </c>
      <c r="F9">
        <v>81.45</v>
      </c>
      <c r="G9">
        <v>3</v>
      </c>
      <c r="H9">
        <v>7</v>
      </c>
      <c r="I9">
        <v>14</v>
      </c>
      <c r="J9">
        <v>10</v>
      </c>
      <c r="K9">
        <v>90.21</v>
      </c>
      <c r="L9">
        <v>89.5</v>
      </c>
      <c r="M9">
        <v>89.76</v>
      </c>
    </row>
    <row r="10" spans="1:13" x14ac:dyDescent="0.2">
      <c r="A10" s="1">
        <v>9</v>
      </c>
      <c r="B10" t="s">
        <v>39</v>
      </c>
      <c r="C10">
        <f xml:space="preserve">  89.44</f>
        <v>89.44</v>
      </c>
      <c r="D10">
        <v>32</v>
      </c>
      <c r="E10">
        <v>8</v>
      </c>
      <c r="F10">
        <v>80.89</v>
      </c>
      <c r="G10">
        <v>7</v>
      </c>
      <c r="H10">
        <v>5</v>
      </c>
      <c r="I10">
        <v>12</v>
      </c>
      <c r="J10">
        <v>5</v>
      </c>
      <c r="K10">
        <v>88.87</v>
      </c>
      <c r="L10">
        <v>89.97</v>
      </c>
      <c r="M10">
        <v>95.93</v>
      </c>
    </row>
    <row r="11" spans="1:13" x14ac:dyDescent="0.2">
      <c r="A11" s="1">
        <v>10</v>
      </c>
      <c r="B11" t="s">
        <v>36</v>
      </c>
      <c r="C11">
        <f xml:space="preserve">  89.42</f>
        <v>89.42</v>
      </c>
      <c r="D11">
        <v>26</v>
      </c>
      <c r="E11">
        <v>11</v>
      </c>
      <c r="F11">
        <v>82.78</v>
      </c>
      <c r="G11">
        <v>6</v>
      </c>
      <c r="H11">
        <v>7</v>
      </c>
      <c r="I11">
        <v>13</v>
      </c>
      <c r="J11">
        <v>9</v>
      </c>
      <c r="K11">
        <v>90.33</v>
      </c>
      <c r="L11">
        <v>90.48</v>
      </c>
      <c r="M11">
        <v>80.73</v>
      </c>
    </row>
    <row r="12" spans="1:13" x14ac:dyDescent="0.2">
      <c r="A12" s="1">
        <v>11</v>
      </c>
      <c r="B12" t="s">
        <v>31</v>
      </c>
      <c r="C12">
        <f xml:space="preserve">  88.99</f>
        <v>88.99</v>
      </c>
      <c r="D12">
        <v>27</v>
      </c>
      <c r="E12">
        <v>10</v>
      </c>
      <c r="F12">
        <v>81.47</v>
      </c>
      <c r="G12">
        <v>4</v>
      </c>
      <c r="H12">
        <v>5</v>
      </c>
      <c r="I12">
        <v>14</v>
      </c>
      <c r="J12">
        <v>9</v>
      </c>
      <c r="K12">
        <v>88.72</v>
      </c>
      <c r="L12">
        <v>88.44</v>
      </c>
      <c r="M12">
        <v>91.67</v>
      </c>
    </row>
    <row r="13" spans="1:13" x14ac:dyDescent="0.2">
      <c r="A13" s="1">
        <v>12</v>
      </c>
      <c r="B13" t="s">
        <v>0</v>
      </c>
      <c r="C13">
        <f xml:space="preserve">  88.84</f>
        <v>88.84</v>
      </c>
      <c r="D13">
        <v>32</v>
      </c>
      <c r="E13">
        <v>5</v>
      </c>
      <c r="F13">
        <v>73.72</v>
      </c>
      <c r="G13">
        <v>2</v>
      </c>
      <c r="H13">
        <v>3</v>
      </c>
      <c r="I13">
        <v>5</v>
      </c>
      <c r="J13">
        <v>5</v>
      </c>
      <c r="K13">
        <v>88.77</v>
      </c>
      <c r="L13">
        <v>89.32</v>
      </c>
      <c r="M13">
        <v>85.29</v>
      </c>
    </row>
    <row r="14" spans="1:13" x14ac:dyDescent="0.2">
      <c r="A14" s="1">
        <v>13</v>
      </c>
      <c r="B14" t="s">
        <v>51</v>
      </c>
      <c r="C14">
        <f xml:space="preserve">  88.31</f>
        <v>88.31</v>
      </c>
      <c r="D14">
        <v>29</v>
      </c>
      <c r="E14">
        <v>6</v>
      </c>
      <c r="F14">
        <v>79.959999999999994</v>
      </c>
      <c r="G14">
        <v>5</v>
      </c>
      <c r="H14">
        <v>3</v>
      </c>
      <c r="I14">
        <v>10</v>
      </c>
      <c r="J14">
        <v>3</v>
      </c>
      <c r="K14">
        <v>88.4</v>
      </c>
      <c r="L14">
        <v>89.24</v>
      </c>
      <c r="M14">
        <v>82.93</v>
      </c>
    </row>
    <row r="15" spans="1:13" x14ac:dyDescent="0.2">
      <c r="A15" s="1">
        <v>14</v>
      </c>
      <c r="B15" t="s">
        <v>15</v>
      </c>
      <c r="C15">
        <f xml:space="preserve">  88.22</f>
        <v>88.22</v>
      </c>
      <c r="D15">
        <v>26</v>
      </c>
      <c r="E15">
        <v>11</v>
      </c>
      <c r="F15">
        <v>80.989999999999995</v>
      </c>
      <c r="G15">
        <v>3</v>
      </c>
      <c r="H15">
        <v>6</v>
      </c>
      <c r="I15">
        <v>9</v>
      </c>
      <c r="J15">
        <v>10</v>
      </c>
      <c r="K15">
        <v>87.7</v>
      </c>
      <c r="L15">
        <v>88.41</v>
      </c>
      <c r="M15">
        <v>95.07</v>
      </c>
    </row>
    <row r="16" spans="1:13" x14ac:dyDescent="0.2">
      <c r="A16" s="1">
        <v>15</v>
      </c>
      <c r="B16" t="s">
        <v>801</v>
      </c>
      <c r="C16">
        <f xml:space="preserve">  87.37</f>
        <v>87.37</v>
      </c>
      <c r="D16">
        <v>25</v>
      </c>
      <c r="E16">
        <v>8</v>
      </c>
      <c r="F16">
        <v>77.150000000000006</v>
      </c>
      <c r="G16">
        <v>2</v>
      </c>
      <c r="H16">
        <v>3</v>
      </c>
      <c r="I16">
        <v>5</v>
      </c>
      <c r="J16">
        <v>5</v>
      </c>
      <c r="K16">
        <v>87.46</v>
      </c>
      <c r="L16">
        <v>87.67</v>
      </c>
      <c r="M16">
        <v>82.84</v>
      </c>
    </row>
    <row r="17" spans="1:13" x14ac:dyDescent="0.2">
      <c r="A17" s="1">
        <v>16</v>
      </c>
      <c r="B17" t="s">
        <v>60</v>
      </c>
      <c r="C17">
        <f xml:space="preserve">  86.9</f>
        <v>86.9</v>
      </c>
      <c r="D17">
        <v>21</v>
      </c>
      <c r="E17">
        <v>13</v>
      </c>
      <c r="F17">
        <v>81.19</v>
      </c>
      <c r="G17">
        <v>5</v>
      </c>
      <c r="H17">
        <v>5</v>
      </c>
      <c r="I17">
        <v>10</v>
      </c>
      <c r="J17">
        <v>7</v>
      </c>
      <c r="K17">
        <v>86.8</v>
      </c>
      <c r="L17">
        <v>86.64</v>
      </c>
      <c r="M17">
        <v>85.37</v>
      </c>
    </row>
    <row r="18" spans="1:13" x14ac:dyDescent="0.2">
      <c r="A18" s="1">
        <v>17</v>
      </c>
      <c r="B18" t="s">
        <v>13</v>
      </c>
      <c r="C18">
        <f xml:space="preserve">  86.85</f>
        <v>86.85</v>
      </c>
      <c r="D18">
        <v>26</v>
      </c>
      <c r="E18">
        <v>9</v>
      </c>
      <c r="F18">
        <v>81.08</v>
      </c>
      <c r="G18">
        <v>5</v>
      </c>
      <c r="H18">
        <v>3</v>
      </c>
      <c r="I18">
        <v>6</v>
      </c>
      <c r="J18">
        <v>7</v>
      </c>
      <c r="K18">
        <v>86.65</v>
      </c>
      <c r="L18">
        <v>86.3</v>
      </c>
      <c r="M18">
        <v>87.86</v>
      </c>
    </row>
    <row r="19" spans="1:13" x14ac:dyDescent="0.2">
      <c r="A19" s="1">
        <v>18</v>
      </c>
      <c r="B19" t="s">
        <v>78</v>
      </c>
      <c r="C19">
        <f xml:space="preserve">  86.7</f>
        <v>86.7</v>
      </c>
      <c r="D19">
        <v>25</v>
      </c>
      <c r="E19">
        <v>10</v>
      </c>
      <c r="F19">
        <v>80.53</v>
      </c>
      <c r="G19">
        <v>4</v>
      </c>
      <c r="H19">
        <v>6</v>
      </c>
      <c r="I19">
        <v>8</v>
      </c>
      <c r="J19">
        <v>8</v>
      </c>
      <c r="K19">
        <v>86.39</v>
      </c>
      <c r="L19">
        <v>86.67</v>
      </c>
      <c r="M19">
        <v>87.36</v>
      </c>
    </row>
    <row r="20" spans="1:13" x14ac:dyDescent="0.2">
      <c r="A20" s="1">
        <v>19</v>
      </c>
      <c r="B20" t="s">
        <v>6</v>
      </c>
      <c r="C20">
        <f xml:space="preserve">  86.54</f>
        <v>86.54</v>
      </c>
      <c r="D20">
        <v>27</v>
      </c>
      <c r="E20">
        <v>8</v>
      </c>
      <c r="F20">
        <v>77.94</v>
      </c>
      <c r="G20">
        <v>1</v>
      </c>
      <c r="H20">
        <v>1</v>
      </c>
      <c r="I20">
        <v>5</v>
      </c>
      <c r="J20">
        <v>2</v>
      </c>
      <c r="K20">
        <v>86.56</v>
      </c>
      <c r="L20">
        <v>87</v>
      </c>
      <c r="M20">
        <v>82.19</v>
      </c>
    </row>
    <row r="21" spans="1:13" x14ac:dyDescent="0.2">
      <c r="A21" s="1">
        <v>20</v>
      </c>
      <c r="B21" t="s">
        <v>809</v>
      </c>
      <c r="C21">
        <f xml:space="preserve">  86.49</f>
        <v>86.49</v>
      </c>
      <c r="D21">
        <v>25</v>
      </c>
      <c r="E21">
        <v>9</v>
      </c>
      <c r="F21">
        <v>79.69</v>
      </c>
      <c r="G21">
        <v>3</v>
      </c>
      <c r="H21">
        <v>6</v>
      </c>
      <c r="I21">
        <v>4</v>
      </c>
      <c r="J21">
        <v>9</v>
      </c>
      <c r="K21">
        <v>86.37</v>
      </c>
      <c r="L21">
        <v>86.25</v>
      </c>
      <c r="M21">
        <v>85.09</v>
      </c>
    </row>
    <row r="22" spans="1:13" x14ac:dyDescent="0.2">
      <c r="A22" s="1">
        <v>21</v>
      </c>
      <c r="B22" t="s">
        <v>793</v>
      </c>
      <c r="C22">
        <f xml:space="preserve">  86.36</f>
        <v>86.36</v>
      </c>
      <c r="D22">
        <v>23</v>
      </c>
      <c r="E22">
        <v>12</v>
      </c>
      <c r="F22">
        <v>80.16</v>
      </c>
      <c r="G22">
        <v>5</v>
      </c>
      <c r="H22">
        <v>4</v>
      </c>
      <c r="I22">
        <v>10</v>
      </c>
      <c r="J22">
        <v>9</v>
      </c>
      <c r="K22">
        <v>85.93</v>
      </c>
      <c r="L22">
        <v>86.04</v>
      </c>
      <c r="M22">
        <v>93.97</v>
      </c>
    </row>
    <row r="23" spans="1:13" x14ac:dyDescent="0.2">
      <c r="A23" s="1">
        <v>22</v>
      </c>
      <c r="B23" t="s">
        <v>4</v>
      </c>
      <c r="C23">
        <f xml:space="preserve">  86.26</f>
        <v>86.26</v>
      </c>
      <c r="D23">
        <v>27</v>
      </c>
      <c r="E23">
        <v>8</v>
      </c>
      <c r="F23">
        <v>76.13</v>
      </c>
      <c r="G23">
        <v>3</v>
      </c>
      <c r="H23">
        <v>4</v>
      </c>
      <c r="I23">
        <v>5</v>
      </c>
      <c r="J23">
        <v>4</v>
      </c>
      <c r="K23">
        <v>86.06</v>
      </c>
      <c r="L23">
        <v>85.57</v>
      </c>
      <c r="M23">
        <v>88.1</v>
      </c>
    </row>
    <row r="24" spans="1:13" x14ac:dyDescent="0.2">
      <c r="A24" s="1">
        <v>23</v>
      </c>
      <c r="B24" t="s">
        <v>106</v>
      </c>
      <c r="C24">
        <f xml:space="preserve">  86.04</f>
        <v>86.04</v>
      </c>
      <c r="D24">
        <v>21</v>
      </c>
      <c r="E24">
        <v>14</v>
      </c>
      <c r="F24">
        <v>81.33</v>
      </c>
      <c r="G24">
        <v>3</v>
      </c>
      <c r="H24">
        <v>8</v>
      </c>
      <c r="I24">
        <v>7</v>
      </c>
      <c r="J24">
        <v>11</v>
      </c>
      <c r="K24">
        <v>85.98</v>
      </c>
      <c r="L24">
        <v>85.04</v>
      </c>
      <c r="M24">
        <v>86.7</v>
      </c>
    </row>
    <row r="25" spans="1:13" x14ac:dyDescent="0.2">
      <c r="A25" s="1">
        <v>24</v>
      </c>
      <c r="B25" t="s">
        <v>48</v>
      </c>
      <c r="C25">
        <f xml:space="preserve">  85.8</f>
        <v>85.8</v>
      </c>
      <c r="D25">
        <v>22</v>
      </c>
      <c r="E25">
        <v>12</v>
      </c>
      <c r="F25">
        <v>80.56</v>
      </c>
      <c r="G25">
        <v>3</v>
      </c>
      <c r="H25">
        <v>6</v>
      </c>
      <c r="I25">
        <v>5</v>
      </c>
      <c r="J25">
        <v>10</v>
      </c>
      <c r="K25">
        <v>85.68</v>
      </c>
      <c r="L25">
        <v>86.03</v>
      </c>
      <c r="M25">
        <v>83.09</v>
      </c>
    </row>
    <row r="26" spans="1:13" x14ac:dyDescent="0.2">
      <c r="A26" s="1">
        <v>25</v>
      </c>
      <c r="B26" t="s">
        <v>57</v>
      </c>
      <c r="C26">
        <f xml:space="preserve">  85.7</f>
        <v>85.7</v>
      </c>
      <c r="D26">
        <v>22</v>
      </c>
      <c r="E26">
        <v>13</v>
      </c>
      <c r="F26">
        <v>81.78</v>
      </c>
      <c r="G26">
        <v>3</v>
      </c>
      <c r="H26">
        <v>6</v>
      </c>
      <c r="I26">
        <v>10</v>
      </c>
      <c r="J26">
        <v>10</v>
      </c>
      <c r="K26">
        <v>85.25</v>
      </c>
      <c r="L26">
        <v>85.76</v>
      </c>
      <c r="M26">
        <v>89.49</v>
      </c>
    </row>
    <row r="27" spans="1:13" x14ac:dyDescent="0.2">
      <c r="A27" s="1">
        <v>26</v>
      </c>
      <c r="B27" t="s">
        <v>49</v>
      </c>
      <c r="C27">
        <f xml:space="preserve">  85.68</f>
        <v>85.68</v>
      </c>
      <c r="D27">
        <v>21</v>
      </c>
      <c r="E27">
        <v>12</v>
      </c>
      <c r="F27">
        <v>80.89</v>
      </c>
      <c r="G27">
        <v>1</v>
      </c>
      <c r="H27">
        <v>5</v>
      </c>
      <c r="I27">
        <v>8</v>
      </c>
      <c r="J27">
        <v>11</v>
      </c>
      <c r="K27">
        <v>86.41</v>
      </c>
      <c r="L27">
        <v>86.43</v>
      </c>
      <c r="M27">
        <v>76.36</v>
      </c>
    </row>
    <row r="28" spans="1:13" x14ac:dyDescent="0.2">
      <c r="A28" s="1">
        <v>27</v>
      </c>
      <c r="B28" t="s">
        <v>817</v>
      </c>
      <c r="C28">
        <f xml:space="preserve">  85.61</f>
        <v>85.61</v>
      </c>
      <c r="D28">
        <v>26</v>
      </c>
      <c r="E28">
        <v>13</v>
      </c>
      <c r="F28">
        <v>79</v>
      </c>
      <c r="G28">
        <v>3</v>
      </c>
      <c r="H28">
        <v>5</v>
      </c>
      <c r="I28">
        <v>6</v>
      </c>
      <c r="J28">
        <v>6</v>
      </c>
      <c r="K28">
        <v>85.34</v>
      </c>
      <c r="L28">
        <v>84.55</v>
      </c>
      <c r="M28">
        <v>95.32</v>
      </c>
    </row>
    <row r="29" spans="1:13" x14ac:dyDescent="0.2">
      <c r="A29" s="1">
        <v>28</v>
      </c>
      <c r="B29" t="s">
        <v>52</v>
      </c>
      <c r="C29">
        <f xml:space="preserve">  85.59</f>
        <v>85.59</v>
      </c>
      <c r="D29">
        <v>20</v>
      </c>
      <c r="E29">
        <v>12</v>
      </c>
      <c r="F29">
        <v>80.17</v>
      </c>
      <c r="G29">
        <v>3</v>
      </c>
      <c r="H29">
        <v>6</v>
      </c>
      <c r="I29">
        <v>4</v>
      </c>
      <c r="J29">
        <v>10</v>
      </c>
      <c r="K29">
        <v>86.06</v>
      </c>
      <c r="L29">
        <v>85.26</v>
      </c>
      <c r="M29">
        <v>79.2</v>
      </c>
    </row>
    <row r="30" spans="1:13" x14ac:dyDescent="0.2">
      <c r="A30" s="1">
        <v>29</v>
      </c>
      <c r="B30" t="s">
        <v>104</v>
      </c>
      <c r="C30">
        <f xml:space="preserve">  84.77</f>
        <v>84.77</v>
      </c>
      <c r="D30">
        <v>22</v>
      </c>
      <c r="E30">
        <v>14</v>
      </c>
      <c r="F30">
        <v>79.56</v>
      </c>
      <c r="G30">
        <v>2</v>
      </c>
      <c r="H30">
        <v>0</v>
      </c>
      <c r="I30">
        <v>5</v>
      </c>
      <c r="J30">
        <v>12</v>
      </c>
      <c r="K30">
        <v>85.2</v>
      </c>
      <c r="L30">
        <v>85.24</v>
      </c>
      <c r="M30">
        <v>77.17</v>
      </c>
    </row>
    <row r="31" spans="1:13" x14ac:dyDescent="0.2">
      <c r="A31" s="1">
        <v>30</v>
      </c>
      <c r="B31" t="s">
        <v>8</v>
      </c>
      <c r="C31">
        <f xml:space="preserve">  84.74</f>
        <v>84.74</v>
      </c>
      <c r="D31">
        <v>18</v>
      </c>
      <c r="E31">
        <v>15</v>
      </c>
      <c r="F31">
        <v>81.540000000000006</v>
      </c>
      <c r="G31">
        <v>2</v>
      </c>
      <c r="H31">
        <v>8</v>
      </c>
      <c r="I31">
        <v>8</v>
      </c>
      <c r="J31">
        <v>13</v>
      </c>
      <c r="K31">
        <v>85.31</v>
      </c>
      <c r="L31">
        <v>84.89</v>
      </c>
      <c r="M31">
        <v>76.72</v>
      </c>
    </row>
    <row r="32" spans="1:13" x14ac:dyDescent="0.2">
      <c r="A32" s="1">
        <v>31</v>
      </c>
      <c r="B32" t="s">
        <v>33</v>
      </c>
      <c r="C32">
        <f xml:space="preserve">  84.67</f>
        <v>84.67</v>
      </c>
      <c r="D32">
        <v>26</v>
      </c>
      <c r="E32">
        <v>8</v>
      </c>
      <c r="F32">
        <v>78.44</v>
      </c>
      <c r="G32">
        <v>2</v>
      </c>
      <c r="H32">
        <v>3</v>
      </c>
      <c r="I32">
        <v>5</v>
      </c>
      <c r="J32">
        <v>6</v>
      </c>
      <c r="K32">
        <v>84.86</v>
      </c>
      <c r="L32">
        <v>85.03</v>
      </c>
      <c r="M32">
        <v>78.86</v>
      </c>
    </row>
    <row r="33" spans="1:13" x14ac:dyDescent="0.2">
      <c r="A33" s="1">
        <v>32</v>
      </c>
      <c r="B33" t="s">
        <v>119</v>
      </c>
      <c r="C33">
        <f xml:space="preserve">  84.63</f>
        <v>84.63</v>
      </c>
      <c r="D33">
        <v>29</v>
      </c>
      <c r="E33">
        <v>8</v>
      </c>
      <c r="F33">
        <v>75.7</v>
      </c>
      <c r="G33">
        <v>1</v>
      </c>
      <c r="H33">
        <v>1</v>
      </c>
      <c r="I33">
        <v>4</v>
      </c>
      <c r="J33">
        <v>4</v>
      </c>
      <c r="K33">
        <v>84.31</v>
      </c>
      <c r="L33">
        <v>84.57</v>
      </c>
      <c r="M33">
        <v>85.65</v>
      </c>
    </row>
    <row r="34" spans="1:13" x14ac:dyDescent="0.2">
      <c r="A34" s="1">
        <v>33</v>
      </c>
      <c r="B34" t="s">
        <v>872</v>
      </c>
      <c r="C34">
        <f xml:space="preserve">  84.61</f>
        <v>84.61</v>
      </c>
      <c r="D34">
        <v>22</v>
      </c>
      <c r="E34">
        <v>10</v>
      </c>
      <c r="F34">
        <v>78.98</v>
      </c>
      <c r="G34">
        <v>2</v>
      </c>
      <c r="H34">
        <v>5</v>
      </c>
      <c r="I34">
        <v>6</v>
      </c>
      <c r="J34">
        <v>6</v>
      </c>
      <c r="K34">
        <v>84.68</v>
      </c>
      <c r="L34">
        <v>85.16</v>
      </c>
      <c r="M34">
        <v>79.400000000000006</v>
      </c>
    </row>
    <row r="35" spans="1:13" x14ac:dyDescent="0.2">
      <c r="A35" s="1">
        <v>34</v>
      </c>
      <c r="B35" t="s">
        <v>38</v>
      </c>
      <c r="C35">
        <f xml:space="preserve">  84.59</f>
        <v>84.59</v>
      </c>
      <c r="D35">
        <v>19</v>
      </c>
      <c r="E35">
        <v>15</v>
      </c>
      <c r="F35">
        <v>82.52</v>
      </c>
      <c r="G35">
        <v>3</v>
      </c>
      <c r="H35">
        <v>8</v>
      </c>
      <c r="I35">
        <v>8</v>
      </c>
      <c r="J35">
        <v>15</v>
      </c>
      <c r="K35">
        <v>84.57</v>
      </c>
      <c r="L35">
        <v>85.1</v>
      </c>
      <c r="M35">
        <v>80.11</v>
      </c>
    </row>
    <row r="36" spans="1:13" x14ac:dyDescent="0.2">
      <c r="A36" s="1">
        <v>35</v>
      </c>
      <c r="B36" t="s">
        <v>54</v>
      </c>
      <c r="C36">
        <f xml:space="preserve">  84.52</f>
        <v>84.52</v>
      </c>
      <c r="D36">
        <v>20</v>
      </c>
      <c r="E36">
        <v>15</v>
      </c>
      <c r="F36">
        <v>79.510000000000005</v>
      </c>
      <c r="G36">
        <v>2</v>
      </c>
      <c r="H36">
        <v>7</v>
      </c>
      <c r="I36">
        <v>4</v>
      </c>
      <c r="J36">
        <v>11</v>
      </c>
      <c r="K36">
        <v>85.01</v>
      </c>
      <c r="L36">
        <v>84.82</v>
      </c>
      <c r="M36">
        <v>76.7</v>
      </c>
    </row>
    <row r="37" spans="1:13" x14ac:dyDescent="0.2">
      <c r="A37" s="1">
        <v>36</v>
      </c>
      <c r="B37" t="s">
        <v>875</v>
      </c>
      <c r="C37">
        <f xml:space="preserve">  84.24</f>
        <v>84.24</v>
      </c>
      <c r="D37">
        <v>30</v>
      </c>
      <c r="E37">
        <v>6</v>
      </c>
      <c r="F37">
        <v>71.09</v>
      </c>
      <c r="G37">
        <v>1</v>
      </c>
      <c r="H37">
        <v>1</v>
      </c>
      <c r="I37">
        <v>1</v>
      </c>
      <c r="J37">
        <v>1</v>
      </c>
      <c r="K37">
        <v>84.42</v>
      </c>
      <c r="L37">
        <v>84.57</v>
      </c>
      <c r="M37">
        <v>78.459999999999994</v>
      </c>
    </row>
    <row r="38" spans="1:13" x14ac:dyDescent="0.2">
      <c r="A38" s="1">
        <v>37</v>
      </c>
      <c r="B38" t="s">
        <v>41</v>
      </c>
      <c r="C38">
        <f xml:space="preserve">  84.14</f>
        <v>84.14</v>
      </c>
      <c r="D38">
        <v>21</v>
      </c>
      <c r="E38">
        <v>12</v>
      </c>
      <c r="F38">
        <v>79.34</v>
      </c>
      <c r="G38">
        <v>4</v>
      </c>
      <c r="H38">
        <v>4</v>
      </c>
      <c r="I38">
        <v>5</v>
      </c>
      <c r="J38">
        <v>11</v>
      </c>
      <c r="K38">
        <v>84.58</v>
      </c>
      <c r="L38">
        <v>84.17</v>
      </c>
      <c r="M38">
        <v>76.930000000000007</v>
      </c>
    </row>
    <row r="39" spans="1:13" x14ac:dyDescent="0.2">
      <c r="A39" s="1">
        <v>38</v>
      </c>
      <c r="B39" t="s">
        <v>75</v>
      </c>
      <c r="C39">
        <f xml:space="preserve">  84.1</f>
        <v>84.1</v>
      </c>
      <c r="D39">
        <v>18</v>
      </c>
      <c r="E39">
        <v>13</v>
      </c>
      <c r="F39">
        <v>79.599999999999994</v>
      </c>
      <c r="G39">
        <v>1</v>
      </c>
      <c r="H39">
        <v>7</v>
      </c>
      <c r="I39">
        <v>2</v>
      </c>
      <c r="J39">
        <v>9</v>
      </c>
      <c r="K39">
        <v>84.38</v>
      </c>
      <c r="L39">
        <v>83.8</v>
      </c>
      <c r="M39">
        <v>78.69</v>
      </c>
    </row>
    <row r="40" spans="1:13" x14ac:dyDescent="0.2">
      <c r="A40" s="1">
        <v>39</v>
      </c>
      <c r="B40" t="s">
        <v>45</v>
      </c>
      <c r="C40">
        <f xml:space="preserve">  84.01</f>
        <v>84.01</v>
      </c>
      <c r="D40">
        <v>18</v>
      </c>
      <c r="E40">
        <v>14</v>
      </c>
      <c r="F40">
        <v>82.38</v>
      </c>
      <c r="G40">
        <v>3</v>
      </c>
      <c r="H40">
        <v>4</v>
      </c>
      <c r="I40">
        <v>9</v>
      </c>
      <c r="J40">
        <v>13</v>
      </c>
      <c r="K40">
        <v>84.33</v>
      </c>
      <c r="L40">
        <v>84.19</v>
      </c>
      <c r="M40">
        <v>77.39</v>
      </c>
    </row>
    <row r="41" spans="1:13" x14ac:dyDescent="0.2">
      <c r="A41" s="1">
        <v>40</v>
      </c>
      <c r="B41" t="s">
        <v>802</v>
      </c>
      <c r="C41">
        <f xml:space="preserve">  83.98</f>
        <v>83.98</v>
      </c>
      <c r="D41">
        <v>25</v>
      </c>
      <c r="E41">
        <v>12</v>
      </c>
      <c r="F41">
        <v>80.62</v>
      </c>
      <c r="G41">
        <v>1</v>
      </c>
      <c r="H41">
        <v>7</v>
      </c>
      <c r="I41">
        <v>11</v>
      </c>
      <c r="J41">
        <v>9</v>
      </c>
      <c r="K41">
        <v>83.44</v>
      </c>
      <c r="L41">
        <v>84.52</v>
      </c>
      <c r="M41">
        <v>87.3</v>
      </c>
    </row>
    <row r="42" spans="1:13" x14ac:dyDescent="0.2">
      <c r="A42" s="1">
        <v>41</v>
      </c>
      <c r="B42" t="s">
        <v>35</v>
      </c>
      <c r="C42">
        <f xml:space="preserve">  83.96</f>
        <v>83.96</v>
      </c>
      <c r="D42">
        <v>23</v>
      </c>
      <c r="E42">
        <v>12</v>
      </c>
      <c r="F42">
        <v>80.37</v>
      </c>
      <c r="G42">
        <v>3</v>
      </c>
      <c r="H42">
        <v>7</v>
      </c>
      <c r="I42">
        <v>8</v>
      </c>
      <c r="J42">
        <v>9</v>
      </c>
      <c r="K42">
        <v>84.21</v>
      </c>
      <c r="L42">
        <v>83.87</v>
      </c>
      <c r="M42">
        <v>78.319999999999993</v>
      </c>
    </row>
    <row r="43" spans="1:13" x14ac:dyDescent="0.2">
      <c r="A43" s="1">
        <v>42</v>
      </c>
      <c r="B43" t="s">
        <v>877</v>
      </c>
      <c r="C43">
        <v>83.74</v>
      </c>
      <c r="D43">
        <v>24</v>
      </c>
      <c r="E43">
        <v>12</v>
      </c>
      <c r="F43">
        <v>77.209999999999994</v>
      </c>
      <c r="G43">
        <v>0</v>
      </c>
      <c r="H43">
        <v>3</v>
      </c>
      <c r="I43">
        <v>0</v>
      </c>
      <c r="J43">
        <v>6</v>
      </c>
      <c r="K43">
        <v>83.57</v>
      </c>
      <c r="L43">
        <v>83.27</v>
      </c>
      <c r="M43">
        <v>83.93</v>
      </c>
    </row>
    <row r="44" spans="1:13" x14ac:dyDescent="0.2">
      <c r="A44" s="1">
        <v>43</v>
      </c>
      <c r="B44" t="s">
        <v>73</v>
      </c>
      <c r="C44">
        <f xml:space="preserve">  83.71</f>
        <v>83.71</v>
      </c>
      <c r="D44">
        <v>23</v>
      </c>
      <c r="E44">
        <v>14</v>
      </c>
      <c r="F44">
        <v>80.42</v>
      </c>
      <c r="G44">
        <v>2</v>
      </c>
      <c r="H44">
        <v>8</v>
      </c>
      <c r="I44">
        <v>7</v>
      </c>
      <c r="J44">
        <v>9</v>
      </c>
      <c r="K44">
        <v>83.4</v>
      </c>
      <c r="L44">
        <v>83.83</v>
      </c>
      <c r="M44">
        <v>83.89</v>
      </c>
    </row>
    <row r="45" spans="1:13" x14ac:dyDescent="0.2">
      <c r="A45" s="1">
        <v>44</v>
      </c>
      <c r="B45" t="s">
        <v>129</v>
      </c>
      <c r="C45">
        <f xml:space="preserve">  83.37</f>
        <v>83.37</v>
      </c>
      <c r="D45">
        <v>26</v>
      </c>
      <c r="E45">
        <v>8</v>
      </c>
      <c r="F45">
        <v>75.900000000000006</v>
      </c>
      <c r="G45">
        <v>1</v>
      </c>
      <c r="H45">
        <v>2</v>
      </c>
      <c r="I45">
        <v>2</v>
      </c>
      <c r="J45">
        <v>4</v>
      </c>
      <c r="K45">
        <v>83.17</v>
      </c>
      <c r="L45">
        <v>83.73</v>
      </c>
      <c r="M45">
        <v>81.16</v>
      </c>
    </row>
    <row r="46" spans="1:13" x14ac:dyDescent="0.2">
      <c r="A46" s="1">
        <v>45</v>
      </c>
      <c r="B46" t="s">
        <v>30</v>
      </c>
      <c r="C46">
        <f xml:space="preserve">  83.04</f>
        <v>83.04</v>
      </c>
      <c r="D46">
        <v>21</v>
      </c>
      <c r="E46">
        <v>12</v>
      </c>
      <c r="F46">
        <v>78.31</v>
      </c>
      <c r="G46">
        <v>2</v>
      </c>
      <c r="H46">
        <v>3</v>
      </c>
      <c r="I46">
        <v>4</v>
      </c>
      <c r="J46">
        <v>4</v>
      </c>
      <c r="K46">
        <v>83.06</v>
      </c>
      <c r="L46">
        <v>83.46</v>
      </c>
      <c r="M46">
        <v>78.349999999999994</v>
      </c>
    </row>
    <row r="47" spans="1:13" x14ac:dyDescent="0.2">
      <c r="A47" s="1">
        <v>46</v>
      </c>
      <c r="B47" t="s">
        <v>117</v>
      </c>
      <c r="C47">
        <f xml:space="preserve">  82.92</f>
        <v>82.92</v>
      </c>
      <c r="D47">
        <v>19</v>
      </c>
      <c r="E47">
        <v>13</v>
      </c>
      <c r="F47">
        <v>80.34</v>
      </c>
      <c r="G47">
        <v>3</v>
      </c>
      <c r="H47">
        <v>5</v>
      </c>
      <c r="I47">
        <v>5</v>
      </c>
      <c r="J47">
        <v>7</v>
      </c>
      <c r="K47">
        <v>83.41</v>
      </c>
      <c r="L47">
        <v>82.88</v>
      </c>
      <c r="M47">
        <v>75.14</v>
      </c>
    </row>
    <row r="48" spans="1:13" x14ac:dyDescent="0.2">
      <c r="A48" s="1">
        <v>47</v>
      </c>
      <c r="B48" t="s">
        <v>42</v>
      </c>
      <c r="C48">
        <f xml:space="preserve">  82.84</f>
        <v>82.84</v>
      </c>
      <c r="D48">
        <v>20</v>
      </c>
      <c r="E48">
        <v>16</v>
      </c>
      <c r="F48">
        <v>81.3</v>
      </c>
      <c r="G48">
        <v>4</v>
      </c>
      <c r="H48">
        <v>6</v>
      </c>
      <c r="I48">
        <v>9</v>
      </c>
      <c r="J48">
        <v>10</v>
      </c>
      <c r="K48">
        <v>82.45</v>
      </c>
      <c r="L48">
        <v>83.17</v>
      </c>
      <c r="M48">
        <v>83.46</v>
      </c>
    </row>
    <row r="49" spans="1:13" x14ac:dyDescent="0.2">
      <c r="A49" s="1">
        <v>48</v>
      </c>
      <c r="B49" t="s">
        <v>790</v>
      </c>
      <c r="C49">
        <f xml:space="preserve">  82.69</f>
        <v>82.69</v>
      </c>
      <c r="D49">
        <v>21</v>
      </c>
      <c r="E49">
        <v>15</v>
      </c>
      <c r="F49">
        <v>80.8</v>
      </c>
      <c r="G49">
        <v>5</v>
      </c>
      <c r="H49">
        <v>5</v>
      </c>
      <c r="I49">
        <v>8</v>
      </c>
      <c r="J49">
        <v>14</v>
      </c>
      <c r="K49">
        <v>82.47</v>
      </c>
      <c r="L49">
        <v>82.55</v>
      </c>
      <c r="M49">
        <v>82.25</v>
      </c>
    </row>
    <row r="50" spans="1:13" x14ac:dyDescent="0.2">
      <c r="A50" s="1">
        <v>49</v>
      </c>
      <c r="B50" t="s">
        <v>65</v>
      </c>
      <c r="C50">
        <f xml:space="preserve">  82.49</f>
        <v>82.49</v>
      </c>
      <c r="D50">
        <v>21</v>
      </c>
      <c r="E50">
        <v>14</v>
      </c>
      <c r="F50">
        <v>80.45</v>
      </c>
      <c r="G50">
        <v>2</v>
      </c>
      <c r="H50">
        <v>9</v>
      </c>
      <c r="I50">
        <v>4</v>
      </c>
      <c r="J50">
        <v>10</v>
      </c>
      <c r="K50">
        <v>82.23</v>
      </c>
      <c r="L50">
        <v>82.72</v>
      </c>
      <c r="M50">
        <v>81.41</v>
      </c>
    </row>
    <row r="51" spans="1:13" x14ac:dyDescent="0.2">
      <c r="A51" s="1">
        <v>50</v>
      </c>
      <c r="B51" t="s">
        <v>805</v>
      </c>
      <c r="C51">
        <f xml:space="preserve">  82.48</f>
        <v>82.48</v>
      </c>
      <c r="D51">
        <v>21</v>
      </c>
      <c r="E51">
        <v>11</v>
      </c>
      <c r="F51">
        <v>74.78</v>
      </c>
      <c r="G51">
        <v>1</v>
      </c>
      <c r="H51">
        <v>1</v>
      </c>
      <c r="I51">
        <v>3</v>
      </c>
      <c r="J51">
        <v>2</v>
      </c>
      <c r="K51">
        <v>82.33</v>
      </c>
      <c r="L51">
        <v>81.25</v>
      </c>
      <c r="M51">
        <v>86.47</v>
      </c>
    </row>
    <row r="52" spans="1:13" x14ac:dyDescent="0.2">
      <c r="A52" s="1">
        <v>51</v>
      </c>
      <c r="B52" t="s">
        <v>811</v>
      </c>
      <c r="C52">
        <f xml:space="preserve">  82.4</f>
        <v>82.4</v>
      </c>
      <c r="D52">
        <v>20</v>
      </c>
      <c r="E52">
        <v>12</v>
      </c>
      <c r="F52">
        <v>77.67</v>
      </c>
      <c r="G52">
        <v>2</v>
      </c>
      <c r="H52">
        <v>2</v>
      </c>
      <c r="I52">
        <v>6</v>
      </c>
      <c r="J52">
        <v>3</v>
      </c>
      <c r="K52">
        <v>83.44</v>
      </c>
      <c r="L52">
        <v>82.47</v>
      </c>
      <c r="M52">
        <v>70.13</v>
      </c>
    </row>
    <row r="53" spans="1:13" x14ac:dyDescent="0.2">
      <c r="A53" s="1">
        <v>52</v>
      </c>
      <c r="B53" t="s">
        <v>870</v>
      </c>
      <c r="C53">
        <f xml:space="preserve">  82.34</f>
        <v>82.34</v>
      </c>
      <c r="D53">
        <v>21</v>
      </c>
      <c r="E53">
        <v>12</v>
      </c>
      <c r="F53">
        <v>78.89</v>
      </c>
      <c r="G53">
        <v>5</v>
      </c>
      <c r="H53">
        <v>5</v>
      </c>
      <c r="I53">
        <v>9</v>
      </c>
      <c r="J53">
        <v>8</v>
      </c>
      <c r="K53">
        <v>82.4</v>
      </c>
      <c r="L53">
        <v>82.74</v>
      </c>
      <c r="M53">
        <v>77.13</v>
      </c>
    </row>
    <row r="54" spans="1:13" x14ac:dyDescent="0.2">
      <c r="A54" s="1">
        <v>53</v>
      </c>
      <c r="B54" t="s">
        <v>113</v>
      </c>
      <c r="C54">
        <f xml:space="preserve">  82.18</f>
        <v>82.18</v>
      </c>
      <c r="D54">
        <v>23</v>
      </c>
      <c r="E54">
        <v>12</v>
      </c>
      <c r="F54">
        <v>77.739999999999995</v>
      </c>
      <c r="G54">
        <v>0</v>
      </c>
      <c r="H54">
        <v>3</v>
      </c>
      <c r="I54">
        <v>3</v>
      </c>
      <c r="J54">
        <v>7</v>
      </c>
      <c r="K54">
        <v>81.73</v>
      </c>
      <c r="L54">
        <v>81.900000000000006</v>
      </c>
      <c r="M54">
        <v>88.48</v>
      </c>
    </row>
    <row r="55" spans="1:13" x14ac:dyDescent="0.2">
      <c r="A55" s="1">
        <v>54</v>
      </c>
      <c r="B55" t="s">
        <v>64</v>
      </c>
      <c r="C55">
        <f xml:space="preserve">  82.16</f>
        <v>82.16</v>
      </c>
      <c r="D55">
        <v>21</v>
      </c>
      <c r="E55">
        <v>12</v>
      </c>
      <c r="F55">
        <v>74.61</v>
      </c>
      <c r="G55">
        <v>0</v>
      </c>
      <c r="H55">
        <v>3</v>
      </c>
      <c r="I55">
        <v>2</v>
      </c>
      <c r="J55">
        <v>5</v>
      </c>
      <c r="K55">
        <v>82.11</v>
      </c>
      <c r="L55">
        <v>80.42</v>
      </c>
      <c r="M55">
        <v>87.33</v>
      </c>
    </row>
    <row r="56" spans="1:13" x14ac:dyDescent="0.2">
      <c r="A56" s="1">
        <v>55</v>
      </c>
      <c r="B56" t="s">
        <v>44</v>
      </c>
      <c r="C56">
        <f xml:space="preserve">  81.98</f>
        <v>81.98</v>
      </c>
      <c r="D56">
        <v>21</v>
      </c>
      <c r="E56">
        <v>14</v>
      </c>
      <c r="F56">
        <v>80.83</v>
      </c>
      <c r="G56">
        <v>4</v>
      </c>
      <c r="H56">
        <v>8</v>
      </c>
      <c r="I56">
        <v>7</v>
      </c>
      <c r="J56">
        <v>11</v>
      </c>
      <c r="K56">
        <v>81.569999999999993</v>
      </c>
      <c r="L56">
        <v>82.59</v>
      </c>
      <c r="M56">
        <v>81.849999999999994</v>
      </c>
    </row>
    <row r="57" spans="1:13" x14ac:dyDescent="0.2">
      <c r="A57" s="1">
        <v>56</v>
      </c>
      <c r="B57" t="s">
        <v>50</v>
      </c>
      <c r="C57">
        <f xml:space="preserve">  81.85</f>
        <v>81.849999999999994</v>
      </c>
      <c r="D57">
        <v>31</v>
      </c>
      <c r="E57">
        <v>6</v>
      </c>
      <c r="F57">
        <v>73.8</v>
      </c>
      <c r="G57">
        <v>2</v>
      </c>
      <c r="H57">
        <v>1</v>
      </c>
      <c r="I57">
        <v>5</v>
      </c>
      <c r="J57">
        <v>1</v>
      </c>
      <c r="K57">
        <v>81.209999999999994</v>
      </c>
      <c r="L57">
        <v>82.06</v>
      </c>
      <c r="M57">
        <v>95</v>
      </c>
    </row>
    <row r="58" spans="1:13" x14ac:dyDescent="0.2">
      <c r="A58" s="1">
        <v>57</v>
      </c>
      <c r="B58" t="s">
        <v>59</v>
      </c>
      <c r="C58">
        <f xml:space="preserve">  81.79</f>
        <v>81.790000000000006</v>
      </c>
      <c r="D58">
        <v>23</v>
      </c>
      <c r="E58">
        <v>13</v>
      </c>
      <c r="F58">
        <v>76.06</v>
      </c>
      <c r="G58">
        <v>1</v>
      </c>
      <c r="H58">
        <v>1</v>
      </c>
      <c r="I58">
        <v>2</v>
      </c>
      <c r="J58">
        <v>7</v>
      </c>
      <c r="K58">
        <v>81.72</v>
      </c>
      <c r="L58">
        <v>81.61</v>
      </c>
      <c r="M58">
        <v>79.47</v>
      </c>
    </row>
    <row r="59" spans="1:13" x14ac:dyDescent="0.2">
      <c r="A59" s="1">
        <v>58</v>
      </c>
      <c r="B59" t="s">
        <v>791</v>
      </c>
      <c r="C59">
        <f xml:space="preserve">  81.59</f>
        <v>81.59</v>
      </c>
      <c r="D59">
        <v>24</v>
      </c>
      <c r="E59">
        <v>12</v>
      </c>
      <c r="F59">
        <v>78.290000000000006</v>
      </c>
      <c r="G59">
        <v>1</v>
      </c>
      <c r="H59">
        <v>5</v>
      </c>
      <c r="I59">
        <v>6</v>
      </c>
      <c r="J59">
        <v>9</v>
      </c>
      <c r="K59">
        <v>81.13</v>
      </c>
      <c r="L59">
        <v>81.84</v>
      </c>
      <c r="M59">
        <v>84.19</v>
      </c>
    </row>
    <row r="60" spans="1:13" x14ac:dyDescent="0.2">
      <c r="A60" s="1">
        <v>59</v>
      </c>
      <c r="B60" t="s">
        <v>43</v>
      </c>
      <c r="C60">
        <f xml:space="preserve">  81.58</f>
        <v>81.58</v>
      </c>
      <c r="D60">
        <v>15</v>
      </c>
      <c r="E60">
        <v>18</v>
      </c>
      <c r="F60">
        <v>80.86</v>
      </c>
      <c r="G60">
        <v>1</v>
      </c>
      <c r="H60">
        <v>8</v>
      </c>
      <c r="I60">
        <v>3</v>
      </c>
      <c r="J60">
        <v>12</v>
      </c>
      <c r="K60">
        <v>81.430000000000007</v>
      </c>
      <c r="L60">
        <v>80.78</v>
      </c>
      <c r="M60">
        <v>82.84</v>
      </c>
    </row>
    <row r="61" spans="1:13" x14ac:dyDescent="0.2">
      <c r="A61" s="1">
        <v>60</v>
      </c>
      <c r="B61" t="s">
        <v>128</v>
      </c>
      <c r="C61">
        <f xml:space="preserve">  81.42</f>
        <v>81.42</v>
      </c>
      <c r="D61">
        <v>24</v>
      </c>
      <c r="E61">
        <v>8</v>
      </c>
      <c r="F61">
        <v>74.3</v>
      </c>
      <c r="G61">
        <v>0</v>
      </c>
      <c r="H61">
        <v>0</v>
      </c>
      <c r="I61">
        <v>0</v>
      </c>
      <c r="J61">
        <v>4</v>
      </c>
      <c r="K61">
        <v>81.3</v>
      </c>
      <c r="L61">
        <v>81.56</v>
      </c>
      <c r="M61">
        <v>78.680000000000007</v>
      </c>
    </row>
    <row r="62" spans="1:13" x14ac:dyDescent="0.2">
      <c r="A62" s="1">
        <v>61</v>
      </c>
      <c r="B62" t="s">
        <v>68</v>
      </c>
      <c r="C62">
        <f xml:space="preserve">  81.13</f>
        <v>81.13</v>
      </c>
      <c r="D62">
        <v>26</v>
      </c>
      <c r="E62">
        <v>8</v>
      </c>
      <c r="F62">
        <v>75.27</v>
      </c>
      <c r="G62">
        <v>0</v>
      </c>
      <c r="H62">
        <v>1</v>
      </c>
      <c r="I62">
        <v>4</v>
      </c>
      <c r="J62">
        <v>3</v>
      </c>
      <c r="K62">
        <v>80.77</v>
      </c>
      <c r="L62">
        <v>81.83</v>
      </c>
      <c r="M62">
        <v>80.09</v>
      </c>
    </row>
    <row r="63" spans="1:13" x14ac:dyDescent="0.2">
      <c r="A63" s="1">
        <v>62</v>
      </c>
      <c r="B63" t="s">
        <v>286</v>
      </c>
      <c r="C63">
        <f xml:space="preserve">  81.08</f>
        <v>81.08</v>
      </c>
      <c r="D63">
        <v>18</v>
      </c>
      <c r="E63">
        <v>15</v>
      </c>
      <c r="F63">
        <v>80.53</v>
      </c>
      <c r="G63">
        <v>3</v>
      </c>
      <c r="H63">
        <v>4</v>
      </c>
      <c r="I63">
        <v>7</v>
      </c>
      <c r="J63">
        <v>10</v>
      </c>
      <c r="K63">
        <v>80.790000000000006</v>
      </c>
      <c r="L63">
        <v>81.22</v>
      </c>
      <c r="M63">
        <v>80.739999999999995</v>
      </c>
    </row>
    <row r="64" spans="1:13" x14ac:dyDescent="0.2">
      <c r="A64" s="1">
        <v>63</v>
      </c>
      <c r="B64" t="s">
        <v>120</v>
      </c>
      <c r="C64">
        <f xml:space="preserve">  81</f>
        <v>81</v>
      </c>
      <c r="D64">
        <v>22</v>
      </c>
      <c r="E64">
        <v>11</v>
      </c>
      <c r="F64">
        <v>78.790000000000006</v>
      </c>
      <c r="G64">
        <v>1</v>
      </c>
      <c r="H64">
        <v>5</v>
      </c>
      <c r="I64">
        <v>3</v>
      </c>
      <c r="J64">
        <v>7</v>
      </c>
      <c r="K64">
        <v>80.680000000000007</v>
      </c>
      <c r="L64">
        <v>82</v>
      </c>
      <c r="M64">
        <v>78.48</v>
      </c>
    </row>
    <row r="65" spans="1:13" x14ac:dyDescent="0.2">
      <c r="A65" s="1">
        <v>64</v>
      </c>
      <c r="B65" t="s">
        <v>797</v>
      </c>
      <c r="C65">
        <f xml:space="preserve">  80.85</f>
        <v>80.849999999999994</v>
      </c>
      <c r="D65">
        <v>22</v>
      </c>
      <c r="E65">
        <v>9</v>
      </c>
      <c r="F65">
        <v>74.16</v>
      </c>
      <c r="G65">
        <v>0</v>
      </c>
      <c r="H65">
        <v>0</v>
      </c>
      <c r="I65">
        <v>1</v>
      </c>
      <c r="J65">
        <v>3</v>
      </c>
      <c r="K65">
        <v>81.14</v>
      </c>
      <c r="L65">
        <v>80.86</v>
      </c>
      <c r="M65">
        <v>73.900000000000006</v>
      </c>
    </row>
    <row r="66" spans="1:13" x14ac:dyDescent="0.2">
      <c r="A66" s="1">
        <v>65</v>
      </c>
      <c r="B66" t="s">
        <v>61</v>
      </c>
      <c r="C66">
        <f xml:space="preserve">  80.72</f>
        <v>80.72</v>
      </c>
      <c r="D66">
        <v>17</v>
      </c>
      <c r="E66">
        <v>16</v>
      </c>
      <c r="F66">
        <v>75.11</v>
      </c>
      <c r="G66">
        <v>2</v>
      </c>
      <c r="H66">
        <v>6</v>
      </c>
      <c r="I66">
        <v>3</v>
      </c>
      <c r="J66">
        <v>7</v>
      </c>
      <c r="K66">
        <v>80.819999999999993</v>
      </c>
      <c r="L66">
        <v>79.709999999999994</v>
      </c>
      <c r="M66">
        <v>78.78</v>
      </c>
    </row>
    <row r="67" spans="1:13" x14ac:dyDescent="0.2">
      <c r="A67" s="1">
        <v>66</v>
      </c>
      <c r="B67" t="s">
        <v>121</v>
      </c>
      <c r="C67">
        <f xml:space="preserve">  80.59</f>
        <v>80.59</v>
      </c>
      <c r="D67">
        <v>26</v>
      </c>
      <c r="E67">
        <v>11</v>
      </c>
      <c r="F67">
        <v>74.66</v>
      </c>
      <c r="G67">
        <v>1</v>
      </c>
      <c r="H67">
        <v>1</v>
      </c>
      <c r="I67">
        <v>3</v>
      </c>
      <c r="J67">
        <v>1</v>
      </c>
      <c r="K67">
        <v>80.28</v>
      </c>
      <c r="L67">
        <v>79.73</v>
      </c>
      <c r="M67">
        <v>86.28</v>
      </c>
    </row>
    <row r="68" spans="1:13" x14ac:dyDescent="0.2">
      <c r="A68" s="1">
        <v>67</v>
      </c>
      <c r="B68" t="s">
        <v>46</v>
      </c>
      <c r="C68">
        <f xml:space="preserve">  80.48</f>
        <v>80.48</v>
      </c>
      <c r="D68">
        <v>16</v>
      </c>
      <c r="E68">
        <v>15</v>
      </c>
      <c r="F68">
        <v>79.41</v>
      </c>
      <c r="G68">
        <v>0</v>
      </c>
      <c r="H68">
        <v>8</v>
      </c>
      <c r="I68">
        <v>3</v>
      </c>
      <c r="J68">
        <v>9</v>
      </c>
      <c r="K68">
        <v>80.84</v>
      </c>
      <c r="L68">
        <v>80.16</v>
      </c>
      <c r="M68">
        <v>73.69</v>
      </c>
    </row>
    <row r="69" spans="1:13" x14ac:dyDescent="0.2">
      <c r="A69" s="1">
        <v>68</v>
      </c>
      <c r="B69" t="s">
        <v>55</v>
      </c>
      <c r="C69">
        <f xml:space="preserve">  80.34</f>
        <v>80.34</v>
      </c>
      <c r="D69">
        <v>15</v>
      </c>
      <c r="E69">
        <v>17</v>
      </c>
      <c r="F69">
        <v>81.180000000000007</v>
      </c>
      <c r="G69">
        <v>3</v>
      </c>
      <c r="H69">
        <v>7</v>
      </c>
      <c r="I69">
        <v>4</v>
      </c>
      <c r="J69">
        <v>11</v>
      </c>
      <c r="K69">
        <v>80.28</v>
      </c>
      <c r="L69">
        <v>79.81</v>
      </c>
      <c r="M69">
        <v>79.069999999999993</v>
      </c>
    </row>
    <row r="70" spans="1:13" x14ac:dyDescent="0.2">
      <c r="A70" s="1">
        <v>69</v>
      </c>
      <c r="B70" t="s">
        <v>116</v>
      </c>
      <c r="C70">
        <f xml:space="preserve">  80.28</f>
        <v>80.28</v>
      </c>
      <c r="D70">
        <v>26</v>
      </c>
      <c r="E70">
        <v>9</v>
      </c>
      <c r="F70">
        <v>72.459999999999994</v>
      </c>
      <c r="G70">
        <v>1</v>
      </c>
      <c r="H70">
        <v>3</v>
      </c>
      <c r="I70">
        <v>1</v>
      </c>
      <c r="J70">
        <v>4</v>
      </c>
      <c r="K70">
        <v>79.680000000000007</v>
      </c>
      <c r="L70">
        <v>80.260000000000005</v>
      </c>
      <c r="M70">
        <v>90.67</v>
      </c>
    </row>
    <row r="71" spans="1:13" x14ac:dyDescent="0.2">
      <c r="A71" s="1">
        <v>70</v>
      </c>
      <c r="B71" t="s">
        <v>79</v>
      </c>
      <c r="C71">
        <f xml:space="preserve">  80.21</f>
        <v>80.209999999999994</v>
      </c>
      <c r="D71">
        <v>14</v>
      </c>
      <c r="E71">
        <v>17</v>
      </c>
      <c r="F71">
        <v>80.16</v>
      </c>
      <c r="G71">
        <v>1</v>
      </c>
      <c r="H71">
        <v>5</v>
      </c>
      <c r="I71">
        <v>2</v>
      </c>
      <c r="J71">
        <v>11</v>
      </c>
      <c r="K71">
        <v>80.95</v>
      </c>
      <c r="L71">
        <v>80.319999999999993</v>
      </c>
      <c r="M71">
        <v>68.11</v>
      </c>
    </row>
    <row r="72" spans="1:13" x14ac:dyDescent="0.2">
      <c r="A72" s="1">
        <v>71</v>
      </c>
      <c r="B72" t="s">
        <v>819</v>
      </c>
      <c r="C72">
        <f xml:space="preserve">  80.06</f>
        <v>80.06</v>
      </c>
      <c r="D72">
        <v>25</v>
      </c>
      <c r="E72">
        <v>6</v>
      </c>
      <c r="F72">
        <v>70.98</v>
      </c>
      <c r="G72">
        <v>0</v>
      </c>
      <c r="H72">
        <v>1</v>
      </c>
      <c r="I72">
        <v>1</v>
      </c>
      <c r="J72">
        <v>3</v>
      </c>
      <c r="K72">
        <v>79.81</v>
      </c>
      <c r="L72">
        <v>80</v>
      </c>
      <c r="M72">
        <v>79.89</v>
      </c>
    </row>
    <row r="73" spans="1:13" x14ac:dyDescent="0.2">
      <c r="A73" s="1">
        <v>72</v>
      </c>
      <c r="B73" t="s">
        <v>280</v>
      </c>
      <c r="C73">
        <f xml:space="preserve">  79.94</f>
        <v>79.94</v>
      </c>
      <c r="D73">
        <v>25</v>
      </c>
      <c r="E73">
        <v>7</v>
      </c>
      <c r="F73">
        <v>71.06</v>
      </c>
      <c r="G73">
        <v>0</v>
      </c>
      <c r="H73">
        <v>0</v>
      </c>
      <c r="I73">
        <v>0</v>
      </c>
      <c r="J73">
        <v>0</v>
      </c>
      <c r="K73">
        <v>79.95</v>
      </c>
      <c r="L73">
        <v>79.069999999999993</v>
      </c>
      <c r="M73">
        <v>78.819999999999993</v>
      </c>
    </row>
    <row r="74" spans="1:13" x14ac:dyDescent="0.2">
      <c r="A74" s="1">
        <v>73</v>
      </c>
      <c r="B74" t="s">
        <v>58</v>
      </c>
      <c r="C74">
        <f xml:space="preserve">  79.93</f>
        <v>79.930000000000007</v>
      </c>
      <c r="D74">
        <v>24</v>
      </c>
      <c r="E74">
        <v>11</v>
      </c>
      <c r="F74">
        <v>72.88</v>
      </c>
      <c r="G74">
        <v>0</v>
      </c>
      <c r="H74">
        <v>3</v>
      </c>
      <c r="I74">
        <v>1</v>
      </c>
      <c r="J74">
        <v>6</v>
      </c>
      <c r="K74">
        <v>79.67</v>
      </c>
      <c r="L74">
        <v>79.930000000000007</v>
      </c>
      <c r="M74">
        <v>79.59</v>
      </c>
    </row>
    <row r="75" spans="1:13" x14ac:dyDescent="0.2">
      <c r="A75" s="1">
        <v>74</v>
      </c>
      <c r="B75" t="s">
        <v>96</v>
      </c>
      <c r="C75">
        <f xml:space="preserve">  79.87</f>
        <v>79.87</v>
      </c>
      <c r="D75">
        <v>16</v>
      </c>
      <c r="E75">
        <v>16</v>
      </c>
      <c r="F75">
        <v>79.83</v>
      </c>
      <c r="G75">
        <v>2</v>
      </c>
      <c r="H75">
        <v>6</v>
      </c>
      <c r="I75">
        <v>3</v>
      </c>
      <c r="J75">
        <v>11</v>
      </c>
      <c r="K75">
        <v>79.8</v>
      </c>
      <c r="L75">
        <v>79.97</v>
      </c>
      <c r="M75">
        <v>76.59</v>
      </c>
    </row>
    <row r="76" spans="1:13" x14ac:dyDescent="0.2">
      <c r="A76" s="1">
        <v>75</v>
      </c>
      <c r="B76" t="s">
        <v>273</v>
      </c>
      <c r="C76">
        <f xml:space="preserve">  79.81</f>
        <v>79.81</v>
      </c>
      <c r="D76">
        <v>18</v>
      </c>
      <c r="E76">
        <v>15</v>
      </c>
      <c r="F76">
        <v>79.680000000000007</v>
      </c>
      <c r="G76">
        <v>4</v>
      </c>
      <c r="H76">
        <v>3</v>
      </c>
      <c r="I76">
        <v>7</v>
      </c>
      <c r="J76">
        <v>8</v>
      </c>
      <c r="K76">
        <v>79.92</v>
      </c>
      <c r="L76">
        <v>79.5</v>
      </c>
      <c r="M76">
        <v>75.41</v>
      </c>
    </row>
    <row r="77" spans="1:13" x14ac:dyDescent="0.2">
      <c r="A77" s="1">
        <v>76</v>
      </c>
      <c r="B77" t="s">
        <v>32</v>
      </c>
      <c r="C77">
        <f xml:space="preserve">  79.49</f>
        <v>79.489999999999995</v>
      </c>
      <c r="D77">
        <v>14</v>
      </c>
      <c r="E77">
        <v>19</v>
      </c>
      <c r="F77">
        <v>79.38</v>
      </c>
      <c r="G77">
        <v>0</v>
      </c>
      <c r="H77">
        <v>7</v>
      </c>
      <c r="I77">
        <v>0</v>
      </c>
      <c r="J77">
        <v>11</v>
      </c>
      <c r="K77">
        <v>79.37</v>
      </c>
      <c r="L77">
        <v>78.91</v>
      </c>
      <c r="M77">
        <v>79.209999999999994</v>
      </c>
    </row>
    <row r="78" spans="1:13" x14ac:dyDescent="0.2">
      <c r="A78" s="1">
        <v>77</v>
      </c>
      <c r="B78" t="s">
        <v>122</v>
      </c>
      <c r="C78">
        <f xml:space="preserve">  79.29</f>
        <v>79.290000000000006</v>
      </c>
      <c r="D78">
        <v>19</v>
      </c>
      <c r="E78">
        <v>16</v>
      </c>
      <c r="F78">
        <v>79.459999999999994</v>
      </c>
      <c r="G78">
        <v>2</v>
      </c>
      <c r="H78">
        <v>6</v>
      </c>
      <c r="I78">
        <v>4</v>
      </c>
      <c r="J78">
        <v>12</v>
      </c>
      <c r="K78">
        <v>79.23</v>
      </c>
      <c r="L78">
        <v>79.2</v>
      </c>
      <c r="M78">
        <v>76.349999999999994</v>
      </c>
    </row>
    <row r="79" spans="1:13" x14ac:dyDescent="0.2">
      <c r="A79" s="1">
        <v>78</v>
      </c>
      <c r="B79" t="s">
        <v>76</v>
      </c>
      <c r="C79">
        <f xml:space="preserve">  79.14</f>
        <v>79.14</v>
      </c>
      <c r="D79">
        <v>12</v>
      </c>
      <c r="E79">
        <v>20</v>
      </c>
      <c r="F79">
        <v>81.099999999999994</v>
      </c>
      <c r="G79">
        <v>1</v>
      </c>
      <c r="H79">
        <v>8</v>
      </c>
      <c r="I79">
        <v>3</v>
      </c>
      <c r="J79">
        <v>13</v>
      </c>
      <c r="K79">
        <v>79.16</v>
      </c>
      <c r="L79">
        <v>78.569999999999993</v>
      </c>
      <c r="M79">
        <v>76.739999999999995</v>
      </c>
    </row>
    <row r="80" spans="1:13" x14ac:dyDescent="0.2">
      <c r="A80" s="1">
        <v>79</v>
      </c>
      <c r="B80" t="s">
        <v>98</v>
      </c>
      <c r="C80">
        <f xml:space="preserve">  79.04</f>
        <v>79.040000000000006</v>
      </c>
      <c r="D80">
        <v>19</v>
      </c>
      <c r="E80">
        <v>16</v>
      </c>
      <c r="F80">
        <v>77.61</v>
      </c>
      <c r="G80">
        <v>0</v>
      </c>
      <c r="H80">
        <v>6</v>
      </c>
      <c r="I80">
        <v>2</v>
      </c>
      <c r="J80">
        <v>10</v>
      </c>
      <c r="K80">
        <v>78.73</v>
      </c>
      <c r="L80">
        <v>79.069999999999993</v>
      </c>
      <c r="M80">
        <v>79.39</v>
      </c>
    </row>
    <row r="81" spans="1:13" x14ac:dyDescent="0.2">
      <c r="A81" s="1">
        <v>80</v>
      </c>
      <c r="B81" t="s">
        <v>795</v>
      </c>
      <c r="C81">
        <f xml:space="preserve">  78.74</f>
        <v>78.739999999999995</v>
      </c>
      <c r="D81">
        <v>13</v>
      </c>
      <c r="E81">
        <v>18</v>
      </c>
      <c r="F81">
        <v>81.599999999999994</v>
      </c>
      <c r="G81">
        <v>2</v>
      </c>
      <c r="H81">
        <v>5</v>
      </c>
      <c r="I81">
        <v>4</v>
      </c>
      <c r="J81">
        <v>17</v>
      </c>
      <c r="K81">
        <v>78.67</v>
      </c>
      <c r="L81">
        <v>79.62</v>
      </c>
      <c r="M81">
        <v>73.09</v>
      </c>
    </row>
    <row r="82" spans="1:13" x14ac:dyDescent="0.2">
      <c r="A82" s="1">
        <v>81</v>
      </c>
      <c r="B82" t="s">
        <v>798</v>
      </c>
      <c r="C82">
        <f xml:space="preserve">  78.6</f>
        <v>78.599999999999994</v>
      </c>
      <c r="D82">
        <v>24</v>
      </c>
      <c r="E82">
        <v>6</v>
      </c>
      <c r="F82">
        <v>69.22</v>
      </c>
      <c r="G82">
        <v>0</v>
      </c>
      <c r="H82">
        <v>1</v>
      </c>
      <c r="I82">
        <v>0</v>
      </c>
      <c r="J82">
        <v>2</v>
      </c>
      <c r="K82">
        <v>78.23</v>
      </c>
      <c r="L82">
        <v>78.45</v>
      </c>
      <c r="M82">
        <v>81.13</v>
      </c>
    </row>
    <row r="83" spans="1:13" x14ac:dyDescent="0.2">
      <c r="A83" s="1">
        <v>82</v>
      </c>
      <c r="B83" t="s">
        <v>551</v>
      </c>
      <c r="C83">
        <v>78.55</v>
      </c>
      <c r="D83">
        <v>25</v>
      </c>
      <c r="E83">
        <v>7</v>
      </c>
      <c r="F83">
        <v>70.150000000000006</v>
      </c>
      <c r="G83">
        <v>0</v>
      </c>
      <c r="H83">
        <v>1</v>
      </c>
      <c r="I83">
        <v>0</v>
      </c>
      <c r="J83">
        <v>1</v>
      </c>
      <c r="K83">
        <v>78.95</v>
      </c>
      <c r="L83">
        <v>78.28</v>
      </c>
      <c r="M83">
        <v>70.48</v>
      </c>
    </row>
    <row r="84" spans="1:13" x14ac:dyDescent="0.2">
      <c r="A84" s="1">
        <v>83</v>
      </c>
      <c r="B84" t="s">
        <v>859</v>
      </c>
      <c r="C84">
        <f xml:space="preserve">  78.54</f>
        <v>78.540000000000006</v>
      </c>
      <c r="D84">
        <v>24</v>
      </c>
      <c r="E84">
        <v>7</v>
      </c>
      <c r="F84">
        <v>71.73</v>
      </c>
      <c r="G84">
        <v>0</v>
      </c>
      <c r="H84">
        <v>3</v>
      </c>
      <c r="I84">
        <v>0</v>
      </c>
      <c r="J84">
        <v>3</v>
      </c>
      <c r="K84">
        <v>78.19</v>
      </c>
      <c r="L84">
        <v>78.56</v>
      </c>
      <c r="M84">
        <v>79.64</v>
      </c>
    </row>
    <row r="85" spans="1:13" x14ac:dyDescent="0.2">
      <c r="A85" s="1">
        <v>84</v>
      </c>
      <c r="B85" t="s">
        <v>112</v>
      </c>
      <c r="C85">
        <f xml:space="preserve">  78.48</f>
        <v>78.48</v>
      </c>
      <c r="D85">
        <v>17</v>
      </c>
      <c r="E85">
        <v>16</v>
      </c>
      <c r="F85">
        <v>79.44</v>
      </c>
      <c r="G85">
        <v>2</v>
      </c>
      <c r="H85">
        <v>7</v>
      </c>
      <c r="I85">
        <v>3</v>
      </c>
      <c r="J85">
        <v>8</v>
      </c>
      <c r="K85">
        <v>78.38</v>
      </c>
      <c r="L85">
        <v>78.819999999999993</v>
      </c>
      <c r="M85">
        <v>74.8</v>
      </c>
    </row>
    <row r="86" spans="1:13" x14ac:dyDescent="0.2">
      <c r="A86" s="1">
        <v>85</v>
      </c>
      <c r="B86" t="s">
        <v>804</v>
      </c>
      <c r="C86">
        <f xml:space="preserve">  78.44</f>
        <v>78.44</v>
      </c>
      <c r="D86">
        <v>19</v>
      </c>
      <c r="E86">
        <v>11</v>
      </c>
      <c r="F86">
        <v>73.010000000000005</v>
      </c>
      <c r="G86">
        <v>0</v>
      </c>
      <c r="H86">
        <v>0</v>
      </c>
      <c r="I86">
        <v>2</v>
      </c>
      <c r="J86">
        <v>4</v>
      </c>
      <c r="K86">
        <v>78.540000000000006</v>
      </c>
      <c r="L86">
        <v>78.22</v>
      </c>
      <c r="M86">
        <v>73.819999999999993</v>
      </c>
    </row>
    <row r="87" spans="1:13" x14ac:dyDescent="0.2">
      <c r="A87" s="1">
        <v>86</v>
      </c>
      <c r="B87" t="s">
        <v>103</v>
      </c>
      <c r="C87">
        <f xml:space="preserve">  78.4</f>
        <v>78.400000000000006</v>
      </c>
      <c r="D87">
        <v>15</v>
      </c>
      <c r="E87">
        <v>17</v>
      </c>
      <c r="F87">
        <v>78.53</v>
      </c>
      <c r="G87">
        <v>0</v>
      </c>
      <c r="H87">
        <v>5</v>
      </c>
      <c r="I87">
        <v>2</v>
      </c>
      <c r="J87">
        <v>8</v>
      </c>
      <c r="K87">
        <v>78.650000000000006</v>
      </c>
      <c r="L87">
        <v>79.040000000000006</v>
      </c>
      <c r="M87">
        <v>69.209999999999994</v>
      </c>
    </row>
    <row r="88" spans="1:13" x14ac:dyDescent="0.2">
      <c r="A88" s="1">
        <v>87</v>
      </c>
      <c r="B88" t="s">
        <v>34</v>
      </c>
      <c r="C88">
        <f xml:space="preserve">  78.39</f>
        <v>78.39</v>
      </c>
      <c r="D88">
        <v>13</v>
      </c>
      <c r="E88">
        <v>18</v>
      </c>
      <c r="F88">
        <v>78.67</v>
      </c>
      <c r="G88">
        <v>0</v>
      </c>
      <c r="H88">
        <v>5</v>
      </c>
      <c r="I88">
        <v>1</v>
      </c>
      <c r="J88">
        <v>7</v>
      </c>
      <c r="K88">
        <v>78.709999999999994</v>
      </c>
      <c r="L88">
        <v>77.47</v>
      </c>
      <c r="M88">
        <v>73.290000000000006</v>
      </c>
    </row>
    <row r="89" spans="1:13" x14ac:dyDescent="0.2">
      <c r="A89" s="1">
        <v>88</v>
      </c>
      <c r="B89" t="s">
        <v>53</v>
      </c>
      <c r="C89">
        <f xml:space="preserve">  78.34</f>
        <v>78.34</v>
      </c>
      <c r="D89">
        <v>11</v>
      </c>
      <c r="E89">
        <v>20</v>
      </c>
      <c r="F89">
        <v>79.59</v>
      </c>
      <c r="G89">
        <v>1</v>
      </c>
      <c r="H89">
        <v>7</v>
      </c>
      <c r="I89">
        <v>2</v>
      </c>
      <c r="J89">
        <v>13</v>
      </c>
      <c r="K89">
        <v>78.86</v>
      </c>
      <c r="L89">
        <v>77.349999999999994</v>
      </c>
      <c r="M89">
        <v>70.959999999999994</v>
      </c>
    </row>
    <row r="90" spans="1:13" x14ac:dyDescent="0.2">
      <c r="A90" s="1">
        <v>89</v>
      </c>
      <c r="B90" t="s">
        <v>252</v>
      </c>
      <c r="C90">
        <f xml:space="preserve">  78.07</f>
        <v>78.069999999999993</v>
      </c>
      <c r="D90">
        <v>25</v>
      </c>
      <c r="E90">
        <v>10</v>
      </c>
      <c r="F90">
        <v>69.67</v>
      </c>
      <c r="G90">
        <v>0</v>
      </c>
      <c r="H90">
        <v>2</v>
      </c>
      <c r="I90">
        <v>0</v>
      </c>
      <c r="J90">
        <v>4</v>
      </c>
      <c r="K90">
        <v>77.72</v>
      </c>
      <c r="L90">
        <v>77.42</v>
      </c>
      <c r="M90">
        <v>82.67</v>
      </c>
    </row>
    <row r="91" spans="1:13" x14ac:dyDescent="0.2">
      <c r="A91" s="1">
        <v>90</v>
      </c>
      <c r="B91" t="s">
        <v>89</v>
      </c>
      <c r="C91">
        <f xml:space="preserve">  78</f>
        <v>78</v>
      </c>
      <c r="D91">
        <v>26</v>
      </c>
      <c r="E91">
        <v>8</v>
      </c>
      <c r="F91">
        <v>69.87</v>
      </c>
      <c r="G91">
        <v>0</v>
      </c>
      <c r="H91">
        <v>1</v>
      </c>
      <c r="I91">
        <v>0</v>
      </c>
      <c r="J91">
        <v>2</v>
      </c>
      <c r="K91">
        <v>78</v>
      </c>
      <c r="L91">
        <v>79</v>
      </c>
      <c r="M91">
        <v>70.94</v>
      </c>
    </row>
    <row r="92" spans="1:13" x14ac:dyDescent="0.2">
      <c r="A92" s="1">
        <v>91</v>
      </c>
      <c r="B92" t="s">
        <v>111</v>
      </c>
      <c r="C92">
        <f xml:space="preserve">  77.73</f>
        <v>77.73</v>
      </c>
      <c r="D92">
        <v>21</v>
      </c>
      <c r="E92">
        <v>13</v>
      </c>
      <c r="F92">
        <v>76.7</v>
      </c>
      <c r="G92">
        <v>2</v>
      </c>
      <c r="H92">
        <v>1</v>
      </c>
      <c r="I92">
        <v>3</v>
      </c>
      <c r="J92">
        <v>4</v>
      </c>
      <c r="K92">
        <v>77.41</v>
      </c>
      <c r="L92">
        <v>78.260000000000005</v>
      </c>
      <c r="M92">
        <v>76.47</v>
      </c>
    </row>
    <row r="93" spans="1:13" x14ac:dyDescent="0.2">
      <c r="A93" s="1">
        <v>92</v>
      </c>
      <c r="B93" t="s">
        <v>147</v>
      </c>
      <c r="C93">
        <f xml:space="preserve">  77.61</f>
        <v>77.61</v>
      </c>
      <c r="D93">
        <v>15</v>
      </c>
      <c r="E93">
        <v>15</v>
      </c>
      <c r="F93">
        <v>77.87</v>
      </c>
      <c r="G93">
        <v>2</v>
      </c>
      <c r="H93">
        <v>6</v>
      </c>
      <c r="I93">
        <v>2</v>
      </c>
      <c r="J93">
        <v>11</v>
      </c>
      <c r="K93">
        <v>77.680000000000007</v>
      </c>
      <c r="L93">
        <v>77.86</v>
      </c>
      <c r="M93">
        <v>71.760000000000005</v>
      </c>
    </row>
    <row r="94" spans="1:13" x14ac:dyDescent="0.2">
      <c r="A94" s="1">
        <v>93</v>
      </c>
      <c r="B94" t="s">
        <v>812</v>
      </c>
      <c r="C94">
        <f xml:space="preserve">  77.48</f>
        <v>77.48</v>
      </c>
      <c r="D94">
        <v>16</v>
      </c>
      <c r="E94">
        <v>16</v>
      </c>
      <c r="F94">
        <v>75.67</v>
      </c>
      <c r="G94">
        <v>0</v>
      </c>
      <c r="H94">
        <v>2</v>
      </c>
      <c r="I94">
        <v>1</v>
      </c>
      <c r="J94">
        <v>6</v>
      </c>
      <c r="K94">
        <v>77.44</v>
      </c>
      <c r="L94" t="s">
        <v>314</v>
      </c>
      <c r="M94">
        <v>76.61</v>
      </c>
    </row>
    <row r="95" spans="1:13" x14ac:dyDescent="0.2">
      <c r="A95" s="1">
        <v>94</v>
      </c>
      <c r="B95" t="s">
        <v>874</v>
      </c>
      <c r="C95">
        <v>77.45</v>
      </c>
      <c r="D95">
        <v>19</v>
      </c>
      <c r="E95">
        <v>13</v>
      </c>
      <c r="F95">
        <v>75.55</v>
      </c>
      <c r="G95">
        <v>0</v>
      </c>
      <c r="H95">
        <v>7</v>
      </c>
      <c r="I95">
        <v>1</v>
      </c>
      <c r="J95">
        <v>8</v>
      </c>
      <c r="K95">
        <v>77.05</v>
      </c>
      <c r="L95">
        <v>78.680000000000007</v>
      </c>
      <c r="M95">
        <v>75.14</v>
      </c>
    </row>
    <row r="96" spans="1:13" x14ac:dyDescent="0.2">
      <c r="A96" s="1">
        <v>95</v>
      </c>
      <c r="B96" t="s">
        <v>87</v>
      </c>
      <c r="C96">
        <f xml:space="preserve">  77.43</f>
        <v>77.430000000000007</v>
      </c>
      <c r="D96">
        <v>24</v>
      </c>
      <c r="E96">
        <v>9</v>
      </c>
      <c r="F96">
        <v>69.42</v>
      </c>
      <c r="G96">
        <v>0</v>
      </c>
      <c r="H96">
        <v>0</v>
      </c>
      <c r="I96">
        <v>0</v>
      </c>
      <c r="J96">
        <v>1</v>
      </c>
      <c r="K96">
        <v>77.459999999999994</v>
      </c>
      <c r="L96">
        <v>77.14</v>
      </c>
      <c r="M96">
        <v>73.849999999999994</v>
      </c>
    </row>
    <row r="97" spans="1:13" x14ac:dyDescent="0.2">
      <c r="A97" s="1">
        <v>96</v>
      </c>
      <c r="B97" t="s">
        <v>69</v>
      </c>
      <c r="C97">
        <f xml:space="preserve">  77.21</f>
        <v>77.209999999999994</v>
      </c>
      <c r="D97">
        <v>17</v>
      </c>
      <c r="E97">
        <v>15</v>
      </c>
      <c r="F97">
        <v>77.64</v>
      </c>
      <c r="G97">
        <v>1</v>
      </c>
      <c r="H97">
        <v>3</v>
      </c>
      <c r="I97">
        <v>3</v>
      </c>
      <c r="J97">
        <v>5</v>
      </c>
      <c r="K97">
        <v>76.819999999999993</v>
      </c>
      <c r="L97">
        <v>77.66</v>
      </c>
      <c r="M97">
        <v>77.400000000000006</v>
      </c>
    </row>
    <row r="98" spans="1:13" x14ac:dyDescent="0.2">
      <c r="A98" s="1">
        <v>97</v>
      </c>
      <c r="B98" t="s">
        <v>303</v>
      </c>
      <c r="C98">
        <f xml:space="preserve">  77.11</f>
        <v>77.11</v>
      </c>
      <c r="D98">
        <v>22</v>
      </c>
      <c r="E98">
        <v>9</v>
      </c>
      <c r="F98">
        <v>69.400000000000006</v>
      </c>
      <c r="G98">
        <v>0</v>
      </c>
      <c r="H98">
        <v>1</v>
      </c>
      <c r="I98">
        <v>0</v>
      </c>
      <c r="J98">
        <v>3</v>
      </c>
      <c r="K98">
        <v>77.63</v>
      </c>
      <c r="L98" t="s">
        <v>315</v>
      </c>
      <c r="M98">
        <v>67.319999999999993</v>
      </c>
    </row>
    <row r="99" spans="1:13" x14ac:dyDescent="0.2">
      <c r="A99" s="1">
        <v>98</v>
      </c>
      <c r="B99" t="s">
        <v>192</v>
      </c>
      <c r="C99">
        <f xml:space="preserve">  77.08</f>
        <v>77.08</v>
      </c>
      <c r="D99">
        <v>24</v>
      </c>
      <c r="E99">
        <v>8</v>
      </c>
      <c r="F99">
        <v>69.510000000000005</v>
      </c>
      <c r="G99">
        <v>0</v>
      </c>
      <c r="H99">
        <v>1</v>
      </c>
      <c r="I99">
        <v>0</v>
      </c>
      <c r="J99">
        <v>2</v>
      </c>
      <c r="K99">
        <v>76.58</v>
      </c>
      <c r="L99" t="s">
        <v>316</v>
      </c>
      <c r="M99">
        <v>85.96</v>
      </c>
    </row>
    <row r="100" spans="1:13" x14ac:dyDescent="0.2">
      <c r="A100" s="1">
        <v>99</v>
      </c>
      <c r="B100" t="s">
        <v>100</v>
      </c>
      <c r="C100">
        <f xml:space="preserve">  77.02</f>
        <v>77.02</v>
      </c>
      <c r="D100">
        <v>12</v>
      </c>
      <c r="E100">
        <v>20</v>
      </c>
      <c r="F100">
        <v>79.84</v>
      </c>
      <c r="G100">
        <v>1</v>
      </c>
      <c r="H100">
        <v>4</v>
      </c>
      <c r="I100">
        <v>3</v>
      </c>
      <c r="J100">
        <v>11</v>
      </c>
      <c r="K100">
        <v>77.27</v>
      </c>
      <c r="L100">
        <v>77.13</v>
      </c>
      <c r="M100">
        <v>68.98</v>
      </c>
    </row>
    <row r="101" spans="1:13" x14ac:dyDescent="0.2">
      <c r="A101" s="1">
        <v>100</v>
      </c>
      <c r="B101" t="s">
        <v>130</v>
      </c>
      <c r="C101">
        <f xml:space="preserve">  76.92</f>
        <v>76.92</v>
      </c>
      <c r="D101">
        <v>13</v>
      </c>
      <c r="E101">
        <v>19</v>
      </c>
      <c r="F101">
        <v>79.239999999999995</v>
      </c>
      <c r="G101">
        <v>0</v>
      </c>
      <c r="H101">
        <v>8</v>
      </c>
      <c r="I101">
        <v>3</v>
      </c>
      <c r="J101">
        <v>12</v>
      </c>
      <c r="K101">
        <v>76.84</v>
      </c>
      <c r="L101">
        <v>77.3</v>
      </c>
      <c r="M101">
        <v>72.58</v>
      </c>
    </row>
    <row r="102" spans="1:13" x14ac:dyDescent="0.2">
      <c r="A102" s="1">
        <v>101</v>
      </c>
      <c r="B102" t="s">
        <v>278</v>
      </c>
      <c r="C102">
        <f xml:space="preserve">  76.91</f>
        <v>76.91</v>
      </c>
      <c r="D102">
        <v>24</v>
      </c>
      <c r="E102">
        <v>8</v>
      </c>
      <c r="F102">
        <v>68.84</v>
      </c>
      <c r="G102">
        <v>0</v>
      </c>
      <c r="H102">
        <v>2</v>
      </c>
      <c r="I102">
        <v>0</v>
      </c>
      <c r="J102">
        <v>2</v>
      </c>
      <c r="K102">
        <v>76.38</v>
      </c>
      <c r="L102" t="s">
        <v>317</v>
      </c>
      <c r="M102">
        <v>85.2</v>
      </c>
    </row>
    <row r="103" spans="1:13" x14ac:dyDescent="0.2">
      <c r="A103" s="1">
        <v>102</v>
      </c>
      <c r="B103" t="s">
        <v>783</v>
      </c>
      <c r="C103">
        <f xml:space="preserve">  76.88</f>
        <v>76.88</v>
      </c>
      <c r="D103">
        <v>16</v>
      </c>
      <c r="E103">
        <v>16</v>
      </c>
      <c r="F103">
        <v>74.010000000000005</v>
      </c>
      <c r="G103">
        <v>0</v>
      </c>
      <c r="H103">
        <v>1</v>
      </c>
      <c r="I103">
        <v>1</v>
      </c>
      <c r="J103">
        <v>2</v>
      </c>
      <c r="K103">
        <v>76.349999999999994</v>
      </c>
      <c r="L103" t="s">
        <v>318</v>
      </c>
      <c r="M103">
        <v>83.39</v>
      </c>
    </row>
    <row r="104" spans="1:13" x14ac:dyDescent="0.2">
      <c r="A104" s="1">
        <v>103</v>
      </c>
      <c r="B104" t="s">
        <v>290</v>
      </c>
      <c r="C104">
        <f xml:space="preserve">  76.86</f>
        <v>76.86</v>
      </c>
      <c r="D104">
        <v>20</v>
      </c>
      <c r="E104">
        <v>10</v>
      </c>
      <c r="F104">
        <v>69.489999999999995</v>
      </c>
      <c r="G104">
        <v>0</v>
      </c>
      <c r="H104">
        <v>1</v>
      </c>
      <c r="I104">
        <v>0</v>
      </c>
      <c r="J104">
        <v>2</v>
      </c>
      <c r="K104">
        <v>77.239999999999995</v>
      </c>
      <c r="L104" t="s">
        <v>319</v>
      </c>
      <c r="M104">
        <v>70.86</v>
      </c>
    </row>
    <row r="105" spans="1:13" x14ac:dyDescent="0.2">
      <c r="A105" s="1">
        <v>104</v>
      </c>
      <c r="B105" t="s">
        <v>194</v>
      </c>
      <c r="C105">
        <f xml:space="preserve">  76.77</f>
        <v>76.77</v>
      </c>
      <c r="D105">
        <v>22</v>
      </c>
      <c r="E105">
        <v>10</v>
      </c>
      <c r="F105">
        <v>72.05</v>
      </c>
      <c r="G105">
        <v>0</v>
      </c>
      <c r="H105">
        <v>1</v>
      </c>
      <c r="I105">
        <v>0</v>
      </c>
      <c r="J105">
        <v>1</v>
      </c>
      <c r="K105">
        <v>76.349999999999994</v>
      </c>
      <c r="L105">
        <v>76.86</v>
      </c>
      <c r="M105">
        <v>78.88</v>
      </c>
    </row>
    <row r="106" spans="1:13" x14ac:dyDescent="0.2">
      <c r="A106" s="1">
        <v>105</v>
      </c>
      <c r="B106" t="s">
        <v>149</v>
      </c>
      <c r="C106">
        <f xml:space="preserve">  76.76</f>
        <v>76.760000000000005</v>
      </c>
      <c r="D106">
        <v>19</v>
      </c>
      <c r="E106">
        <v>12</v>
      </c>
      <c r="F106">
        <v>73.8</v>
      </c>
      <c r="G106">
        <v>0</v>
      </c>
      <c r="H106">
        <v>4</v>
      </c>
      <c r="I106">
        <v>1</v>
      </c>
      <c r="J106">
        <v>5</v>
      </c>
      <c r="K106">
        <v>76.47</v>
      </c>
      <c r="L106">
        <v>77</v>
      </c>
      <c r="M106">
        <v>76.03</v>
      </c>
    </row>
    <row r="107" spans="1:13" x14ac:dyDescent="0.2">
      <c r="A107" s="1">
        <v>106</v>
      </c>
      <c r="B107" t="s">
        <v>553</v>
      </c>
      <c r="C107">
        <v>76.48</v>
      </c>
      <c r="D107">
        <v>23</v>
      </c>
      <c r="E107">
        <v>9</v>
      </c>
      <c r="F107">
        <v>69.11</v>
      </c>
      <c r="G107">
        <v>0</v>
      </c>
      <c r="H107">
        <v>2</v>
      </c>
      <c r="I107">
        <v>0</v>
      </c>
      <c r="J107">
        <v>2</v>
      </c>
      <c r="K107">
        <v>76.19</v>
      </c>
      <c r="L107" t="s">
        <v>320</v>
      </c>
      <c r="M107">
        <v>78.28</v>
      </c>
    </row>
    <row r="108" spans="1:13" x14ac:dyDescent="0.2">
      <c r="A108" s="1">
        <v>107</v>
      </c>
      <c r="B108" t="s">
        <v>97</v>
      </c>
      <c r="C108">
        <f xml:space="preserve">  76.48</f>
        <v>76.48</v>
      </c>
      <c r="D108">
        <v>11</v>
      </c>
      <c r="E108">
        <v>20</v>
      </c>
      <c r="F108">
        <v>80.489999999999995</v>
      </c>
      <c r="G108">
        <v>0</v>
      </c>
      <c r="H108">
        <v>9</v>
      </c>
      <c r="I108">
        <v>1</v>
      </c>
      <c r="J108">
        <v>14</v>
      </c>
      <c r="K108">
        <v>76.209999999999994</v>
      </c>
      <c r="L108" t="s">
        <v>321</v>
      </c>
      <c r="M108">
        <v>79.83</v>
      </c>
    </row>
    <row r="109" spans="1:13" x14ac:dyDescent="0.2">
      <c r="A109" s="1">
        <v>108</v>
      </c>
      <c r="B109" t="s">
        <v>115</v>
      </c>
      <c r="C109">
        <f xml:space="preserve">  76.45</f>
        <v>76.45</v>
      </c>
      <c r="D109">
        <v>20</v>
      </c>
      <c r="E109">
        <v>13</v>
      </c>
      <c r="F109">
        <v>72.95</v>
      </c>
      <c r="G109">
        <v>0</v>
      </c>
      <c r="H109">
        <v>1</v>
      </c>
      <c r="I109">
        <v>2</v>
      </c>
      <c r="J109">
        <v>4</v>
      </c>
      <c r="K109">
        <v>76.73</v>
      </c>
      <c r="L109" t="s">
        <v>322</v>
      </c>
      <c r="M109">
        <v>68.069999999999993</v>
      </c>
    </row>
    <row r="110" spans="1:13" x14ac:dyDescent="0.2">
      <c r="A110" s="1">
        <v>109</v>
      </c>
      <c r="B110" t="s">
        <v>276</v>
      </c>
      <c r="C110">
        <f xml:space="preserve">  76.23</f>
        <v>76.23</v>
      </c>
      <c r="D110">
        <v>18</v>
      </c>
      <c r="E110">
        <v>15</v>
      </c>
      <c r="F110">
        <v>74.349999999999994</v>
      </c>
      <c r="G110">
        <v>0</v>
      </c>
      <c r="H110">
        <v>1</v>
      </c>
      <c r="I110">
        <v>1</v>
      </c>
      <c r="J110">
        <v>5</v>
      </c>
      <c r="K110">
        <v>75.94</v>
      </c>
      <c r="L110" t="s">
        <v>323</v>
      </c>
      <c r="M110">
        <v>80.89</v>
      </c>
    </row>
    <row r="111" spans="1:13" x14ac:dyDescent="0.2">
      <c r="A111" s="1">
        <v>110</v>
      </c>
      <c r="B111" t="s">
        <v>808</v>
      </c>
      <c r="C111">
        <f xml:space="preserve">  76.17</f>
        <v>76.17</v>
      </c>
      <c r="D111">
        <v>22</v>
      </c>
      <c r="E111">
        <v>11</v>
      </c>
      <c r="F111">
        <v>70.22</v>
      </c>
      <c r="G111">
        <v>0</v>
      </c>
      <c r="H111">
        <v>1</v>
      </c>
      <c r="I111">
        <v>0</v>
      </c>
      <c r="J111">
        <v>1</v>
      </c>
      <c r="K111">
        <v>75.819999999999993</v>
      </c>
      <c r="L111" t="s">
        <v>324</v>
      </c>
      <c r="M111">
        <v>83.32</v>
      </c>
    </row>
    <row r="112" spans="1:13" x14ac:dyDescent="0.2">
      <c r="A112" s="1">
        <v>111</v>
      </c>
      <c r="B112" t="s">
        <v>95</v>
      </c>
      <c r="C112">
        <f xml:space="preserve">  76.16</f>
        <v>76.16</v>
      </c>
      <c r="D112">
        <v>21</v>
      </c>
      <c r="E112">
        <v>10</v>
      </c>
      <c r="F112">
        <v>68.959999999999994</v>
      </c>
      <c r="G112">
        <v>0</v>
      </c>
      <c r="H112">
        <v>3</v>
      </c>
      <c r="I112">
        <v>0</v>
      </c>
      <c r="J112">
        <v>3</v>
      </c>
      <c r="K112">
        <v>76.430000000000007</v>
      </c>
      <c r="L112" t="s">
        <v>325</v>
      </c>
      <c r="M112">
        <v>71.55</v>
      </c>
    </row>
    <row r="113" spans="1:13" x14ac:dyDescent="0.2">
      <c r="A113" s="1">
        <v>112</v>
      </c>
      <c r="B113" t="s">
        <v>102</v>
      </c>
      <c r="C113">
        <f xml:space="preserve">  75.8</f>
        <v>75.8</v>
      </c>
      <c r="D113">
        <v>14</v>
      </c>
      <c r="E113">
        <v>16</v>
      </c>
      <c r="F113">
        <v>75.260000000000005</v>
      </c>
      <c r="G113">
        <v>0</v>
      </c>
      <c r="H113">
        <v>3</v>
      </c>
      <c r="I113">
        <v>0</v>
      </c>
      <c r="J113">
        <v>3</v>
      </c>
      <c r="K113">
        <v>75.5</v>
      </c>
      <c r="L113" t="s">
        <v>326</v>
      </c>
      <c r="M113">
        <v>79.06</v>
      </c>
    </row>
    <row r="114" spans="1:13" x14ac:dyDescent="0.2">
      <c r="A114" s="1">
        <v>113</v>
      </c>
      <c r="B114" t="s">
        <v>146</v>
      </c>
      <c r="C114">
        <f xml:space="preserve">  75.79</f>
        <v>75.790000000000006</v>
      </c>
      <c r="D114">
        <v>20</v>
      </c>
      <c r="E114">
        <v>11</v>
      </c>
      <c r="F114">
        <v>70.13</v>
      </c>
      <c r="G114">
        <v>0</v>
      </c>
      <c r="H114">
        <v>2</v>
      </c>
      <c r="I114">
        <v>0</v>
      </c>
      <c r="J114">
        <v>2</v>
      </c>
      <c r="K114">
        <v>75.739999999999995</v>
      </c>
      <c r="L114" t="s">
        <v>327</v>
      </c>
      <c r="M114">
        <v>76.45</v>
      </c>
    </row>
    <row r="115" spans="1:13" x14ac:dyDescent="0.2">
      <c r="A115" s="1">
        <v>114</v>
      </c>
      <c r="B115" t="s">
        <v>157</v>
      </c>
      <c r="C115">
        <v>75.78</v>
      </c>
      <c r="D115">
        <v>24</v>
      </c>
      <c r="E115">
        <v>8</v>
      </c>
      <c r="F115">
        <v>69.73</v>
      </c>
      <c r="G115">
        <v>0</v>
      </c>
      <c r="H115">
        <v>1</v>
      </c>
      <c r="I115">
        <v>0</v>
      </c>
      <c r="J115">
        <v>3</v>
      </c>
      <c r="K115">
        <v>75.22</v>
      </c>
      <c r="L115" t="s">
        <v>316</v>
      </c>
      <c r="M115">
        <v>77.58</v>
      </c>
    </row>
    <row r="116" spans="1:13" x14ac:dyDescent="0.2">
      <c r="A116" s="1">
        <v>115</v>
      </c>
      <c r="B116" t="s">
        <v>66</v>
      </c>
      <c r="C116">
        <f xml:space="preserve">  75.72</f>
        <v>75.72</v>
      </c>
      <c r="D116">
        <v>18</v>
      </c>
      <c r="E116">
        <v>13</v>
      </c>
      <c r="F116">
        <v>71.099999999999994</v>
      </c>
      <c r="G116">
        <v>0</v>
      </c>
      <c r="H116">
        <v>0</v>
      </c>
      <c r="I116">
        <v>0</v>
      </c>
      <c r="J116">
        <v>1</v>
      </c>
      <c r="K116">
        <v>75.77</v>
      </c>
      <c r="L116" t="s">
        <v>328</v>
      </c>
      <c r="M116">
        <v>72.900000000000006</v>
      </c>
    </row>
    <row r="117" spans="1:13" x14ac:dyDescent="0.2">
      <c r="A117" s="1">
        <v>116</v>
      </c>
      <c r="B117" t="s">
        <v>876</v>
      </c>
      <c r="C117">
        <v>75.62</v>
      </c>
      <c r="D117">
        <v>18</v>
      </c>
      <c r="E117">
        <v>15</v>
      </c>
      <c r="F117">
        <v>73.900000000000006</v>
      </c>
      <c r="G117">
        <v>0</v>
      </c>
      <c r="H117">
        <v>3</v>
      </c>
      <c r="I117">
        <v>0</v>
      </c>
      <c r="J117">
        <v>7</v>
      </c>
      <c r="K117">
        <v>75.69</v>
      </c>
      <c r="L117" t="s">
        <v>329</v>
      </c>
      <c r="M117">
        <v>68.72</v>
      </c>
    </row>
    <row r="118" spans="1:13" x14ac:dyDescent="0.2">
      <c r="A118" s="1">
        <v>117</v>
      </c>
      <c r="B118" t="s">
        <v>181</v>
      </c>
      <c r="C118">
        <f xml:space="preserve">  75.61</f>
        <v>75.61</v>
      </c>
      <c r="D118">
        <v>24</v>
      </c>
      <c r="E118">
        <v>11</v>
      </c>
      <c r="F118">
        <v>71.92</v>
      </c>
      <c r="G118">
        <v>1</v>
      </c>
      <c r="H118">
        <v>2</v>
      </c>
      <c r="I118">
        <v>1</v>
      </c>
      <c r="J118">
        <v>2</v>
      </c>
      <c r="K118">
        <v>74.930000000000007</v>
      </c>
      <c r="L118" t="s">
        <v>330</v>
      </c>
      <c r="M118">
        <v>83.56</v>
      </c>
    </row>
    <row r="119" spans="1:13" x14ac:dyDescent="0.2">
      <c r="A119" s="1">
        <v>118</v>
      </c>
      <c r="B119" t="s">
        <v>93</v>
      </c>
      <c r="C119">
        <f xml:space="preserve">  75.57</f>
        <v>75.569999999999993</v>
      </c>
      <c r="D119">
        <v>22</v>
      </c>
      <c r="E119">
        <v>11</v>
      </c>
      <c r="F119">
        <v>71.180000000000007</v>
      </c>
      <c r="G119">
        <v>0</v>
      </c>
      <c r="H119">
        <v>1</v>
      </c>
      <c r="I119">
        <v>0</v>
      </c>
      <c r="J119">
        <v>2</v>
      </c>
      <c r="K119">
        <v>75.13</v>
      </c>
      <c r="L119" t="s">
        <v>331</v>
      </c>
      <c r="M119">
        <v>78.52</v>
      </c>
    </row>
    <row r="120" spans="1:13" x14ac:dyDescent="0.2">
      <c r="A120" s="1">
        <v>119</v>
      </c>
      <c r="B120" t="s">
        <v>287</v>
      </c>
      <c r="C120">
        <f xml:space="preserve">  75.49</f>
        <v>75.489999999999995</v>
      </c>
      <c r="D120">
        <v>23</v>
      </c>
      <c r="E120">
        <v>9</v>
      </c>
      <c r="F120">
        <v>70.209999999999994</v>
      </c>
      <c r="G120">
        <v>0</v>
      </c>
      <c r="H120">
        <v>2</v>
      </c>
      <c r="I120">
        <v>0</v>
      </c>
      <c r="J120">
        <v>2</v>
      </c>
      <c r="K120">
        <v>75.010000000000005</v>
      </c>
      <c r="L120" t="s">
        <v>332</v>
      </c>
      <c r="M120">
        <v>81.239999999999995</v>
      </c>
    </row>
    <row r="121" spans="1:13" x14ac:dyDescent="0.2">
      <c r="A121" s="1">
        <v>120</v>
      </c>
      <c r="B121" t="s">
        <v>139</v>
      </c>
      <c r="C121">
        <f xml:space="preserve">  75.4</f>
        <v>75.400000000000006</v>
      </c>
      <c r="D121">
        <v>24</v>
      </c>
      <c r="E121">
        <v>7</v>
      </c>
      <c r="F121">
        <v>66.290000000000006</v>
      </c>
      <c r="G121">
        <v>0</v>
      </c>
      <c r="H121">
        <v>1</v>
      </c>
      <c r="I121">
        <v>0</v>
      </c>
      <c r="J121">
        <v>2</v>
      </c>
      <c r="K121">
        <v>75.010000000000005</v>
      </c>
      <c r="L121" t="s">
        <v>333</v>
      </c>
      <c r="M121">
        <v>80.33</v>
      </c>
    </row>
    <row r="122" spans="1:13" x14ac:dyDescent="0.2">
      <c r="A122" s="1">
        <v>121</v>
      </c>
      <c r="B122" t="s">
        <v>71</v>
      </c>
      <c r="C122">
        <f xml:space="preserve">  75.29</f>
        <v>75.290000000000006</v>
      </c>
      <c r="D122">
        <v>14</v>
      </c>
      <c r="E122">
        <v>19</v>
      </c>
      <c r="F122">
        <v>78.02</v>
      </c>
      <c r="G122">
        <v>1</v>
      </c>
      <c r="H122">
        <v>9</v>
      </c>
      <c r="I122">
        <v>1</v>
      </c>
      <c r="J122">
        <v>11</v>
      </c>
      <c r="K122">
        <v>75</v>
      </c>
      <c r="L122" t="s">
        <v>334</v>
      </c>
      <c r="M122">
        <v>78.55</v>
      </c>
    </row>
    <row r="123" spans="1:13" x14ac:dyDescent="0.2">
      <c r="A123" s="1">
        <v>122</v>
      </c>
      <c r="B123" t="s">
        <v>92</v>
      </c>
      <c r="C123">
        <f xml:space="preserve">  75.2</f>
        <v>75.2</v>
      </c>
      <c r="D123">
        <v>19</v>
      </c>
      <c r="E123">
        <v>13</v>
      </c>
      <c r="F123">
        <v>74.569999999999993</v>
      </c>
      <c r="G123">
        <v>0</v>
      </c>
      <c r="H123">
        <v>1</v>
      </c>
      <c r="I123">
        <v>2</v>
      </c>
      <c r="J123">
        <v>3</v>
      </c>
      <c r="K123">
        <v>74.87</v>
      </c>
      <c r="L123" t="s">
        <v>335</v>
      </c>
      <c r="M123">
        <v>74.19</v>
      </c>
    </row>
    <row r="124" spans="1:13" x14ac:dyDescent="0.2">
      <c r="A124" s="1">
        <v>123</v>
      </c>
      <c r="B124" t="s">
        <v>860</v>
      </c>
      <c r="C124">
        <f xml:space="preserve">  75.19</f>
        <v>75.19</v>
      </c>
      <c r="D124">
        <v>17</v>
      </c>
      <c r="E124">
        <v>15</v>
      </c>
      <c r="F124">
        <v>72.59</v>
      </c>
      <c r="G124">
        <v>0</v>
      </c>
      <c r="H124">
        <v>0</v>
      </c>
      <c r="I124">
        <v>0</v>
      </c>
      <c r="J124">
        <v>0</v>
      </c>
      <c r="K124">
        <v>75.38</v>
      </c>
      <c r="L124" t="s">
        <v>336</v>
      </c>
      <c r="M124">
        <v>66.069999999999993</v>
      </c>
    </row>
    <row r="125" spans="1:13" x14ac:dyDescent="0.2">
      <c r="A125" s="1">
        <v>124</v>
      </c>
      <c r="B125" t="s">
        <v>191</v>
      </c>
      <c r="C125">
        <f xml:space="preserve">  75.14</f>
        <v>75.14</v>
      </c>
      <c r="D125">
        <v>20</v>
      </c>
      <c r="E125">
        <v>13</v>
      </c>
      <c r="F125">
        <v>70.84</v>
      </c>
      <c r="G125">
        <v>0</v>
      </c>
      <c r="H125">
        <v>0</v>
      </c>
      <c r="I125">
        <v>0</v>
      </c>
      <c r="J125">
        <v>2</v>
      </c>
      <c r="K125">
        <v>74.930000000000007</v>
      </c>
      <c r="L125" t="s">
        <v>337</v>
      </c>
      <c r="M125">
        <v>76.58</v>
      </c>
    </row>
    <row r="126" spans="1:13" x14ac:dyDescent="0.2">
      <c r="A126" s="1">
        <v>125</v>
      </c>
      <c r="B126" t="s">
        <v>105</v>
      </c>
      <c r="C126">
        <f xml:space="preserve">  75.13</f>
        <v>75.13</v>
      </c>
      <c r="D126">
        <v>21</v>
      </c>
      <c r="E126">
        <v>12</v>
      </c>
      <c r="F126">
        <v>66.63</v>
      </c>
      <c r="G126">
        <v>0</v>
      </c>
      <c r="H126">
        <v>0</v>
      </c>
      <c r="I126">
        <v>0</v>
      </c>
      <c r="J126">
        <v>1</v>
      </c>
      <c r="K126">
        <v>75.290000000000006</v>
      </c>
      <c r="L126" t="s">
        <v>338</v>
      </c>
      <c r="M126">
        <v>71.62</v>
      </c>
    </row>
    <row r="127" spans="1:13" x14ac:dyDescent="0.2">
      <c r="A127" s="1">
        <v>126</v>
      </c>
      <c r="B127" t="s">
        <v>548</v>
      </c>
      <c r="C127">
        <f xml:space="preserve">  74.97</f>
        <v>74.97</v>
      </c>
      <c r="D127">
        <v>20</v>
      </c>
      <c r="E127">
        <v>14</v>
      </c>
      <c r="F127">
        <v>70.89</v>
      </c>
      <c r="G127">
        <v>0</v>
      </c>
      <c r="H127">
        <v>1</v>
      </c>
      <c r="I127">
        <v>0</v>
      </c>
      <c r="J127">
        <v>3</v>
      </c>
      <c r="K127">
        <v>74.5</v>
      </c>
      <c r="L127" t="s">
        <v>339</v>
      </c>
      <c r="M127">
        <v>80.5</v>
      </c>
    </row>
    <row r="128" spans="1:13" x14ac:dyDescent="0.2">
      <c r="A128" s="1">
        <v>127</v>
      </c>
      <c r="B128" t="s">
        <v>297</v>
      </c>
      <c r="C128">
        <f xml:space="preserve">  74.74</f>
        <v>74.739999999999995</v>
      </c>
      <c r="D128">
        <v>17</v>
      </c>
      <c r="E128">
        <v>14</v>
      </c>
      <c r="F128">
        <v>72.2</v>
      </c>
      <c r="G128">
        <v>0</v>
      </c>
      <c r="H128">
        <v>1</v>
      </c>
      <c r="I128">
        <v>0</v>
      </c>
      <c r="J128">
        <v>3</v>
      </c>
      <c r="K128">
        <v>74.400000000000006</v>
      </c>
      <c r="L128" t="s">
        <v>340</v>
      </c>
      <c r="M128">
        <v>76.2</v>
      </c>
    </row>
    <row r="129" spans="1:13" x14ac:dyDescent="0.2">
      <c r="A129" s="1">
        <v>128</v>
      </c>
      <c r="B129" t="s">
        <v>176</v>
      </c>
      <c r="C129">
        <f xml:space="preserve">  74.39</f>
        <v>74.39</v>
      </c>
      <c r="D129">
        <v>20</v>
      </c>
      <c r="E129">
        <v>12</v>
      </c>
      <c r="F129">
        <v>67.06</v>
      </c>
      <c r="G129">
        <v>0</v>
      </c>
      <c r="H129">
        <v>1</v>
      </c>
      <c r="I129">
        <v>0</v>
      </c>
      <c r="J129">
        <v>3</v>
      </c>
      <c r="K129">
        <v>74.62</v>
      </c>
      <c r="L129" t="s">
        <v>341</v>
      </c>
      <c r="M129">
        <v>70.36</v>
      </c>
    </row>
    <row r="130" spans="1:13" x14ac:dyDescent="0.2">
      <c r="A130" s="1">
        <v>129</v>
      </c>
      <c r="B130" t="s">
        <v>37</v>
      </c>
      <c r="C130">
        <f xml:space="preserve">  74.38</f>
        <v>74.38</v>
      </c>
      <c r="D130">
        <v>14</v>
      </c>
      <c r="E130">
        <v>18</v>
      </c>
      <c r="F130">
        <v>77.930000000000007</v>
      </c>
      <c r="G130">
        <v>0</v>
      </c>
      <c r="H130">
        <v>8</v>
      </c>
      <c r="I130">
        <v>0</v>
      </c>
      <c r="J130">
        <v>11</v>
      </c>
      <c r="K130">
        <v>73.849999999999994</v>
      </c>
      <c r="L130" t="s">
        <v>342</v>
      </c>
      <c r="M130">
        <v>73.77</v>
      </c>
    </row>
    <row r="131" spans="1:13" x14ac:dyDescent="0.2">
      <c r="A131" s="1">
        <v>130</v>
      </c>
      <c r="B131" t="s">
        <v>62</v>
      </c>
      <c r="C131">
        <f xml:space="preserve">  74.21</f>
        <v>74.209999999999994</v>
      </c>
      <c r="D131">
        <v>14</v>
      </c>
      <c r="E131">
        <v>17</v>
      </c>
      <c r="F131">
        <v>74.180000000000007</v>
      </c>
      <c r="G131">
        <v>0</v>
      </c>
      <c r="H131">
        <v>0</v>
      </c>
      <c r="I131">
        <v>0</v>
      </c>
      <c r="J131">
        <v>4</v>
      </c>
      <c r="K131">
        <v>74.11</v>
      </c>
      <c r="L131" t="s">
        <v>343</v>
      </c>
      <c r="M131">
        <v>70.650000000000006</v>
      </c>
    </row>
    <row r="132" spans="1:13" x14ac:dyDescent="0.2">
      <c r="A132" s="1">
        <v>131</v>
      </c>
      <c r="B132" t="s">
        <v>293</v>
      </c>
      <c r="C132">
        <f xml:space="preserve">  74.17</f>
        <v>74.17</v>
      </c>
      <c r="D132">
        <v>23</v>
      </c>
      <c r="E132">
        <v>12</v>
      </c>
      <c r="F132">
        <v>69.849999999999994</v>
      </c>
      <c r="G132">
        <v>0</v>
      </c>
      <c r="H132">
        <v>0</v>
      </c>
      <c r="I132">
        <v>0</v>
      </c>
      <c r="J132">
        <v>0</v>
      </c>
      <c r="K132">
        <v>73.7</v>
      </c>
      <c r="L132" t="s">
        <v>344</v>
      </c>
      <c r="M132">
        <v>84.75</v>
      </c>
    </row>
    <row r="133" spans="1:13" x14ac:dyDescent="0.2">
      <c r="A133" s="1">
        <v>132</v>
      </c>
      <c r="B133" t="s">
        <v>40</v>
      </c>
      <c r="C133">
        <f xml:space="preserve">  74.03</f>
        <v>74.03</v>
      </c>
      <c r="D133">
        <v>21</v>
      </c>
      <c r="E133">
        <v>13</v>
      </c>
      <c r="F133">
        <v>73.69</v>
      </c>
      <c r="G133">
        <v>1</v>
      </c>
      <c r="H133">
        <v>4</v>
      </c>
      <c r="I133">
        <v>1</v>
      </c>
      <c r="J133">
        <v>6</v>
      </c>
      <c r="K133">
        <v>73.400000000000006</v>
      </c>
      <c r="L133" t="s">
        <v>345</v>
      </c>
      <c r="M133">
        <v>77.11</v>
      </c>
    </row>
    <row r="134" spans="1:13" x14ac:dyDescent="0.2">
      <c r="A134" s="1">
        <v>133</v>
      </c>
      <c r="B134" t="s">
        <v>818</v>
      </c>
      <c r="C134">
        <f xml:space="preserve">  73.84</f>
        <v>73.84</v>
      </c>
      <c r="D134">
        <v>17</v>
      </c>
      <c r="E134">
        <v>15</v>
      </c>
      <c r="F134">
        <v>75.27</v>
      </c>
      <c r="G134">
        <v>0</v>
      </c>
      <c r="H134">
        <v>0</v>
      </c>
      <c r="I134">
        <v>0</v>
      </c>
      <c r="J134">
        <v>1</v>
      </c>
      <c r="K134">
        <v>73.23</v>
      </c>
      <c r="L134" t="s">
        <v>346</v>
      </c>
      <c r="M134">
        <v>75.209999999999994</v>
      </c>
    </row>
    <row r="135" spans="1:13" x14ac:dyDescent="0.2">
      <c r="A135" s="1">
        <v>134</v>
      </c>
      <c r="B135" t="s">
        <v>814</v>
      </c>
      <c r="C135">
        <f xml:space="preserve">  73.84</f>
        <v>73.84</v>
      </c>
      <c r="D135">
        <v>23</v>
      </c>
      <c r="E135">
        <v>10</v>
      </c>
      <c r="F135">
        <v>69.489999999999995</v>
      </c>
      <c r="G135">
        <v>0</v>
      </c>
      <c r="H135">
        <v>1</v>
      </c>
      <c r="I135">
        <v>0</v>
      </c>
      <c r="J135">
        <v>1</v>
      </c>
      <c r="K135">
        <v>73.25</v>
      </c>
      <c r="L135" t="s">
        <v>347</v>
      </c>
      <c r="M135">
        <v>79.42</v>
      </c>
    </row>
    <row r="136" spans="1:13" x14ac:dyDescent="0.2">
      <c r="A136" s="1">
        <v>135</v>
      </c>
      <c r="B136" t="s">
        <v>796</v>
      </c>
      <c r="C136">
        <f xml:space="preserve">  73.73</f>
        <v>73.73</v>
      </c>
      <c r="D136">
        <v>16</v>
      </c>
      <c r="E136">
        <v>17</v>
      </c>
      <c r="F136">
        <v>74.39</v>
      </c>
      <c r="G136">
        <v>0</v>
      </c>
      <c r="H136">
        <v>1</v>
      </c>
      <c r="I136">
        <v>0</v>
      </c>
      <c r="J136">
        <v>4</v>
      </c>
      <c r="K136">
        <v>73.540000000000006</v>
      </c>
      <c r="L136" t="s">
        <v>341</v>
      </c>
      <c r="M136">
        <v>74.06</v>
      </c>
    </row>
    <row r="137" spans="1:13" x14ac:dyDescent="0.2">
      <c r="A137" s="1">
        <v>136</v>
      </c>
      <c r="B137" t="s">
        <v>74</v>
      </c>
      <c r="C137">
        <f xml:space="preserve">  73.72</f>
        <v>73.72</v>
      </c>
      <c r="D137">
        <v>16</v>
      </c>
      <c r="E137">
        <v>16</v>
      </c>
      <c r="F137">
        <v>74.17</v>
      </c>
      <c r="G137">
        <v>0</v>
      </c>
      <c r="H137">
        <v>2</v>
      </c>
      <c r="I137">
        <v>1</v>
      </c>
      <c r="J137">
        <v>3</v>
      </c>
      <c r="K137">
        <v>73.540000000000006</v>
      </c>
      <c r="L137" t="s">
        <v>348</v>
      </c>
      <c r="M137">
        <v>72.13</v>
      </c>
    </row>
    <row r="138" spans="1:13" x14ac:dyDescent="0.2">
      <c r="A138" s="1">
        <v>137</v>
      </c>
      <c r="B138" t="s">
        <v>178</v>
      </c>
      <c r="C138">
        <f xml:space="preserve">  73.63</f>
        <v>73.63</v>
      </c>
      <c r="D138">
        <v>13</v>
      </c>
      <c r="E138">
        <v>19</v>
      </c>
      <c r="F138">
        <v>74.23</v>
      </c>
      <c r="G138">
        <v>0</v>
      </c>
      <c r="H138">
        <v>1</v>
      </c>
      <c r="I138">
        <v>0</v>
      </c>
      <c r="J138">
        <v>4</v>
      </c>
      <c r="K138">
        <v>73.58</v>
      </c>
      <c r="L138" t="s">
        <v>349</v>
      </c>
      <c r="M138">
        <v>73.58</v>
      </c>
    </row>
    <row r="139" spans="1:13" x14ac:dyDescent="0.2">
      <c r="A139" s="1">
        <v>138</v>
      </c>
      <c r="B139" t="s">
        <v>302</v>
      </c>
      <c r="C139">
        <f xml:space="preserve">  73.56</f>
        <v>73.56</v>
      </c>
      <c r="D139">
        <v>19</v>
      </c>
      <c r="E139">
        <v>14</v>
      </c>
      <c r="F139">
        <v>71.59</v>
      </c>
      <c r="G139">
        <v>0</v>
      </c>
      <c r="H139">
        <v>2</v>
      </c>
      <c r="I139">
        <v>0</v>
      </c>
      <c r="J139">
        <v>5</v>
      </c>
      <c r="K139">
        <v>73.5</v>
      </c>
      <c r="L139" t="s">
        <v>350</v>
      </c>
      <c r="M139">
        <v>70.599999999999994</v>
      </c>
    </row>
    <row r="140" spans="1:13" x14ac:dyDescent="0.2">
      <c r="A140" s="1">
        <v>139</v>
      </c>
      <c r="B140" t="s">
        <v>108</v>
      </c>
      <c r="C140">
        <f xml:space="preserve">  73.55</f>
        <v>73.55</v>
      </c>
      <c r="D140">
        <v>16</v>
      </c>
      <c r="E140">
        <v>14</v>
      </c>
      <c r="F140">
        <v>70.92</v>
      </c>
      <c r="G140">
        <v>0</v>
      </c>
      <c r="H140">
        <v>0</v>
      </c>
      <c r="I140">
        <v>0</v>
      </c>
      <c r="J140">
        <v>0</v>
      </c>
      <c r="K140">
        <v>73.66</v>
      </c>
      <c r="L140" t="s">
        <v>351</v>
      </c>
      <c r="M140">
        <v>67.459999999999994</v>
      </c>
    </row>
    <row r="141" spans="1:13" x14ac:dyDescent="0.2">
      <c r="A141" s="1">
        <v>140</v>
      </c>
      <c r="B141" t="s">
        <v>195</v>
      </c>
      <c r="C141">
        <f xml:space="preserve">  73.36</f>
        <v>73.36</v>
      </c>
      <c r="D141">
        <v>22</v>
      </c>
      <c r="E141">
        <v>10</v>
      </c>
      <c r="F141">
        <v>70.41</v>
      </c>
      <c r="G141">
        <v>0</v>
      </c>
      <c r="H141">
        <v>1</v>
      </c>
      <c r="I141">
        <v>1</v>
      </c>
      <c r="J141">
        <v>1</v>
      </c>
      <c r="K141">
        <v>73.22</v>
      </c>
      <c r="L141" t="s">
        <v>352</v>
      </c>
      <c r="M141">
        <v>71.25</v>
      </c>
    </row>
    <row r="142" spans="1:13" x14ac:dyDescent="0.2">
      <c r="A142" s="1">
        <v>141</v>
      </c>
      <c r="B142" t="s">
        <v>301</v>
      </c>
      <c r="C142">
        <f xml:space="preserve">  73.34</f>
        <v>73.34</v>
      </c>
      <c r="D142">
        <v>20</v>
      </c>
      <c r="E142">
        <v>11</v>
      </c>
      <c r="F142">
        <v>70.66</v>
      </c>
      <c r="G142">
        <v>0</v>
      </c>
      <c r="H142">
        <v>0</v>
      </c>
      <c r="I142">
        <v>0</v>
      </c>
      <c r="J142">
        <v>1</v>
      </c>
      <c r="K142">
        <v>72.83</v>
      </c>
      <c r="L142" t="s">
        <v>353</v>
      </c>
      <c r="M142">
        <v>75.64</v>
      </c>
    </row>
    <row r="143" spans="1:13" x14ac:dyDescent="0.2">
      <c r="A143" s="1">
        <v>142</v>
      </c>
      <c r="B143" t="s">
        <v>114</v>
      </c>
      <c r="C143">
        <f xml:space="preserve">  73.34</f>
        <v>73.34</v>
      </c>
      <c r="D143">
        <v>19</v>
      </c>
      <c r="E143">
        <v>13</v>
      </c>
      <c r="F143">
        <v>72.56</v>
      </c>
      <c r="G143">
        <v>0</v>
      </c>
      <c r="H143">
        <v>0</v>
      </c>
      <c r="I143">
        <v>0</v>
      </c>
      <c r="J143">
        <v>1</v>
      </c>
      <c r="K143">
        <v>73.209999999999994</v>
      </c>
      <c r="L143" t="s">
        <v>354</v>
      </c>
      <c r="M143">
        <v>70.3</v>
      </c>
    </row>
    <row r="144" spans="1:13" x14ac:dyDescent="0.2">
      <c r="A144" s="1">
        <v>143</v>
      </c>
      <c r="B144" t="s">
        <v>238</v>
      </c>
      <c r="C144">
        <f xml:space="preserve">  73.31</f>
        <v>73.31</v>
      </c>
      <c r="D144">
        <v>18</v>
      </c>
      <c r="E144">
        <v>13</v>
      </c>
      <c r="F144">
        <v>70.739999999999995</v>
      </c>
      <c r="G144">
        <v>0</v>
      </c>
      <c r="H144">
        <v>0</v>
      </c>
      <c r="I144">
        <v>0</v>
      </c>
      <c r="J144">
        <v>1</v>
      </c>
      <c r="K144">
        <v>72.989999999999995</v>
      </c>
      <c r="L144" t="s">
        <v>355</v>
      </c>
      <c r="M144">
        <v>75.459999999999994</v>
      </c>
    </row>
    <row r="145" spans="1:13" x14ac:dyDescent="0.2">
      <c r="A145" s="1">
        <v>144</v>
      </c>
      <c r="B145" t="s">
        <v>143</v>
      </c>
      <c r="C145">
        <f xml:space="preserve">  73.28</f>
        <v>73.28</v>
      </c>
      <c r="D145">
        <v>21</v>
      </c>
      <c r="E145">
        <v>9</v>
      </c>
      <c r="F145">
        <v>69.2</v>
      </c>
      <c r="G145">
        <v>0</v>
      </c>
      <c r="H145">
        <v>1</v>
      </c>
      <c r="I145">
        <v>0</v>
      </c>
      <c r="J145">
        <v>2</v>
      </c>
      <c r="K145">
        <v>73.209999999999994</v>
      </c>
      <c r="L145" t="s">
        <v>356</v>
      </c>
      <c r="M145">
        <v>68.37</v>
      </c>
    </row>
    <row r="146" spans="1:13" x14ac:dyDescent="0.2">
      <c r="A146" s="1">
        <v>145</v>
      </c>
      <c r="B146" t="s">
        <v>136</v>
      </c>
      <c r="C146">
        <f xml:space="preserve">  73.17</f>
        <v>73.17</v>
      </c>
      <c r="D146">
        <v>19</v>
      </c>
      <c r="E146">
        <v>13</v>
      </c>
      <c r="F146">
        <v>72.900000000000006</v>
      </c>
      <c r="G146">
        <v>0</v>
      </c>
      <c r="H146">
        <v>0</v>
      </c>
      <c r="I146">
        <v>0</v>
      </c>
      <c r="J146">
        <v>2</v>
      </c>
      <c r="K146">
        <v>73.11</v>
      </c>
      <c r="L146" t="s">
        <v>357</v>
      </c>
      <c r="M146">
        <v>65.88</v>
      </c>
    </row>
    <row r="147" spans="1:13" x14ac:dyDescent="0.2">
      <c r="A147" s="1">
        <v>146</v>
      </c>
      <c r="B147" t="s">
        <v>142</v>
      </c>
      <c r="C147">
        <f xml:space="preserve">  73.14</f>
        <v>73.14</v>
      </c>
      <c r="D147">
        <v>18</v>
      </c>
      <c r="E147">
        <v>12</v>
      </c>
      <c r="F147">
        <v>71.489999999999995</v>
      </c>
      <c r="G147">
        <v>0</v>
      </c>
      <c r="H147">
        <v>2</v>
      </c>
      <c r="I147">
        <v>0</v>
      </c>
      <c r="J147">
        <v>3</v>
      </c>
      <c r="K147">
        <v>72.89</v>
      </c>
      <c r="L147" t="s">
        <v>358</v>
      </c>
      <c r="M147">
        <v>73.17</v>
      </c>
    </row>
    <row r="148" spans="1:13" x14ac:dyDescent="0.2">
      <c r="A148" s="1">
        <v>147</v>
      </c>
      <c r="B148" t="s">
        <v>284</v>
      </c>
      <c r="C148">
        <f xml:space="preserve">  73.13</f>
        <v>73.13</v>
      </c>
      <c r="D148">
        <v>13</v>
      </c>
      <c r="E148">
        <v>17</v>
      </c>
      <c r="F148">
        <v>73.05</v>
      </c>
      <c r="G148">
        <v>0</v>
      </c>
      <c r="H148">
        <v>1</v>
      </c>
      <c r="I148">
        <v>0</v>
      </c>
      <c r="J148">
        <v>1</v>
      </c>
      <c r="K148">
        <v>73.17</v>
      </c>
      <c r="L148" t="s">
        <v>359</v>
      </c>
      <c r="M148">
        <v>69.58</v>
      </c>
    </row>
    <row r="149" spans="1:13" x14ac:dyDescent="0.2">
      <c r="A149" s="1">
        <v>148</v>
      </c>
      <c r="B149" t="s">
        <v>47</v>
      </c>
      <c r="C149">
        <f xml:space="preserve">  73.12</f>
        <v>73.12</v>
      </c>
      <c r="D149">
        <v>21</v>
      </c>
      <c r="E149">
        <v>17</v>
      </c>
      <c r="F149">
        <v>71.819999999999993</v>
      </c>
      <c r="G149">
        <v>0</v>
      </c>
      <c r="H149">
        <v>3</v>
      </c>
      <c r="I149">
        <v>2</v>
      </c>
      <c r="J149">
        <v>4</v>
      </c>
      <c r="K149">
        <v>72.540000000000006</v>
      </c>
      <c r="L149" t="s">
        <v>360</v>
      </c>
      <c r="M149">
        <v>76.77</v>
      </c>
    </row>
    <row r="150" spans="1:13" x14ac:dyDescent="0.2">
      <c r="A150" s="1">
        <v>149</v>
      </c>
      <c r="B150" t="s">
        <v>282</v>
      </c>
      <c r="C150">
        <f xml:space="preserve">  73.06</f>
        <v>73.06</v>
      </c>
      <c r="D150">
        <v>17</v>
      </c>
      <c r="E150">
        <v>15</v>
      </c>
      <c r="F150">
        <v>70.3</v>
      </c>
      <c r="G150">
        <v>0</v>
      </c>
      <c r="H150">
        <v>1</v>
      </c>
      <c r="I150">
        <v>0</v>
      </c>
      <c r="J150">
        <v>2</v>
      </c>
      <c r="K150">
        <v>72.91</v>
      </c>
      <c r="L150" t="s">
        <v>361</v>
      </c>
      <c r="M150">
        <v>73.23</v>
      </c>
    </row>
    <row r="151" spans="1:13" x14ac:dyDescent="0.2">
      <c r="A151" s="1">
        <v>150</v>
      </c>
      <c r="B151" t="s">
        <v>903</v>
      </c>
      <c r="C151">
        <f xml:space="preserve">  72.97</f>
        <v>72.97</v>
      </c>
      <c r="D151">
        <v>21</v>
      </c>
      <c r="E151">
        <v>10</v>
      </c>
      <c r="F151">
        <v>67.680000000000007</v>
      </c>
      <c r="G151">
        <v>0</v>
      </c>
      <c r="H151">
        <v>0</v>
      </c>
      <c r="I151">
        <v>0</v>
      </c>
      <c r="J151">
        <v>1</v>
      </c>
      <c r="K151">
        <v>72.97</v>
      </c>
      <c r="L151" t="s">
        <v>355</v>
      </c>
      <c r="M151">
        <v>68.38</v>
      </c>
    </row>
    <row r="152" spans="1:13" x14ac:dyDescent="0.2">
      <c r="A152" s="1">
        <v>151</v>
      </c>
      <c r="B152" t="s">
        <v>101</v>
      </c>
      <c r="C152">
        <f xml:space="preserve">  72.95</f>
        <v>72.95</v>
      </c>
      <c r="D152">
        <v>15</v>
      </c>
      <c r="E152">
        <v>16</v>
      </c>
      <c r="F152">
        <v>71.34</v>
      </c>
      <c r="G152">
        <v>0</v>
      </c>
      <c r="H152">
        <v>0</v>
      </c>
      <c r="I152">
        <v>0</v>
      </c>
      <c r="J152">
        <v>2</v>
      </c>
      <c r="K152">
        <v>72.98</v>
      </c>
      <c r="L152" t="s">
        <v>362</v>
      </c>
      <c r="M152">
        <v>68.900000000000006</v>
      </c>
    </row>
    <row r="153" spans="1:13" x14ac:dyDescent="0.2">
      <c r="A153" s="1">
        <v>152</v>
      </c>
      <c r="B153" t="s">
        <v>200</v>
      </c>
      <c r="C153">
        <f xml:space="preserve">  72.93</f>
        <v>72.930000000000007</v>
      </c>
      <c r="D153">
        <v>19</v>
      </c>
      <c r="E153">
        <v>12</v>
      </c>
      <c r="F153">
        <v>70.28</v>
      </c>
      <c r="G153">
        <v>0</v>
      </c>
      <c r="H153">
        <v>0</v>
      </c>
      <c r="I153">
        <v>0</v>
      </c>
      <c r="J153">
        <v>0</v>
      </c>
      <c r="K153">
        <v>72.540000000000006</v>
      </c>
      <c r="L153" t="s">
        <v>363</v>
      </c>
      <c r="M153">
        <v>74.14</v>
      </c>
    </row>
    <row r="154" spans="1:13" x14ac:dyDescent="0.2">
      <c r="A154" s="1">
        <v>153</v>
      </c>
      <c r="B154" t="s">
        <v>212</v>
      </c>
      <c r="C154">
        <f xml:space="preserve">  72.91</f>
        <v>72.91</v>
      </c>
      <c r="D154">
        <v>21</v>
      </c>
      <c r="E154">
        <v>12</v>
      </c>
      <c r="F154">
        <v>69.010000000000005</v>
      </c>
      <c r="G154">
        <v>0</v>
      </c>
      <c r="H154">
        <v>0</v>
      </c>
      <c r="I154">
        <v>0</v>
      </c>
      <c r="J154">
        <v>0</v>
      </c>
      <c r="K154">
        <v>72.849999999999994</v>
      </c>
      <c r="L154" t="s">
        <v>364</v>
      </c>
      <c r="M154">
        <v>72.069999999999993</v>
      </c>
    </row>
    <row r="155" spans="1:13" x14ac:dyDescent="0.2">
      <c r="A155" s="1">
        <v>154</v>
      </c>
      <c r="B155" t="s">
        <v>134</v>
      </c>
      <c r="C155">
        <f xml:space="preserve">  72.81</f>
        <v>72.81</v>
      </c>
      <c r="D155">
        <v>16</v>
      </c>
      <c r="E155">
        <v>17</v>
      </c>
      <c r="F155">
        <v>72.23</v>
      </c>
      <c r="G155">
        <v>0</v>
      </c>
      <c r="H155">
        <v>0</v>
      </c>
      <c r="I155">
        <v>0</v>
      </c>
      <c r="J155">
        <v>4</v>
      </c>
      <c r="K155">
        <v>72.599999999999994</v>
      </c>
      <c r="L155" t="s">
        <v>365</v>
      </c>
      <c r="M155">
        <v>71.790000000000006</v>
      </c>
    </row>
    <row r="156" spans="1:13" x14ac:dyDescent="0.2">
      <c r="A156" s="1">
        <v>155</v>
      </c>
      <c r="B156" t="s">
        <v>829</v>
      </c>
      <c r="C156">
        <f xml:space="preserve">  72.73</f>
        <v>72.73</v>
      </c>
      <c r="D156">
        <v>22</v>
      </c>
      <c r="E156">
        <v>13</v>
      </c>
      <c r="F156">
        <v>68.430000000000007</v>
      </c>
      <c r="G156">
        <v>0</v>
      </c>
      <c r="H156">
        <v>0</v>
      </c>
      <c r="I156">
        <v>0</v>
      </c>
      <c r="J156">
        <v>0</v>
      </c>
      <c r="K156">
        <v>72.39</v>
      </c>
      <c r="L156" t="s">
        <v>366</v>
      </c>
      <c r="M156">
        <v>76.02</v>
      </c>
    </row>
    <row r="157" spans="1:13" x14ac:dyDescent="0.2">
      <c r="A157" s="1">
        <v>156</v>
      </c>
      <c r="B157" t="s">
        <v>257</v>
      </c>
      <c r="C157">
        <f xml:space="preserve">  72.7</f>
        <v>72.7</v>
      </c>
      <c r="D157">
        <v>20</v>
      </c>
      <c r="E157">
        <v>9</v>
      </c>
      <c r="F157">
        <v>68.28</v>
      </c>
      <c r="G157">
        <v>0</v>
      </c>
      <c r="H157">
        <v>0</v>
      </c>
      <c r="I157">
        <v>0</v>
      </c>
      <c r="J157">
        <v>1</v>
      </c>
      <c r="K157">
        <v>72.47</v>
      </c>
      <c r="L157" t="s">
        <v>367</v>
      </c>
      <c r="M157">
        <v>69.78</v>
      </c>
    </row>
    <row r="158" spans="1:13" x14ac:dyDescent="0.2">
      <c r="A158" s="1">
        <v>157</v>
      </c>
      <c r="B158" t="s">
        <v>80</v>
      </c>
      <c r="C158">
        <f xml:space="preserve">  72.65</f>
        <v>72.650000000000006</v>
      </c>
      <c r="D158">
        <v>12</v>
      </c>
      <c r="E158">
        <v>20</v>
      </c>
      <c r="F158">
        <v>74.959999999999994</v>
      </c>
      <c r="G158">
        <v>0</v>
      </c>
      <c r="H158">
        <v>1</v>
      </c>
      <c r="I158">
        <v>0</v>
      </c>
      <c r="J158">
        <v>2</v>
      </c>
      <c r="K158">
        <v>72.2</v>
      </c>
      <c r="L158" t="s">
        <v>368</v>
      </c>
      <c r="M158">
        <v>77.25</v>
      </c>
    </row>
    <row r="159" spans="1:13" x14ac:dyDescent="0.2">
      <c r="A159" s="1">
        <v>158</v>
      </c>
      <c r="B159" t="s">
        <v>821</v>
      </c>
      <c r="C159">
        <f xml:space="preserve">  72.57</f>
        <v>72.569999999999993</v>
      </c>
      <c r="D159">
        <v>11</v>
      </c>
      <c r="E159">
        <v>18</v>
      </c>
      <c r="F159">
        <v>74.12</v>
      </c>
      <c r="G159">
        <v>0</v>
      </c>
      <c r="H159">
        <v>0</v>
      </c>
      <c r="I159">
        <v>0</v>
      </c>
      <c r="J159">
        <v>1</v>
      </c>
      <c r="K159">
        <v>72.650000000000006</v>
      </c>
      <c r="L159" t="s">
        <v>369</v>
      </c>
      <c r="M159">
        <v>68.7</v>
      </c>
    </row>
    <row r="160" spans="1:13" x14ac:dyDescent="0.2">
      <c r="A160" s="1">
        <v>159</v>
      </c>
      <c r="B160" t="s">
        <v>258</v>
      </c>
      <c r="C160">
        <f xml:space="preserve">  72.37</f>
        <v>72.37</v>
      </c>
      <c r="D160">
        <v>17</v>
      </c>
      <c r="E160">
        <v>12</v>
      </c>
      <c r="F160">
        <v>72.11</v>
      </c>
      <c r="G160">
        <v>0</v>
      </c>
      <c r="H160">
        <v>1</v>
      </c>
      <c r="I160">
        <v>0</v>
      </c>
      <c r="J160">
        <v>2</v>
      </c>
      <c r="K160">
        <v>71.92</v>
      </c>
      <c r="L160" t="s">
        <v>370</v>
      </c>
      <c r="M160">
        <v>74.97</v>
      </c>
    </row>
    <row r="161" spans="1:13" x14ac:dyDescent="0.2">
      <c r="A161" s="1">
        <v>160</v>
      </c>
      <c r="B161" t="s">
        <v>878</v>
      </c>
      <c r="C161">
        <f xml:space="preserve">  72.36</f>
        <v>72.36</v>
      </c>
      <c r="D161">
        <v>19</v>
      </c>
      <c r="E161">
        <v>14</v>
      </c>
      <c r="F161">
        <v>69.16</v>
      </c>
      <c r="G161">
        <v>0</v>
      </c>
      <c r="H161">
        <v>2</v>
      </c>
      <c r="I161">
        <v>0</v>
      </c>
      <c r="J161">
        <v>3</v>
      </c>
      <c r="K161">
        <v>72.040000000000006</v>
      </c>
      <c r="L161" t="s">
        <v>371</v>
      </c>
      <c r="M161">
        <v>70.47</v>
      </c>
    </row>
    <row r="162" spans="1:13" x14ac:dyDescent="0.2">
      <c r="A162" s="1">
        <v>161</v>
      </c>
      <c r="B162" t="s">
        <v>234</v>
      </c>
      <c r="C162">
        <f xml:space="preserve">  72.33</f>
        <v>72.33</v>
      </c>
      <c r="D162">
        <v>15</v>
      </c>
      <c r="E162">
        <v>15</v>
      </c>
      <c r="F162">
        <v>72.87</v>
      </c>
      <c r="G162">
        <v>0</v>
      </c>
      <c r="H162">
        <v>1</v>
      </c>
      <c r="I162">
        <v>0</v>
      </c>
      <c r="J162">
        <v>1</v>
      </c>
      <c r="K162">
        <v>72.02</v>
      </c>
      <c r="L162" t="s">
        <v>372</v>
      </c>
      <c r="M162">
        <v>71.78</v>
      </c>
    </row>
    <row r="163" spans="1:13" x14ac:dyDescent="0.2">
      <c r="A163" s="1">
        <v>162</v>
      </c>
      <c r="B163" t="s">
        <v>110</v>
      </c>
      <c r="C163">
        <f xml:space="preserve">  72.31</f>
        <v>72.31</v>
      </c>
      <c r="D163">
        <v>14</v>
      </c>
      <c r="E163">
        <v>17</v>
      </c>
      <c r="F163">
        <v>73.680000000000007</v>
      </c>
      <c r="G163">
        <v>1</v>
      </c>
      <c r="H163">
        <v>5</v>
      </c>
      <c r="I163">
        <v>1</v>
      </c>
      <c r="J163">
        <v>5</v>
      </c>
      <c r="K163">
        <v>72.209999999999994</v>
      </c>
      <c r="L163" t="s">
        <v>373</v>
      </c>
      <c r="M163">
        <v>69.819999999999993</v>
      </c>
    </row>
    <row r="164" spans="1:13" x14ac:dyDescent="0.2">
      <c r="A164" s="1">
        <v>163</v>
      </c>
      <c r="B164" t="s">
        <v>123</v>
      </c>
      <c r="C164">
        <f xml:space="preserve">  72.04</f>
        <v>72.040000000000006</v>
      </c>
      <c r="D164">
        <v>18</v>
      </c>
      <c r="E164">
        <v>13</v>
      </c>
      <c r="F164">
        <v>70.56</v>
      </c>
      <c r="G164">
        <v>1</v>
      </c>
      <c r="H164">
        <v>1</v>
      </c>
      <c r="I164">
        <v>1</v>
      </c>
      <c r="J164">
        <v>1</v>
      </c>
      <c r="K164">
        <v>71.5</v>
      </c>
      <c r="L164" t="s">
        <v>374</v>
      </c>
      <c r="M164">
        <v>77.760000000000005</v>
      </c>
    </row>
    <row r="165" spans="1:13" x14ac:dyDescent="0.2">
      <c r="A165" s="1">
        <v>164</v>
      </c>
      <c r="B165" t="s">
        <v>124</v>
      </c>
      <c r="C165">
        <f xml:space="preserve">  72.02</f>
        <v>72.02</v>
      </c>
      <c r="D165">
        <v>12</v>
      </c>
      <c r="E165">
        <v>16</v>
      </c>
      <c r="F165">
        <v>71.459999999999994</v>
      </c>
      <c r="G165">
        <v>0</v>
      </c>
      <c r="H165">
        <v>1</v>
      </c>
      <c r="I165">
        <v>1</v>
      </c>
      <c r="J165">
        <v>2</v>
      </c>
      <c r="K165">
        <v>72.12</v>
      </c>
      <c r="L165" t="s">
        <v>375</v>
      </c>
      <c r="M165">
        <v>68.08</v>
      </c>
    </row>
    <row r="166" spans="1:13" x14ac:dyDescent="0.2">
      <c r="A166" s="1">
        <v>165</v>
      </c>
      <c r="B166" t="s">
        <v>161</v>
      </c>
      <c r="C166">
        <f xml:space="preserve">  71.91</f>
        <v>71.91</v>
      </c>
      <c r="D166">
        <v>11</v>
      </c>
      <c r="E166">
        <v>20</v>
      </c>
      <c r="F166">
        <v>72.14</v>
      </c>
      <c r="G166">
        <v>0</v>
      </c>
      <c r="H166">
        <v>3</v>
      </c>
      <c r="I166">
        <v>0</v>
      </c>
      <c r="J166">
        <v>3</v>
      </c>
      <c r="K166">
        <v>71.760000000000005</v>
      </c>
      <c r="L166" t="s">
        <v>376</v>
      </c>
      <c r="M166">
        <v>72.959999999999994</v>
      </c>
    </row>
    <row r="167" spans="1:13" x14ac:dyDescent="0.2">
      <c r="A167" s="1">
        <v>166</v>
      </c>
      <c r="B167" t="s">
        <v>209</v>
      </c>
      <c r="C167">
        <f xml:space="preserve">  71.88</f>
        <v>71.88</v>
      </c>
      <c r="D167">
        <v>20</v>
      </c>
      <c r="E167">
        <v>10</v>
      </c>
      <c r="F167">
        <v>68.72</v>
      </c>
      <c r="G167">
        <v>0</v>
      </c>
      <c r="H167">
        <v>3</v>
      </c>
      <c r="I167">
        <v>0</v>
      </c>
      <c r="J167">
        <v>5</v>
      </c>
      <c r="K167">
        <v>71.09</v>
      </c>
      <c r="L167" t="s">
        <v>361</v>
      </c>
      <c r="M167">
        <v>78.739999999999995</v>
      </c>
    </row>
    <row r="168" spans="1:13" x14ac:dyDescent="0.2">
      <c r="A168" s="1">
        <v>167</v>
      </c>
      <c r="B168" t="s">
        <v>83</v>
      </c>
      <c r="C168">
        <f xml:space="preserve">  71.86</f>
        <v>71.86</v>
      </c>
      <c r="D168">
        <v>18</v>
      </c>
      <c r="E168">
        <v>18</v>
      </c>
      <c r="F168">
        <v>71.239999999999995</v>
      </c>
      <c r="G168">
        <v>0</v>
      </c>
      <c r="H168">
        <v>0</v>
      </c>
      <c r="I168">
        <v>0</v>
      </c>
      <c r="J168">
        <v>1</v>
      </c>
      <c r="K168">
        <v>71.3</v>
      </c>
      <c r="L168" t="s">
        <v>377</v>
      </c>
      <c r="M168">
        <v>84.9</v>
      </c>
    </row>
    <row r="169" spans="1:13" x14ac:dyDescent="0.2">
      <c r="A169" s="1">
        <v>168</v>
      </c>
      <c r="B169" t="s">
        <v>155</v>
      </c>
      <c r="C169">
        <f xml:space="preserve">  71.83</f>
        <v>71.83</v>
      </c>
      <c r="D169">
        <v>16</v>
      </c>
      <c r="E169">
        <v>12</v>
      </c>
      <c r="F169">
        <v>67.48</v>
      </c>
      <c r="G169">
        <v>0</v>
      </c>
      <c r="H169">
        <v>0</v>
      </c>
      <c r="I169">
        <v>0</v>
      </c>
      <c r="J169">
        <v>1</v>
      </c>
      <c r="K169">
        <v>71.58</v>
      </c>
      <c r="L169" t="s">
        <v>378</v>
      </c>
      <c r="M169">
        <v>73.08</v>
      </c>
    </row>
    <row r="170" spans="1:13" x14ac:dyDescent="0.2">
      <c r="A170" s="1">
        <v>169</v>
      </c>
      <c r="B170" t="s">
        <v>813</v>
      </c>
      <c r="C170">
        <f xml:space="preserve">  71.82</f>
        <v>71.819999999999993</v>
      </c>
      <c r="D170">
        <v>18</v>
      </c>
      <c r="E170">
        <v>13</v>
      </c>
      <c r="F170">
        <v>71.349999999999994</v>
      </c>
      <c r="G170">
        <v>0</v>
      </c>
      <c r="H170">
        <v>0</v>
      </c>
      <c r="I170">
        <v>1</v>
      </c>
      <c r="J170">
        <v>1</v>
      </c>
      <c r="K170">
        <v>71.739999999999995</v>
      </c>
      <c r="L170" t="s">
        <v>365</v>
      </c>
      <c r="M170">
        <v>63.93</v>
      </c>
    </row>
    <row r="171" spans="1:13" x14ac:dyDescent="0.2">
      <c r="A171" s="1">
        <v>170</v>
      </c>
      <c r="B171" t="s">
        <v>243</v>
      </c>
      <c r="C171">
        <f xml:space="preserve">  71.71</f>
        <v>71.709999999999994</v>
      </c>
      <c r="D171">
        <v>18</v>
      </c>
      <c r="E171">
        <v>15</v>
      </c>
      <c r="F171">
        <v>70.09</v>
      </c>
      <c r="G171">
        <v>0</v>
      </c>
      <c r="H171">
        <v>1</v>
      </c>
      <c r="I171">
        <v>0</v>
      </c>
      <c r="J171">
        <v>1</v>
      </c>
      <c r="K171">
        <v>71.37</v>
      </c>
      <c r="L171" t="s">
        <v>379</v>
      </c>
      <c r="M171">
        <v>75.650000000000006</v>
      </c>
    </row>
    <row r="172" spans="1:13" x14ac:dyDescent="0.2">
      <c r="A172" s="1">
        <v>171</v>
      </c>
      <c r="B172" t="s">
        <v>557</v>
      </c>
      <c r="C172">
        <f xml:space="preserve">  71.67</f>
        <v>71.67</v>
      </c>
      <c r="D172">
        <v>14</v>
      </c>
      <c r="E172">
        <v>15</v>
      </c>
      <c r="F172">
        <v>70.27</v>
      </c>
      <c r="G172">
        <v>0</v>
      </c>
      <c r="H172">
        <v>1</v>
      </c>
      <c r="I172">
        <v>0</v>
      </c>
      <c r="J172">
        <v>1</v>
      </c>
      <c r="K172">
        <v>71.599999999999994</v>
      </c>
      <c r="L172" t="s">
        <v>380</v>
      </c>
      <c r="M172">
        <v>68.239999999999995</v>
      </c>
    </row>
    <row r="173" spans="1:13" x14ac:dyDescent="0.2">
      <c r="A173" s="1">
        <v>172</v>
      </c>
      <c r="B173" t="s">
        <v>184</v>
      </c>
      <c r="C173">
        <f xml:space="preserve">  71.55</f>
        <v>71.55</v>
      </c>
      <c r="D173">
        <v>18</v>
      </c>
      <c r="E173">
        <v>15</v>
      </c>
      <c r="F173">
        <v>71.08</v>
      </c>
      <c r="G173">
        <v>0</v>
      </c>
      <c r="H173">
        <v>0</v>
      </c>
      <c r="I173">
        <v>0</v>
      </c>
      <c r="J173">
        <v>0</v>
      </c>
      <c r="K173">
        <v>71.34</v>
      </c>
      <c r="L173" t="s">
        <v>381</v>
      </c>
      <c r="M173">
        <v>71.66</v>
      </c>
    </row>
    <row r="174" spans="1:13" x14ac:dyDescent="0.2">
      <c r="A174" s="1">
        <v>173</v>
      </c>
      <c r="B174" t="s">
        <v>807</v>
      </c>
      <c r="C174">
        <f xml:space="preserve">  71.49</f>
        <v>71.489999999999995</v>
      </c>
      <c r="D174">
        <v>12</v>
      </c>
      <c r="E174">
        <v>19</v>
      </c>
      <c r="F174">
        <v>76.7</v>
      </c>
      <c r="G174">
        <v>0</v>
      </c>
      <c r="H174">
        <v>1</v>
      </c>
      <c r="I174">
        <v>2</v>
      </c>
      <c r="J174">
        <v>4</v>
      </c>
      <c r="K174">
        <v>71.37</v>
      </c>
      <c r="L174" t="s">
        <v>382</v>
      </c>
      <c r="M174">
        <v>69.7</v>
      </c>
    </row>
    <row r="175" spans="1:13" x14ac:dyDescent="0.2">
      <c r="A175" s="1">
        <v>174</v>
      </c>
      <c r="B175" t="s">
        <v>144</v>
      </c>
      <c r="C175">
        <f xml:space="preserve">  71.48</f>
        <v>71.48</v>
      </c>
      <c r="D175">
        <v>15</v>
      </c>
      <c r="E175">
        <v>15</v>
      </c>
      <c r="F175">
        <v>71.63</v>
      </c>
      <c r="G175">
        <v>0</v>
      </c>
      <c r="H175">
        <v>0</v>
      </c>
      <c r="I175">
        <v>0</v>
      </c>
      <c r="J175">
        <v>2</v>
      </c>
      <c r="K175">
        <v>71.069999999999993</v>
      </c>
      <c r="L175" t="s">
        <v>383</v>
      </c>
      <c r="M175">
        <v>72.58</v>
      </c>
    </row>
    <row r="176" spans="1:13" x14ac:dyDescent="0.2">
      <c r="A176" s="1">
        <v>175</v>
      </c>
      <c r="B176" t="s">
        <v>862</v>
      </c>
      <c r="C176">
        <f xml:space="preserve">  71.4</f>
        <v>71.400000000000006</v>
      </c>
      <c r="D176">
        <v>12</v>
      </c>
      <c r="E176">
        <v>17</v>
      </c>
      <c r="F176">
        <v>71.62</v>
      </c>
      <c r="G176">
        <v>0</v>
      </c>
      <c r="H176">
        <v>1</v>
      </c>
      <c r="I176">
        <v>0</v>
      </c>
      <c r="J176">
        <v>2</v>
      </c>
      <c r="K176">
        <v>71.28</v>
      </c>
      <c r="L176" t="s">
        <v>384</v>
      </c>
      <c r="M176">
        <v>72.040000000000006</v>
      </c>
    </row>
    <row r="177" spans="1:13" x14ac:dyDescent="0.2">
      <c r="A177" s="1">
        <v>176</v>
      </c>
      <c r="B177" t="s">
        <v>193</v>
      </c>
      <c r="C177">
        <f xml:space="preserve">  71.39</f>
        <v>71.39</v>
      </c>
      <c r="D177">
        <v>22</v>
      </c>
      <c r="E177">
        <v>11</v>
      </c>
      <c r="F177">
        <v>68.680000000000007</v>
      </c>
      <c r="G177">
        <v>1</v>
      </c>
      <c r="H177">
        <v>1</v>
      </c>
      <c r="I177">
        <v>1</v>
      </c>
      <c r="J177">
        <v>3</v>
      </c>
      <c r="K177">
        <v>70.34</v>
      </c>
      <c r="L177" t="s">
        <v>385</v>
      </c>
      <c r="M177">
        <v>87.04</v>
      </c>
    </row>
    <row r="178" spans="1:13" x14ac:dyDescent="0.2">
      <c r="A178" s="1">
        <v>177</v>
      </c>
      <c r="B178" t="s">
        <v>169</v>
      </c>
      <c r="C178">
        <f xml:space="preserve">  71.39</f>
        <v>71.39</v>
      </c>
      <c r="D178">
        <v>18</v>
      </c>
      <c r="E178">
        <v>12</v>
      </c>
      <c r="F178">
        <v>71.040000000000006</v>
      </c>
      <c r="G178">
        <v>0</v>
      </c>
      <c r="H178">
        <v>1</v>
      </c>
      <c r="I178">
        <v>0</v>
      </c>
      <c r="J178">
        <v>3</v>
      </c>
      <c r="K178">
        <v>70.599999999999994</v>
      </c>
      <c r="L178" t="s">
        <v>386</v>
      </c>
      <c r="M178">
        <v>79.45</v>
      </c>
    </row>
    <row r="179" spans="1:13" x14ac:dyDescent="0.2">
      <c r="A179" s="1">
        <v>178</v>
      </c>
      <c r="B179" t="s">
        <v>187</v>
      </c>
      <c r="C179">
        <f xml:space="preserve">  71.36</f>
        <v>71.36</v>
      </c>
      <c r="D179">
        <v>15</v>
      </c>
      <c r="E179">
        <v>18</v>
      </c>
      <c r="F179">
        <v>73.73</v>
      </c>
      <c r="G179">
        <v>0</v>
      </c>
      <c r="H179">
        <v>2</v>
      </c>
      <c r="I179">
        <v>0</v>
      </c>
      <c r="J179">
        <v>6</v>
      </c>
      <c r="K179">
        <v>71.13</v>
      </c>
      <c r="L179" t="s">
        <v>387</v>
      </c>
      <c r="M179">
        <v>67.290000000000006</v>
      </c>
    </row>
    <row r="180" spans="1:13" x14ac:dyDescent="0.2">
      <c r="A180" s="1">
        <v>179</v>
      </c>
      <c r="B180" t="s">
        <v>816</v>
      </c>
      <c r="C180">
        <f xml:space="preserve">  71.14</f>
        <v>71.14</v>
      </c>
      <c r="D180">
        <v>17</v>
      </c>
      <c r="E180">
        <v>11</v>
      </c>
      <c r="F180">
        <v>68.89</v>
      </c>
      <c r="G180">
        <v>0</v>
      </c>
      <c r="H180">
        <v>0</v>
      </c>
      <c r="I180">
        <v>0</v>
      </c>
      <c r="J180">
        <v>0</v>
      </c>
      <c r="K180">
        <v>71.2</v>
      </c>
      <c r="L180" t="s">
        <v>388</v>
      </c>
      <c r="M180">
        <v>62.64</v>
      </c>
    </row>
    <row r="181" spans="1:13" x14ac:dyDescent="0.2">
      <c r="A181" s="1">
        <v>180</v>
      </c>
      <c r="B181" t="s">
        <v>245</v>
      </c>
      <c r="C181">
        <f xml:space="preserve">  71.11</f>
        <v>71.11</v>
      </c>
      <c r="D181">
        <v>15</v>
      </c>
      <c r="E181">
        <v>15</v>
      </c>
      <c r="F181">
        <v>71.05</v>
      </c>
      <c r="G181">
        <v>0</v>
      </c>
      <c r="H181">
        <v>0</v>
      </c>
      <c r="I181">
        <v>0</v>
      </c>
      <c r="J181">
        <v>0</v>
      </c>
      <c r="K181">
        <v>70.819999999999993</v>
      </c>
      <c r="L181" t="s">
        <v>389</v>
      </c>
      <c r="M181">
        <v>69.790000000000006</v>
      </c>
    </row>
    <row r="182" spans="1:13" x14ac:dyDescent="0.2">
      <c r="A182" s="1">
        <v>181</v>
      </c>
      <c r="B182" t="s">
        <v>294</v>
      </c>
      <c r="C182">
        <f xml:space="preserve">  71.02</f>
        <v>71.02</v>
      </c>
      <c r="D182">
        <v>14</v>
      </c>
      <c r="E182">
        <v>17</v>
      </c>
      <c r="F182">
        <v>70.86</v>
      </c>
      <c r="G182">
        <v>0</v>
      </c>
      <c r="H182">
        <v>1</v>
      </c>
      <c r="I182">
        <v>0</v>
      </c>
      <c r="J182">
        <v>2</v>
      </c>
      <c r="K182">
        <v>71.12</v>
      </c>
      <c r="L182" t="s">
        <v>390</v>
      </c>
      <c r="M182">
        <v>65.760000000000005</v>
      </c>
    </row>
    <row r="183" spans="1:13" x14ac:dyDescent="0.2">
      <c r="A183" s="1">
        <v>182</v>
      </c>
      <c r="B183" t="s">
        <v>91</v>
      </c>
      <c r="C183">
        <f xml:space="preserve">  70.85</f>
        <v>70.849999999999994</v>
      </c>
      <c r="D183">
        <v>16</v>
      </c>
      <c r="E183">
        <v>17</v>
      </c>
      <c r="F183">
        <v>73.64</v>
      </c>
      <c r="G183">
        <v>0</v>
      </c>
      <c r="H183">
        <v>0</v>
      </c>
      <c r="I183">
        <v>0</v>
      </c>
      <c r="J183">
        <v>0</v>
      </c>
      <c r="K183">
        <v>70.69</v>
      </c>
      <c r="L183" t="s">
        <v>379</v>
      </c>
      <c r="M183">
        <v>67.94</v>
      </c>
    </row>
    <row r="184" spans="1:13" x14ac:dyDescent="0.2">
      <c r="A184" s="1">
        <v>183</v>
      </c>
      <c r="B184" t="s">
        <v>218</v>
      </c>
      <c r="C184">
        <f xml:space="preserve">  70.72</f>
        <v>70.72</v>
      </c>
      <c r="D184">
        <v>13</v>
      </c>
      <c r="E184">
        <v>18</v>
      </c>
      <c r="F184">
        <v>73.150000000000006</v>
      </c>
      <c r="G184">
        <v>0</v>
      </c>
      <c r="H184">
        <v>2</v>
      </c>
      <c r="I184">
        <v>0</v>
      </c>
      <c r="J184">
        <v>5</v>
      </c>
      <c r="K184">
        <v>70.489999999999995</v>
      </c>
      <c r="L184" t="s">
        <v>391</v>
      </c>
      <c r="M184">
        <v>70.78</v>
      </c>
    </row>
    <row r="185" spans="1:13" x14ac:dyDescent="0.2">
      <c r="A185" s="1">
        <v>184</v>
      </c>
      <c r="B185" t="s">
        <v>221</v>
      </c>
      <c r="C185">
        <f xml:space="preserve">  70.72</f>
        <v>70.72</v>
      </c>
      <c r="D185">
        <v>18</v>
      </c>
      <c r="E185">
        <v>16</v>
      </c>
      <c r="F185">
        <v>69.3</v>
      </c>
      <c r="G185">
        <v>0</v>
      </c>
      <c r="H185">
        <v>1</v>
      </c>
      <c r="I185">
        <v>0</v>
      </c>
      <c r="J185">
        <v>1</v>
      </c>
      <c r="K185">
        <v>70.06</v>
      </c>
      <c r="L185" t="s">
        <v>392</v>
      </c>
      <c r="M185">
        <v>81.27</v>
      </c>
    </row>
    <row r="186" spans="1:13" x14ac:dyDescent="0.2">
      <c r="A186" s="1">
        <v>185</v>
      </c>
      <c r="B186" t="s">
        <v>825</v>
      </c>
      <c r="C186">
        <f xml:space="preserve">  70.68</f>
        <v>70.680000000000007</v>
      </c>
      <c r="D186">
        <v>17</v>
      </c>
      <c r="E186">
        <v>14</v>
      </c>
      <c r="F186">
        <v>70.62</v>
      </c>
      <c r="G186">
        <v>0</v>
      </c>
      <c r="H186">
        <v>2</v>
      </c>
      <c r="I186">
        <v>0</v>
      </c>
      <c r="J186">
        <v>2</v>
      </c>
      <c r="K186">
        <v>70.459999999999994</v>
      </c>
      <c r="L186" t="s">
        <v>393</v>
      </c>
      <c r="M186">
        <v>72.02</v>
      </c>
    </row>
    <row r="187" spans="1:13" x14ac:dyDescent="0.2">
      <c r="A187" s="1">
        <v>186</v>
      </c>
      <c r="B187" t="s">
        <v>126</v>
      </c>
      <c r="C187">
        <f xml:space="preserve">  70.57</f>
        <v>70.569999999999993</v>
      </c>
      <c r="D187">
        <v>13</v>
      </c>
      <c r="E187">
        <v>17</v>
      </c>
      <c r="F187">
        <v>71.41</v>
      </c>
      <c r="G187">
        <v>0</v>
      </c>
      <c r="H187">
        <v>1</v>
      </c>
      <c r="I187">
        <v>0</v>
      </c>
      <c r="J187">
        <v>2</v>
      </c>
      <c r="K187">
        <v>70.5</v>
      </c>
      <c r="L187" t="s">
        <v>394</v>
      </c>
      <c r="M187">
        <v>67.63</v>
      </c>
    </row>
    <row r="188" spans="1:13" x14ac:dyDescent="0.2">
      <c r="A188" s="1">
        <v>187</v>
      </c>
      <c r="B188" t="s">
        <v>182</v>
      </c>
      <c r="C188">
        <f xml:space="preserve">  70.41</f>
        <v>70.41</v>
      </c>
      <c r="D188">
        <v>19</v>
      </c>
      <c r="E188">
        <v>13</v>
      </c>
      <c r="F188">
        <v>68.930000000000007</v>
      </c>
      <c r="G188">
        <v>0</v>
      </c>
      <c r="H188">
        <v>1</v>
      </c>
      <c r="I188">
        <v>0</v>
      </c>
      <c r="J188">
        <v>4</v>
      </c>
      <c r="K188">
        <v>69.760000000000005</v>
      </c>
      <c r="L188" t="s">
        <v>395</v>
      </c>
      <c r="M188">
        <v>72.91</v>
      </c>
    </row>
    <row r="189" spans="1:13" x14ac:dyDescent="0.2">
      <c r="A189" s="1">
        <v>188</v>
      </c>
      <c r="B189" t="s">
        <v>165</v>
      </c>
      <c r="C189">
        <f xml:space="preserve">  70.4</f>
        <v>70.400000000000006</v>
      </c>
      <c r="D189">
        <v>13</v>
      </c>
      <c r="E189">
        <v>20</v>
      </c>
      <c r="F189">
        <v>73.239999999999995</v>
      </c>
      <c r="G189">
        <v>0</v>
      </c>
      <c r="H189">
        <v>0</v>
      </c>
      <c r="I189">
        <v>0</v>
      </c>
      <c r="J189">
        <v>2</v>
      </c>
      <c r="K189">
        <v>70.31</v>
      </c>
      <c r="L189" t="s">
        <v>396</v>
      </c>
      <c r="M189">
        <v>68.67</v>
      </c>
    </row>
    <row r="190" spans="1:13" x14ac:dyDescent="0.2">
      <c r="A190" s="1">
        <v>189</v>
      </c>
      <c r="B190" t="s">
        <v>232</v>
      </c>
      <c r="C190">
        <f xml:space="preserve">  70.33</f>
        <v>70.33</v>
      </c>
      <c r="D190">
        <v>17</v>
      </c>
      <c r="E190">
        <v>15</v>
      </c>
      <c r="F190">
        <v>70.739999999999995</v>
      </c>
      <c r="G190">
        <v>0</v>
      </c>
      <c r="H190">
        <v>0</v>
      </c>
      <c r="I190">
        <v>0</v>
      </c>
      <c r="J190">
        <v>1</v>
      </c>
      <c r="K190">
        <v>69.87</v>
      </c>
      <c r="L190" t="s">
        <v>397</v>
      </c>
      <c r="M190">
        <v>73.83</v>
      </c>
    </row>
    <row r="191" spans="1:13" x14ac:dyDescent="0.2">
      <c r="A191" s="1">
        <v>190</v>
      </c>
      <c r="B191" t="s">
        <v>223</v>
      </c>
      <c r="C191">
        <f xml:space="preserve">  70.16</f>
        <v>70.16</v>
      </c>
      <c r="D191">
        <v>21</v>
      </c>
      <c r="E191">
        <v>13</v>
      </c>
      <c r="F191">
        <v>68.42</v>
      </c>
      <c r="G191">
        <v>0</v>
      </c>
      <c r="H191">
        <v>2</v>
      </c>
      <c r="I191">
        <v>0</v>
      </c>
      <c r="J191">
        <v>4</v>
      </c>
      <c r="K191">
        <v>69.319999999999993</v>
      </c>
      <c r="L191" t="s">
        <v>396</v>
      </c>
      <c r="M191">
        <v>81.23</v>
      </c>
    </row>
    <row r="192" spans="1:13" x14ac:dyDescent="0.2">
      <c r="A192" s="1">
        <v>191</v>
      </c>
      <c r="B192" t="s">
        <v>803</v>
      </c>
      <c r="C192">
        <f xml:space="preserve">  70.12</f>
        <v>70.12</v>
      </c>
      <c r="D192">
        <v>16</v>
      </c>
      <c r="E192">
        <v>17</v>
      </c>
      <c r="F192">
        <v>71.2</v>
      </c>
      <c r="G192">
        <v>0</v>
      </c>
      <c r="H192">
        <v>1</v>
      </c>
      <c r="I192">
        <v>0</v>
      </c>
      <c r="J192">
        <v>1</v>
      </c>
      <c r="K192">
        <v>69.709999999999994</v>
      </c>
      <c r="L192" t="s">
        <v>394</v>
      </c>
      <c r="M192">
        <v>71.260000000000005</v>
      </c>
    </row>
    <row r="193" spans="1:13" x14ac:dyDescent="0.2">
      <c r="A193" s="1">
        <v>192</v>
      </c>
      <c r="B193" t="s">
        <v>153</v>
      </c>
      <c r="C193">
        <f xml:space="preserve">  70.1</f>
        <v>70.099999999999994</v>
      </c>
      <c r="D193">
        <v>8</v>
      </c>
      <c r="E193">
        <v>24</v>
      </c>
      <c r="F193">
        <v>79.989999999999995</v>
      </c>
      <c r="G193">
        <v>0</v>
      </c>
      <c r="H193">
        <v>7</v>
      </c>
      <c r="I193">
        <v>0</v>
      </c>
      <c r="J193">
        <v>18</v>
      </c>
      <c r="K193">
        <v>69.92</v>
      </c>
      <c r="L193" t="s">
        <v>377</v>
      </c>
      <c r="M193">
        <v>65.91</v>
      </c>
    </row>
    <row r="194" spans="1:13" x14ac:dyDescent="0.2">
      <c r="A194" s="1">
        <v>193</v>
      </c>
      <c r="B194" t="s">
        <v>205</v>
      </c>
      <c r="C194">
        <f xml:space="preserve">  69.86</f>
        <v>69.86</v>
      </c>
      <c r="D194">
        <v>16</v>
      </c>
      <c r="E194">
        <v>16</v>
      </c>
      <c r="F194">
        <v>69.13</v>
      </c>
      <c r="G194">
        <v>0</v>
      </c>
      <c r="H194">
        <v>0</v>
      </c>
      <c r="I194">
        <v>0</v>
      </c>
      <c r="J194">
        <v>1</v>
      </c>
      <c r="K194">
        <v>70.11</v>
      </c>
      <c r="L194" t="s">
        <v>398</v>
      </c>
      <c r="M194">
        <v>64.819999999999993</v>
      </c>
    </row>
    <row r="195" spans="1:13" x14ac:dyDescent="0.2">
      <c r="A195" s="1">
        <v>194</v>
      </c>
      <c r="B195" t="s">
        <v>118</v>
      </c>
      <c r="C195">
        <f xml:space="preserve">  69.85</f>
        <v>69.849999999999994</v>
      </c>
      <c r="D195">
        <v>16</v>
      </c>
      <c r="E195">
        <v>17</v>
      </c>
      <c r="F195">
        <v>72.77</v>
      </c>
      <c r="G195">
        <v>0</v>
      </c>
      <c r="H195">
        <v>0</v>
      </c>
      <c r="I195">
        <v>0</v>
      </c>
      <c r="J195">
        <v>4</v>
      </c>
      <c r="K195">
        <v>69.33</v>
      </c>
      <c r="L195" t="s">
        <v>399</v>
      </c>
      <c r="M195">
        <v>71.94</v>
      </c>
    </row>
    <row r="196" spans="1:13" x14ac:dyDescent="0.2">
      <c r="A196" s="1">
        <v>195</v>
      </c>
      <c r="B196" t="s">
        <v>166</v>
      </c>
      <c r="C196">
        <f xml:space="preserve">  69.67</f>
        <v>69.67</v>
      </c>
      <c r="D196">
        <v>21</v>
      </c>
      <c r="E196">
        <v>10</v>
      </c>
      <c r="F196">
        <v>65.67</v>
      </c>
      <c r="G196">
        <v>0</v>
      </c>
      <c r="H196">
        <v>1</v>
      </c>
      <c r="I196">
        <v>0</v>
      </c>
      <c r="J196">
        <v>3</v>
      </c>
      <c r="K196">
        <v>69.38</v>
      </c>
      <c r="L196" t="s">
        <v>400</v>
      </c>
      <c r="M196">
        <v>67.48</v>
      </c>
    </row>
    <row r="197" spans="1:13" x14ac:dyDescent="0.2">
      <c r="A197" s="1">
        <v>196</v>
      </c>
      <c r="B197" t="s">
        <v>137</v>
      </c>
      <c r="C197">
        <f xml:space="preserve">  69.54</f>
        <v>69.540000000000006</v>
      </c>
      <c r="D197">
        <v>19</v>
      </c>
      <c r="E197">
        <v>15</v>
      </c>
      <c r="F197">
        <v>66.88</v>
      </c>
      <c r="G197">
        <v>0</v>
      </c>
      <c r="H197">
        <v>1</v>
      </c>
      <c r="I197">
        <v>0</v>
      </c>
      <c r="J197">
        <v>1</v>
      </c>
      <c r="K197">
        <v>69.430000000000007</v>
      </c>
      <c r="L197" t="s">
        <v>401</v>
      </c>
      <c r="M197">
        <v>70.14</v>
      </c>
    </row>
    <row r="198" spans="1:13" x14ac:dyDescent="0.2">
      <c r="A198" s="1">
        <v>197</v>
      </c>
      <c r="B198" t="s">
        <v>277</v>
      </c>
      <c r="C198">
        <f xml:space="preserve">  69.43</f>
        <v>69.430000000000007</v>
      </c>
      <c r="D198">
        <v>15</v>
      </c>
      <c r="E198">
        <v>13</v>
      </c>
      <c r="F198">
        <v>69.13</v>
      </c>
      <c r="G198">
        <v>0</v>
      </c>
      <c r="H198">
        <v>0</v>
      </c>
      <c r="I198">
        <v>0</v>
      </c>
      <c r="J198">
        <v>2</v>
      </c>
      <c r="K198">
        <v>69.03</v>
      </c>
      <c r="L198" t="s">
        <v>402</v>
      </c>
      <c r="M198">
        <v>72.87</v>
      </c>
    </row>
    <row r="199" spans="1:13" x14ac:dyDescent="0.2">
      <c r="A199" s="1">
        <v>198</v>
      </c>
      <c r="B199" t="s">
        <v>140</v>
      </c>
      <c r="C199">
        <f xml:space="preserve">  69.26</f>
        <v>69.260000000000005</v>
      </c>
      <c r="D199">
        <v>18</v>
      </c>
      <c r="E199">
        <v>14</v>
      </c>
      <c r="F199">
        <v>67.930000000000007</v>
      </c>
      <c r="G199">
        <v>0</v>
      </c>
      <c r="H199">
        <v>0</v>
      </c>
      <c r="I199">
        <v>0</v>
      </c>
      <c r="J199">
        <v>1</v>
      </c>
      <c r="K199">
        <v>68.790000000000006</v>
      </c>
      <c r="L199" t="s">
        <v>403</v>
      </c>
      <c r="M199">
        <v>73.92</v>
      </c>
    </row>
    <row r="200" spans="1:13" x14ac:dyDescent="0.2">
      <c r="A200" s="1">
        <v>199</v>
      </c>
      <c r="B200" t="s">
        <v>188</v>
      </c>
      <c r="C200">
        <f xml:space="preserve">  69.24</f>
        <v>69.239999999999995</v>
      </c>
      <c r="D200">
        <v>17</v>
      </c>
      <c r="E200">
        <v>16</v>
      </c>
      <c r="F200">
        <v>69.33</v>
      </c>
      <c r="G200">
        <v>0</v>
      </c>
      <c r="H200">
        <v>2</v>
      </c>
      <c r="I200">
        <v>0</v>
      </c>
      <c r="J200">
        <v>2</v>
      </c>
      <c r="K200">
        <v>68.64</v>
      </c>
      <c r="L200" t="s">
        <v>404</v>
      </c>
      <c r="M200">
        <v>74.73</v>
      </c>
    </row>
    <row r="201" spans="1:13" x14ac:dyDescent="0.2">
      <c r="A201" s="1">
        <v>200</v>
      </c>
      <c r="B201" t="s">
        <v>180</v>
      </c>
      <c r="C201">
        <f xml:space="preserve">  69.16</f>
        <v>69.16</v>
      </c>
      <c r="D201">
        <v>19</v>
      </c>
      <c r="E201">
        <v>14</v>
      </c>
      <c r="F201">
        <v>69.739999999999995</v>
      </c>
      <c r="G201">
        <v>0</v>
      </c>
      <c r="H201">
        <v>0</v>
      </c>
      <c r="I201">
        <v>0</v>
      </c>
      <c r="J201">
        <v>0</v>
      </c>
      <c r="K201">
        <v>68.66</v>
      </c>
      <c r="L201" t="s">
        <v>405</v>
      </c>
      <c r="M201">
        <v>72.14</v>
      </c>
    </row>
    <row r="202" spans="1:13" x14ac:dyDescent="0.2">
      <c r="A202" s="1">
        <v>201</v>
      </c>
      <c r="B202" t="s">
        <v>249</v>
      </c>
      <c r="C202">
        <f xml:space="preserve">  69.15</f>
        <v>69.150000000000006</v>
      </c>
      <c r="D202">
        <v>15</v>
      </c>
      <c r="E202">
        <v>16</v>
      </c>
      <c r="F202">
        <v>69.13</v>
      </c>
      <c r="G202">
        <v>0</v>
      </c>
      <c r="H202">
        <v>0</v>
      </c>
      <c r="I202">
        <v>0</v>
      </c>
      <c r="J202">
        <v>0</v>
      </c>
      <c r="K202">
        <v>68.959999999999994</v>
      </c>
      <c r="L202" t="s">
        <v>406</v>
      </c>
      <c r="M202">
        <v>69.05</v>
      </c>
    </row>
    <row r="203" spans="1:13" x14ac:dyDescent="0.2">
      <c r="A203" s="1">
        <v>202</v>
      </c>
      <c r="B203" t="s">
        <v>839</v>
      </c>
      <c r="C203">
        <f xml:space="preserve">  69.14</f>
        <v>69.14</v>
      </c>
      <c r="D203">
        <v>13</v>
      </c>
      <c r="E203">
        <v>18</v>
      </c>
      <c r="F203">
        <v>72.78</v>
      </c>
      <c r="G203">
        <v>0</v>
      </c>
      <c r="H203">
        <v>3</v>
      </c>
      <c r="I203">
        <v>0</v>
      </c>
      <c r="J203">
        <v>4</v>
      </c>
      <c r="K203">
        <v>68.760000000000005</v>
      </c>
      <c r="L203" t="s">
        <v>407</v>
      </c>
      <c r="M203">
        <v>68.489999999999995</v>
      </c>
    </row>
    <row r="204" spans="1:13" x14ac:dyDescent="0.2">
      <c r="A204" s="1">
        <v>203</v>
      </c>
      <c r="B204" t="s">
        <v>214</v>
      </c>
      <c r="C204">
        <f xml:space="preserve">  69.08</f>
        <v>69.08</v>
      </c>
      <c r="D204">
        <v>14</v>
      </c>
      <c r="E204">
        <v>17</v>
      </c>
      <c r="F204">
        <v>69.709999999999994</v>
      </c>
      <c r="G204">
        <v>0</v>
      </c>
      <c r="H204">
        <v>1</v>
      </c>
      <c r="I204">
        <v>0</v>
      </c>
      <c r="J204">
        <v>1</v>
      </c>
      <c r="K204">
        <v>68.94</v>
      </c>
      <c r="L204" t="s">
        <v>408</v>
      </c>
      <c r="M204">
        <v>67.44</v>
      </c>
    </row>
    <row r="205" spans="1:13" x14ac:dyDescent="0.2">
      <c r="A205" s="1">
        <v>204</v>
      </c>
      <c r="B205" t="s">
        <v>873</v>
      </c>
      <c r="C205">
        <f xml:space="preserve">  68.99</f>
        <v>68.989999999999995</v>
      </c>
      <c r="D205">
        <v>14</v>
      </c>
      <c r="E205">
        <v>18</v>
      </c>
      <c r="F205">
        <v>71.760000000000005</v>
      </c>
      <c r="G205">
        <v>0</v>
      </c>
      <c r="H205">
        <v>1</v>
      </c>
      <c r="I205">
        <v>0</v>
      </c>
      <c r="J205">
        <v>2</v>
      </c>
      <c r="K205">
        <v>68.849999999999994</v>
      </c>
      <c r="L205" t="s">
        <v>409</v>
      </c>
      <c r="M205">
        <v>67.73</v>
      </c>
    </row>
    <row r="206" spans="1:13" x14ac:dyDescent="0.2">
      <c r="A206" s="1">
        <v>205</v>
      </c>
      <c r="B206" t="s">
        <v>127</v>
      </c>
      <c r="C206">
        <f xml:space="preserve">  68.96</f>
        <v>68.959999999999994</v>
      </c>
      <c r="D206">
        <v>14</v>
      </c>
      <c r="E206">
        <v>18</v>
      </c>
      <c r="F206">
        <v>69.45</v>
      </c>
      <c r="G206">
        <v>0</v>
      </c>
      <c r="H206">
        <v>1</v>
      </c>
      <c r="I206">
        <v>0</v>
      </c>
      <c r="J206">
        <v>1</v>
      </c>
      <c r="K206">
        <v>68.5</v>
      </c>
      <c r="L206" t="s">
        <v>410</v>
      </c>
      <c r="M206">
        <v>75.17</v>
      </c>
    </row>
    <row r="207" spans="1:13" x14ac:dyDescent="0.2">
      <c r="A207" s="1">
        <v>206</v>
      </c>
      <c r="B207" t="s">
        <v>810</v>
      </c>
      <c r="C207">
        <f xml:space="preserve">  68.93</f>
        <v>68.930000000000007</v>
      </c>
      <c r="D207">
        <v>10</v>
      </c>
      <c r="E207">
        <v>21</v>
      </c>
      <c r="F207">
        <v>75.23</v>
      </c>
      <c r="G207">
        <v>0</v>
      </c>
      <c r="H207">
        <v>1</v>
      </c>
      <c r="I207">
        <v>0</v>
      </c>
      <c r="J207">
        <v>6</v>
      </c>
      <c r="K207">
        <v>68.760000000000005</v>
      </c>
      <c r="L207" t="s">
        <v>411</v>
      </c>
      <c r="M207">
        <v>62.62</v>
      </c>
    </row>
    <row r="208" spans="1:13" x14ac:dyDescent="0.2">
      <c r="A208" s="1">
        <v>207</v>
      </c>
      <c r="B208" t="s">
        <v>131</v>
      </c>
      <c r="C208">
        <f xml:space="preserve">  68.79</f>
        <v>68.790000000000006</v>
      </c>
      <c r="D208">
        <v>8</v>
      </c>
      <c r="E208">
        <v>23</v>
      </c>
      <c r="F208">
        <v>77.150000000000006</v>
      </c>
      <c r="G208">
        <v>0</v>
      </c>
      <c r="H208">
        <v>3</v>
      </c>
      <c r="I208">
        <v>1</v>
      </c>
      <c r="J208">
        <v>8</v>
      </c>
      <c r="K208">
        <v>68.63</v>
      </c>
      <c r="L208" t="s">
        <v>412</v>
      </c>
      <c r="M208">
        <v>65.42</v>
      </c>
    </row>
    <row r="209" spans="1:13" x14ac:dyDescent="0.2">
      <c r="A209" s="1">
        <v>208</v>
      </c>
      <c r="B209" t="s">
        <v>159</v>
      </c>
      <c r="C209">
        <f xml:space="preserve">  68.78</f>
        <v>68.78</v>
      </c>
      <c r="D209">
        <v>11</v>
      </c>
      <c r="E209">
        <v>18</v>
      </c>
      <c r="F209">
        <v>70.400000000000006</v>
      </c>
      <c r="G209">
        <v>0</v>
      </c>
      <c r="H209">
        <v>0</v>
      </c>
      <c r="I209">
        <v>0</v>
      </c>
      <c r="J209">
        <v>0</v>
      </c>
      <c r="K209">
        <v>69.010000000000005</v>
      </c>
      <c r="L209" t="s">
        <v>413</v>
      </c>
      <c r="M209">
        <v>60.52</v>
      </c>
    </row>
    <row r="210" spans="1:13" x14ac:dyDescent="0.2">
      <c r="A210" s="1">
        <v>209</v>
      </c>
      <c r="B210" t="s">
        <v>241</v>
      </c>
      <c r="C210">
        <f xml:space="preserve">  68.68</f>
        <v>68.680000000000007</v>
      </c>
      <c r="D210">
        <v>13</v>
      </c>
      <c r="E210">
        <v>15</v>
      </c>
      <c r="F210">
        <v>70.27</v>
      </c>
      <c r="G210">
        <v>0</v>
      </c>
      <c r="H210">
        <v>0</v>
      </c>
      <c r="I210">
        <v>0</v>
      </c>
      <c r="J210">
        <v>0</v>
      </c>
      <c r="K210">
        <v>67.95</v>
      </c>
      <c r="L210" t="s">
        <v>414</v>
      </c>
      <c r="M210">
        <v>75.22</v>
      </c>
    </row>
    <row r="211" spans="1:13" x14ac:dyDescent="0.2">
      <c r="A211" s="1">
        <v>210</v>
      </c>
      <c r="B211" t="s">
        <v>152</v>
      </c>
      <c r="C211">
        <f xml:space="preserve">  68.66</f>
        <v>68.66</v>
      </c>
      <c r="D211">
        <v>17</v>
      </c>
      <c r="E211">
        <v>14</v>
      </c>
      <c r="F211">
        <v>68.44</v>
      </c>
      <c r="G211">
        <v>0</v>
      </c>
      <c r="H211">
        <v>0</v>
      </c>
      <c r="I211">
        <v>0</v>
      </c>
      <c r="J211">
        <v>1</v>
      </c>
      <c r="K211">
        <v>68.489999999999995</v>
      </c>
      <c r="L211" t="s">
        <v>415</v>
      </c>
      <c r="M211">
        <v>67.17</v>
      </c>
    </row>
    <row r="212" spans="1:13" x14ac:dyDescent="0.2">
      <c r="A212" s="1">
        <v>211</v>
      </c>
      <c r="B212" t="s">
        <v>237</v>
      </c>
      <c r="C212">
        <f xml:space="preserve">  68.64</f>
        <v>68.64</v>
      </c>
      <c r="D212">
        <v>15</v>
      </c>
      <c r="E212">
        <v>14</v>
      </c>
      <c r="F212">
        <v>67.95</v>
      </c>
      <c r="G212">
        <v>0</v>
      </c>
      <c r="H212">
        <v>1</v>
      </c>
      <c r="I212">
        <v>0</v>
      </c>
      <c r="J212">
        <v>2</v>
      </c>
      <c r="K212">
        <v>68.27</v>
      </c>
      <c r="L212" t="s">
        <v>416</v>
      </c>
      <c r="M212">
        <v>70.45</v>
      </c>
    </row>
    <row r="213" spans="1:13" x14ac:dyDescent="0.2">
      <c r="A213" s="1">
        <v>212</v>
      </c>
      <c r="B213" t="s">
        <v>907</v>
      </c>
      <c r="C213">
        <f xml:space="preserve">  68.63</f>
        <v>68.63</v>
      </c>
      <c r="D213">
        <v>12</v>
      </c>
      <c r="E213">
        <v>19</v>
      </c>
      <c r="F213">
        <v>70.56</v>
      </c>
      <c r="G213">
        <v>0</v>
      </c>
      <c r="H213">
        <v>1</v>
      </c>
      <c r="I213">
        <v>0</v>
      </c>
      <c r="J213">
        <v>2</v>
      </c>
      <c r="K213">
        <v>68.14</v>
      </c>
      <c r="L213" t="s">
        <v>417</v>
      </c>
      <c r="M213">
        <v>75.319999999999993</v>
      </c>
    </row>
    <row r="214" spans="1:13" x14ac:dyDescent="0.2">
      <c r="A214" s="1">
        <v>213</v>
      </c>
      <c r="B214" t="s">
        <v>845</v>
      </c>
      <c r="C214">
        <f xml:space="preserve">  68.61</f>
        <v>68.61</v>
      </c>
      <c r="D214">
        <v>17</v>
      </c>
      <c r="E214">
        <v>11</v>
      </c>
      <c r="F214">
        <v>67.349999999999994</v>
      </c>
      <c r="G214">
        <v>0</v>
      </c>
      <c r="H214">
        <v>1</v>
      </c>
      <c r="I214">
        <v>0</v>
      </c>
      <c r="J214">
        <v>1</v>
      </c>
      <c r="K214">
        <v>68.22</v>
      </c>
      <c r="L214" t="s">
        <v>418</v>
      </c>
      <c r="M214">
        <v>72.81</v>
      </c>
    </row>
    <row r="215" spans="1:13" x14ac:dyDescent="0.2">
      <c r="A215" s="1">
        <v>214</v>
      </c>
      <c r="B215" t="s">
        <v>837</v>
      </c>
      <c r="C215">
        <f xml:space="preserve">  68.6</f>
        <v>68.599999999999994</v>
      </c>
      <c r="D215">
        <v>17</v>
      </c>
      <c r="E215">
        <v>15</v>
      </c>
      <c r="F215">
        <v>68.489999999999995</v>
      </c>
      <c r="G215">
        <v>0</v>
      </c>
      <c r="H215">
        <v>0</v>
      </c>
      <c r="I215">
        <v>0</v>
      </c>
      <c r="J215">
        <v>1</v>
      </c>
      <c r="K215">
        <v>67.87</v>
      </c>
      <c r="L215" t="s">
        <v>419</v>
      </c>
      <c r="M215">
        <v>76.3</v>
      </c>
    </row>
    <row r="216" spans="1:13" x14ac:dyDescent="0.2">
      <c r="A216" s="1">
        <v>215</v>
      </c>
      <c r="B216" t="s">
        <v>228</v>
      </c>
      <c r="C216">
        <f xml:space="preserve">  68.52</f>
        <v>68.52</v>
      </c>
      <c r="D216">
        <v>17</v>
      </c>
      <c r="E216">
        <v>15</v>
      </c>
      <c r="F216">
        <v>69.58</v>
      </c>
      <c r="G216">
        <v>0</v>
      </c>
      <c r="H216">
        <v>1</v>
      </c>
      <c r="I216">
        <v>0</v>
      </c>
      <c r="J216">
        <v>2</v>
      </c>
      <c r="K216">
        <v>68.17</v>
      </c>
      <c r="L216" t="s">
        <v>420</v>
      </c>
      <c r="M216">
        <v>68.209999999999994</v>
      </c>
    </row>
    <row r="217" spans="1:13" x14ac:dyDescent="0.2">
      <c r="A217" s="1">
        <v>216</v>
      </c>
      <c r="B217" t="s">
        <v>836</v>
      </c>
      <c r="C217">
        <f xml:space="preserve">  68.38</f>
        <v>68.38</v>
      </c>
      <c r="D217">
        <v>13</v>
      </c>
      <c r="E217">
        <v>15</v>
      </c>
      <c r="F217">
        <v>69.180000000000007</v>
      </c>
      <c r="G217">
        <v>0</v>
      </c>
      <c r="H217">
        <v>2</v>
      </c>
      <c r="I217">
        <v>0</v>
      </c>
      <c r="J217">
        <v>3</v>
      </c>
      <c r="K217">
        <v>68.33</v>
      </c>
      <c r="L217" t="s">
        <v>403</v>
      </c>
      <c r="M217">
        <v>60.95</v>
      </c>
    </row>
    <row r="218" spans="1:13" x14ac:dyDescent="0.2">
      <c r="A218" s="1">
        <v>217</v>
      </c>
      <c r="B218" t="s">
        <v>264</v>
      </c>
      <c r="C218">
        <f xml:space="preserve">  68.29</f>
        <v>68.290000000000006</v>
      </c>
      <c r="D218">
        <v>7</v>
      </c>
      <c r="E218">
        <v>19</v>
      </c>
      <c r="F218">
        <v>70.5</v>
      </c>
      <c r="G218">
        <v>0</v>
      </c>
      <c r="H218">
        <v>1</v>
      </c>
      <c r="I218">
        <v>0</v>
      </c>
      <c r="J218">
        <v>2</v>
      </c>
      <c r="K218">
        <v>68.63</v>
      </c>
      <c r="L218" t="s">
        <v>421</v>
      </c>
      <c r="M218">
        <v>61.69</v>
      </c>
    </row>
    <row r="219" spans="1:13" x14ac:dyDescent="0.2">
      <c r="A219" s="1">
        <v>218</v>
      </c>
      <c r="B219" t="s">
        <v>826</v>
      </c>
      <c r="C219">
        <f xml:space="preserve">  68.21</f>
        <v>68.209999999999994</v>
      </c>
      <c r="D219">
        <v>13</v>
      </c>
      <c r="E219">
        <v>18</v>
      </c>
      <c r="F219">
        <v>70.400000000000006</v>
      </c>
      <c r="G219">
        <v>0</v>
      </c>
      <c r="H219">
        <v>1</v>
      </c>
      <c r="I219">
        <v>0</v>
      </c>
      <c r="J219">
        <v>1</v>
      </c>
      <c r="K219">
        <v>67.790000000000006</v>
      </c>
      <c r="L219" t="s">
        <v>422</v>
      </c>
      <c r="M219">
        <v>72.900000000000006</v>
      </c>
    </row>
    <row r="220" spans="1:13" x14ac:dyDescent="0.2">
      <c r="A220" s="1">
        <v>219</v>
      </c>
      <c r="B220" t="s">
        <v>262</v>
      </c>
      <c r="C220">
        <f xml:space="preserve">  68.21</f>
        <v>68.209999999999994</v>
      </c>
      <c r="D220">
        <v>15</v>
      </c>
      <c r="E220">
        <v>14</v>
      </c>
      <c r="F220">
        <v>66.69</v>
      </c>
      <c r="G220">
        <v>0</v>
      </c>
      <c r="H220">
        <v>0</v>
      </c>
      <c r="I220">
        <v>0</v>
      </c>
      <c r="J220">
        <v>0</v>
      </c>
      <c r="K220">
        <v>68.180000000000007</v>
      </c>
      <c r="L220" t="s">
        <v>423</v>
      </c>
      <c r="M220">
        <v>65.319999999999993</v>
      </c>
    </row>
    <row r="221" spans="1:13" x14ac:dyDescent="0.2">
      <c r="A221" s="1">
        <v>220</v>
      </c>
      <c r="B221" t="s">
        <v>283</v>
      </c>
      <c r="C221">
        <f xml:space="preserve">  67.98</f>
        <v>67.98</v>
      </c>
      <c r="D221">
        <v>19</v>
      </c>
      <c r="E221">
        <v>12</v>
      </c>
      <c r="F221">
        <v>66.78</v>
      </c>
      <c r="G221">
        <v>0</v>
      </c>
      <c r="H221">
        <v>0</v>
      </c>
      <c r="I221">
        <v>0</v>
      </c>
      <c r="J221">
        <v>1</v>
      </c>
      <c r="K221">
        <v>67.680000000000007</v>
      </c>
      <c r="L221" t="s">
        <v>424</v>
      </c>
      <c r="M221">
        <v>63.72</v>
      </c>
    </row>
    <row r="222" spans="1:13" x14ac:dyDescent="0.2">
      <c r="A222" s="1">
        <v>221</v>
      </c>
      <c r="B222" t="s">
        <v>154</v>
      </c>
      <c r="C222">
        <f xml:space="preserve">  67.97</f>
        <v>67.97</v>
      </c>
      <c r="D222">
        <v>9</v>
      </c>
      <c r="E222">
        <v>21</v>
      </c>
      <c r="F222">
        <v>72.3</v>
      </c>
      <c r="G222">
        <v>0</v>
      </c>
      <c r="H222">
        <v>0</v>
      </c>
      <c r="I222">
        <v>0</v>
      </c>
      <c r="J222">
        <v>0</v>
      </c>
      <c r="K222">
        <v>67.430000000000007</v>
      </c>
      <c r="L222" t="s">
        <v>425</v>
      </c>
      <c r="M222">
        <v>72.67</v>
      </c>
    </row>
    <row r="223" spans="1:13" x14ac:dyDescent="0.2">
      <c r="A223" s="1">
        <v>222</v>
      </c>
      <c r="B223" t="s">
        <v>227</v>
      </c>
      <c r="C223">
        <f xml:space="preserve">  67.91</f>
        <v>67.91</v>
      </c>
      <c r="D223">
        <v>19</v>
      </c>
      <c r="E223">
        <v>12</v>
      </c>
      <c r="F223">
        <v>67.94</v>
      </c>
      <c r="G223">
        <v>0</v>
      </c>
      <c r="H223">
        <v>0</v>
      </c>
      <c r="I223">
        <v>0</v>
      </c>
      <c r="J223">
        <v>2</v>
      </c>
      <c r="K223">
        <v>67.42</v>
      </c>
      <c r="L223" t="s">
        <v>426</v>
      </c>
      <c r="M223">
        <v>68.22</v>
      </c>
    </row>
    <row r="224" spans="1:13" x14ac:dyDescent="0.2">
      <c r="A224" s="1">
        <v>223</v>
      </c>
      <c r="B224" t="s">
        <v>202</v>
      </c>
      <c r="C224">
        <f xml:space="preserve">  67.89</f>
        <v>67.89</v>
      </c>
      <c r="D224">
        <v>12</v>
      </c>
      <c r="E224">
        <v>18</v>
      </c>
      <c r="F224">
        <v>71.66</v>
      </c>
      <c r="G224">
        <v>0</v>
      </c>
      <c r="H224">
        <v>1</v>
      </c>
      <c r="I224">
        <v>0</v>
      </c>
      <c r="J224">
        <v>1</v>
      </c>
      <c r="K224">
        <v>67.72</v>
      </c>
      <c r="L224" t="s">
        <v>420</v>
      </c>
      <c r="M224">
        <v>59.77</v>
      </c>
    </row>
    <row r="225" spans="1:13" x14ac:dyDescent="0.2">
      <c r="A225" s="1">
        <v>224</v>
      </c>
      <c r="B225" t="s">
        <v>894</v>
      </c>
      <c r="C225">
        <f xml:space="preserve">  67.77</f>
        <v>67.77</v>
      </c>
      <c r="D225">
        <v>14</v>
      </c>
      <c r="E225">
        <v>16</v>
      </c>
      <c r="F225">
        <v>68.58</v>
      </c>
      <c r="G225">
        <v>0</v>
      </c>
      <c r="H225">
        <v>0</v>
      </c>
      <c r="I225">
        <v>0</v>
      </c>
      <c r="J225">
        <v>1</v>
      </c>
      <c r="K225">
        <v>67.099999999999994</v>
      </c>
      <c r="L225" t="s">
        <v>427</v>
      </c>
      <c r="M225">
        <v>74.7</v>
      </c>
    </row>
    <row r="226" spans="1:13" x14ac:dyDescent="0.2">
      <c r="A226" s="1">
        <v>225</v>
      </c>
      <c r="B226" t="s">
        <v>133</v>
      </c>
      <c r="C226">
        <f xml:space="preserve">  67.77</f>
        <v>67.77</v>
      </c>
      <c r="D226">
        <v>13</v>
      </c>
      <c r="E226">
        <v>18</v>
      </c>
      <c r="F226">
        <v>71.23</v>
      </c>
      <c r="G226">
        <v>0</v>
      </c>
      <c r="H226">
        <v>0</v>
      </c>
      <c r="I226">
        <v>0</v>
      </c>
      <c r="J226">
        <v>1</v>
      </c>
      <c r="K226">
        <v>67.099999999999994</v>
      </c>
      <c r="L226" t="s">
        <v>428</v>
      </c>
      <c r="M226">
        <v>72.7</v>
      </c>
    </row>
    <row r="227" spans="1:13" x14ac:dyDescent="0.2">
      <c r="A227" s="1">
        <v>226</v>
      </c>
      <c r="B227" t="s">
        <v>893</v>
      </c>
      <c r="C227">
        <f xml:space="preserve">  67.71</f>
        <v>67.709999999999994</v>
      </c>
      <c r="D227">
        <v>16</v>
      </c>
      <c r="E227">
        <v>13</v>
      </c>
      <c r="F227">
        <v>66.39</v>
      </c>
      <c r="G227">
        <v>0</v>
      </c>
      <c r="H227">
        <v>1</v>
      </c>
      <c r="I227">
        <v>0</v>
      </c>
      <c r="J227">
        <v>3</v>
      </c>
      <c r="K227">
        <v>67.67</v>
      </c>
      <c r="L227" t="s">
        <v>418</v>
      </c>
      <c r="M227">
        <v>61.36</v>
      </c>
    </row>
    <row r="228" spans="1:13" x14ac:dyDescent="0.2">
      <c r="A228" s="1">
        <v>227</v>
      </c>
      <c r="B228" t="s">
        <v>207</v>
      </c>
      <c r="C228">
        <f xml:space="preserve">  67.68</f>
        <v>67.680000000000007</v>
      </c>
      <c r="D228">
        <v>14</v>
      </c>
      <c r="E228">
        <v>16</v>
      </c>
      <c r="F228">
        <v>70.48</v>
      </c>
      <c r="G228">
        <v>0</v>
      </c>
      <c r="H228">
        <v>0</v>
      </c>
      <c r="I228">
        <v>0</v>
      </c>
      <c r="J228">
        <v>0</v>
      </c>
      <c r="K228">
        <v>67.25</v>
      </c>
      <c r="L228" t="s">
        <v>429</v>
      </c>
      <c r="M228">
        <v>67.38</v>
      </c>
    </row>
    <row r="229" spans="1:13" x14ac:dyDescent="0.2">
      <c r="A229" s="1">
        <v>228</v>
      </c>
      <c r="B229" t="s">
        <v>220</v>
      </c>
      <c r="C229">
        <f xml:space="preserve">  67.66</f>
        <v>67.66</v>
      </c>
      <c r="D229">
        <v>17</v>
      </c>
      <c r="E229">
        <v>14</v>
      </c>
      <c r="F229">
        <v>69.66</v>
      </c>
      <c r="G229">
        <v>0</v>
      </c>
      <c r="H229">
        <v>0</v>
      </c>
      <c r="I229">
        <v>0</v>
      </c>
      <c r="J229">
        <v>1</v>
      </c>
      <c r="K229">
        <v>67.22</v>
      </c>
      <c r="L229" t="s">
        <v>430</v>
      </c>
      <c r="M229">
        <v>66.849999999999994</v>
      </c>
    </row>
    <row r="230" spans="1:13" x14ac:dyDescent="0.2">
      <c r="A230" s="1">
        <v>229</v>
      </c>
      <c r="B230" t="s">
        <v>255</v>
      </c>
      <c r="C230">
        <f xml:space="preserve">  67.54</f>
        <v>67.540000000000006</v>
      </c>
      <c r="D230">
        <v>12</v>
      </c>
      <c r="E230">
        <v>18</v>
      </c>
      <c r="F230">
        <v>73.11</v>
      </c>
      <c r="G230">
        <v>0</v>
      </c>
      <c r="H230">
        <v>2</v>
      </c>
      <c r="I230">
        <v>0</v>
      </c>
      <c r="J230">
        <v>2</v>
      </c>
      <c r="K230">
        <v>66.84</v>
      </c>
      <c r="L230" t="s">
        <v>431</v>
      </c>
      <c r="M230">
        <v>74.55</v>
      </c>
    </row>
    <row r="231" spans="1:13" x14ac:dyDescent="0.2">
      <c r="A231" s="1">
        <v>230</v>
      </c>
      <c r="B231" t="s">
        <v>174</v>
      </c>
      <c r="C231">
        <f xml:space="preserve">  67.5</f>
        <v>67.5</v>
      </c>
      <c r="D231">
        <v>9</v>
      </c>
      <c r="E231">
        <v>22</v>
      </c>
      <c r="F231">
        <v>71.099999999999994</v>
      </c>
      <c r="G231">
        <v>0</v>
      </c>
      <c r="H231">
        <v>1</v>
      </c>
      <c r="I231">
        <v>0</v>
      </c>
      <c r="J231">
        <v>1</v>
      </c>
      <c r="K231">
        <v>67.61</v>
      </c>
      <c r="L231" t="s">
        <v>432</v>
      </c>
      <c r="M231">
        <v>64.48</v>
      </c>
    </row>
    <row r="232" spans="1:13" x14ac:dyDescent="0.2">
      <c r="A232" s="1">
        <v>231</v>
      </c>
      <c r="B232" t="s">
        <v>861</v>
      </c>
      <c r="C232">
        <f xml:space="preserve">  67.45</f>
        <v>67.45</v>
      </c>
      <c r="D232">
        <v>13</v>
      </c>
      <c r="E232">
        <v>18</v>
      </c>
      <c r="F232">
        <v>69.650000000000006</v>
      </c>
      <c r="G232">
        <v>0</v>
      </c>
      <c r="H232">
        <v>0</v>
      </c>
      <c r="I232">
        <v>0</v>
      </c>
      <c r="J232">
        <v>0</v>
      </c>
      <c r="K232">
        <v>67.53</v>
      </c>
      <c r="L232" t="s">
        <v>433</v>
      </c>
      <c r="M232">
        <v>58.83</v>
      </c>
    </row>
    <row r="233" spans="1:13" x14ac:dyDescent="0.2">
      <c r="A233" s="1">
        <v>232</v>
      </c>
      <c r="B233" t="s">
        <v>158</v>
      </c>
      <c r="C233">
        <f xml:space="preserve">  67.43</f>
        <v>67.430000000000007</v>
      </c>
      <c r="D233">
        <v>12</v>
      </c>
      <c r="E233">
        <v>18</v>
      </c>
      <c r="F233">
        <v>69.739999999999995</v>
      </c>
      <c r="G233">
        <v>0</v>
      </c>
      <c r="H233">
        <v>1</v>
      </c>
      <c r="I233">
        <v>0</v>
      </c>
      <c r="J233">
        <v>1</v>
      </c>
      <c r="K233">
        <v>67.37</v>
      </c>
      <c r="L233" t="s">
        <v>434</v>
      </c>
      <c r="M233">
        <v>64.45</v>
      </c>
    </row>
    <row r="234" spans="1:13" x14ac:dyDescent="0.2">
      <c r="A234" s="1">
        <v>233</v>
      </c>
      <c r="B234" t="s">
        <v>299</v>
      </c>
      <c r="C234">
        <f xml:space="preserve">  67.41</f>
        <v>67.41</v>
      </c>
      <c r="D234">
        <v>16</v>
      </c>
      <c r="E234">
        <v>20</v>
      </c>
      <c r="F234">
        <v>66.83</v>
      </c>
      <c r="G234">
        <v>0</v>
      </c>
      <c r="H234">
        <v>5</v>
      </c>
      <c r="I234">
        <v>0</v>
      </c>
      <c r="J234">
        <v>8</v>
      </c>
      <c r="K234">
        <v>66.709999999999994</v>
      </c>
      <c r="L234" t="s">
        <v>435</v>
      </c>
      <c r="M234">
        <v>78.819999999999993</v>
      </c>
    </row>
    <row r="235" spans="1:13" x14ac:dyDescent="0.2">
      <c r="A235" s="1">
        <v>234</v>
      </c>
      <c r="B235" t="s">
        <v>210</v>
      </c>
      <c r="C235">
        <f xml:space="preserve">  67.33</f>
        <v>67.33</v>
      </c>
      <c r="D235">
        <v>9</v>
      </c>
      <c r="E235">
        <v>18</v>
      </c>
      <c r="F235">
        <v>72.06</v>
      </c>
      <c r="G235">
        <v>0</v>
      </c>
      <c r="H235">
        <v>1</v>
      </c>
      <c r="I235">
        <v>0</v>
      </c>
      <c r="J235">
        <v>3</v>
      </c>
      <c r="K235">
        <v>66.75</v>
      </c>
      <c r="L235" t="s">
        <v>436</v>
      </c>
      <c r="M235">
        <v>71.72</v>
      </c>
    </row>
    <row r="236" spans="1:13" x14ac:dyDescent="0.2">
      <c r="A236" s="1">
        <v>235</v>
      </c>
      <c r="B236" t="s">
        <v>160</v>
      </c>
      <c r="C236">
        <f xml:space="preserve">  67.25</f>
        <v>67.25</v>
      </c>
      <c r="D236">
        <v>8</v>
      </c>
      <c r="E236">
        <v>20</v>
      </c>
      <c r="F236">
        <v>74.14</v>
      </c>
      <c r="G236">
        <v>0</v>
      </c>
      <c r="H236">
        <v>0</v>
      </c>
      <c r="I236">
        <v>0</v>
      </c>
      <c r="J236">
        <v>4</v>
      </c>
      <c r="K236">
        <v>66.81</v>
      </c>
      <c r="L236" t="s">
        <v>437</v>
      </c>
      <c r="M236">
        <v>69.52</v>
      </c>
    </row>
    <row r="237" spans="1:13" x14ac:dyDescent="0.2">
      <c r="A237" s="1">
        <v>236</v>
      </c>
      <c r="B237" t="s">
        <v>189</v>
      </c>
      <c r="C237">
        <f xml:space="preserve">  67.24</f>
        <v>67.239999999999995</v>
      </c>
      <c r="D237">
        <v>15</v>
      </c>
      <c r="E237">
        <v>16</v>
      </c>
      <c r="F237">
        <v>66.459999999999994</v>
      </c>
      <c r="G237">
        <v>0</v>
      </c>
      <c r="H237">
        <v>0</v>
      </c>
      <c r="I237">
        <v>0</v>
      </c>
      <c r="J237">
        <v>1</v>
      </c>
      <c r="K237">
        <v>66.83</v>
      </c>
      <c r="L237" t="s">
        <v>438</v>
      </c>
      <c r="M237">
        <v>72.87</v>
      </c>
    </row>
    <row r="238" spans="1:13" x14ac:dyDescent="0.2">
      <c r="A238" s="1">
        <v>237</v>
      </c>
      <c r="B238" t="s">
        <v>150</v>
      </c>
      <c r="C238">
        <f xml:space="preserve">  67.21</f>
        <v>67.209999999999994</v>
      </c>
      <c r="D238">
        <v>12</v>
      </c>
      <c r="E238">
        <v>19</v>
      </c>
      <c r="F238">
        <v>71.099999999999994</v>
      </c>
      <c r="G238">
        <v>0</v>
      </c>
      <c r="H238">
        <v>0</v>
      </c>
      <c r="I238">
        <v>0</v>
      </c>
      <c r="J238">
        <v>1</v>
      </c>
      <c r="K238">
        <v>66.84</v>
      </c>
      <c r="L238" t="s">
        <v>439</v>
      </c>
      <c r="M238">
        <v>68.7</v>
      </c>
    </row>
    <row r="239" spans="1:13" x14ac:dyDescent="0.2">
      <c r="A239" s="1">
        <v>238</v>
      </c>
      <c r="B239" t="s">
        <v>172</v>
      </c>
      <c r="C239">
        <f xml:space="preserve">  67.18</f>
        <v>67.180000000000007</v>
      </c>
      <c r="D239">
        <v>10</v>
      </c>
      <c r="E239">
        <v>20</v>
      </c>
      <c r="F239">
        <v>72.650000000000006</v>
      </c>
      <c r="G239">
        <v>0</v>
      </c>
      <c r="H239">
        <v>3</v>
      </c>
      <c r="I239">
        <v>0</v>
      </c>
      <c r="J239">
        <v>5</v>
      </c>
      <c r="K239">
        <v>66.73</v>
      </c>
      <c r="L239" t="s">
        <v>440</v>
      </c>
      <c r="M239">
        <v>74.709999999999994</v>
      </c>
    </row>
    <row r="240" spans="1:13" x14ac:dyDescent="0.2">
      <c r="A240" s="1">
        <v>239</v>
      </c>
      <c r="B240" t="s">
        <v>236</v>
      </c>
      <c r="C240">
        <f xml:space="preserve">  67.17</f>
        <v>67.17</v>
      </c>
      <c r="D240">
        <v>11</v>
      </c>
      <c r="E240">
        <v>19</v>
      </c>
      <c r="F240">
        <v>71.489999999999995</v>
      </c>
      <c r="G240">
        <v>0</v>
      </c>
      <c r="H240">
        <v>0</v>
      </c>
      <c r="I240">
        <v>0</v>
      </c>
      <c r="J240">
        <v>1</v>
      </c>
      <c r="K240">
        <v>66.930000000000007</v>
      </c>
      <c r="L240" t="s">
        <v>441</v>
      </c>
      <c r="M240">
        <v>66.8</v>
      </c>
    </row>
    <row r="241" spans="1:13" x14ac:dyDescent="0.2">
      <c r="A241" s="1">
        <v>240</v>
      </c>
      <c r="B241" t="s">
        <v>216</v>
      </c>
      <c r="C241">
        <f xml:space="preserve">  67.06</f>
        <v>67.06</v>
      </c>
      <c r="D241">
        <v>10</v>
      </c>
      <c r="E241">
        <v>19</v>
      </c>
      <c r="F241">
        <v>73.34</v>
      </c>
      <c r="G241">
        <v>0</v>
      </c>
      <c r="H241">
        <v>0</v>
      </c>
      <c r="I241">
        <v>0</v>
      </c>
      <c r="J241">
        <v>3</v>
      </c>
      <c r="K241">
        <v>66.94</v>
      </c>
      <c r="L241" t="s">
        <v>442</v>
      </c>
      <c r="M241">
        <v>63.24</v>
      </c>
    </row>
    <row r="242" spans="1:13" x14ac:dyDescent="0.2">
      <c r="A242" s="1">
        <v>241</v>
      </c>
      <c r="B242" t="s">
        <v>256</v>
      </c>
      <c r="C242">
        <f xml:space="preserve">  66.98</f>
        <v>66.98</v>
      </c>
      <c r="D242">
        <v>17</v>
      </c>
      <c r="E242">
        <v>17</v>
      </c>
      <c r="F242">
        <v>67.89</v>
      </c>
      <c r="G242">
        <v>0</v>
      </c>
      <c r="H242">
        <v>0</v>
      </c>
      <c r="I242">
        <v>0</v>
      </c>
      <c r="J242">
        <v>2</v>
      </c>
      <c r="K242">
        <v>66.7</v>
      </c>
      <c r="L242" t="s">
        <v>443</v>
      </c>
      <c r="M242">
        <v>68.77</v>
      </c>
    </row>
    <row r="243" spans="1:13" x14ac:dyDescent="0.2">
      <c r="A243" s="1">
        <v>242</v>
      </c>
      <c r="B243" t="s">
        <v>162</v>
      </c>
      <c r="C243">
        <f xml:space="preserve">  66.87</f>
        <v>66.87</v>
      </c>
      <c r="D243">
        <v>12</v>
      </c>
      <c r="E243">
        <v>20</v>
      </c>
      <c r="F243">
        <v>71.02</v>
      </c>
      <c r="G243">
        <v>1</v>
      </c>
      <c r="H243">
        <v>0</v>
      </c>
      <c r="I243">
        <v>1</v>
      </c>
      <c r="J243">
        <v>0</v>
      </c>
      <c r="K243">
        <v>66.47</v>
      </c>
      <c r="L243" t="s">
        <v>444</v>
      </c>
      <c r="M243">
        <v>69.7</v>
      </c>
    </row>
    <row r="244" spans="1:13" x14ac:dyDescent="0.2">
      <c r="A244" s="1">
        <v>243</v>
      </c>
      <c r="B244" t="s">
        <v>890</v>
      </c>
      <c r="C244">
        <f xml:space="preserve">  66.84</f>
        <v>66.84</v>
      </c>
      <c r="D244">
        <v>13</v>
      </c>
      <c r="E244">
        <v>16</v>
      </c>
      <c r="F244">
        <v>69.91</v>
      </c>
      <c r="G244">
        <v>0</v>
      </c>
      <c r="H244">
        <v>0</v>
      </c>
      <c r="I244">
        <v>0</v>
      </c>
      <c r="J244">
        <v>1</v>
      </c>
      <c r="K244">
        <v>66.709999999999994</v>
      </c>
      <c r="L244" t="s">
        <v>445</v>
      </c>
      <c r="M244">
        <v>63.45</v>
      </c>
    </row>
    <row r="245" spans="1:13" x14ac:dyDescent="0.2">
      <c r="A245" s="1">
        <v>244</v>
      </c>
      <c r="B245" t="s">
        <v>163</v>
      </c>
      <c r="C245">
        <f xml:space="preserve">  66.76</f>
        <v>66.760000000000005</v>
      </c>
      <c r="D245">
        <v>10</v>
      </c>
      <c r="E245">
        <v>20</v>
      </c>
      <c r="F245">
        <v>70.819999999999993</v>
      </c>
      <c r="G245">
        <v>0</v>
      </c>
      <c r="H245">
        <v>0</v>
      </c>
      <c r="I245">
        <v>0</v>
      </c>
      <c r="J245">
        <v>0</v>
      </c>
      <c r="K245">
        <v>66.37</v>
      </c>
      <c r="L245" t="s">
        <v>446</v>
      </c>
      <c r="M245">
        <v>69.03</v>
      </c>
    </row>
    <row r="246" spans="1:13" x14ac:dyDescent="0.2">
      <c r="A246" s="1">
        <v>245</v>
      </c>
      <c r="B246" t="s">
        <v>213</v>
      </c>
      <c r="C246">
        <f xml:space="preserve">  66.37</f>
        <v>66.37</v>
      </c>
      <c r="D246">
        <v>16</v>
      </c>
      <c r="E246">
        <v>14</v>
      </c>
      <c r="F246">
        <v>65.56</v>
      </c>
      <c r="G246">
        <v>0</v>
      </c>
      <c r="H246">
        <v>0</v>
      </c>
      <c r="I246">
        <v>0</v>
      </c>
      <c r="J246">
        <v>2</v>
      </c>
      <c r="K246">
        <v>65.900000000000006</v>
      </c>
      <c r="L246" t="s">
        <v>443</v>
      </c>
      <c r="M246">
        <v>68.709999999999994</v>
      </c>
    </row>
    <row r="247" spans="1:13" x14ac:dyDescent="0.2">
      <c r="A247" s="1">
        <v>246</v>
      </c>
      <c r="B247" t="s">
        <v>881</v>
      </c>
      <c r="C247">
        <f xml:space="preserve">  66.29</f>
        <v>66.290000000000006</v>
      </c>
      <c r="D247">
        <v>11</v>
      </c>
      <c r="E247">
        <v>18</v>
      </c>
      <c r="F247">
        <v>69.5</v>
      </c>
      <c r="G247">
        <v>0</v>
      </c>
      <c r="H247">
        <v>0</v>
      </c>
      <c r="I247">
        <v>0</v>
      </c>
      <c r="J247">
        <v>0</v>
      </c>
      <c r="K247">
        <v>66.16</v>
      </c>
      <c r="L247" t="s">
        <v>447</v>
      </c>
      <c r="M247">
        <v>68.319999999999993</v>
      </c>
    </row>
    <row r="248" spans="1:13" x14ac:dyDescent="0.2">
      <c r="A248" s="1">
        <v>247</v>
      </c>
      <c r="B248" t="s">
        <v>222</v>
      </c>
      <c r="C248">
        <f xml:space="preserve">  66.11</f>
        <v>66.11</v>
      </c>
      <c r="D248">
        <v>18</v>
      </c>
      <c r="E248">
        <v>14</v>
      </c>
      <c r="F248">
        <v>67.63</v>
      </c>
      <c r="G248">
        <v>0</v>
      </c>
      <c r="H248">
        <v>0</v>
      </c>
      <c r="I248">
        <v>0</v>
      </c>
      <c r="J248">
        <v>0</v>
      </c>
      <c r="K248">
        <v>65.67</v>
      </c>
      <c r="L248" t="s">
        <v>448</v>
      </c>
      <c r="M248">
        <v>67.59</v>
      </c>
    </row>
    <row r="249" spans="1:13" x14ac:dyDescent="0.2">
      <c r="A249" s="1">
        <v>248</v>
      </c>
      <c r="B249" t="s">
        <v>88</v>
      </c>
      <c r="C249">
        <f xml:space="preserve">  66.06</f>
        <v>66.06</v>
      </c>
      <c r="D249">
        <v>10</v>
      </c>
      <c r="E249">
        <v>19</v>
      </c>
      <c r="F249">
        <v>71.319999999999993</v>
      </c>
      <c r="G249">
        <v>0</v>
      </c>
      <c r="H249">
        <v>2</v>
      </c>
      <c r="I249">
        <v>0</v>
      </c>
      <c r="J249">
        <v>6</v>
      </c>
      <c r="K249">
        <v>65.72</v>
      </c>
      <c r="L249" t="s">
        <v>449</v>
      </c>
      <c r="M249">
        <v>62.65</v>
      </c>
    </row>
    <row r="250" spans="1:13" x14ac:dyDescent="0.2">
      <c r="A250" s="1">
        <v>249</v>
      </c>
      <c r="B250" t="s">
        <v>259</v>
      </c>
      <c r="C250">
        <f xml:space="preserve">  66.05</f>
        <v>66.05</v>
      </c>
      <c r="D250">
        <v>10</v>
      </c>
      <c r="E250">
        <v>20</v>
      </c>
      <c r="F250">
        <v>69.36</v>
      </c>
      <c r="G250">
        <v>0</v>
      </c>
      <c r="H250">
        <v>0</v>
      </c>
      <c r="I250">
        <v>0</v>
      </c>
      <c r="J250">
        <v>1</v>
      </c>
      <c r="K250">
        <v>65.87</v>
      </c>
      <c r="L250" t="s">
        <v>450</v>
      </c>
      <c r="M250">
        <v>66.95</v>
      </c>
    </row>
    <row r="251" spans="1:13" x14ac:dyDescent="0.2">
      <c r="A251" s="1">
        <v>250</v>
      </c>
      <c r="B251" t="s">
        <v>201</v>
      </c>
      <c r="C251">
        <f xml:space="preserve">  66.04</f>
        <v>66.040000000000006</v>
      </c>
      <c r="D251">
        <v>5</v>
      </c>
      <c r="E251">
        <v>26</v>
      </c>
      <c r="F251">
        <v>72.819999999999993</v>
      </c>
      <c r="G251">
        <v>0</v>
      </c>
      <c r="H251">
        <v>3</v>
      </c>
      <c r="I251">
        <v>0</v>
      </c>
      <c r="J251">
        <v>7</v>
      </c>
      <c r="K251">
        <v>65.72</v>
      </c>
      <c r="L251" t="s">
        <v>451</v>
      </c>
      <c r="M251">
        <v>72.709999999999994</v>
      </c>
    </row>
    <row r="252" spans="1:13" x14ac:dyDescent="0.2">
      <c r="A252" s="1">
        <v>251</v>
      </c>
      <c r="B252" t="s">
        <v>148</v>
      </c>
      <c r="C252">
        <f xml:space="preserve">  66</f>
        <v>66</v>
      </c>
      <c r="D252">
        <v>9</v>
      </c>
      <c r="E252">
        <v>19</v>
      </c>
      <c r="F252">
        <v>71.53</v>
      </c>
      <c r="G252">
        <v>0</v>
      </c>
      <c r="H252">
        <v>1</v>
      </c>
      <c r="I252">
        <v>0</v>
      </c>
      <c r="J252">
        <v>1</v>
      </c>
      <c r="K252">
        <v>65.89</v>
      </c>
      <c r="L252" t="s">
        <v>452</v>
      </c>
      <c r="M252">
        <v>64.77</v>
      </c>
    </row>
    <row r="253" spans="1:13" x14ac:dyDescent="0.2">
      <c r="A253" s="1">
        <v>252</v>
      </c>
      <c r="B253" t="s">
        <v>549</v>
      </c>
      <c r="C253">
        <f xml:space="preserve">  65.95</f>
        <v>65.95</v>
      </c>
      <c r="D253">
        <v>12</v>
      </c>
      <c r="E253">
        <v>17</v>
      </c>
      <c r="F253">
        <v>67.38</v>
      </c>
      <c r="G253">
        <v>0</v>
      </c>
      <c r="H253">
        <v>0</v>
      </c>
      <c r="I253">
        <v>0</v>
      </c>
      <c r="J253">
        <v>0</v>
      </c>
      <c r="K253">
        <v>65.98</v>
      </c>
      <c r="L253" t="s">
        <v>453</v>
      </c>
      <c r="M253">
        <v>59.63</v>
      </c>
    </row>
    <row r="254" spans="1:13" x14ac:dyDescent="0.2">
      <c r="A254" s="1">
        <v>253</v>
      </c>
      <c r="B254" t="s">
        <v>295</v>
      </c>
      <c r="C254">
        <f xml:space="preserve">  65.94</f>
        <v>65.94</v>
      </c>
      <c r="D254">
        <v>11</v>
      </c>
      <c r="E254">
        <v>16</v>
      </c>
      <c r="F254">
        <v>70.64</v>
      </c>
      <c r="G254">
        <v>0</v>
      </c>
      <c r="H254">
        <v>0</v>
      </c>
      <c r="I254">
        <v>0</v>
      </c>
      <c r="J254">
        <v>2</v>
      </c>
      <c r="K254">
        <v>65.42</v>
      </c>
      <c r="L254" t="s">
        <v>448</v>
      </c>
      <c r="M254">
        <v>67.959999999999994</v>
      </c>
    </row>
    <row r="255" spans="1:13" x14ac:dyDescent="0.2">
      <c r="A255" s="1">
        <v>254</v>
      </c>
      <c r="B255" t="s">
        <v>211</v>
      </c>
      <c r="C255">
        <f xml:space="preserve">  65.74</f>
        <v>65.739999999999995</v>
      </c>
      <c r="D255">
        <v>11</v>
      </c>
      <c r="E255">
        <v>16</v>
      </c>
      <c r="F255">
        <v>67.12</v>
      </c>
      <c r="G255">
        <v>0</v>
      </c>
      <c r="H255">
        <v>1</v>
      </c>
      <c r="I255">
        <v>0</v>
      </c>
      <c r="J255">
        <v>1</v>
      </c>
      <c r="K255">
        <v>65.92</v>
      </c>
      <c r="L255" t="s">
        <v>454</v>
      </c>
      <c r="M255">
        <v>55.58</v>
      </c>
    </row>
    <row r="256" spans="1:13" x14ac:dyDescent="0.2">
      <c r="A256" s="1">
        <v>255</v>
      </c>
      <c r="B256" t="s">
        <v>251</v>
      </c>
      <c r="C256">
        <f xml:space="preserve">  65.7</f>
        <v>65.7</v>
      </c>
      <c r="D256">
        <v>16</v>
      </c>
      <c r="E256">
        <v>17</v>
      </c>
      <c r="F256">
        <v>67.48</v>
      </c>
      <c r="G256">
        <v>0</v>
      </c>
      <c r="H256">
        <v>1</v>
      </c>
      <c r="I256">
        <v>0</v>
      </c>
      <c r="J256">
        <v>1</v>
      </c>
      <c r="K256">
        <v>65.33</v>
      </c>
      <c r="L256" t="s">
        <v>455</v>
      </c>
      <c r="M256">
        <v>67.760000000000005</v>
      </c>
    </row>
    <row r="257" spans="1:13" x14ac:dyDescent="0.2">
      <c r="A257" s="1">
        <v>256</v>
      </c>
      <c r="B257" t="s">
        <v>183</v>
      </c>
      <c r="C257">
        <f xml:space="preserve">  65.56</f>
        <v>65.56</v>
      </c>
      <c r="D257">
        <v>10</v>
      </c>
      <c r="E257">
        <v>22</v>
      </c>
      <c r="F257">
        <v>72.05</v>
      </c>
      <c r="G257">
        <v>0</v>
      </c>
      <c r="H257">
        <v>4</v>
      </c>
      <c r="I257">
        <v>0</v>
      </c>
      <c r="J257">
        <v>4</v>
      </c>
      <c r="K257">
        <v>64.47</v>
      </c>
      <c r="L257" t="s">
        <v>456</v>
      </c>
      <c r="M257">
        <v>78.98</v>
      </c>
    </row>
    <row r="258" spans="1:13" x14ac:dyDescent="0.2">
      <c r="A258" s="1">
        <v>257</v>
      </c>
      <c r="B258" t="s">
        <v>271</v>
      </c>
      <c r="C258">
        <f xml:space="preserve">  65.56</f>
        <v>65.56</v>
      </c>
      <c r="D258">
        <v>10</v>
      </c>
      <c r="E258">
        <v>19</v>
      </c>
      <c r="F258">
        <v>69.77</v>
      </c>
      <c r="G258">
        <v>0</v>
      </c>
      <c r="H258">
        <v>0</v>
      </c>
      <c r="I258">
        <v>0</v>
      </c>
      <c r="J258">
        <v>2</v>
      </c>
      <c r="K258">
        <v>65.34</v>
      </c>
      <c r="L258" t="s">
        <v>457</v>
      </c>
      <c r="M258">
        <v>66.430000000000007</v>
      </c>
    </row>
    <row r="259" spans="1:13" x14ac:dyDescent="0.2">
      <c r="A259" s="1">
        <v>258</v>
      </c>
      <c r="B259" t="s">
        <v>288</v>
      </c>
      <c r="C259">
        <f xml:space="preserve">  65.53</f>
        <v>65.53</v>
      </c>
      <c r="D259">
        <v>9</v>
      </c>
      <c r="E259">
        <v>22</v>
      </c>
      <c r="F259">
        <v>73.06</v>
      </c>
      <c r="G259">
        <v>0</v>
      </c>
      <c r="H259">
        <v>2</v>
      </c>
      <c r="I259">
        <v>0</v>
      </c>
      <c r="J259">
        <v>3</v>
      </c>
      <c r="K259">
        <v>65.290000000000006</v>
      </c>
      <c r="L259" t="s">
        <v>458</v>
      </c>
      <c r="M259">
        <v>61.77</v>
      </c>
    </row>
    <row r="260" spans="1:13" x14ac:dyDescent="0.2">
      <c r="A260" s="1">
        <v>259</v>
      </c>
      <c r="B260" t="s">
        <v>265</v>
      </c>
      <c r="C260">
        <f xml:space="preserve">  65.46</f>
        <v>65.459999999999994</v>
      </c>
      <c r="D260">
        <v>10</v>
      </c>
      <c r="E260">
        <v>20</v>
      </c>
      <c r="F260">
        <v>71.66</v>
      </c>
      <c r="G260">
        <v>0</v>
      </c>
      <c r="H260">
        <v>1</v>
      </c>
      <c r="I260">
        <v>0</v>
      </c>
      <c r="J260">
        <v>2</v>
      </c>
      <c r="K260">
        <v>65.02</v>
      </c>
      <c r="L260" t="s">
        <v>440</v>
      </c>
      <c r="M260">
        <v>66.95</v>
      </c>
    </row>
    <row r="261" spans="1:13" x14ac:dyDescent="0.2">
      <c r="A261" s="1">
        <v>260</v>
      </c>
      <c r="B261" t="s">
        <v>253</v>
      </c>
      <c r="C261">
        <f xml:space="preserve">  65.45</f>
        <v>65.45</v>
      </c>
      <c r="D261">
        <v>16</v>
      </c>
      <c r="E261">
        <v>16</v>
      </c>
      <c r="F261">
        <v>63.67</v>
      </c>
      <c r="G261">
        <v>0</v>
      </c>
      <c r="H261">
        <v>2</v>
      </c>
      <c r="I261">
        <v>0</v>
      </c>
      <c r="J261">
        <v>3</v>
      </c>
      <c r="K261">
        <v>65.010000000000005</v>
      </c>
      <c r="L261" t="s">
        <v>459</v>
      </c>
      <c r="M261">
        <v>70.319999999999993</v>
      </c>
    </row>
    <row r="262" spans="1:13" x14ac:dyDescent="0.2">
      <c r="A262" s="1">
        <v>261</v>
      </c>
      <c r="B262" t="s">
        <v>830</v>
      </c>
      <c r="C262">
        <f xml:space="preserve">  65.35</f>
        <v>65.349999999999994</v>
      </c>
      <c r="D262">
        <v>12</v>
      </c>
      <c r="E262">
        <v>16</v>
      </c>
      <c r="F262">
        <v>68.31</v>
      </c>
      <c r="G262">
        <v>0</v>
      </c>
      <c r="H262">
        <v>0</v>
      </c>
      <c r="I262">
        <v>0</v>
      </c>
      <c r="J262">
        <v>0</v>
      </c>
      <c r="K262">
        <v>65.2</v>
      </c>
      <c r="L262" t="s">
        <v>460</v>
      </c>
      <c r="M262">
        <v>65.349999999999994</v>
      </c>
    </row>
    <row r="263" spans="1:13" x14ac:dyDescent="0.2">
      <c r="A263" s="1">
        <v>262</v>
      </c>
      <c r="B263" t="s">
        <v>871</v>
      </c>
      <c r="C263">
        <v>65.34</v>
      </c>
      <c r="D263">
        <v>17</v>
      </c>
      <c r="E263">
        <v>17</v>
      </c>
      <c r="F263">
        <v>65.48</v>
      </c>
      <c r="G263">
        <v>0</v>
      </c>
      <c r="H263">
        <v>0</v>
      </c>
      <c r="I263">
        <v>0</v>
      </c>
      <c r="J263">
        <v>0</v>
      </c>
      <c r="K263">
        <v>64.5</v>
      </c>
      <c r="L263" t="s">
        <v>461</v>
      </c>
      <c r="M263">
        <v>75.03</v>
      </c>
    </row>
    <row r="264" spans="1:13" x14ac:dyDescent="0.2">
      <c r="A264" s="1">
        <v>263</v>
      </c>
      <c r="B264" t="s">
        <v>298</v>
      </c>
      <c r="C264">
        <f xml:space="preserve">  65.3</f>
        <v>65.3</v>
      </c>
      <c r="D264">
        <v>10</v>
      </c>
      <c r="E264">
        <v>16</v>
      </c>
      <c r="F264">
        <v>68.97</v>
      </c>
      <c r="G264">
        <v>0</v>
      </c>
      <c r="H264">
        <v>0</v>
      </c>
      <c r="I264">
        <v>0</v>
      </c>
      <c r="J264">
        <v>1</v>
      </c>
      <c r="K264">
        <v>65.5</v>
      </c>
      <c r="L264" t="s">
        <v>462</v>
      </c>
      <c r="M264">
        <v>59.96</v>
      </c>
    </row>
    <row r="265" spans="1:13" x14ac:dyDescent="0.2">
      <c r="A265" s="1">
        <v>264</v>
      </c>
      <c r="B265" t="s">
        <v>219</v>
      </c>
      <c r="C265">
        <f xml:space="preserve">  65.13</f>
        <v>65.13</v>
      </c>
      <c r="D265">
        <v>13</v>
      </c>
      <c r="E265">
        <v>17</v>
      </c>
      <c r="F265">
        <v>68</v>
      </c>
      <c r="G265">
        <v>0</v>
      </c>
      <c r="H265">
        <v>1</v>
      </c>
      <c r="I265">
        <v>0</v>
      </c>
      <c r="J265">
        <v>1</v>
      </c>
      <c r="K265">
        <v>65.02</v>
      </c>
      <c r="L265" t="s">
        <v>463</v>
      </c>
      <c r="M265">
        <v>62.69</v>
      </c>
    </row>
    <row r="266" spans="1:13" x14ac:dyDescent="0.2">
      <c r="A266" s="1">
        <v>265</v>
      </c>
      <c r="B266" t="s">
        <v>291</v>
      </c>
      <c r="C266">
        <f xml:space="preserve">  65.11</f>
        <v>65.11</v>
      </c>
      <c r="D266">
        <v>11</v>
      </c>
      <c r="E266">
        <v>18</v>
      </c>
      <c r="F266">
        <v>69.3</v>
      </c>
      <c r="G266">
        <v>0</v>
      </c>
      <c r="H266">
        <v>1</v>
      </c>
      <c r="I266">
        <v>0</v>
      </c>
      <c r="J266">
        <v>4</v>
      </c>
      <c r="K266">
        <v>64.290000000000006</v>
      </c>
      <c r="L266" t="s">
        <v>464</v>
      </c>
      <c r="M266">
        <v>73.66</v>
      </c>
    </row>
    <row r="267" spans="1:13" x14ac:dyDescent="0.2">
      <c r="A267" s="1">
        <v>266</v>
      </c>
      <c r="B267" t="s">
        <v>882</v>
      </c>
      <c r="C267">
        <v>65.099999999999994</v>
      </c>
      <c r="D267">
        <v>12</v>
      </c>
      <c r="E267">
        <v>16</v>
      </c>
      <c r="F267">
        <v>66.92</v>
      </c>
      <c r="G267">
        <v>0</v>
      </c>
      <c r="H267">
        <v>2</v>
      </c>
      <c r="I267">
        <v>0</v>
      </c>
      <c r="J267">
        <v>2</v>
      </c>
      <c r="K267">
        <v>65.19</v>
      </c>
      <c r="L267" t="s">
        <v>465</v>
      </c>
      <c r="M267">
        <v>59.52</v>
      </c>
    </row>
    <row r="268" spans="1:13" x14ac:dyDescent="0.2">
      <c r="A268" s="1">
        <v>267</v>
      </c>
      <c r="B268" t="s">
        <v>889</v>
      </c>
      <c r="C268">
        <v>65.06</v>
      </c>
      <c r="D268">
        <v>12</v>
      </c>
      <c r="E268">
        <v>17</v>
      </c>
      <c r="F268">
        <v>68.37</v>
      </c>
      <c r="G268">
        <v>0</v>
      </c>
      <c r="H268">
        <v>0</v>
      </c>
      <c r="I268">
        <v>0</v>
      </c>
      <c r="J268">
        <v>1</v>
      </c>
      <c r="K268">
        <v>64.94</v>
      </c>
      <c r="L268" t="s">
        <v>466</v>
      </c>
      <c r="M268">
        <v>61.19</v>
      </c>
    </row>
    <row r="269" spans="1:13" x14ac:dyDescent="0.2">
      <c r="A269" s="1">
        <v>268</v>
      </c>
      <c r="B269" t="s">
        <v>263</v>
      </c>
      <c r="C269">
        <f xml:space="preserve">  65.04</f>
        <v>65.040000000000006</v>
      </c>
      <c r="D269">
        <v>12</v>
      </c>
      <c r="E269">
        <v>19</v>
      </c>
      <c r="F269">
        <v>68.569999999999993</v>
      </c>
      <c r="G269">
        <v>0</v>
      </c>
      <c r="H269">
        <v>0</v>
      </c>
      <c r="I269">
        <v>0</v>
      </c>
      <c r="J269">
        <v>1</v>
      </c>
      <c r="K269">
        <v>64.39</v>
      </c>
      <c r="L269" t="s">
        <v>467</v>
      </c>
      <c r="M269">
        <v>71.33</v>
      </c>
    </row>
    <row r="270" spans="1:13" x14ac:dyDescent="0.2">
      <c r="A270" s="1">
        <v>269</v>
      </c>
      <c r="B270" t="s">
        <v>268</v>
      </c>
      <c r="C270">
        <v>64.94</v>
      </c>
      <c r="D270">
        <v>12</v>
      </c>
      <c r="E270">
        <v>16</v>
      </c>
      <c r="F270">
        <v>67.040000000000006</v>
      </c>
      <c r="G270">
        <v>0</v>
      </c>
      <c r="H270">
        <v>1</v>
      </c>
      <c r="I270">
        <v>0</v>
      </c>
      <c r="J270">
        <v>1</v>
      </c>
      <c r="K270">
        <v>64.38</v>
      </c>
      <c r="L270" t="s">
        <v>468</v>
      </c>
      <c r="M270">
        <v>72.540000000000006</v>
      </c>
    </row>
    <row r="271" spans="1:13" x14ac:dyDescent="0.2">
      <c r="A271" s="1">
        <v>270</v>
      </c>
      <c r="B271" t="s">
        <v>815</v>
      </c>
      <c r="C271">
        <f xml:space="preserve">  64.89</f>
        <v>64.89</v>
      </c>
      <c r="D271">
        <v>9</v>
      </c>
      <c r="E271">
        <v>21</v>
      </c>
      <c r="F271">
        <v>70.23</v>
      </c>
      <c r="G271">
        <v>0</v>
      </c>
      <c r="H271">
        <v>1</v>
      </c>
      <c r="I271">
        <v>0</v>
      </c>
      <c r="J271">
        <v>1</v>
      </c>
      <c r="K271">
        <v>64.849999999999994</v>
      </c>
      <c r="L271" t="s">
        <v>461</v>
      </c>
      <c r="M271">
        <v>61.52</v>
      </c>
    </row>
    <row r="272" spans="1:13" x14ac:dyDescent="0.2">
      <c r="A272" s="1">
        <v>271</v>
      </c>
      <c r="B272" t="s">
        <v>177</v>
      </c>
      <c r="C272">
        <f xml:space="preserve">  64.78</f>
        <v>64.78</v>
      </c>
      <c r="D272">
        <v>7</v>
      </c>
      <c r="E272">
        <v>22</v>
      </c>
      <c r="F272">
        <v>73.13</v>
      </c>
      <c r="G272">
        <v>0</v>
      </c>
      <c r="H272">
        <v>3</v>
      </c>
      <c r="I272">
        <v>0</v>
      </c>
      <c r="J272">
        <v>6</v>
      </c>
      <c r="K272">
        <v>64.83</v>
      </c>
      <c r="L272" t="s">
        <v>469</v>
      </c>
      <c r="M272">
        <v>58.41</v>
      </c>
    </row>
    <row r="273" spans="1:13" x14ac:dyDescent="0.2">
      <c r="A273" s="1">
        <v>272</v>
      </c>
      <c r="B273" t="s">
        <v>197</v>
      </c>
      <c r="C273">
        <f xml:space="preserve">  64.69</f>
        <v>64.69</v>
      </c>
      <c r="D273">
        <v>8</v>
      </c>
      <c r="E273">
        <v>21</v>
      </c>
      <c r="F273">
        <v>68.59</v>
      </c>
      <c r="G273">
        <v>0</v>
      </c>
      <c r="H273">
        <v>1</v>
      </c>
      <c r="I273">
        <v>0</v>
      </c>
      <c r="J273">
        <v>2</v>
      </c>
      <c r="K273">
        <v>64.95</v>
      </c>
      <c r="L273" t="s">
        <v>470</v>
      </c>
      <c r="M273">
        <v>57.31</v>
      </c>
    </row>
    <row r="274" spans="1:13" x14ac:dyDescent="0.2">
      <c r="A274" s="1">
        <v>273</v>
      </c>
      <c r="B274" t="s">
        <v>897</v>
      </c>
      <c r="C274">
        <f xml:space="preserve">  64.61</f>
        <v>64.61</v>
      </c>
      <c r="D274">
        <v>13</v>
      </c>
      <c r="E274">
        <v>18</v>
      </c>
      <c r="F274">
        <v>69.75</v>
      </c>
      <c r="G274">
        <v>0</v>
      </c>
      <c r="H274">
        <v>1</v>
      </c>
      <c r="I274">
        <v>0</v>
      </c>
      <c r="J274">
        <v>2</v>
      </c>
      <c r="K274">
        <v>64.430000000000007</v>
      </c>
      <c r="L274" t="s">
        <v>471</v>
      </c>
      <c r="M274">
        <v>60.78</v>
      </c>
    </row>
    <row r="275" spans="1:13" x14ac:dyDescent="0.2">
      <c r="A275" s="1">
        <v>274</v>
      </c>
      <c r="B275" t="s">
        <v>904</v>
      </c>
      <c r="C275">
        <f xml:space="preserve">  64.55</f>
        <v>64.55</v>
      </c>
      <c r="D275">
        <v>7</v>
      </c>
      <c r="E275">
        <v>22</v>
      </c>
      <c r="F275">
        <v>72.92</v>
      </c>
      <c r="G275">
        <v>0</v>
      </c>
      <c r="H275">
        <v>1</v>
      </c>
      <c r="I275">
        <v>0</v>
      </c>
      <c r="J275">
        <v>4</v>
      </c>
      <c r="K275">
        <v>64.48</v>
      </c>
      <c r="L275" t="s">
        <v>472</v>
      </c>
      <c r="M275">
        <v>57.47</v>
      </c>
    </row>
    <row r="276" spans="1:13" x14ac:dyDescent="0.2">
      <c r="A276" s="1">
        <v>275</v>
      </c>
      <c r="B276" t="s">
        <v>132</v>
      </c>
      <c r="C276">
        <f xml:space="preserve">  64.49</f>
        <v>64.489999999999995</v>
      </c>
      <c r="D276">
        <v>12</v>
      </c>
      <c r="E276">
        <v>16</v>
      </c>
      <c r="F276">
        <v>67.010000000000005</v>
      </c>
      <c r="G276">
        <v>0</v>
      </c>
      <c r="H276">
        <v>1</v>
      </c>
      <c r="I276">
        <v>0</v>
      </c>
      <c r="J276">
        <v>1</v>
      </c>
      <c r="K276">
        <v>64.290000000000006</v>
      </c>
      <c r="L276" t="s">
        <v>473</v>
      </c>
      <c r="M276">
        <v>64.319999999999993</v>
      </c>
    </row>
    <row r="277" spans="1:13" x14ac:dyDescent="0.2">
      <c r="A277" s="1">
        <v>276</v>
      </c>
      <c r="B277" t="s">
        <v>266</v>
      </c>
      <c r="C277">
        <v>64.489999999999995</v>
      </c>
      <c r="D277">
        <v>11</v>
      </c>
      <c r="E277">
        <v>18</v>
      </c>
      <c r="F277">
        <v>67.739999999999995</v>
      </c>
      <c r="G277">
        <v>0</v>
      </c>
      <c r="H277">
        <v>1</v>
      </c>
      <c r="I277">
        <v>0</v>
      </c>
      <c r="J277">
        <v>3</v>
      </c>
      <c r="K277">
        <v>63.81</v>
      </c>
      <c r="L277" t="s">
        <v>474</v>
      </c>
      <c r="M277">
        <v>70.42</v>
      </c>
    </row>
    <row r="278" spans="1:13" x14ac:dyDescent="0.2">
      <c r="A278" s="1">
        <v>277</v>
      </c>
      <c r="B278" t="s">
        <v>823</v>
      </c>
      <c r="C278">
        <f xml:space="preserve">  64.48</f>
        <v>64.48</v>
      </c>
      <c r="D278">
        <v>11</v>
      </c>
      <c r="E278">
        <v>19</v>
      </c>
      <c r="F278">
        <v>68.92</v>
      </c>
      <c r="G278">
        <v>0</v>
      </c>
      <c r="H278">
        <v>0</v>
      </c>
      <c r="I278">
        <v>0</v>
      </c>
      <c r="J278">
        <v>0</v>
      </c>
      <c r="K278">
        <v>64.17</v>
      </c>
      <c r="L278" t="s">
        <v>475</v>
      </c>
      <c r="M278">
        <v>63.01</v>
      </c>
    </row>
    <row r="279" spans="1:13" x14ac:dyDescent="0.2">
      <c r="A279" s="1">
        <v>278</v>
      </c>
      <c r="B279" t="s">
        <v>199</v>
      </c>
      <c r="C279">
        <f xml:space="preserve">  64.47</f>
        <v>64.47</v>
      </c>
      <c r="D279">
        <v>9</v>
      </c>
      <c r="E279">
        <v>20</v>
      </c>
      <c r="F279">
        <v>69.53</v>
      </c>
      <c r="G279">
        <v>0</v>
      </c>
      <c r="H279">
        <v>0</v>
      </c>
      <c r="I279">
        <v>0</v>
      </c>
      <c r="J279">
        <v>0</v>
      </c>
      <c r="K279">
        <v>63.8</v>
      </c>
      <c r="L279" t="s">
        <v>469</v>
      </c>
      <c r="M279">
        <v>69.58</v>
      </c>
    </row>
    <row r="280" spans="1:13" x14ac:dyDescent="0.2">
      <c r="A280" s="1">
        <v>279</v>
      </c>
      <c r="B280" t="s">
        <v>203</v>
      </c>
      <c r="C280">
        <f xml:space="preserve">  64.42</f>
        <v>64.42</v>
      </c>
      <c r="D280">
        <v>12</v>
      </c>
      <c r="E280">
        <v>21</v>
      </c>
      <c r="F280">
        <v>69.36</v>
      </c>
      <c r="G280">
        <v>0</v>
      </c>
      <c r="H280">
        <v>0</v>
      </c>
      <c r="I280">
        <v>0</v>
      </c>
      <c r="J280">
        <v>0</v>
      </c>
      <c r="K280">
        <v>63.84</v>
      </c>
      <c r="L280" t="s">
        <v>476</v>
      </c>
      <c r="M280">
        <v>71.739999999999995</v>
      </c>
    </row>
    <row r="281" spans="1:13" x14ac:dyDescent="0.2">
      <c r="A281" s="1">
        <v>280</v>
      </c>
      <c r="B281" t="s">
        <v>272</v>
      </c>
      <c r="C281">
        <f xml:space="preserve">  64.34</f>
        <v>64.34</v>
      </c>
      <c r="D281">
        <v>9</v>
      </c>
      <c r="E281">
        <v>19</v>
      </c>
      <c r="F281">
        <v>69.87</v>
      </c>
      <c r="G281">
        <v>0</v>
      </c>
      <c r="H281">
        <v>2</v>
      </c>
      <c r="I281">
        <v>0</v>
      </c>
      <c r="J281">
        <v>2</v>
      </c>
      <c r="K281">
        <v>64.099999999999994</v>
      </c>
      <c r="L281" t="s">
        <v>477</v>
      </c>
      <c r="M281">
        <v>65.260000000000005</v>
      </c>
    </row>
    <row r="282" spans="1:13" x14ac:dyDescent="0.2">
      <c r="A282" s="1">
        <v>281</v>
      </c>
      <c r="B282" t="s">
        <v>289</v>
      </c>
      <c r="C282">
        <f xml:space="preserve">  64.34</f>
        <v>64.34</v>
      </c>
      <c r="D282">
        <v>8</v>
      </c>
      <c r="E282">
        <v>22</v>
      </c>
      <c r="F282">
        <v>70.540000000000006</v>
      </c>
      <c r="G282">
        <v>0</v>
      </c>
      <c r="H282">
        <v>1</v>
      </c>
      <c r="I282">
        <v>0</v>
      </c>
      <c r="J282">
        <v>2</v>
      </c>
      <c r="K282">
        <v>64.11</v>
      </c>
      <c r="L282" t="s">
        <v>478</v>
      </c>
      <c r="M282">
        <v>62.97</v>
      </c>
    </row>
    <row r="283" spans="1:13" x14ac:dyDescent="0.2">
      <c r="A283" s="1">
        <v>282</v>
      </c>
      <c r="B283" t="s">
        <v>196</v>
      </c>
      <c r="C283">
        <f xml:space="preserve">  64.33</f>
        <v>64.33</v>
      </c>
      <c r="D283">
        <v>8</v>
      </c>
      <c r="E283">
        <v>24</v>
      </c>
      <c r="F283">
        <v>70.77</v>
      </c>
      <c r="G283">
        <v>0</v>
      </c>
      <c r="H283">
        <v>0</v>
      </c>
      <c r="I283">
        <v>0</v>
      </c>
      <c r="J283">
        <v>1</v>
      </c>
      <c r="K283">
        <v>64.27</v>
      </c>
      <c r="L283" t="s">
        <v>479</v>
      </c>
      <c r="M283">
        <v>59.92</v>
      </c>
    </row>
    <row r="284" spans="1:13" x14ac:dyDescent="0.2">
      <c r="A284" s="1">
        <v>283</v>
      </c>
      <c r="B284" t="s">
        <v>164</v>
      </c>
      <c r="C284">
        <f xml:space="preserve">  64.3</f>
        <v>64.3</v>
      </c>
      <c r="D284">
        <v>11</v>
      </c>
      <c r="E284">
        <v>19</v>
      </c>
      <c r="F284">
        <v>70.63</v>
      </c>
      <c r="G284">
        <v>0</v>
      </c>
      <c r="H284">
        <v>1</v>
      </c>
      <c r="I284">
        <v>0</v>
      </c>
      <c r="J284">
        <v>1</v>
      </c>
      <c r="K284">
        <v>63.1</v>
      </c>
      <c r="L284" t="s">
        <v>480</v>
      </c>
      <c r="M284">
        <v>77.42</v>
      </c>
    </row>
    <row r="285" spans="1:13" x14ac:dyDescent="0.2">
      <c r="A285" s="1">
        <v>284</v>
      </c>
      <c r="B285" t="s">
        <v>820</v>
      </c>
      <c r="C285">
        <f xml:space="preserve">  64.23</f>
        <v>64.23</v>
      </c>
      <c r="D285">
        <v>6</v>
      </c>
      <c r="E285">
        <v>21</v>
      </c>
      <c r="F285">
        <v>70.84</v>
      </c>
      <c r="G285">
        <v>0</v>
      </c>
      <c r="H285">
        <v>2</v>
      </c>
      <c r="I285">
        <v>0</v>
      </c>
      <c r="J285">
        <v>3</v>
      </c>
      <c r="K285">
        <v>63.76</v>
      </c>
      <c r="L285" t="s">
        <v>481</v>
      </c>
      <c r="M285">
        <v>68.680000000000007</v>
      </c>
    </row>
    <row r="286" spans="1:13" x14ac:dyDescent="0.2">
      <c r="A286" s="1">
        <v>285</v>
      </c>
      <c r="B286" t="s">
        <v>880</v>
      </c>
      <c r="C286">
        <f xml:space="preserve">  64.17</f>
        <v>64.17</v>
      </c>
      <c r="D286">
        <v>11</v>
      </c>
      <c r="E286">
        <v>19</v>
      </c>
      <c r="F286">
        <v>71.39</v>
      </c>
      <c r="G286">
        <v>0</v>
      </c>
      <c r="H286">
        <v>3</v>
      </c>
      <c r="I286">
        <v>0</v>
      </c>
      <c r="J286">
        <v>5</v>
      </c>
      <c r="K286">
        <v>63.61</v>
      </c>
      <c r="L286" t="s">
        <v>482</v>
      </c>
      <c r="M286">
        <v>64.67</v>
      </c>
    </row>
    <row r="287" spans="1:13" x14ac:dyDescent="0.2">
      <c r="A287" s="1">
        <v>286</v>
      </c>
      <c r="B287" t="s">
        <v>168</v>
      </c>
      <c r="C287">
        <f xml:space="preserve">  64.01</f>
        <v>64.010000000000005</v>
      </c>
      <c r="D287">
        <v>7</v>
      </c>
      <c r="E287">
        <v>22</v>
      </c>
      <c r="F287">
        <v>70.790000000000006</v>
      </c>
      <c r="G287">
        <v>0</v>
      </c>
      <c r="H287">
        <v>1</v>
      </c>
      <c r="I287">
        <v>0</v>
      </c>
      <c r="J287">
        <v>1</v>
      </c>
      <c r="K287">
        <v>63.78</v>
      </c>
      <c r="L287" t="s">
        <v>483</v>
      </c>
      <c r="M287">
        <v>64.989999999999995</v>
      </c>
    </row>
    <row r="288" spans="1:13" x14ac:dyDescent="0.2">
      <c r="A288" s="1">
        <v>287</v>
      </c>
      <c r="B288" t="s">
        <v>891</v>
      </c>
      <c r="C288">
        <f xml:space="preserve">  63.99</f>
        <v>63.99</v>
      </c>
      <c r="D288">
        <v>8</v>
      </c>
      <c r="E288">
        <v>21</v>
      </c>
      <c r="F288">
        <v>68.38</v>
      </c>
      <c r="G288">
        <v>0</v>
      </c>
      <c r="H288">
        <v>0</v>
      </c>
      <c r="I288">
        <v>0</v>
      </c>
      <c r="J288">
        <v>0</v>
      </c>
      <c r="K288">
        <v>63.87</v>
      </c>
      <c r="L288" t="s">
        <v>484</v>
      </c>
      <c r="M288">
        <v>63.81</v>
      </c>
    </row>
    <row r="289" spans="1:13" x14ac:dyDescent="0.2">
      <c r="A289" s="1">
        <v>288</v>
      </c>
      <c r="B289" t="s">
        <v>840</v>
      </c>
      <c r="C289">
        <f xml:space="preserve">  63.96</f>
        <v>63.96</v>
      </c>
      <c r="D289">
        <v>11</v>
      </c>
      <c r="E289">
        <v>23</v>
      </c>
      <c r="F289">
        <v>69.92</v>
      </c>
      <c r="G289">
        <v>0</v>
      </c>
      <c r="H289">
        <v>2</v>
      </c>
      <c r="I289">
        <v>0</v>
      </c>
      <c r="J289">
        <v>2</v>
      </c>
      <c r="K289">
        <v>63.21</v>
      </c>
      <c r="L289" t="s">
        <v>485</v>
      </c>
      <c r="M289">
        <v>70.95</v>
      </c>
    </row>
    <row r="290" spans="1:13" x14ac:dyDescent="0.2">
      <c r="A290" s="1">
        <v>289</v>
      </c>
      <c r="B290" t="s">
        <v>173</v>
      </c>
      <c r="C290">
        <f xml:space="preserve">  63.96</f>
        <v>63.96</v>
      </c>
      <c r="D290">
        <v>6</v>
      </c>
      <c r="E290">
        <v>20</v>
      </c>
      <c r="F290">
        <v>70.22</v>
      </c>
      <c r="G290">
        <v>0</v>
      </c>
      <c r="H290">
        <v>0</v>
      </c>
      <c r="I290">
        <v>0</v>
      </c>
      <c r="J290">
        <v>1</v>
      </c>
      <c r="K290">
        <v>64.099999999999994</v>
      </c>
      <c r="L290" t="s">
        <v>486</v>
      </c>
      <c r="M290">
        <v>59.47</v>
      </c>
    </row>
    <row r="291" spans="1:13" x14ac:dyDescent="0.2">
      <c r="A291" s="1">
        <v>290</v>
      </c>
      <c r="B291" t="s">
        <v>275</v>
      </c>
      <c r="C291">
        <f xml:space="preserve">  63.93</f>
        <v>63.93</v>
      </c>
      <c r="D291">
        <v>10</v>
      </c>
      <c r="E291">
        <v>20</v>
      </c>
      <c r="F291">
        <v>71.680000000000007</v>
      </c>
      <c r="G291">
        <v>0</v>
      </c>
      <c r="H291">
        <v>4</v>
      </c>
      <c r="I291">
        <v>0</v>
      </c>
      <c r="J291">
        <v>4</v>
      </c>
      <c r="K291">
        <v>63.74</v>
      </c>
      <c r="L291" t="s">
        <v>487</v>
      </c>
      <c r="M291">
        <v>59.22</v>
      </c>
    </row>
    <row r="292" spans="1:13" x14ac:dyDescent="0.2">
      <c r="A292" s="1">
        <v>291</v>
      </c>
      <c r="B292" t="s">
        <v>244</v>
      </c>
      <c r="C292">
        <f xml:space="preserve">  63.74</f>
        <v>63.74</v>
      </c>
      <c r="D292">
        <v>9</v>
      </c>
      <c r="E292">
        <v>21</v>
      </c>
      <c r="F292">
        <v>68.12</v>
      </c>
      <c r="G292">
        <v>0</v>
      </c>
      <c r="H292">
        <v>1</v>
      </c>
      <c r="I292">
        <v>0</v>
      </c>
      <c r="J292">
        <v>1</v>
      </c>
      <c r="K292">
        <v>63.82</v>
      </c>
      <c r="L292" t="s">
        <v>488</v>
      </c>
      <c r="M292">
        <v>60.72</v>
      </c>
    </row>
    <row r="293" spans="1:13" x14ac:dyDescent="0.2">
      <c r="A293" s="1">
        <v>292</v>
      </c>
      <c r="B293" t="s">
        <v>235</v>
      </c>
      <c r="C293">
        <f xml:space="preserve">  63.6</f>
        <v>63.6</v>
      </c>
      <c r="D293">
        <v>15</v>
      </c>
      <c r="E293">
        <v>18</v>
      </c>
      <c r="F293">
        <v>65.98</v>
      </c>
      <c r="G293">
        <v>0</v>
      </c>
      <c r="H293">
        <v>2</v>
      </c>
      <c r="I293">
        <v>0</v>
      </c>
      <c r="J293">
        <v>2</v>
      </c>
      <c r="K293">
        <v>63.32</v>
      </c>
      <c r="L293" t="s">
        <v>489</v>
      </c>
      <c r="M293">
        <v>65.319999999999993</v>
      </c>
    </row>
    <row r="294" spans="1:13" x14ac:dyDescent="0.2">
      <c r="A294" s="1">
        <v>293</v>
      </c>
      <c r="B294" t="s">
        <v>828</v>
      </c>
      <c r="C294">
        <f xml:space="preserve">  63.6</f>
        <v>63.6</v>
      </c>
      <c r="D294">
        <v>3</v>
      </c>
      <c r="E294">
        <v>26</v>
      </c>
      <c r="F294">
        <v>74.2</v>
      </c>
      <c r="G294">
        <v>0</v>
      </c>
      <c r="H294">
        <v>0</v>
      </c>
      <c r="I294">
        <v>0</v>
      </c>
      <c r="J294">
        <v>5</v>
      </c>
      <c r="K294">
        <v>63.59</v>
      </c>
      <c r="L294" t="s">
        <v>490</v>
      </c>
      <c r="M294">
        <v>60.77</v>
      </c>
    </row>
    <row r="295" spans="1:13" x14ac:dyDescent="0.2">
      <c r="A295" s="1">
        <v>294</v>
      </c>
      <c r="B295" t="s">
        <v>239</v>
      </c>
      <c r="C295">
        <f xml:space="preserve">  63.53</f>
        <v>63.53</v>
      </c>
      <c r="D295">
        <v>6</v>
      </c>
      <c r="E295">
        <v>24</v>
      </c>
      <c r="F295">
        <v>70.84</v>
      </c>
      <c r="G295">
        <v>0</v>
      </c>
      <c r="H295">
        <v>0</v>
      </c>
      <c r="I295">
        <v>0</v>
      </c>
      <c r="J295">
        <v>0</v>
      </c>
      <c r="K295">
        <v>63.25</v>
      </c>
      <c r="L295" t="s">
        <v>491</v>
      </c>
      <c r="M295">
        <v>64.180000000000007</v>
      </c>
    </row>
    <row r="296" spans="1:13" x14ac:dyDescent="0.2">
      <c r="A296" s="1">
        <v>295</v>
      </c>
      <c r="B296" t="s">
        <v>208</v>
      </c>
      <c r="C296">
        <f xml:space="preserve">  63.52</f>
        <v>63.52</v>
      </c>
      <c r="D296">
        <v>11</v>
      </c>
      <c r="E296">
        <v>18</v>
      </c>
      <c r="F296">
        <v>67.14</v>
      </c>
      <c r="G296">
        <v>0</v>
      </c>
      <c r="H296">
        <v>0</v>
      </c>
      <c r="I296">
        <v>0</v>
      </c>
      <c r="J296">
        <v>0</v>
      </c>
      <c r="K296">
        <v>63.21</v>
      </c>
      <c r="L296" t="s">
        <v>492</v>
      </c>
      <c r="M296">
        <v>65.569999999999993</v>
      </c>
    </row>
    <row r="297" spans="1:13" x14ac:dyDescent="0.2">
      <c r="A297" s="1">
        <v>296</v>
      </c>
      <c r="B297" t="s">
        <v>85</v>
      </c>
      <c r="C297">
        <f xml:space="preserve">  63.46</f>
        <v>63.46</v>
      </c>
      <c r="D297">
        <v>8</v>
      </c>
      <c r="E297">
        <v>23</v>
      </c>
      <c r="F297">
        <v>69.83</v>
      </c>
      <c r="G297">
        <v>0</v>
      </c>
      <c r="H297">
        <v>0</v>
      </c>
      <c r="I297">
        <v>0</v>
      </c>
      <c r="J297">
        <v>0</v>
      </c>
      <c r="K297">
        <v>63.19</v>
      </c>
      <c r="L297" t="s">
        <v>492</v>
      </c>
      <c r="M297">
        <v>64.69</v>
      </c>
    </row>
    <row r="298" spans="1:13" x14ac:dyDescent="0.2">
      <c r="A298" s="1">
        <v>297</v>
      </c>
      <c r="B298" t="s">
        <v>300</v>
      </c>
      <c r="C298">
        <f xml:space="preserve">  63.34</f>
        <v>63.34</v>
      </c>
      <c r="D298">
        <v>5</v>
      </c>
      <c r="E298">
        <v>24</v>
      </c>
      <c r="F298">
        <v>71.78</v>
      </c>
      <c r="G298">
        <v>0</v>
      </c>
      <c r="H298">
        <v>1</v>
      </c>
      <c r="I298">
        <v>0</v>
      </c>
      <c r="J298">
        <v>1</v>
      </c>
      <c r="K298">
        <v>63.4</v>
      </c>
      <c r="L298" t="s">
        <v>493</v>
      </c>
      <c r="M298">
        <v>60.15</v>
      </c>
    </row>
    <row r="299" spans="1:13" x14ac:dyDescent="0.2">
      <c r="A299" s="1">
        <v>298</v>
      </c>
      <c r="B299" t="s">
        <v>822</v>
      </c>
      <c r="C299">
        <f xml:space="preserve">  63.3</f>
        <v>63.3</v>
      </c>
      <c r="D299">
        <v>5</v>
      </c>
      <c r="E299">
        <v>25</v>
      </c>
      <c r="F299">
        <v>71.099999999999994</v>
      </c>
      <c r="G299">
        <v>0</v>
      </c>
      <c r="H299">
        <v>0</v>
      </c>
      <c r="I299">
        <v>0</v>
      </c>
      <c r="J299">
        <v>2</v>
      </c>
      <c r="K299">
        <v>62.85</v>
      </c>
      <c r="L299" t="s">
        <v>494</v>
      </c>
      <c r="M299">
        <v>69.14</v>
      </c>
    </row>
    <row r="300" spans="1:13" x14ac:dyDescent="0.2">
      <c r="A300" s="1">
        <v>299</v>
      </c>
      <c r="B300" t="s">
        <v>285</v>
      </c>
      <c r="C300">
        <f xml:space="preserve">  63.21</f>
        <v>63.21</v>
      </c>
      <c r="D300">
        <v>5</v>
      </c>
      <c r="E300">
        <v>23</v>
      </c>
      <c r="F300">
        <v>71.78</v>
      </c>
      <c r="G300">
        <v>0</v>
      </c>
      <c r="H300">
        <v>0</v>
      </c>
      <c r="I300">
        <v>0</v>
      </c>
      <c r="J300">
        <v>1</v>
      </c>
      <c r="K300">
        <v>62.73</v>
      </c>
      <c r="L300" t="s">
        <v>495</v>
      </c>
      <c r="M300">
        <v>66.87</v>
      </c>
    </row>
    <row r="301" spans="1:13" x14ac:dyDescent="0.2">
      <c r="A301" s="1">
        <v>300</v>
      </c>
      <c r="B301" t="s">
        <v>887</v>
      </c>
      <c r="C301">
        <v>63.07</v>
      </c>
      <c r="D301">
        <v>8</v>
      </c>
      <c r="E301">
        <v>18</v>
      </c>
      <c r="F301">
        <v>67.150000000000006</v>
      </c>
      <c r="G301">
        <v>0</v>
      </c>
      <c r="H301">
        <v>0</v>
      </c>
      <c r="I301">
        <v>0</v>
      </c>
      <c r="J301">
        <v>1</v>
      </c>
      <c r="K301">
        <v>62.73</v>
      </c>
      <c r="L301" t="s">
        <v>496</v>
      </c>
      <c r="M301">
        <v>64.599999999999994</v>
      </c>
    </row>
    <row r="302" spans="1:13" x14ac:dyDescent="0.2">
      <c r="A302" s="1">
        <v>301</v>
      </c>
      <c r="B302" t="s">
        <v>206</v>
      </c>
      <c r="C302">
        <f xml:space="preserve">  63.04</f>
        <v>63.04</v>
      </c>
      <c r="D302">
        <v>8</v>
      </c>
      <c r="E302">
        <v>16</v>
      </c>
      <c r="F302">
        <v>70.260000000000005</v>
      </c>
      <c r="G302">
        <v>0</v>
      </c>
      <c r="H302">
        <v>1</v>
      </c>
      <c r="I302">
        <v>0</v>
      </c>
      <c r="J302">
        <v>1</v>
      </c>
      <c r="K302">
        <v>62.38</v>
      </c>
      <c r="L302" t="s">
        <v>497</v>
      </c>
      <c r="M302">
        <v>66.45</v>
      </c>
    </row>
    <row r="303" spans="1:13" x14ac:dyDescent="0.2">
      <c r="A303" s="1">
        <v>302</v>
      </c>
      <c r="B303" t="s">
        <v>865</v>
      </c>
      <c r="C303">
        <f xml:space="preserve">  62.97</f>
        <v>62.97</v>
      </c>
      <c r="D303">
        <v>8</v>
      </c>
      <c r="E303">
        <v>20</v>
      </c>
      <c r="F303">
        <v>68.81</v>
      </c>
      <c r="G303">
        <v>0</v>
      </c>
      <c r="H303">
        <v>3</v>
      </c>
      <c r="I303">
        <v>0</v>
      </c>
      <c r="J303">
        <v>3</v>
      </c>
      <c r="K303">
        <v>62.92</v>
      </c>
      <c r="L303" t="s">
        <v>498</v>
      </c>
      <c r="M303">
        <v>61.43</v>
      </c>
    </row>
    <row r="304" spans="1:13" x14ac:dyDescent="0.2">
      <c r="A304" s="1">
        <v>303</v>
      </c>
      <c r="B304" t="s">
        <v>901</v>
      </c>
      <c r="C304">
        <f xml:space="preserve">  62.89</f>
        <v>62.89</v>
      </c>
      <c r="D304">
        <v>9</v>
      </c>
      <c r="E304">
        <v>20</v>
      </c>
      <c r="F304">
        <v>66.97</v>
      </c>
      <c r="G304">
        <v>0</v>
      </c>
      <c r="H304">
        <v>0</v>
      </c>
      <c r="I304">
        <v>0</v>
      </c>
      <c r="J304">
        <v>1</v>
      </c>
      <c r="K304">
        <v>62.83</v>
      </c>
      <c r="L304" t="s">
        <v>499</v>
      </c>
      <c r="M304">
        <v>61.9</v>
      </c>
    </row>
    <row r="305" spans="1:13" x14ac:dyDescent="0.2">
      <c r="A305" s="1">
        <v>304</v>
      </c>
      <c r="B305" t="s">
        <v>558</v>
      </c>
      <c r="C305">
        <f xml:space="preserve">  62.86</f>
        <v>62.86</v>
      </c>
      <c r="D305">
        <v>8</v>
      </c>
      <c r="E305">
        <v>21</v>
      </c>
      <c r="F305">
        <v>71.81</v>
      </c>
      <c r="G305">
        <v>0</v>
      </c>
      <c r="H305">
        <v>1</v>
      </c>
      <c r="I305">
        <v>0</v>
      </c>
      <c r="J305">
        <v>2</v>
      </c>
      <c r="K305">
        <v>62.63</v>
      </c>
      <c r="L305" t="s">
        <v>484</v>
      </c>
      <c r="M305">
        <v>59.16</v>
      </c>
    </row>
    <row r="306" spans="1:13" x14ac:dyDescent="0.2">
      <c r="A306" s="1">
        <v>305</v>
      </c>
      <c r="B306" t="s">
        <v>240</v>
      </c>
      <c r="C306">
        <f xml:space="preserve">  62.76</f>
        <v>62.76</v>
      </c>
      <c r="D306">
        <v>16</v>
      </c>
      <c r="E306">
        <v>16</v>
      </c>
      <c r="F306">
        <v>62.23</v>
      </c>
      <c r="G306">
        <v>0</v>
      </c>
      <c r="H306">
        <v>0</v>
      </c>
      <c r="I306">
        <v>0</v>
      </c>
      <c r="J306">
        <v>0</v>
      </c>
      <c r="K306">
        <v>62</v>
      </c>
      <c r="L306" t="s">
        <v>500</v>
      </c>
      <c r="M306">
        <v>70.569999999999993</v>
      </c>
    </row>
    <row r="307" spans="1:13" x14ac:dyDescent="0.2">
      <c r="A307" s="1">
        <v>306</v>
      </c>
      <c r="B307" t="s">
        <v>226</v>
      </c>
      <c r="C307">
        <f xml:space="preserve">  62.61</f>
        <v>62.61</v>
      </c>
      <c r="D307">
        <v>11</v>
      </c>
      <c r="E307">
        <v>19</v>
      </c>
      <c r="F307">
        <v>71.88</v>
      </c>
      <c r="G307">
        <v>0</v>
      </c>
      <c r="H307">
        <v>3</v>
      </c>
      <c r="I307">
        <v>0</v>
      </c>
      <c r="J307">
        <v>3</v>
      </c>
      <c r="K307">
        <v>61.79</v>
      </c>
      <c r="L307" t="s">
        <v>501</v>
      </c>
      <c r="M307">
        <v>67.459999999999994</v>
      </c>
    </row>
    <row r="308" spans="1:13" x14ac:dyDescent="0.2">
      <c r="A308" s="1">
        <v>307</v>
      </c>
      <c r="B308" t="s">
        <v>217</v>
      </c>
      <c r="C308">
        <f xml:space="preserve">  62.53</f>
        <v>62.53</v>
      </c>
      <c r="D308">
        <v>8</v>
      </c>
      <c r="E308">
        <v>22</v>
      </c>
      <c r="F308">
        <v>68.739999999999995</v>
      </c>
      <c r="G308">
        <v>0</v>
      </c>
      <c r="H308">
        <v>1</v>
      </c>
      <c r="I308">
        <v>0</v>
      </c>
      <c r="J308">
        <v>1</v>
      </c>
      <c r="K308">
        <v>62.42</v>
      </c>
      <c r="L308" t="s">
        <v>502</v>
      </c>
      <c r="M308">
        <v>61.91</v>
      </c>
    </row>
    <row r="309" spans="1:13" x14ac:dyDescent="0.2">
      <c r="A309" s="1">
        <v>308</v>
      </c>
      <c r="B309" t="s">
        <v>246</v>
      </c>
      <c r="C309">
        <f xml:space="preserve">  62.34</f>
        <v>62.34</v>
      </c>
      <c r="D309">
        <v>9</v>
      </c>
      <c r="E309">
        <v>21</v>
      </c>
      <c r="F309">
        <v>65.86</v>
      </c>
      <c r="G309">
        <v>0</v>
      </c>
      <c r="H309">
        <v>0</v>
      </c>
      <c r="I309">
        <v>0</v>
      </c>
      <c r="J309">
        <v>0</v>
      </c>
      <c r="K309">
        <v>62.15</v>
      </c>
      <c r="L309" t="s">
        <v>503</v>
      </c>
      <c r="M309">
        <v>63.57</v>
      </c>
    </row>
    <row r="310" spans="1:13" x14ac:dyDescent="0.2">
      <c r="A310" s="1">
        <v>309</v>
      </c>
      <c r="B310" t="s">
        <v>895</v>
      </c>
      <c r="C310">
        <f xml:space="preserve">  62.22</f>
        <v>62.22</v>
      </c>
      <c r="D310">
        <v>16</v>
      </c>
      <c r="E310">
        <v>14</v>
      </c>
      <c r="F310">
        <v>62.18</v>
      </c>
      <c r="G310">
        <v>0</v>
      </c>
      <c r="H310">
        <v>0</v>
      </c>
      <c r="I310">
        <v>0</v>
      </c>
      <c r="J310">
        <v>0</v>
      </c>
      <c r="K310">
        <v>61.63</v>
      </c>
      <c r="L310" t="s">
        <v>504</v>
      </c>
      <c r="M310">
        <v>66.290000000000006</v>
      </c>
    </row>
    <row r="311" spans="1:13" x14ac:dyDescent="0.2">
      <c r="A311" s="1">
        <v>310</v>
      </c>
      <c r="B311" t="s">
        <v>185</v>
      </c>
      <c r="C311">
        <f xml:space="preserve">  62.2</f>
        <v>62.2</v>
      </c>
      <c r="D311">
        <v>6</v>
      </c>
      <c r="E311">
        <v>24</v>
      </c>
      <c r="F311">
        <v>70.760000000000005</v>
      </c>
      <c r="G311">
        <v>0</v>
      </c>
      <c r="H311">
        <v>1</v>
      </c>
      <c r="I311">
        <v>0</v>
      </c>
      <c r="J311">
        <v>3</v>
      </c>
      <c r="K311">
        <v>62.13</v>
      </c>
      <c r="L311" t="s">
        <v>505</v>
      </c>
      <c r="M311">
        <v>58.49</v>
      </c>
    </row>
    <row r="312" spans="1:13" x14ac:dyDescent="0.2">
      <c r="A312" s="1">
        <v>311</v>
      </c>
      <c r="B312" t="s">
        <v>833</v>
      </c>
      <c r="C312">
        <f xml:space="preserve">  61.95</f>
        <v>61.95</v>
      </c>
      <c r="D312">
        <v>8</v>
      </c>
      <c r="E312">
        <v>17</v>
      </c>
      <c r="F312">
        <v>67.95</v>
      </c>
      <c r="G312">
        <v>0</v>
      </c>
      <c r="H312">
        <v>1</v>
      </c>
      <c r="I312">
        <v>0</v>
      </c>
      <c r="J312">
        <v>2</v>
      </c>
      <c r="K312">
        <v>61.26</v>
      </c>
      <c r="L312" t="s">
        <v>506</v>
      </c>
      <c r="M312">
        <v>69.150000000000006</v>
      </c>
    </row>
    <row r="313" spans="1:13" x14ac:dyDescent="0.2">
      <c r="A313" s="1">
        <v>312</v>
      </c>
      <c r="B313" t="s">
        <v>229</v>
      </c>
      <c r="C313">
        <f xml:space="preserve">  61.94</f>
        <v>61.94</v>
      </c>
      <c r="D313">
        <v>18</v>
      </c>
      <c r="E313">
        <v>15</v>
      </c>
      <c r="F313">
        <v>63.1</v>
      </c>
      <c r="G313">
        <v>0</v>
      </c>
      <c r="H313">
        <v>1</v>
      </c>
      <c r="I313">
        <v>0</v>
      </c>
      <c r="J313">
        <v>2</v>
      </c>
      <c r="K313">
        <v>61.22</v>
      </c>
      <c r="L313" t="s">
        <v>507</v>
      </c>
      <c r="M313">
        <v>67.06</v>
      </c>
    </row>
    <row r="314" spans="1:13" x14ac:dyDescent="0.2">
      <c r="A314" s="1">
        <v>313</v>
      </c>
      <c r="B314" t="s">
        <v>884</v>
      </c>
      <c r="C314">
        <v>61.94</v>
      </c>
      <c r="D314">
        <v>14</v>
      </c>
      <c r="E314">
        <v>18</v>
      </c>
      <c r="F314">
        <v>66.42</v>
      </c>
      <c r="G314">
        <v>0</v>
      </c>
      <c r="H314">
        <v>0</v>
      </c>
      <c r="I314">
        <v>0</v>
      </c>
      <c r="J314">
        <v>0</v>
      </c>
      <c r="K314">
        <v>61.41</v>
      </c>
      <c r="L314" t="s">
        <v>508</v>
      </c>
      <c r="M314">
        <v>66.2</v>
      </c>
    </row>
    <row r="315" spans="1:13" x14ac:dyDescent="0.2">
      <c r="A315" s="1">
        <v>314</v>
      </c>
      <c r="B315" t="s">
        <v>233</v>
      </c>
      <c r="C315">
        <f xml:space="preserve">  61.93</f>
        <v>61.93</v>
      </c>
      <c r="D315">
        <v>8</v>
      </c>
      <c r="E315">
        <v>20</v>
      </c>
      <c r="F315">
        <v>67.44</v>
      </c>
      <c r="G315">
        <v>0</v>
      </c>
      <c r="H315">
        <v>0</v>
      </c>
      <c r="I315">
        <v>0</v>
      </c>
      <c r="J315">
        <v>0</v>
      </c>
      <c r="K315">
        <v>61.62</v>
      </c>
      <c r="L315" t="s">
        <v>509</v>
      </c>
      <c r="M315">
        <v>64.28</v>
      </c>
    </row>
    <row r="316" spans="1:13" x14ac:dyDescent="0.2">
      <c r="A316" s="1">
        <v>315</v>
      </c>
      <c r="B316" t="s">
        <v>843</v>
      </c>
      <c r="C316">
        <f xml:space="preserve">  61.8</f>
        <v>61.8</v>
      </c>
      <c r="D316">
        <v>13</v>
      </c>
      <c r="E316">
        <v>17</v>
      </c>
      <c r="F316">
        <v>64.03</v>
      </c>
      <c r="G316">
        <v>0</v>
      </c>
      <c r="H316">
        <v>0</v>
      </c>
      <c r="I316">
        <v>0</v>
      </c>
      <c r="J316">
        <v>1</v>
      </c>
      <c r="K316">
        <v>61.4</v>
      </c>
      <c r="L316" t="s">
        <v>510</v>
      </c>
      <c r="M316">
        <v>64.12</v>
      </c>
    </row>
    <row r="317" spans="1:13" x14ac:dyDescent="0.2">
      <c r="A317" s="1">
        <v>316</v>
      </c>
      <c r="B317" t="s">
        <v>850</v>
      </c>
      <c r="C317">
        <f xml:space="preserve">  61.7</f>
        <v>61.7</v>
      </c>
      <c r="D317">
        <v>7</v>
      </c>
      <c r="E317">
        <v>22</v>
      </c>
      <c r="F317">
        <v>71.040000000000006</v>
      </c>
      <c r="G317">
        <v>0</v>
      </c>
      <c r="H317">
        <v>0</v>
      </c>
      <c r="I317">
        <v>0</v>
      </c>
      <c r="J317">
        <v>0</v>
      </c>
      <c r="K317">
        <v>61.45</v>
      </c>
      <c r="L317" t="s">
        <v>511</v>
      </c>
      <c r="M317">
        <v>60.68</v>
      </c>
    </row>
    <row r="318" spans="1:13" x14ac:dyDescent="0.2">
      <c r="A318" s="1">
        <v>317</v>
      </c>
      <c r="B318" t="s">
        <v>190</v>
      </c>
      <c r="C318">
        <f xml:space="preserve">  61.68</f>
        <v>61.68</v>
      </c>
      <c r="D318">
        <v>6</v>
      </c>
      <c r="E318">
        <v>25</v>
      </c>
      <c r="F318">
        <v>69.430000000000007</v>
      </c>
      <c r="G318">
        <v>0</v>
      </c>
      <c r="H318">
        <v>1</v>
      </c>
      <c r="I318">
        <v>0</v>
      </c>
      <c r="J318">
        <v>1</v>
      </c>
      <c r="K318">
        <v>61.31</v>
      </c>
      <c r="L318" t="s">
        <v>512</v>
      </c>
      <c r="M318">
        <v>65.72</v>
      </c>
    </row>
    <row r="319" spans="1:13" x14ac:dyDescent="0.2">
      <c r="A319" s="1">
        <v>318</v>
      </c>
      <c r="B319" t="s">
        <v>296</v>
      </c>
      <c r="C319">
        <f xml:space="preserve">  61.52</f>
        <v>61.52</v>
      </c>
      <c r="D319">
        <v>11</v>
      </c>
      <c r="E319">
        <v>18</v>
      </c>
      <c r="F319">
        <v>67.14</v>
      </c>
      <c r="G319">
        <v>0</v>
      </c>
      <c r="H319">
        <v>1</v>
      </c>
      <c r="I319">
        <v>0</v>
      </c>
      <c r="J319">
        <v>1</v>
      </c>
      <c r="K319">
        <v>60.74</v>
      </c>
      <c r="L319" t="s">
        <v>513</v>
      </c>
      <c r="M319">
        <v>66.900000000000006</v>
      </c>
    </row>
    <row r="320" spans="1:13" x14ac:dyDescent="0.2">
      <c r="A320" s="1">
        <v>319</v>
      </c>
      <c r="B320" t="s">
        <v>902</v>
      </c>
      <c r="C320">
        <f xml:space="preserve">  61.38</f>
        <v>61.38</v>
      </c>
      <c r="D320">
        <v>9</v>
      </c>
      <c r="E320">
        <v>21</v>
      </c>
      <c r="F320">
        <v>69.55</v>
      </c>
      <c r="G320">
        <v>0</v>
      </c>
      <c r="H320">
        <v>1</v>
      </c>
      <c r="I320">
        <v>0</v>
      </c>
      <c r="J320">
        <v>2</v>
      </c>
      <c r="K320">
        <v>61.07</v>
      </c>
      <c r="L320" t="s">
        <v>514</v>
      </c>
      <c r="M320">
        <v>61.69</v>
      </c>
    </row>
    <row r="321" spans="1:13" x14ac:dyDescent="0.2">
      <c r="A321" s="1">
        <v>320</v>
      </c>
      <c r="B321" t="s">
        <v>892</v>
      </c>
      <c r="C321">
        <f xml:space="preserve">  61.35</f>
        <v>61.35</v>
      </c>
      <c r="D321">
        <v>11</v>
      </c>
      <c r="E321">
        <v>18</v>
      </c>
      <c r="F321">
        <v>66.75</v>
      </c>
      <c r="G321">
        <v>0</v>
      </c>
      <c r="H321">
        <v>0</v>
      </c>
      <c r="I321">
        <v>0</v>
      </c>
      <c r="J321">
        <v>1</v>
      </c>
      <c r="K321">
        <v>61.02</v>
      </c>
      <c r="L321" t="s">
        <v>515</v>
      </c>
      <c r="M321">
        <v>63.44</v>
      </c>
    </row>
    <row r="322" spans="1:13" x14ac:dyDescent="0.2">
      <c r="A322" s="1">
        <v>321</v>
      </c>
      <c r="B322" t="s">
        <v>831</v>
      </c>
      <c r="C322">
        <f xml:space="preserve">  61.28</f>
        <v>61.28</v>
      </c>
      <c r="D322">
        <v>6</v>
      </c>
      <c r="E322">
        <v>24</v>
      </c>
      <c r="F322">
        <v>70.77</v>
      </c>
      <c r="G322">
        <v>0</v>
      </c>
      <c r="H322">
        <v>1</v>
      </c>
      <c r="I322">
        <v>0</v>
      </c>
      <c r="J322">
        <v>1</v>
      </c>
      <c r="K322">
        <v>61.07</v>
      </c>
      <c r="L322" t="s">
        <v>516</v>
      </c>
      <c r="M322">
        <v>58.96</v>
      </c>
    </row>
    <row r="323" spans="1:13" x14ac:dyDescent="0.2">
      <c r="A323" s="1">
        <v>322</v>
      </c>
      <c r="B323" t="s">
        <v>198</v>
      </c>
      <c r="C323">
        <f xml:space="preserve">  61.26</f>
        <v>61.26</v>
      </c>
      <c r="D323">
        <v>8</v>
      </c>
      <c r="E323">
        <v>21</v>
      </c>
      <c r="F323">
        <v>70.069999999999993</v>
      </c>
      <c r="G323">
        <v>0</v>
      </c>
      <c r="H323">
        <v>2</v>
      </c>
      <c r="I323">
        <v>0</v>
      </c>
      <c r="J323">
        <v>3</v>
      </c>
      <c r="K323">
        <v>60.72</v>
      </c>
      <c r="L323" t="s">
        <v>517</v>
      </c>
      <c r="M323">
        <v>65.61</v>
      </c>
    </row>
    <row r="324" spans="1:13" x14ac:dyDescent="0.2">
      <c r="A324" s="1">
        <v>323</v>
      </c>
      <c r="B324" t="s">
        <v>867</v>
      </c>
      <c r="C324">
        <f xml:space="preserve">  61.13</f>
        <v>61.13</v>
      </c>
      <c r="D324">
        <v>16</v>
      </c>
      <c r="E324">
        <v>14</v>
      </c>
      <c r="F324">
        <v>64.59</v>
      </c>
      <c r="G324">
        <v>0</v>
      </c>
      <c r="H324">
        <v>0</v>
      </c>
      <c r="I324">
        <v>0</v>
      </c>
      <c r="J324">
        <v>0</v>
      </c>
      <c r="K324">
        <v>60.79</v>
      </c>
      <c r="L324" t="s">
        <v>518</v>
      </c>
      <c r="M324">
        <v>61.38</v>
      </c>
    </row>
    <row r="325" spans="1:13" x14ac:dyDescent="0.2">
      <c r="A325" s="1">
        <v>324</v>
      </c>
      <c r="B325" t="s">
        <v>898</v>
      </c>
      <c r="C325">
        <f xml:space="preserve">  60.83</f>
        <v>60.83</v>
      </c>
      <c r="D325">
        <v>13</v>
      </c>
      <c r="E325">
        <v>18</v>
      </c>
      <c r="F325">
        <v>63.36</v>
      </c>
      <c r="G325">
        <v>0</v>
      </c>
      <c r="H325">
        <v>1</v>
      </c>
      <c r="I325">
        <v>0</v>
      </c>
      <c r="J325">
        <v>2</v>
      </c>
      <c r="K325">
        <v>60.47</v>
      </c>
      <c r="L325" t="s">
        <v>519</v>
      </c>
      <c r="M325">
        <v>61.77</v>
      </c>
    </row>
    <row r="326" spans="1:13" x14ac:dyDescent="0.2">
      <c r="A326" s="1">
        <v>325</v>
      </c>
      <c r="B326" t="s">
        <v>250</v>
      </c>
      <c r="C326">
        <f xml:space="preserve">  60.5</f>
        <v>60.5</v>
      </c>
      <c r="D326">
        <v>6</v>
      </c>
      <c r="E326">
        <v>24</v>
      </c>
      <c r="F326">
        <v>67.91</v>
      </c>
      <c r="G326">
        <v>0</v>
      </c>
      <c r="H326">
        <v>1</v>
      </c>
      <c r="I326">
        <v>0</v>
      </c>
      <c r="J326">
        <v>3</v>
      </c>
      <c r="K326">
        <v>60.48</v>
      </c>
      <c r="L326" t="s">
        <v>520</v>
      </c>
      <c r="M326">
        <v>57</v>
      </c>
    </row>
    <row r="327" spans="1:13" x14ac:dyDescent="0.2">
      <c r="A327" s="1">
        <v>326</v>
      </c>
      <c r="B327" t="s">
        <v>248</v>
      </c>
      <c r="C327">
        <f xml:space="preserve">  60.38</f>
        <v>60.38</v>
      </c>
      <c r="D327">
        <v>4</v>
      </c>
      <c r="E327">
        <v>24</v>
      </c>
      <c r="F327">
        <v>69.19</v>
      </c>
      <c r="G327">
        <v>0</v>
      </c>
      <c r="H327">
        <v>0</v>
      </c>
      <c r="I327">
        <v>0</v>
      </c>
      <c r="J327">
        <v>0</v>
      </c>
      <c r="K327">
        <v>60.27</v>
      </c>
      <c r="L327" t="s">
        <v>521</v>
      </c>
      <c r="M327">
        <v>58.96</v>
      </c>
    </row>
    <row r="328" spans="1:13" x14ac:dyDescent="0.2">
      <c r="A328" s="1">
        <v>327</v>
      </c>
      <c r="B328" t="s">
        <v>844</v>
      </c>
      <c r="C328">
        <f xml:space="preserve">  59.9</f>
        <v>59.9</v>
      </c>
      <c r="D328">
        <v>13</v>
      </c>
      <c r="E328">
        <v>17</v>
      </c>
      <c r="F328">
        <v>67.069999999999993</v>
      </c>
      <c r="G328">
        <v>0</v>
      </c>
      <c r="H328">
        <v>6</v>
      </c>
      <c r="I328">
        <v>0</v>
      </c>
      <c r="J328">
        <v>7</v>
      </c>
      <c r="K328">
        <v>58.92</v>
      </c>
      <c r="L328" t="s">
        <v>522</v>
      </c>
      <c r="M328">
        <v>66.349999999999994</v>
      </c>
    </row>
    <row r="329" spans="1:13" x14ac:dyDescent="0.2">
      <c r="A329" s="1">
        <v>328</v>
      </c>
      <c r="B329" t="s">
        <v>841</v>
      </c>
      <c r="C329">
        <f xml:space="preserve">  59.73</f>
        <v>59.73</v>
      </c>
      <c r="D329">
        <v>11</v>
      </c>
      <c r="E329">
        <v>19</v>
      </c>
      <c r="F329">
        <v>63.34</v>
      </c>
      <c r="G329">
        <v>0</v>
      </c>
      <c r="H329">
        <v>1</v>
      </c>
      <c r="I329">
        <v>0</v>
      </c>
      <c r="J329">
        <v>1</v>
      </c>
      <c r="K329">
        <v>59.42</v>
      </c>
      <c r="L329" t="s">
        <v>523</v>
      </c>
      <c r="M329">
        <v>62.67</v>
      </c>
    </row>
    <row r="330" spans="1:13" x14ac:dyDescent="0.2">
      <c r="A330" s="1">
        <v>329</v>
      </c>
      <c r="B330" t="s">
        <v>270</v>
      </c>
      <c r="C330">
        <f xml:space="preserve">  59.54</f>
        <v>59.54</v>
      </c>
      <c r="D330">
        <v>14</v>
      </c>
      <c r="E330">
        <v>21</v>
      </c>
      <c r="F330">
        <v>64.8</v>
      </c>
      <c r="G330">
        <v>0</v>
      </c>
      <c r="H330">
        <v>1</v>
      </c>
      <c r="I330">
        <v>0</v>
      </c>
      <c r="J330">
        <v>1</v>
      </c>
      <c r="K330">
        <v>58.58</v>
      </c>
      <c r="L330" t="s">
        <v>524</v>
      </c>
      <c r="M330">
        <v>67.67</v>
      </c>
    </row>
    <row r="331" spans="1:13" x14ac:dyDescent="0.2">
      <c r="A331" s="1">
        <v>330</v>
      </c>
      <c r="B331" t="s">
        <v>261</v>
      </c>
      <c r="C331">
        <f xml:space="preserve">  59.06</f>
        <v>59.06</v>
      </c>
      <c r="D331">
        <v>3</v>
      </c>
      <c r="E331">
        <v>25</v>
      </c>
      <c r="F331">
        <v>68.97</v>
      </c>
      <c r="G331">
        <v>0</v>
      </c>
      <c r="H331">
        <v>1</v>
      </c>
      <c r="I331">
        <v>0</v>
      </c>
      <c r="J331">
        <v>3</v>
      </c>
      <c r="K331">
        <v>59.04</v>
      </c>
      <c r="L331" t="s">
        <v>525</v>
      </c>
      <c r="M331">
        <v>58.08</v>
      </c>
    </row>
    <row r="332" spans="1:13" x14ac:dyDescent="0.2">
      <c r="A332" s="1">
        <v>331</v>
      </c>
      <c r="B332" t="s">
        <v>224</v>
      </c>
      <c r="C332">
        <f xml:space="preserve">  58.93</f>
        <v>58.93</v>
      </c>
      <c r="D332">
        <v>8</v>
      </c>
      <c r="E332">
        <v>23</v>
      </c>
      <c r="F332">
        <v>65.09</v>
      </c>
      <c r="G332">
        <v>0</v>
      </c>
      <c r="H332">
        <v>1</v>
      </c>
      <c r="I332">
        <v>0</v>
      </c>
      <c r="J332">
        <v>1</v>
      </c>
      <c r="K332">
        <v>58.8</v>
      </c>
      <c r="L332" t="s">
        <v>526</v>
      </c>
      <c r="M332">
        <v>59.52</v>
      </c>
    </row>
    <row r="333" spans="1:13" x14ac:dyDescent="0.2">
      <c r="A333" s="1">
        <v>332</v>
      </c>
      <c r="B333" t="s">
        <v>231</v>
      </c>
      <c r="C333">
        <f xml:space="preserve">  58.82</f>
        <v>58.82</v>
      </c>
      <c r="D333">
        <v>3</v>
      </c>
      <c r="E333">
        <v>25</v>
      </c>
      <c r="F333">
        <v>69.33</v>
      </c>
      <c r="G333">
        <v>0</v>
      </c>
      <c r="H333">
        <v>0</v>
      </c>
      <c r="I333">
        <v>0</v>
      </c>
      <c r="J333">
        <v>2</v>
      </c>
      <c r="K333">
        <v>58.76</v>
      </c>
      <c r="L333" t="s">
        <v>527</v>
      </c>
      <c r="M333">
        <v>54.82</v>
      </c>
    </row>
    <row r="334" spans="1:13" x14ac:dyDescent="0.2">
      <c r="A334" s="1">
        <v>333</v>
      </c>
      <c r="B334" t="s">
        <v>254</v>
      </c>
      <c r="C334">
        <f xml:space="preserve">  58.73</f>
        <v>58.73</v>
      </c>
      <c r="D334">
        <v>4</v>
      </c>
      <c r="E334">
        <v>26</v>
      </c>
      <c r="F334">
        <v>71.11</v>
      </c>
      <c r="G334">
        <v>0</v>
      </c>
      <c r="H334">
        <v>1</v>
      </c>
      <c r="I334">
        <v>0</v>
      </c>
      <c r="J334">
        <v>2</v>
      </c>
      <c r="K334">
        <v>58.38</v>
      </c>
      <c r="L334" t="s">
        <v>528</v>
      </c>
      <c r="M334">
        <v>59.81</v>
      </c>
    </row>
    <row r="335" spans="1:13" x14ac:dyDescent="0.2">
      <c r="A335" s="1">
        <v>334</v>
      </c>
      <c r="B335" t="s">
        <v>279</v>
      </c>
      <c r="C335">
        <f xml:space="preserve">  58.68</f>
        <v>58.68</v>
      </c>
      <c r="D335">
        <v>7</v>
      </c>
      <c r="E335">
        <v>21</v>
      </c>
      <c r="F335">
        <v>69.34</v>
      </c>
      <c r="G335">
        <v>0</v>
      </c>
      <c r="H335">
        <v>0</v>
      </c>
      <c r="I335">
        <v>0</v>
      </c>
      <c r="J335">
        <v>0</v>
      </c>
      <c r="K335">
        <v>58.29</v>
      </c>
      <c r="L335" t="s">
        <v>529</v>
      </c>
      <c r="M335">
        <v>59.67</v>
      </c>
    </row>
    <row r="336" spans="1:13" x14ac:dyDescent="0.2">
      <c r="A336" s="1">
        <v>335</v>
      </c>
      <c r="B336" t="s">
        <v>267</v>
      </c>
      <c r="C336">
        <f xml:space="preserve">  58.36</f>
        <v>58.36</v>
      </c>
      <c r="D336">
        <v>4</v>
      </c>
      <c r="E336">
        <v>26</v>
      </c>
      <c r="F336">
        <v>69.95</v>
      </c>
      <c r="G336">
        <v>0</v>
      </c>
      <c r="H336">
        <v>1</v>
      </c>
      <c r="I336">
        <v>0</v>
      </c>
      <c r="J336">
        <v>1</v>
      </c>
      <c r="K336">
        <v>58.43</v>
      </c>
      <c r="L336" t="s">
        <v>530</v>
      </c>
      <c r="M336">
        <v>57.96</v>
      </c>
    </row>
    <row r="337" spans="1:13" x14ac:dyDescent="0.2">
      <c r="A337" s="1">
        <v>336</v>
      </c>
      <c r="B337" t="s">
        <v>838</v>
      </c>
      <c r="C337">
        <f xml:space="preserve">  58.13</f>
        <v>58.13</v>
      </c>
      <c r="D337">
        <v>10</v>
      </c>
      <c r="E337">
        <v>20</v>
      </c>
      <c r="F337">
        <v>64.2</v>
      </c>
      <c r="G337">
        <v>0</v>
      </c>
      <c r="H337">
        <v>0</v>
      </c>
      <c r="I337">
        <v>0</v>
      </c>
      <c r="J337">
        <v>1</v>
      </c>
      <c r="K337">
        <v>57.99</v>
      </c>
      <c r="L337" t="s">
        <v>531</v>
      </c>
      <c r="M337">
        <v>53.81</v>
      </c>
    </row>
    <row r="338" spans="1:13" x14ac:dyDescent="0.2">
      <c r="A338" s="1">
        <v>337</v>
      </c>
      <c r="B338" t="s">
        <v>883</v>
      </c>
      <c r="C338">
        <v>57.94</v>
      </c>
      <c r="D338">
        <v>8</v>
      </c>
      <c r="E338">
        <v>21</v>
      </c>
      <c r="F338">
        <v>67.52</v>
      </c>
      <c r="G338">
        <v>0</v>
      </c>
      <c r="H338">
        <v>1</v>
      </c>
      <c r="I338">
        <v>0</v>
      </c>
      <c r="J338">
        <v>2</v>
      </c>
      <c r="K338">
        <v>57.75</v>
      </c>
      <c r="L338" t="s">
        <v>532</v>
      </c>
      <c r="M338">
        <v>58.87</v>
      </c>
    </row>
    <row r="339" spans="1:13" x14ac:dyDescent="0.2">
      <c r="A339" s="1">
        <v>338</v>
      </c>
      <c r="B339" t="s">
        <v>842</v>
      </c>
      <c r="C339">
        <f xml:space="preserve">  57.65</f>
        <v>57.65</v>
      </c>
      <c r="D339">
        <v>7</v>
      </c>
      <c r="E339">
        <v>21</v>
      </c>
      <c r="F339">
        <v>65</v>
      </c>
      <c r="G339">
        <v>0</v>
      </c>
      <c r="H339">
        <v>0</v>
      </c>
      <c r="I339">
        <v>0</v>
      </c>
      <c r="J339">
        <v>2</v>
      </c>
      <c r="K339">
        <v>57.23</v>
      </c>
      <c r="L339" t="s">
        <v>533</v>
      </c>
      <c r="M339">
        <v>60.73</v>
      </c>
    </row>
    <row r="340" spans="1:13" x14ac:dyDescent="0.2">
      <c r="A340" s="1">
        <v>339</v>
      </c>
      <c r="B340" t="s">
        <v>269</v>
      </c>
      <c r="C340">
        <f xml:space="preserve">  57.15</f>
        <v>57.15</v>
      </c>
      <c r="D340">
        <v>3</v>
      </c>
      <c r="E340">
        <v>21</v>
      </c>
      <c r="F340">
        <v>67.430000000000007</v>
      </c>
      <c r="G340">
        <v>0</v>
      </c>
      <c r="H340">
        <v>3</v>
      </c>
      <c r="I340">
        <v>0</v>
      </c>
      <c r="J340">
        <v>3</v>
      </c>
      <c r="K340">
        <v>57.08</v>
      </c>
      <c r="L340" t="s">
        <v>534</v>
      </c>
      <c r="M340">
        <v>57.11</v>
      </c>
    </row>
    <row r="341" spans="1:13" x14ac:dyDescent="0.2">
      <c r="A341" s="1">
        <v>340</v>
      </c>
      <c r="B341" t="s">
        <v>175</v>
      </c>
      <c r="C341">
        <f xml:space="preserve">  56.71</f>
        <v>56.71</v>
      </c>
      <c r="D341">
        <v>3</v>
      </c>
      <c r="E341">
        <v>28</v>
      </c>
      <c r="F341">
        <v>67.930000000000007</v>
      </c>
      <c r="G341">
        <v>0</v>
      </c>
      <c r="H341">
        <v>0</v>
      </c>
      <c r="I341">
        <v>0</v>
      </c>
      <c r="J341">
        <v>1</v>
      </c>
      <c r="K341">
        <v>56.46</v>
      </c>
      <c r="L341" t="s">
        <v>535</v>
      </c>
      <c r="M341">
        <v>58.95</v>
      </c>
    </row>
    <row r="342" spans="1:13" x14ac:dyDescent="0.2">
      <c r="A342" s="1">
        <v>341</v>
      </c>
      <c r="B342" t="s">
        <v>834</v>
      </c>
      <c r="C342">
        <f xml:space="preserve">  56.68</f>
        <v>56.68</v>
      </c>
      <c r="D342">
        <v>8</v>
      </c>
      <c r="E342">
        <v>23</v>
      </c>
      <c r="F342">
        <v>64.97</v>
      </c>
      <c r="G342">
        <v>0</v>
      </c>
      <c r="H342">
        <v>1</v>
      </c>
      <c r="I342">
        <v>0</v>
      </c>
      <c r="J342">
        <v>1</v>
      </c>
      <c r="K342">
        <v>56.38</v>
      </c>
      <c r="L342" t="s">
        <v>536</v>
      </c>
      <c r="M342">
        <v>57.91</v>
      </c>
    </row>
    <row r="343" spans="1:13" x14ac:dyDescent="0.2">
      <c r="A343" s="1">
        <v>342</v>
      </c>
      <c r="B343" t="s">
        <v>247</v>
      </c>
      <c r="C343">
        <f xml:space="preserve">  56.63</f>
        <v>56.63</v>
      </c>
      <c r="D343">
        <v>8</v>
      </c>
      <c r="E343">
        <v>25</v>
      </c>
      <c r="F343">
        <v>66.27</v>
      </c>
      <c r="G343">
        <v>0</v>
      </c>
      <c r="H343">
        <v>0</v>
      </c>
      <c r="I343">
        <v>0</v>
      </c>
      <c r="J343">
        <v>2</v>
      </c>
      <c r="K343">
        <v>55.36</v>
      </c>
      <c r="L343" t="s">
        <v>537</v>
      </c>
      <c r="M343">
        <v>66.209999999999994</v>
      </c>
    </row>
    <row r="344" spans="1:13" x14ac:dyDescent="0.2">
      <c r="A344" s="1">
        <v>343</v>
      </c>
      <c r="B344" t="s">
        <v>170</v>
      </c>
      <c r="C344">
        <f xml:space="preserve">  56.61</f>
        <v>56.61</v>
      </c>
      <c r="D344">
        <v>4</v>
      </c>
      <c r="E344">
        <v>26</v>
      </c>
      <c r="F344">
        <v>68.53</v>
      </c>
      <c r="G344">
        <v>0</v>
      </c>
      <c r="H344">
        <v>0</v>
      </c>
      <c r="I344">
        <v>0</v>
      </c>
      <c r="J344">
        <v>0</v>
      </c>
      <c r="K344">
        <v>55.13</v>
      </c>
      <c r="L344" t="s">
        <v>538</v>
      </c>
      <c r="M344">
        <v>66.06</v>
      </c>
    </row>
    <row r="345" spans="1:13" x14ac:dyDescent="0.2">
      <c r="A345" s="1">
        <v>344</v>
      </c>
      <c r="B345" t="s">
        <v>900</v>
      </c>
      <c r="C345">
        <f xml:space="preserve">  56.37</f>
        <v>56.37</v>
      </c>
      <c r="D345">
        <v>8</v>
      </c>
      <c r="E345">
        <v>22</v>
      </c>
      <c r="F345">
        <v>64.790000000000006</v>
      </c>
      <c r="G345">
        <v>0</v>
      </c>
      <c r="H345">
        <v>0</v>
      </c>
      <c r="I345">
        <v>0</v>
      </c>
      <c r="J345">
        <v>1</v>
      </c>
      <c r="K345">
        <v>55.93</v>
      </c>
      <c r="L345" t="s">
        <v>539</v>
      </c>
      <c r="M345">
        <v>57.53</v>
      </c>
    </row>
    <row r="346" spans="1:13" x14ac:dyDescent="0.2">
      <c r="A346" s="1">
        <v>345</v>
      </c>
      <c r="B346" t="s">
        <v>868</v>
      </c>
      <c r="C346">
        <f xml:space="preserve">  55.74</f>
        <v>55.74</v>
      </c>
      <c r="D346">
        <v>2</v>
      </c>
      <c r="E346">
        <v>23</v>
      </c>
      <c r="F346">
        <v>68.83</v>
      </c>
      <c r="G346">
        <v>0</v>
      </c>
      <c r="H346">
        <v>0</v>
      </c>
      <c r="I346">
        <v>0</v>
      </c>
      <c r="J346">
        <v>2</v>
      </c>
      <c r="K346">
        <v>55.08</v>
      </c>
      <c r="L346" t="s">
        <v>540</v>
      </c>
      <c r="M346">
        <v>58.87</v>
      </c>
    </row>
    <row r="347" spans="1:13" x14ac:dyDescent="0.2">
      <c r="A347" s="1">
        <v>346</v>
      </c>
      <c r="B347" t="s">
        <v>824</v>
      </c>
      <c r="C347">
        <f xml:space="preserve">  55.06</f>
        <v>55.06</v>
      </c>
      <c r="D347">
        <v>1</v>
      </c>
      <c r="E347">
        <v>29</v>
      </c>
      <c r="F347">
        <v>73.98</v>
      </c>
      <c r="G347">
        <v>0</v>
      </c>
      <c r="H347">
        <v>1</v>
      </c>
      <c r="I347">
        <v>0</v>
      </c>
      <c r="J347">
        <v>3</v>
      </c>
      <c r="K347">
        <v>52.9</v>
      </c>
      <c r="L347" t="s">
        <v>541</v>
      </c>
      <c r="M347">
        <v>66.27</v>
      </c>
    </row>
    <row r="348" spans="1:13" x14ac:dyDescent="0.2">
      <c r="A348" s="1">
        <v>347</v>
      </c>
      <c r="B348" t="s">
        <v>885</v>
      </c>
      <c r="C348">
        <v>54.27</v>
      </c>
      <c r="D348">
        <v>4</v>
      </c>
      <c r="E348">
        <v>28</v>
      </c>
      <c r="F348">
        <v>66.290000000000006</v>
      </c>
      <c r="G348">
        <v>0</v>
      </c>
      <c r="H348">
        <v>0</v>
      </c>
      <c r="I348">
        <v>0</v>
      </c>
      <c r="J348">
        <v>1</v>
      </c>
      <c r="K348">
        <v>53.49</v>
      </c>
      <c r="L348" t="s">
        <v>542</v>
      </c>
      <c r="M348">
        <v>61.08</v>
      </c>
    </row>
    <row r="349" spans="1:13" x14ac:dyDescent="0.2">
      <c r="A349" s="1">
        <v>348</v>
      </c>
      <c r="B349" t="s">
        <v>832</v>
      </c>
      <c r="C349">
        <f xml:space="preserve">  54.1</f>
        <v>54.1</v>
      </c>
      <c r="D349">
        <v>5</v>
      </c>
      <c r="E349">
        <v>27</v>
      </c>
      <c r="F349">
        <v>66.569999999999993</v>
      </c>
      <c r="G349">
        <v>0</v>
      </c>
      <c r="H349">
        <v>2</v>
      </c>
      <c r="I349">
        <v>0</v>
      </c>
      <c r="J349">
        <v>3</v>
      </c>
      <c r="K349">
        <v>53.97</v>
      </c>
      <c r="L349" t="s">
        <v>543</v>
      </c>
      <c r="M349">
        <v>53.07</v>
      </c>
    </row>
    <row r="350" spans="1:13" x14ac:dyDescent="0.2">
      <c r="A350" s="1">
        <v>349</v>
      </c>
      <c r="B350" t="s">
        <v>886</v>
      </c>
      <c r="C350">
        <v>52.46</v>
      </c>
      <c r="D350">
        <v>5</v>
      </c>
      <c r="E350">
        <v>25</v>
      </c>
      <c r="F350">
        <v>65.81</v>
      </c>
      <c r="G350">
        <v>0</v>
      </c>
      <c r="H350">
        <v>0</v>
      </c>
      <c r="I350">
        <v>0</v>
      </c>
      <c r="J350">
        <v>3</v>
      </c>
      <c r="K350">
        <v>51.84</v>
      </c>
      <c r="L350" t="s">
        <v>544</v>
      </c>
      <c r="M350">
        <v>54.37</v>
      </c>
    </row>
    <row r="351" spans="1:13" x14ac:dyDescent="0.2">
      <c r="A351" s="1">
        <v>350</v>
      </c>
      <c r="B351" t="s">
        <v>835</v>
      </c>
      <c r="C351">
        <f xml:space="preserve">  51.87</f>
        <v>51.87</v>
      </c>
      <c r="D351">
        <v>2</v>
      </c>
      <c r="E351">
        <v>28</v>
      </c>
      <c r="F351">
        <v>65.12</v>
      </c>
      <c r="G351">
        <v>0</v>
      </c>
      <c r="H351">
        <v>0</v>
      </c>
      <c r="I351">
        <v>0</v>
      </c>
      <c r="J351">
        <v>0</v>
      </c>
      <c r="K351">
        <v>51.22</v>
      </c>
      <c r="L351" t="s">
        <v>545</v>
      </c>
      <c r="M351">
        <v>57.2</v>
      </c>
    </row>
    <row r="352" spans="1:13" x14ac:dyDescent="0.2">
      <c r="A352" s="2">
        <v>351</v>
      </c>
      <c r="B352" t="s">
        <v>260</v>
      </c>
      <c r="C352">
        <f xml:space="preserve">  51.52</f>
        <v>51.52</v>
      </c>
      <c r="D352">
        <v>3</v>
      </c>
      <c r="E352">
        <v>28</v>
      </c>
      <c r="F352">
        <v>65.64</v>
      </c>
      <c r="G352">
        <v>0</v>
      </c>
      <c r="H352">
        <v>1</v>
      </c>
      <c r="I352">
        <v>0</v>
      </c>
      <c r="J352">
        <v>2</v>
      </c>
      <c r="K352">
        <v>50.89</v>
      </c>
      <c r="L352" t="s">
        <v>546</v>
      </c>
      <c r="M352">
        <v>56.85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1C41-EE20-42D4-B270-8039503D6367}">
  <dimension ref="A1:M352"/>
  <sheetViews>
    <sheetView topLeftCell="A247" workbookViewId="0">
      <selection activeCell="B268" sqref="B268"/>
    </sheetView>
  </sheetViews>
  <sheetFormatPr baseColWidth="10" defaultColWidth="8.83203125" defaultRowHeight="15" x14ac:dyDescent="0.2"/>
  <sheetData>
    <row r="1" spans="1:13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</row>
    <row r="2" spans="1:13" x14ac:dyDescent="0.2">
      <c r="A2" s="1">
        <v>1</v>
      </c>
      <c r="B2" t="s">
        <v>0</v>
      </c>
      <c r="C2">
        <f xml:space="preserve">  94.63</f>
        <v>94.63</v>
      </c>
      <c r="D2">
        <v>37</v>
      </c>
      <c r="E2">
        <v>2</v>
      </c>
      <c r="F2">
        <v>74.319999999999993</v>
      </c>
      <c r="G2">
        <v>7</v>
      </c>
      <c r="H2">
        <v>1</v>
      </c>
      <c r="I2">
        <v>10</v>
      </c>
      <c r="J2">
        <v>1</v>
      </c>
      <c r="K2">
        <v>94.64</v>
      </c>
      <c r="L2">
        <v>94.58</v>
      </c>
      <c r="M2">
        <v>94.71</v>
      </c>
    </row>
    <row r="3" spans="1:13" x14ac:dyDescent="0.2">
      <c r="A3" s="1">
        <v>2</v>
      </c>
      <c r="B3" t="s">
        <v>36</v>
      </c>
      <c r="C3">
        <f xml:space="preserve">  93.72</f>
        <v>93.72</v>
      </c>
      <c r="D3">
        <v>32</v>
      </c>
      <c r="E3">
        <v>7</v>
      </c>
      <c r="F3">
        <v>82.39</v>
      </c>
      <c r="G3">
        <v>10</v>
      </c>
      <c r="H3">
        <v>4</v>
      </c>
      <c r="I3">
        <v>17</v>
      </c>
      <c r="J3">
        <v>6</v>
      </c>
      <c r="K3">
        <v>93.9</v>
      </c>
      <c r="L3">
        <v>93.41</v>
      </c>
      <c r="M3">
        <v>93.24</v>
      </c>
    </row>
    <row r="4" spans="1:13" x14ac:dyDescent="0.2">
      <c r="A4" s="1">
        <v>3</v>
      </c>
      <c r="B4" t="s">
        <v>11</v>
      </c>
      <c r="C4">
        <f xml:space="preserve">  93.46</f>
        <v>93.46</v>
      </c>
      <c r="D4">
        <v>32</v>
      </c>
      <c r="E4">
        <v>4</v>
      </c>
      <c r="F4">
        <v>79.94</v>
      </c>
      <c r="G4">
        <v>3</v>
      </c>
      <c r="H4">
        <v>1</v>
      </c>
      <c r="I4">
        <v>13</v>
      </c>
      <c r="J4">
        <v>4</v>
      </c>
      <c r="K4">
        <v>93.24</v>
      </c>
      <c r="L4">
        <v>93.81</v>
      </c>
      <c r="M4">
        <v>93.97</v>
      </c>
    </row>
    <row r="5" spans="1:13" x14ac:dyDescent="0.2">
      <c r="A5" s="1">
        <v>4</v>
      </c>
      <c r="B5" t="s">
        <v>72</v>
      </c>
      <c r="C5">
        <f xml:space="preserve">  92.92</f>
        <v>92.92</v>
      </c>
      <c r="D5">
        <v>28</v>
      </c>
      <c r="E5">
        <v>9</v>
      </c>
      <c r="F5">
        <v>80.86</v>
      </c>
      <c r="G5">
        <v>7</v>
      </c>
      <c r="H5">
        <v>5</v>
      </c>
      <c r="I5">
        <v>12</v>
      </c>
      <c r="J5">
        <v>7</v>
      </c>
      <c r="K5">
        <v>93.16</v>
      </c>
      <c r="L5">
        <v>92.52</v>
      </c>
      <c r="M5">
        <v>92.24</v>
      </c>
    </row>
    <row r="6" spans="1:13" x14ac:dyDescent="0.2">
      <c r="A6" s="1">
        <v>5</v>
      </c>
      <c r="B6" t="s">
        <v>2</v>
      </c>
      <c r="C6">
        <f xml:space="preserve">  92.88</f>
        <v>92.88</v>
      </c>
      <c r="D6">
        <v>31</v>
      </c>
      <c r="E6">
        <v>5</v>
      </c>
      <c r="F6">
        <v>82.26</v>
      </c>
      <c r="G6">
        <v>9</v>
      </c>
      <c r="H6">
        <v>3</v>
      </c>
      <c r="I6">
        <v>16</v>
      </c>
      <c r="J6">
        <v>5</v>
      </c>
      <c r="K6">
        <v>92.57</v>
      </c>
      <c r="L6">
        <v>93.43</v>
      </c>
      <c r="M6">
        <v>93.59</v>
      </c>
    </row>
    <row r="7" spans="1:13" x14ac:dyDescent="0.2">
      <c r="A7" s="1">
        <v>6</v>
      </c>
      <c r="B7" t="s">
        <v>15</v>
      </c>
      <c r="C7">
        <f xml:space="preserve">  92.88</f>
        <v>92.88</v>
      </c>
      <c r="D7">
        <v>32</v>
      </c>
      <c r="E7">
        <v>6</v>
      </c>
      <c r="F7">
        <v>80.62</v>
      </c>
      <c r="G7">
        <v>4</v>
      </c>
      <c r="H7">
        <v>5</v>
      </c>
      <c r="I7">
        <v>10</v>
      </c>
      <c r="J7">
        <v>5</v>
      </c>
      <c r="K7">
        <v>92.75</v>
      </c>
      <c r="L7">
        <v>93.06</v>
      </c>
      <c r="M7">
        <v>93.17</v>
      </c>
    </row>
    <row r="8" spans="1:13" x14ac:dyDescent="0.2">
      <c r="A8" s="1">
        <v>7</v>
      </c>
      <c r="B8" t="s">
        <v>60</v>
      </c>
      <c r="C8">
        <f xml:space="preserve">  91.54</f>
        <v>91.54</v>
      </c>
      <c r="D8">
        <v>27</v>
      </c>
      <c r="E8">
        <v>9</v>
      </c>
      <c r="F8">
        <v>81.44</v>
      </c>
      <c r="G8">
        <v>3</v>
      </c>
      <c r="H8">
        <v>4</v>
      </c>
      <c r="I8">
        <v>8</v>
      </c>
      <c r="J8">
        <v>9</v>
      </c>
      <c r="K8">
        <v>91.75</v>
      </c>
      <c r="L8">
        <v>91.19</v>
      </c>
      <c r="M8">
        <v>91.01</v>
      </c>
    </row>
    <row r="9" spans="1:13" x14ac:dyDescent="0.2">
      <c r="A9" s="1">
        <v>8</v>
      </c>
      <c r="B9" t="s">
        <v>104</v>
      </c>
      <c r="C9">
        <f xml:space="preserve">  91.31</f>
        <v>91.31</v>
      </c>
      <c r="D9">
        <v>25</v>
      </c>
      <c r="E9">
        <v>9</v>
      </c>
      <c r="F9">
        <v>81.39</v>
      </c>
      <c r="G9">
        <v>5</v>
      </c>
      <c r="H9">
        <v>8</v>
      </c>
      <c r="I9">
        <v>11</v>
      </c>
      <c r="J9">
        <v>9</v>
      </c>
      <c r="K9">
        <v>91.59</v>
      </c>
      <c r="L9">
        <v>90.86</v>
      </c>
      <c r="M9">
        <v>90.47</v>
      </c>
    </row>
    <row r="10" spans="1:13" x14ac:dyDescent="0.2">
      <c r="A10" s="1">
        <v>9</v>
      </c>
      <c r="B10" t="s">
        <v>9</v>
      </c>
      <c r="C10">
        <f xml:space="preserve">  91.25</f>
        <v>91.25</v>
      </c>
      <c r="D10">
        <v>28</v>
      </c>
      <c r="E10">
        <v>9</v>
      </c>
      <c r="F10">
        <v>81.5</v>
      </c>
      <c r="G10">
        <v>8</v>
      </c>
      <c r="H10">
        <v>4</v>
      </c>
      <c r="I10">
        <v>15</v>
      </c>
      <c r="J10">
        <v>8</v>
      </c>
      <c r="K10">
        <v>91.15</v>
      </c>
      <c r="L10">
        <v>91.38</v>
      </c>
      <c r="M10">
        <v>91.2</v>
      </c>
    </row>
    <row r="11" spans="1:13" x14ac:dyDescent="0.2">
      <c r="A11" s="1">
        <v>10</v>
      </c>
      <c r="B11" t="s">
        <v>59</v>
      </c>
      <c r="C11">
        <f xml:space="preserve">  90.55</f>
        <v>90.55</v>
      </c>
      <c r="D11">
        <v>32</v>
      </c>
      <c r="E11">
        <v>6</v>
      </c>
      <c r="F11">
        <v>78.78</v>
      </c>
      <c r="G11">
        <v>4</v>
      </c>
      <c r="H11">
        <v>4</v>
      </c>
      <c r="I11">
        <v>7</v>
      </c>
      <c r="J11">
        <v>4</v>
      </c>
      <c r="K11">
        <v>90.39</v>
      </c>
      <c r="L11">
        <v>90.8</v>
      </c>
      <c r="M11">
        <v>91.09</v>
      </c>
    </row>
    <row r="12" spans="1:13" x14ac:dyDescent="0.2">
      <c r="A12" s="1">
        <v>11</v>
      </c>
      <c r="B12" t="s">
        <v>801</v>
      </c>
      <c r="C12">
        <f xml:space="preserve">  90.42</f>
        <v>90.42</v>
      </c>
      <c r="D12">
        <v>30</v>
      </c>
      <c r="E12">
        <v>5</v>
      </c>
      <c r="F12">
        <v>73.28</v>
      </c>
      <c r="G12">
        <v>0</v>
      </c>
      <c r="H12">
        <v>3</v>
      </c>
      <c r="I12">
        <v>1</v>
      </c>
      <c r="J12">
        <v>4</v>
      </c>
      <c r="K12">
        <v>90.93</v>
      </c>
      <c r="L12">
        <v>89.66</v>
      </c>
      <c r="M12">
        <v>89.23</v>
      </c>
    </row>
    <row r="13" spans="1:13" x14ac:dyDescent="0.2">
      <c r="A13" s="1">
        <v>12</v>
      </c>
      <c r="B13" t="s">
        <v>70</v>
      </c>
      <c r="C13">
        <f xml:space="preserve">  90.21</f>
        <v>90.21</v>
      </c>
      <c r="D13">
        <v>23</v>
      </c>
      <c r="E13">
        <v>11</v>
      </c>
      <c r="F13">
        <v>81.77</v>
      </c>
      <c r="G13">
        <v>4</v>
      </c>
      <c r="H13">
        <v>7</v>
      </c>
      <c r="I13">
        <v>7</v>
      </c>
      <c r="J13">
        <v>10</v>
      </c>
      <c r="K13">
        <v>90.59</v>
      </c>
      <c r="L13">
        <v>89.61</v>
      </c>
      <c r="M13">
        <v>89.02</v>
      </c>
    </row>
    <row r="14" spans="1:13" x14ac:dyDescent="0.2">
      <c r="A14" s="1">
        <v>13</v>
      </c>
      <c r="B14" t="s">
        <v>30</v>
      </c>
      <c r="C14">
        <f xml:space="preserve">  89.79</f>
        <v>89.79</v>
      </c>
      <c r="D14">
        <v>31</v>
      </c>
      <c r="E14">
        <v>5</v>
      </c>
      <c r="F14">
        <v>76.81</v>
      </c>
      <c r="G14">
        <v>5</v>
      </c>
      <c r="H14">
        <v>4</v>
      </c>
      <c r="I14">
        <v>6</v>
      </c>
      <c r="J14">
        <v>4</v>
      </c>
      <c r="K14">
        <v>89.66</v>
      </c>
      <c r="L14">
        <v>89.98</v>
      </c>
      <c r="M14">
        <v>90.3</v>
      </c>
    </row>
    <row r="15" spans="1:13" x14ac:dyDescent="0.2">
      <c r="A15" s="1">
        <v>14</v>
      </c>
      <c r="B15" t="s">
        <v>16</v>
      </c>
      <c r="C15">
        <f xml:space="preserve">  89.62</f>
        <v>89.62</v>
      </c>
      <c r="D15">
        <v>27</v>
      </c>
      <c r="E15">
        <v>8</v>
      </c>
      <c r="F15">
        <v>79.650000000000006</v>
      </c>
      <c r="G15">
        <v>3</v>
      </c>
      <c r="H15">
        <v>5</v>
      </c>
      <c r="I15">
        <v>10</v>
      </c>
      <c r="J15">
        <v>6</v>
      </c>
      <c r="K15">
        <v>89.69</v>
      </c>
      <c r="L15">
        <v>89.48</v>
      </c>
      <c r="M15">
        <v>89.3</v>
      </c>
    </row>
    <row r="16" spans="1:13" x14ac:dyDescent="0.2">
      <c r="A16" s="1">
        <v>15</v>
      </c>
      <c r="B16" t="s">
        <v>795</v>
      </c>
      <c r="C16">
        <f xml:space="preserve">  89.55</f>
        <v>89.55</v>
      </c>
      <c r="D16">
        <v>24</v>
      </c>
      <c r="E16">
        <v>11</v>
      </c>
      <c r="F16">
        <v>83.29</v>
      </c>
      <c r="G16">
        <v>6</v>
      </c>
      <c r="H16">
        <v>7</v>
      </c>
      <c r="I16">
        <v>13</v>
      </c>
      <c r="J16">
        <v>9</v>
      </c>
      <c r="K16">
        <v>89.6</v>
      </c>
      <c r="L16">
        <v>89.43</v>
      </c>
      <c r="M16">
        <v>89.4</v>
      </c>
    </row>
    <row r="17" spans="1:13" x14ac:dyDescent="0.2">
      <c r="A17" s="1">
        <v>16</v>
      </c>
      <c r="B17" t="s">
        <v>8</v>
      </c>
      <c r="C17">
        <f xml:space="preserve">  89.33</f>
        <v>89.33</v>
      </c>
      <c r="D17">
        <v>26</v>
      </c>
      <c r="E17">
        <v>8</v>
      </c>
      <c r="F17">
        <v>82.68</v>
      </c>
      <c r="G17">
        <v>6</v>
      </c>
      <c r="H17">
        <v>4</v>
      </c>
      <c r="I17">
        <v>13</v>
      </c>
      <c r="J17">
        <v>8</v>
      </c>
      <c r="K17">
        <v>89.05</v>
      </c>
      <c r="L17">
        <v>89.78</v>
      </c>
      <c r="M17">
        <v>89.88</v>
      </c>
    </row>
    <row r="18" spans="1:13" x14ac:dyDescent="0.2">
      <c r="A18" s="1">
        <v>17</v>
      </c>
      <c r="B18" t="s">
        <v>43</v>
      </c>
      <c r="C18">
        <f xml:space="preserve">  89.29</f>
        <v>89.29</v>
      </c>
      <c r="D18">
        <v>27</v>
      </c>
      <c r="E18">
        <v>10</v>
      </c>
      <c r="F18">
        <v>80.739999999999995</v>
      </c>
      <c r="G18">
        <v>2</v>
      </c>
      <c r="H18">
        <v>5</v>
      </c>
      <c r="I18">
        <v>12</v>
      </c>
      <c r="J18">
        <v>8</v>
      </c>
      <c r="K18">
        <v>89.36</v>
      </c>
      <c r="L18">
        <v>89.15</v>
      </c>
      <c r="M18">
        <v>88.77</v>
      </c>
    </row>
    <row r="19" spans="1:13" x14ac:dyDescent="0.2">
      <c r="A19" s="1">
        <v>18</v>
      </c>
      <c r="B19" t="s">
        <v>6</v>
      </c>
      <c r="C19">
        <f xml:space="preserve">  88.91</f>
        <v>88.91</v>
      </c>
      <c r="D19">
        <v>32</v>
      </c>
      <c r="E19">
        <v>5</v>
      </c>
      <c r="F19">
        <v>77.959999999999994</v>
      </c>
      <c r="G19">
        <v>4</v>
      </c>
      <c r="H19">
        <v>3</v>
      </c>
      <c r="I19">
        <v>6</v>
      </c>
      <c r="J19">
        <v>5</v>
      </c>
      <c r="K19">
        <v>88.4</v>
      </c>
      <c r="L19">
        <v>89.83</v>
      </c>
      <c r="M19">
        <v>90.44</v>
      </c>
    </row>
    <row r="20" spans="1:13" x14ac:dyDescent="0.2">
      <c r="A20" s="1">
        <v>19</v>
      </c>
      <c r="B20" t="s">
        <v>61</v>
      </c>
      <c r="C20">
        <f xml:space="preserve">  88.58</f>
        <v>88.58</v>
      </c>
      <c r="D20">
        <v>30</v>
      </c>
      <c r="E20">
        <v>5</v>
      </c>
      <c r="F20">
        <v>75.290000000000006</v>
      </c>
      <c r="G20">
        <v>2</v>
      </c>
      <c r="H20">
        <v>2</v>
      </c>
      <c r="I20">
        <v>3</v>
      </c>
      <c r="J20">
        <v>2</v>
      </c>
      <c r="K20">
        <v>88.55</v>
      </c>
      <c r="L20">
        <v>88.6</v>
      </c>
      <c r="M20">
        <v>88.87</v>
      </c>
    </row>
    <row r="21" spans="1:13" x14ac:dyDescent="0.2">
      <c r="A21" s="1">
        <v>20</v>
      </c>
      <c r="B21" t="s">
        <v>99</v>
      </c>
      <c r="C21">
        <f xml:space="preserve">  88.42</f>
        <v>88.42</v>
      </c>
      <c r="D21">
        <v>30</v>
      </c>
      <c r="E21">
        <v>6</v>
      </c>
      <c r="F21">
        <v>75.63</v>
      </c>
      <c r="G21">
        <v>2</v>
      </c>
      <c r="H21">
        <v>3</v>
      </c>
      <c r="I21">
        <v>4</v>
      </c>
      <c r="J21">
        <v>5</v>
      </c>
      <c r="K21">
        <v>88.42</v>
      </c>
      <c r="L21">
        <v>88.38</v>
      </c>
      <c r="M21">
        <v>88.25</v>
      </c>
    </row>
    <row r="22" spans="1:13" x14ac:dyDescent="0.2">
      <c r="A22" s="1">
        <v>21</v>
      </c>
      <c r="B22" t="s">
        <v>39</v>
      </c>
      <c r="C22">
        <f xml:space="preserve">  88.11</f>
        <v>88.11</v>
      </c>
      <c r="D22">
        <v>26</v>
      </c>
      <c r="E22">
        <v>12</v>
      </c>
      <c r="F22">
        <v>81.150000000000006</v>
      </c>
      <c r="G22">
        <v>7</v>
      </c>
      <c r="H22">
        <v>3</v>
      </c>
      <c r="I22">
        <v>12</v>
      </c>
      <c r="J22">
        <v>9</v>
      </c>
      <c r="K22">
        <v>88.17</v>
      </c>
      <c r="L22">
        <v>87.99</v>
      </c>
      <c r="M22">
        <v>88.17</v>
      </c>
    </row>
    <row r="23" spans="1:13" x14ac:dyDescent="0.2">
      <c r="A23" s="1">
        <v>22</v>
      </c>
      <c r="B23" t="s">
        <v>790</v>
      </c>
      <c r="C23">
        <f xml:space="preserve">  87.76</f>
        <v>87.76</v>
      </c>
      <c r="D23">
        <v>19</v>
      </c>
      <c r="E23">
        <v>13</v>
      </c>
      <c r="F23">
        <v>83.45</v>
      </c>
      <c r="G23">
        <v>2</v>
      </c>
      <c r="H23">
        <v>0</v>
      </c>
      <c r="I23">
        <v>8</v>
      </c>
      <c r="J23">
        <v>12</v>
      </c>
      <c r="K23">
        <v>87.95</v>
      </c>
      <c r="L23">
        <v>87.44</v>
      </c>
      <c r="M23">
        <v>87.44</v>
      </c>
    </row>
    <row r="24" spans="1:13" x14ac:dyDescent="0.2">
      <c r="A24" s="1">
        <v>23</v>
      </c>
      <c r="B24" t="s">
        <v>793</v>
      </c>
      <c r="C24">
        <f xml:space="preserve">  87.53</f>
        <v>87.53</v>
      </c>
      <c r="D24">
        <v>26</v>
      </c>
      <c r="E24">
        <v>9</v>
      </c>
      <c r="F24">
        <v>79.7</v>
      </c>
      <c r="G24">
        <v>5</v>
      </c>
      <c r="H24">
        <v>4</v>
      </c>
      <c r="I24">
        <v>13</v>
      </c>
      <c r="J24">
        <v>6</v>
      </c>
      <c r="K24">
        <v>87.72</v>
      </c>
      <c r="L24">
        <v>87.21</v>
      </c>
      <c r="M24">
        <v>87.05</v>
      </c>
    </row>
    <row r="25" spans="1:13" x14ac:dyDescent="0.2">
      <c r="A25" s="1">
        <v>24</v>
      </c>
      <c r="B25" t="s">
        <v>875</v>
      </c>
      <c r="C25">
        <f xml:space="preserve">  87.37</f>
        <v>87.37</v>
      </c>
      <c r="D25">
        <v>29</v>
      </c>
      <c r="E25">
        <v>5</v>
      </c>
      <c r="F25">
        <v>72.459999999999994</v>
      </c>
      <c r="G25">
        <v>0</v>
      </c>
      <c r="H25">
        <v>4</v>
      </c>
      <c r="I25">
        <v>2</v>
      </c>
      <c r="J25">
        <v>4</v>
      </c>
      <c r="K25">
        <v>87.47</v>
      </c>
      <c r="L25">
        <v>87.17</v>
      </c>
      <c r="M25">
        <v>87.21</v>
      </c>
    </row>
    <row r="26" spans="1:13" x14ac:dyDescent="0.2">
      <c r="A26" s="1">
        <v>25</v>
      </c>
      <c r="B26" t="s">
        <v>54</v>
      </c>
      <c r="C26">
        <f xml:space="preserve">  87.3</f>
        <v>87.3</v>
      </c>
      <c r="D26">
        <v>26</v>
      </c>
      <c r="E26">
        <v>10</v>
      </c>
      <c r="F26">
        <v>80.849999999999994</v>
      </c>
      <c r="G26">
        <v>4</v>
      </c>
      <c r="H26">
        <v>9</v>
      </c>
      <c r="I26">
        <v>10</v>
      </c>
      <c r="J26">
        <v>9</v>
      </c>
      <c r="K26">
        <v>87.12</v>
      </c>
      <c r="L26">
        <v>87.56</v>
      </c>
      <c r="M26">
        <v>87.72</v>
      </c>
    </row>
    <row r="27" spans="1:13" x14ac:dyDescent="0.2">
      <c r="A27" s="1">
        <v>26</v>
      </c>
      <c r="B27" t="s">
        <v>106</v>
      </c>
      <c r="C27">
        <f xml:space="preserve">  87.18</f>
        <v>87.18</v>
      </c>
      <c r="D27">
        <v>25</v>
      </c>
      <c r="E27">
        <v>9</v>
      </c>
      <c r="F27">
        <v>80.87</v>
      </c>
      <c r="G27">
        <v>4</v>
      </c>
      <c r="H27">
        <v>1</v>
      </c>
      <c r="I27">
        <v>13</v>
      </c>
      <c r="J27">
        <v>5</v>
      </c>
      <c r="K27">
        <v>87</v>
      </c>
      <c r="L27">
        <v>87.46</v>
      </c>
      <c r="M27">
        <v>87.69</v>
      </c>
    </row>
    <row r="28" spans="1:13" x14ac:dyDescent="0.2">
      <c r="A28" s="1">
        <v>27</v>
      </c>
      <c r="B28" t="s">
        <v>96</v>
      </c>
      <c r="C28">
        <f xml:space="preserve">  86.71</f>
        <v>86.71</v>
      </c>
      <c r="D28">
        <v>25</v>
      </c>
      <c r="E28">
        <v>11</v>
      </c>
      <c r="F28">
        <v>80.28</v>
      </c>
      <c r="G28">
        <v>5</v>
      </c>
      <c r="H28">
        <v>3</v>
      </c>
      <c r="I28">
        <v>7</v>
      </c>
      <c r="J28">
        <v>7</v>
      </c>
      <c r="K28">
        <v>86.79</v>
      </c>
      <c r="L28">
        <v>86.55</v>
      </c>
      <c r="M28">
        <v>86.76</v>
      </c>
    </row>
    <row r="29" spans="1:13" x14ac:dyDescent="0.2">
      <c r="A29" s="1">
        <v>28</v>
      </c>
      <c r="B29" t="s">
        <v>52</v>
      </c>
      <c r="C29">
        <f xml:space="preserve">  86.67</f>
        <v>86.67</v>
      </c>
      <c r="D29">
        <v>24</v>
      </c>
      <c r="E29">
        <v>10</v>
      </c>
      <c r="F29">
        <v>79.540000000000006</v>
      </c>
      <c r="G29">
        <v>1</v>
      </c>
      <c r="H29">
        <v>3</v>
      </c>
      <c r="I29">
        <v>6</v>
      </c>
      <c r="J29">
        <v>8</v>
      </c>
      <c r="K29">
        <v>86.67</v>
      </c>
      <c r="L29">
        <v>86.62</v>
      </c>
      <c r="M29">
        <v>86.46</v>
      </c>
    </row>
    <row r="30" spans="1:13" x14ac:dyDescent="0.2">
      <c r="A30" s="1">
        <v>29</v>
      </c>
      <c r="B30" t="s">
        <v>51</v>
      </c>
      <c r="C30">
        <f xml:space="preserve">  84.97</f>
        <v>84.97</v>
      </c>
      <c r="D30">
        <v>24</v>
      </c>
      <c r="E30">
        <v>14</v>
      </c>
      <c r="F30">
        <v>81.45</v>
      </c>
      <c r="G30">
        <v>2</v>
      </c>
      <c r="H30">
        <v>5</v>
      </c>
      <c r="I30">
        <v>9</v>
      </c>
      <c r="J30">
        <v>12</v>
      </c>
      <c r="K30">
        <v>84.82</v>
      </c>
      <c r="L30">
        <v>85.2</v>
      </c>
      <c r="M30">
        <v>85.13</v>
      </c>
    </row>
    <row r="31" spans="1:13" x14ac:dyDescent="0.2">
      <c r="A31" s="1">
        <v>30</v>
      </c>
      <c r="B31" t="s">
        <v>49</v>
      </c>
      <c r="C31">
        <f xml:space="preserve">  84.39</f>
        <v>84.39</v>
      </c>
      <c r="D31">
        <v>23</v>
      </c>
      <c r="E31">
        <v>15</v>
      </c>
      <c r="F31">
        <v>81.06</v>
      </c>
      <c r="G31">
        <v>2</v>
      </c>
      <c r="H31">
        <v>1</v>
      </c>
      <c r="I31">
        <v>4</v>
      </c>
      <c r="J31">
        <v>13</v>
      </c>
      <c r="K31">
        <v>84.61</v>
      </c>
      <c r="L31">
        <v>84.02</v>
      </c>
      <c r="M31">
        <v>84.21</v>
      </c>
    </row>
    <row r="32" spans="1:13" x14ac:dyDescent="0.2">
      <c r="A32" s="1">
        <v>31</v>
      </c>
      <c r="B32" t="s">
        <v>872</v>
      </c>
      <c r="C32">
        <f xml:space="preserve">  84.31</f>
        <v>84.31</v>
      </c>
      <c r="D32">
        <v>21</v>
      </c>
      <c r="E32">
        <v>12</v>
      </c>
      <c r="F32">
        <v>80.2</v>
      </c>
      <c r="G32">
        <v>3</v>
      </c>
      <c r="H32">
        <v>8</v>
      </c>
      <c r="I32">
        <v>6</v>
      </c>
      <c r="J32">
        <v>12</v>
      </c>
      <c r="K32">
        <v>84.24</v>
      </c>
      <c r="L32">
        <v>84.39</v>
      </c>
      <c r="M32">
        <v>84.37</v>
      </c>
    </row>
    <row r="33" spans="1:13" x14ac:dyDescent="0.2">
      <c r="A33" s="1">
        <v>32</v>
      </c>
      <c r="B33" t="s">
        <v>46</v>
      </c>
      <c r="C33">
        <f xml:space="preserve">  84.24</f>
        <v>84.24</v>
      </c>
      <c r="D33">
        <v>18</v>
      </c>
      <c r="E33">
        <v>16</v>
      </c>
      <c r="F33">
        <v>79.92</v>
      </c>
      <c r="G33">
        <v>2</v>
      </c>
      <c r="H33">
        <v>8</v>
      </c>
      <c r="I33">
        <v>4</v>
      </c>
      <c r="J33">
        <v>12</v>
      </c>
      <c r="K33">
        <v>84.68</v>
      </c>
      <c r="L33">
        <v>83.55</v>
      </c>
      <c r="M33">
        <v>82.82</v>
      </c>
    </row>
    <row r="34" spans="1:13" x14ac:dyDescent="0.2">
      <c r="A34" s="1">
        <v>33</v>
      </c>
      <c r="B34" t="s">
        <v>802</v>
      </c>
      <c r="C34">
        <f xml:space="preserve">  84.18</f>
        <v>84.18</v>
      </c>
      <c r="D34">
        <v>21</v>
      </c>
      <c r="E34">
        <v>14</v>
      </c>
      <c r="F34">
        <v>81.47</v>
      </c>
      <c r="G34">
        <v>4</v>
      </c>
      <c r="H34">
        <v>9</v>
      </c>
      <c r="I34">
        <v>7</v>
      </c>
      <c r="J34">
        <v>12</v>
      </c>
      <c r="K34">
        <v>84.3</v>
      </c>
      <c r="L34">
        <v>83.96</v>
      </c>
      <c r="M34">
        <v>83.88</v>
      </c>
    </row>
    <row r="35" spans="1:13" x14ac:dyDescent="0.2">
      <c r="A35" s="1">
        <v>34</v>
      </c>
      <c r="B35" t="s">
        <v>65</v>
      </c>
      <c r="C35">
        <f xml:space="preserve">  84.18</f>
        <v>84.18</v>
      </c>
      <c r="D35">
        <v>19</v>
      </c>
      <c r="E35">
        <v>13</v>
      </c>
      <c r="F35">
        <v>79.88</v>
      </c>
      <c r="G35">
        <v>1</v>
      </c>
      <c r="H35">
        <v>3</v>
      </c>
      <c r="I35">
        <v>7</v>
      </c>
      <c r="J35">
        <v>8</v>
      </c>
      <c r="K35">
        <v>84.47</v>
      </c>
      <c r="L35">
        <v>83.7</v>
      </c>
      <c r="M35">
        <v>83.63</v>
      </c>
    </row>
    <row r="36" spans="1:13" x14ac:dyDescent="0.2">
      <c r="A36" s="1">
        <v>35</v>
      </c>
      <c r="B36" t="s">
        <v>35</v>
      </c>
      <c r="C36">
        <f xml:space="preserve">  83.99</f>
        <v>83.99</v>
      </c>
      <c r="D36">
        <v>26</v>
      </c>
      <c r="E36">
        <v>10</v>
      </c>
      <c r="F36">
        <v>78.55</v>
      </c>
      <c r="G36">
        <v>0</v>
      </c>
      <c r="H36">
        <v>6</v>
      </c>
      <c r="I36">
        <v>4</v>
      </c>
      <c r="J36">
        <v>8</v>
      </c>
      <c r="K36">
        <v>83.74</v>
      </c>
      <c r="L36">
        <v>84.38</v>
      </c>
      <c r="M36">
        <v>84.61</v>
      </c>
    </row>
    <row r="37" spans="1:13" x14ac:dyDescent="0.2">
      <c r="A37" s="1">
        <v>36</v>
      </c>
      <c r="B37" t="s">
        <v>794</v>
      </c>
      <c r="C37">
        <f xml:space="preserve">  83.94</f>
        <v>83.94</v>
      </c>
      <c r="D37">
        <v>20</v>
      </c>
      <c r="E37">
        <v>15</v>
      </c>
      <c r="F37">
        <v>81.209999999999994</v>
      </c>
      <c r="G37">
        <v>3</v>
      </c>
      <c r="H37">
        <v>8</v>
      </c>
      <c r="I37">
        <v>7</v>
      </c>
      <c r="J37">
        <v>11</v>
      </c>
      <c r="K37">
        <v>83.8</v>
      </c>
      <c r="L37">
        <v>84.15</v>
      </c>
      <c r="M37">
        <v>84.05</v>
      </c>
    </row>
    <row r="38" spans="1:13" x14ac:dyDescent="0.2">
      <c r="A38" s="1">
        <v>37</v>
      </c>
      <c r="B38" t="s">
        <v>103</v>
      </c>
      <c r="C38">
        <f xml:space="preserve">  83.85</f>
        <v>83.85</v>
      </c>
      <c r="D38">
        <v>24</v>
      </c>
      <c r="E38">
        <v>10</v>
      </c>
      <c r="F38">
        <v>78.88</v>
      </c>
      <c r="G38">
        <v>2</v>
      </c>
      <c r="H38">
        <v>4</v>
      </c>
      <c r="I38">
        <v>8</v>
      </c>
      <c r="J38">
        <v>7</v>
      </c>
      <c r="K38">
        <v>83.59</v>
      </c>
      <c r="L38">
        <v>84.25</v>
      </c>
      <c r="M38">
        <v>84.69</v>
      </c>
    </row>
    <row r="39" spans="1:13" x14ac:dyDescent="0.2">
      <c r="A39" s="1">
        <v>38</v>
      </c>
      <c r="B39" t="s">
        <v>79</v>
      </c>
      <c r="C39">
        <f xml:space="preserve">  83.6</f>
        <v>83.6</v>
      </c>
      <c r="D39">
        <v>24</v>
      </c>
      <c r="E39">
        <v>12</v>
      </c>
      <c r="F39">
        <v>79.25</v>
      </c>
      <c r="G39">
        <v>2</v>
      </c>
      <c r="H39">
        <v>5</v>
      </c>
      <c r="I39">
        <v>7</v>
      </c>
      <c r="J39">
        <v>10</v>
      </c>
      <c r="K39">
        <v>83.47</v>
      </c>
      <c r="L39">
        <v>83.79</v>
      </c>
      <c r="M39">
        <v>83.93</v>
      </c>
    </row>
    <row r="40" spans="1:13" x14ac:dyDescent="0.2">
      <c r="A40" s="1">
        <v>39</v>
      </c>
      <c r="B40" t="s">
        <v>53</v>
      </c>
      <c r="C40">
        <f xml:space="preserve">  83.45</f>
        <v>83.45</v>
      </c>
      <c r="D40">
        <v>19</v>
      </c>
      <c r="E40">
        <v>14</v>
      </c>
      <c r="F40">
        <v>80.48</v>
      </c>
      <c r="G40">
        <v>1</v>
      </c>
      <c r="H40">
        <v>7</v>
      </c>
      <c r="I40">
        <v>3</v>
      </c>
      <c r="J40">
        <v>14</v>
      </c>
      <c r="K40">
        <v>83.68</v>
      </c>
      <c r="L40">
        <v>83.07</v>
      </c>
      <c r="M40">
        <v>83.17</v>
      </c>
    </row>
    <row r="41" spans="1:13" x14ac:dyDescent="0.2">
      <c r="A41" s="1">
        <v>40</v>
      </c>
      <c r="B41" t="s">
        <v>62</v>
      </c>
      <c r="C41">
        <f xml:space="preserve">  83.44</f>
        <v>83.44</v>
      </c>
      <c r="D41">
        <v>23</v>
      </c>
      <c r="E41">
        <v>8</v>
      </c>
      <c r="F41">
        <v>75.06</v>
      </c>
      <c r="G41">
        <v>0</v>
      </c>
      <c r="H41">
        <v>2</v>
      </c>
      <c r="I41">
        <v>4</v>
      </c>
      <c r="J41">
        <v>4</v>
      </c>
      <c r="K41">
        <v>83.45</v>
      </c>
      <c r="L41">
        <v>83.38</v>
      </c>
      <c r="M41">
        <v>83.22</v>
      </c>
    </row>
    <row r="42" spans="1:13" x14ac:dyDescent="0.2">
      <c r="A42" s="1">
        <v>41</v>
      </c>
      <c r="B42" t="s">
        <v>129</v>
      </c>
      <c r="C42">
        <f xml:space="preserve">  83.36</f>
        <v>83.36</v>
      </c>
      <c r="D42">
        <v>25</v>
      </c>
      <c r="E42">
        <v>10</v>
      </c>
      <c r="F42">
        <v>75.58</v>
      </c>
      <c r="G42">
        <v>1</v>
      </c>
      <c r="H42">
        <v>2</v>
      </c>
      <c r="I42">
        <v>4</v>
      </c>
      <c r="J42">
        <v>4</v>
      </c>
      <c r="K42">
        <v>83.46</v>
      </c>
      <c r="L42">
        <v>83.17</v>
      </c>
      <c r="M42">
        <v>83.3</v>
      </c>
    </row>
    <row r="43" spans="1:13" x14ac:dyDescent="0.2">
      <c r="A43" s="1">
        <v>42</v>
      </c>
      <c r="B43" t="s">
        <v>76</v>
      </c>
      <c r="C43">
        <f xml:space="preserve">  83.26</f>
        <v>83.26</v>
      </c>
      <c r="D43">
        <v>19</v>
      </c>
      <c r="E43">
        <v>16</v>
      </c>
      <c r="F43">
        <v>80.91</v>
      </c>
      <c r="G43">
        <v>4</v>
      </c>
      <c r="H43">
        <v>2</v>
      </c>
      <c r="I43">
        <v>6</v>
      </c>
      <c r="J43">
        <v>9</v>
      </c>
      <c r="K43">
        <v>83.51</v>
      </c>
      <c r="L43">
        <v>82.85</v>
      </c>
      <c r="M43">
        <v>82.72</v>
      </c>
    </row>
    <row r="44" spans="1:13" x14ac:dyDescent="0.2">
      <c r="A44" s="1">
        <v>43</v>
      </c>
      <c r="B44" t="s">
        <v>31</v>
      </c>
      <c r="C44">
        <f xml:space="preserve">  83.16</f>
        <v>83.16</v>
      </c>
      <c r="D44">
        <v>18</v>
      </c>
      <c r="E44">
        <v>14</v>
      </c>
      <c r="F44">
        <v>79.13</v>
      </c>
      <c r="G44">
        <v>2</v>
      </c>
      <c r="H44">
        <v>8</v>
      </c>
      <c r="I44">
        <v>4</v>
      </c>
      <c r="J44">
        <v>10</v>
      </c>
      <c r="K44">
        <v>83.57</v>
      </c>
      <c r="L44">
        <v>82.5</v>
      </c>
      <c r="M44">
        <v>82.01</v>
      </c>
    </row>
    <row r="45" spans="1:13" x14ac:dyDescent="0.2">
      <c r="A45" s="1">
        <v>44</v>
      </c>
      <c r="B45" t="s">
        <v>73</v>
      </c>
      <c r="C45">
        <f xml:space="preserve">  82.98</f>
        <v>82.98</v>
      </c>
      <c r="D45">
        <v>19</v>
      </c>
      <c r="E45">
        <v>15</v>
      </c>
      <c r="F45">
        <v>78.55</v>
      </c>
      <c r="G45">
        <v>3</v>
      </c>
      <c r="H45">
        <v>5</v>
      </c>
      <c r="I45">
        <v>6</v>
      </c>
      <c r="J45">
        <v>8</v>
      </c>
      <c r="K45">
        <v>83.53</v>
      </c>
      <c r="L45">
        <v>82.14</v>
      </c>
      <c r="M45">
        <v>81.5</v>
      </c>
    </row>
    <row r="46" spans="1:13" x14ac:dyDescent="0.2">
      <c r="A46" s="1">
        <v>45</v>
      </c>
      <c r="B46" t="s">
        <v>75</v>
      </c>
      <c r="C46">
        <f xml:space="preserve">  82.94</f>
        <v>82.94</v>
      </c>
      <c r="D46">
        <v>23</v>
      </c>
      <c r="E46">
        <v>9</v>
      </c>
      <c r="F46">
        <v>78.69</v>
      </c>
      <c r="G46">
        <v>2</v>
      </c>
      <c r="H46">
        <v>2</v>
      </c>
      <c r="I46">
        <v>7</v>
      </c>
      <c r="J46">
        <v>5</v>
      </c>
      <c r="K46">
        <v>82.58</v>
      </c>
      <c r="L46">
        <v>83.52</v>
      </c>
      <c r="M46">
        <v>83.56</v>
      </c>
    </row>
    <row r="47" spans="1:13" x14ac:dyDescent="0.2">
      <c r="A47" s="1">
        <v>46</v>
      </c>
      <c r="B47" t="s">
        <v>78</v>
      </c>
      <c r="C47">
        <f xml:space="preserve">  82.72</f>
        <v>82.72</v>
      </c>
      <c r="D47">
        <v>17</v>
      </c>
      <c r="E47">
        <v>16</v>
      </c>
      <c r="F47">
        <v>80.760000000000005</v>
      </c>
      <c r="G47">
        <v>0</v>
      </c>
      <c r="H47">
        <v>8</v>
      </c>
      <c r="I47">
        <v>3</v>
      </c>
      <c r="J47">
        <v>13</v>
      </c>
      <c r="K47">
        <v>82.87</v>
      </c>
      <c r="L47">
        <v>82.45</v>
      </c>
      <c r="M47">
        <v>82.28</v>
      </c>
    </row>
    <row r="48" spans="1:13" x14ac:dyDescent="0.2">
      <c r="A48" s="1">
        <v>47</v>
      </c>
      <c r="B48" t="s">
        <v>113</v>
      </c>
      <c r="C48">
        <f xml:space="preserve">  82.65</f>
        <v>82.65</v>
      </c>
      <c r="D48">
        <v>18</v>
      </c>
      <c r="E48">
        <v>12</v>
      </c>
      <c r="F48">
        <v>75.38</v>
      </c>
      <c r="G48">
        <v>0</v>
      </c>
      <c r="H48">
        <v>4</v>
      </c>
      <c r="I48">
        <v>0</v>
      </c>
      <c r="J48">
        <v>6</v>
      </c>
      <c r="K48">
        <v>82.93</v>
      </c>
      <c r="L48">
        <v>82.2</v>
      </c>
      <c r="M48">
        <v>81.97</v>
      </c>
    </row>
    <row r="49" spans="1:13" x14ac:dyDescent="0.2">
      <c r="A49" s="1">
        <v>48</v>
      </c>
      <c r="B49" t="s">
        <v>41</v>
      </c>
      <c r="C49">
        <f xml:space="preserve">  82.53</f>
        <v>82.53</v>
      </c>
      <c r="D49">
        <v>22</v>
      </c>
      <c r="E49">
        <v>11</v>
      </c>
      <c r="F49">
        <v>79.52</v>
      </c>
      <c r="G49">
        <v>3</v>
      </c>
      <c r="H49">
        <v>7</v>
      </c>
      <c r="I49">
        <v>8</v>
      </c>
      <c r="J49">
        <v>9</v>
      </c>
      <c r="K49">
        <v>82.27</v>
      </c>
      <c r="L49">
        <v>82.94</v>
      </c>
      <c r="M49">
        <v>83.23</v>
      </c>
    </row>
    <row r="50" spans="1:13" x14ac:dyDescent="0.2">
      <c r="A50" s="1">
        <v>49</v>
      </c>
      <c r="B50" t="s">
        <v>48</v>
      </c>
      <c r="C50">
        <f xml:space="preserve">  82.4</f>
        <v>82.4</v>
      </c>
      <c r="D50">
        <v>21</v>
      </c>
      <c r="E50">
        <v>12</v>
      </c>
      <c r="F50">
        <v>80.209999999999994</v>
      </c>
      <c r="G50">
        <v>0</v>
      </c>
      <c r="H50">
        <v>4</v>
      </c>
      <c r="I50">
        <v>6</v>
      </c>
      <c r="J50">
        <v>9</v>
      </c>
      <c r="K50">
        <v>82.12</v>
      </c>
      <c r="L50">
        <v>82.84</v>
      </c>
      <c r="M50">
        <v>83.07</v>
      </c>
    </row>
    <row r="51" spans="1:13" x14ac:dyDescent="0.2">
      <c r="A51" s="1">
        <v>50</v>
      </c>
      <c r="B51" t="s">
        <v>876</v>
      </c>
      <c r="C51">
        <v>82.38</v>
      </c>
      <c r="D51">
        <v>26</v>
      </c>
      <c r="E51">
        <v>9</v>
      </c>
      <c r="F51">
        <v>74.94</v>
      </c>
      <c r="G51">
        <v>0</v>
      </c>
      <c r="H51">
        <v>2</v>
      </c>
      <c r="I51">
        <v>1</v>
      </c>
      <c r="J51">
        <v>5</v>
      </c>
      <c r="K51">
        <v>82.28</v>
      </c>
      <c r="L51">
        <v>82.5</v>
      </c>
      <c r="M51">
        <v>82.57</v>
      </c>
    </row>
    <row r="52" spans="1:13" x14ac:dyDescent="0.2">
      <c r="A52" s="1">
        <v>51</v>
      </c>
      <c r="B52" t="s">
        <v>877</v>
      </c>
      <c r="C52">
        <v>82.07</v>
      </c>
      <c r="D52">
        <v>26</v>
      </c>
      <c r="E52">
        <v>10</v>
      </c>
      <c r="F52">
        <v>76.56</v>
      </c>
      <c r="G52">
        <v>3</v>
      </c>
      <c r="H52">
        <v>7</v>
      </c>
      <c r="I52">
        <v>3</v>
      </c>
      <c r="J52">
        <v>8</v>
      </c>
      <c r="K52">
        <v>81.69</v>
      </c>
      <c r="L52">
        <v>82.68</v>
      </c>
      <c r="M52">
        <v>83.09</v>
      </c>
    </row>
    <row r="53" spans="1:13" x14ac:dyDescent="0.2">
      <c r="A53" s="1">
        <v>52</v>
      </c>
      <c r="B53" t="s">
        <v>4</v>
      </c>
      <c r="C53">
        <f xml:space="preserve">  81.98</f>
        <v>81.98</v>
      </c>
      <c r="D53">
        <v>21</v>
      </c>
      <c r="E53">
        <v>11</v>
      </c>
      <c r="F53">
        <v>74.25</v>
      </c>
      <c r="G53">
        <v>0</v>
      </c>
      <c r="H53">
        <v>4</v>
      </c>
      <c r="I53">
        <v>1</v>
      </c>
      <c r="J53">
        <v>5</v>
      </c>
      <c r="K53">
        <v>82.49</v>
      </c>
      <c r="L53">
        <v>81.19</v>
      </c>
      <c r="M53">
        <v>80.77</v>
      </c>
    </row>
    <row r="54" spans="1:13" x14ac:dyDescent="0.2">
      <c r="A54" s="1">
        <v>53</v>
      </c>
      <c r="B54" t="s">
        <v>131</v>
      </c>
      <c r="C54">
        <f xml:space="preserve">  81.57</f>
        <v>81.569999999999993</v>
      </c>
      <c r="D54">
        <v>21</v>
      </c>
      <c r="E54">
        <v>13</v>
      </c>
      <c r="F54">
        <v>76.540000000000006</v>
      </c>
      <c r="G54">
        <v>0</v>
      </c>
      <c r="H54">
        <v>7</v>
      </c>
      <c r="I54">
        <v>2</v>
      </c>
      <c r="J54">
        <v>9</v>
      </c>
      <c r="K54">
        <v>81.7</v>
      </c>
      <c r="L54">
        <v>81.34</v>
      </c>
      <c r="M54">
        <v>80.959999999999994</v>
      </c>
    </row>
    <row r="55" spans="1:13" x14ac:dyDescent="0.2">
      <c r="A55" s="1">
        <v>54</v>
      </c>
      <c r="B55" t="s">
        <v>818</v>
      </c>
      <c r="C55">
        <f xml:space="preserve">  81.56</f>
        <v>81.56</v>
      </c>
      <c r="D55">
        <v>27</v>
      </c>
      <c r="E55">
        <v>7</v>
      </c>
      <c r="F55">
        <v>72.739999999999995</v>
      </c>
      <c r="G55">
        <v>1</v>
      </c>
      <c r="H55">
        <v>2</v>
      </c>
      <c r="I55">
        <v>1</v>
      </c>
      <c r="J55">
        <v>3</v>
      </c>
      <c r="K55">
        <v>81.2</v>
      </c>
      <c r="L55">
        <v>82.15</v>
      </c>
      <c r="M55">
        <v>82.51</v>
      </c>
    </row>
    <row r="56" spans="1:13" x14ac:dyDescent="0.2">
      <c r="A56" s="1">
        <v>55</v>
      </c>
      <c r="B56" t="s">
        <v>119</v>
      </c>
      <c r="C56">
        <f xml:space="preserve">  81.51</f>
        <v>81.510000000000005</v>
      </c>
      <c r="D56">
        <v>28</v>
      </c>
      <c r="E56">
        <v>7</v>
      </c>
      <c r="F56">
        <v>73.23</v>
      </c>
      <c r="G56">
        <v>0</v>
      </c>
      <c r="H56">
        <v>2</v>
      </c>
      <c r="I56">
        <v>0</v>
      </c>
      <c r="J56">
        <v>2</v>
      </c>
      <c r="K56">
        <v>81.349999999999994</v>
      </c>
      <c r="L56">
        <v>81.739999999999995</v>
      </c>
      <c r="M56">
        <v>82.06</v>
      </c>
    </row>
    <row r="57" spans="1:13" x14ac:dyDescent="0.2">
      <c r="A57" s="1">
        <v>56</v>
      </c>
      <c r="B57" t="s">
        <v>286</v>
      </c>
      <c r="C57">
        <f xml:space="preserve">  81.41</f>
        <v>81.41</v>
      </c>
      <c r="D57">
        <v>18</v>
      </c>
      <c r="E57">
        <v>15</v>
      </c>
      <c r="F57">
        <v>80.34</v>
      </c>
      <c r="G57">
        <v>0</v>
      </c>
      <c r="H57">
        <v>6</v>
      </c>
      <c r="I57">
        <v>1</v>
      </c>
      <c r="J57">
        <v>11</v>
      </c>
      <c r="K57">
        <v>81.36</v>
      </c>
      <c r="L57">
        <v>81.45</v>
      </c>
      <c r="M57">
        <v>81.23</v>
      </c>
    </row>
    <row r="58" spans="1:13" x14ac:dyDescent="0.2">
      <c r="A58" s="1">
        <v>57</v>
      </c>
      <c r="B58" t="s">
        <v>128</v>
      </c>
      <c r="C58">
        <f xml:space="preserve">  81.32</f>
        <v>81.319999999999993</v>
      </c>
      <c r="D58">
        <v>30</v>
      </c>
      <c r="E58">
        <v>5</v>
      </c>
      <c r="F58">
        <v>70.849999999999994</v>
      </c>
      <c r="G58">
        <v>0</v>
      </c>
      <c r="H58">
        <v>0</v>
      </c>
      <c r="I58">
        <v>2</v>
      </c>
      <c r="J58">
        <v>2</v>
      </c>
      <c r="K58">
        <v>81.05</v>
      </c>
      <c r="L58">
        <v>81.75</v>
      </c>
      <c r="M58">
        <v>82.32</v>
      </c>
    </row>
    <row r="59" spans="1:13" x14ac:dyDescent="0.2">
      <c r="A59" s="1">
        <v>58</v>
      </c>
      <c r="B59" t="s">
        <v>42</v>
      </c>
      <c r="C59">
        <f xml:space="preserve">  81.15</f>
        <v>81.150000000000006</v>
      </c>
      <c r="D59">
        <v>19</v>
      </c>
      <c r="E59">
        <v>15</v>
      </c>
      <c r="F59">
        <v>77.819999999999993</v>
      </c>
      <c r="G59">
        <v>0</v>
      </c>
      <c r="H59">
        <v>4</v>
      </c>
      <c r="I59">
        <v>3</v>
      </c>
      <c r="J59">
        <v>7</v>
      </c>
      <c r="K59">
        <v>81.319999999999993</v>
      </c>
      <c r="L59">
        <v>80.83</v>
      </c>
      <c r="M59">
        <v>80.709999999999994</v>
      </c>
    </row>
    <row r="60" spans="1:13" x14ac:dyDescent="0.2">
      <c r="A60" s="1">
        <v>59</v>
      </c>
      <c r="B60" t="s">
        <v>44</v>
      </c>
      <c r="C60">
        <f xml:space="preserve">  81.04</f>
        <v>81.040000000000006</v>
      </c>
      <c r="D60">
        <v>20</v>
      </c>
      <c r="E60">
        <v>13</v>
      </c>
      <c r="F60">
        <v>79.040000000000006</v>
      </c>
      <c r="G60">
        <v>0</v>
      </c>
      <c r="H60">
        <v>3</v>
      </c>
      <c r="I60">
        <v>7</v>
      </c>
      <c r="J60">
        <v>8</v>
      </c>
      <c r="K60">
        <v>80.900000000000006</v>
      </c>
      <c r="L60">
        <v>81.23</v>
      </c>
      <c r="M60">
        <v>81.569999999999993</v>
      </c>
    </row>
    <row r="61" spans="1:13" x14ac:dyDescent="0.2">
      <c r="A61" s="1">
        <v>60</v>
      </c>
      <c r="B61" t="s">
        <v>45</v>
      </c>
      <c r="C61">
        <f xml:space="preserve">  80.96</f>
        <v>80.959999999999994</v>
      </c>
      <c r="D61">
        <v>11</v>
      </c>
      <c r="E61">
        <v>20</v>
      </c>
      <c r="F61">
        <v>83.32</v>
      </c>
      <c r="G61">
        <v>1</v>
      </c>
      <c r="H61">
        <v>2</v>
      </c>
      <c r="I61">
        <v>5</v>
      </c>
      <c r="J61">
        <v>16</v>
      </c>
      <c r="K61">
        <v>81.28</v>
      </c>
      <c r="L61">
        <v>80.44</v>
      </c>
      <c r="M61">
        <v>79.83</v>
      </c>
    </row>
    <row r="62" spans="1:13" x14ac:dyDescent="0.2">
      <c r="A62" s="1">
        <v>61</v>
      </c>
      <c r="B62" t="s">
        <v>147</v>
      </c>
      <c r="C62">
        <f xml:space="preserve">  80.89</f>
        <v>80.89</v>
      </c>
      <c r="D62">
        <v>14</v>
      </c>
      <c r="E62">
        <v>18</v>
      </c>
      <c r="F62">
        <v>80</v>
      </c>
      <c r="G62">
        <v>1</v>
      </c>
      <c r="H62">
        <v>4</v>
      </c>
      <c r="I62">
        <v>5</v>
      </c>
      <c r="J62">
        <v>12</v>
      </c>
      <c r="K62">
        <v>81.14</v>
      </c>
      <c r="L62">
        <v>80.459999999999994</v>
      </c>
      <c r="M62">
        <v>80</v>
      </c>
    </row>
    <row r="63" spans="1:13" x14ac:dyDescent="0.2">
      <c r="A63" s="1">
        <v>62</v>
      </c>
      <c r="B63" t="s">
        <v>57</v>
      </c>
      <c r="C63">
        <f xml:space="preserve">  80.7</f>
        <v>80.7</v>
      </c>
      <c r="D63">
        <v>16</v>
      </c>
      <c r="E63">
        <v>15</v>
      </c>
      <c r="F63">
        <v>78.58</v>
      </c>
      <c r="G63">
        <v>0</v>
      </c>
      <c r="H63">
        <v>6</v>
      </c>
      <c r="I63">
        <v>1</v>
      </c>
      <c r="J63">
        <v>12</v>
      </c>
      <c r="K63">
        <v>80.84</v>
      </c>
      <c r="L63">
        <v>80.430000000000007</v>
      </c>
      <c r="M63">
        <v>79.95</v>
      </c>
    </row>
    <row r="64" spans="1:13" x14ac:dyDescent="0.2">
      <c r="A64" s="1">
        <v>63</v>
      </c>
      <c r="B64" t="s">
        <v>38</v>
      </c>
      <c r="C64">
        <f xml:space="preserve">  80.63</f>
        <v>80.63</v>
      </c>
      <c r="D64">
        <v>11</v>
      </c>
      <c r="E64">
        <v>22</v>
      </c>
      <c r="F64">
        <v>83.18</v>
      </c>
      <c r="G64">
        <v>2</v>
      </c>
      <c r="H64">
        <v>0</v>
      </c>
      <c r="I64">
        <v>4</v>
      </c>
      <c r="J64">
        <v>17</v>
      </c>
      <c r="K64">
        <v>81.13</v>
      </c>
      <c r="L64">
        <v>79.849999999999994</v>
      </c>
      <c r="M64">
        <v>78.95</v>
      </c>
    </row>
    <row r="65" spans="1:13" x14ac:dyDescent="0.2">
      <c r="A65" s="1">
        <v>64</v>
      </c>
      <c r="B65" t="s">
        <v>809</v>
      </c>
      <c r="C65">
        <f xml:space="preserve">  80.51</f>
        <v>80.510000000000005</v>
      </c>
      <c r="D65">
        <v>17</v>
      </c>
      <c r="E65">
        <v>15</v>
      </c>
      <c r="F65">
        <v>78.010000000000005</v>
      </c>
      <c r="G65">
        <v>2</v>
      </c>
      <c r="H65">
        <v>4</v>
      </c>
      <c r="I65">
        <v>4</v>
      </c>
      <c r="J65">
        <v>10</v>
      </c>
      <c r="K65">
        <v>80.62</v>
      </c>
      <c r="L65">
        <v>80.290000000000006</v>
      </c>
      <c r="M65">
        <v>79.959999999999994</v>
      </c>
    </row>
    <row r="66" spans="1:13" x14ac:dyDescent="0.2">
      <c r="A66" s="1">
        <v>65</v>
      </c>
      <c r="B66" t="s">
        <v>13</v>
      </c>
      <c r="C66">
        <f xml:space="preserve">  80.38</f>
        <v>80.38</v>
      </c>
      <c r="D66">
        <v>15</v>
      </c>
      <c r="E66">
        <v>16</v>
      </c>
      <c r="F66">
        <v>80.64</v>
      </c>
      <c r="G66">
        <v>1</v>
      </c>
      <c r="H66">
        <v>6</v>
      </c>
      <c r="I66">
        <v>3</v>
      </c>
      <c r="J66">
        <v>10</v>
      </c>
      <c r="K66">
        <v>80.58</v>
      </c>
      <c r="L66">
        <v>80.02</v>
      </c>
      <c r="M66">
        <v>79.97</v>
      </c>
    </row>
    <row r="67" spans="1:13" x14ac:dyDescent="0.2">
      <c r="A67" s="1">
        <v>66</v>
      </c>
      <c r="B67" t="s">
        <v>34</v>
      </c>
      <c r="C67">
        <f xml:space="preserve">  80.16</f>
        <v>80.16</v>
      </c>
      <c r="D67">
        <v>19</v>
      </c>
      <c r="E67">
        <v>15</v>
      </c>
      <c r="F67">
        <v>79.27</v>
      </c>
      <c r="G67">
        <v>1</v>
      </c>
      <c r="H67">
        <v>6</v>
      </c>
      <c r="I67">
        <v>5</v>
      </c>
      <c r="J67">
        <v>10</v>
      </c>
      <c r="K67">
        <v>79.989999999999995</v>
      </c>
      <c r="L67">
        <v>80.400000000000006</v>
      </c>
      <c r="M67">
        <v>80.7</v>
      </c>
    </row>
    <row r="68" spans="1:13" x14ac:dyDescent="0.2">
      <c r="A68" s="1">
        <v>67</v>
      </c>
      <c r="B68" t="s">
        <v>154</v>
      </c>
      <c r="C68">
        <f xml:space="preserve">  80.08</f>
        <v>80.08</v>
      </c>
      <c r="D68">
        <v>27</v>
      </c>
      <c r="E68">
        <v>6</v>
      </c>
      <c r="F68">
        <v>71.72</v>
      </c>
      <c r="G68">
        <v>0</v>
      </c>
      <c r="H68">
        <v>1</v>
      </c>
      <c r="I68">
        <v>0</v>
      </c>
      <c r="J68">
        <v>2</v>
      </c>
      <c r="K68">
        <v>79.8</v>
      </c>
      <c r="L68">
        <v>80.52</v>
      </c>
      <c r="M68">
        <v>80.959999999999994</v>
      </c>
    </row>
    <row r="69" spans="1:13" x14ac:dyDescent="0.2">
      <c r="A69" s="1">
        <v>68</v>
      </c>
      <c r="B69" t="s">
        <v>32</v>
      </c>
      <c r="C69">
        <f xml:space="preserve">  80.05</f>
        <v>80.05</v>
      </c>
      <c r="D69">
        <v>19</v>
      </c>
      <c r="E69">
        <v>15</v>
      </c>
      <c r="F69">
        <v>78.34</v>
      </c>
      <c r="G69">
        <v>4</v>
      </c>
      <c r="H69">
        <v>3</v>
      </c>
      <c r="I69">
        <v>6</v>
      </c>
      <c r="J69">
        <v>10</v>
      </c>
      <c r="K69">
        <v>79.88</v>
      </c>
      <c r="L69">
        <v>80.290000000000006</v>
      </c>
      <c r="M69">
        <v>80.37</v>
      </c>
    </row>
    <row r="70" spans="1:13" x14ac:dyDescent="0.2">
      <c r="A70" s="1">
        <v>69</v>
      </c>
      <c r="B70" t="s">
        <v>69</v>
      </c>
      <c r="C70">
        <f xml:space="preserve">  79.99</f>
        <v>79.989999999999995</v>
      </c>
      <c r="D70">
        <v>18</v>
      </c>
      <c r="E70">
        <v>15</v>
      </c>
      <c r="F70">
        <v>76.66</v>
      </c>
      <c r="G70">
        <v>1</v>
      </c>
      <c r="H70">
        <v>5</v>
      </c>
      <c r="I70">
        <v>2</v>
      </c>
      <c r="J70">
        <v>7</v>
      </c>
      <c r="K70">
        <v>80.06</v>
      </c>
      <c r="L70">
        <v>79.86</v>
      </c>
      <c r="M70">
        <v>79.650000000000006</v>
      </c>
    </row>
    <row r="71" spans="1:13" x14ac:dyDescent="0.2">
      <c r="A71" s="1">
        <v>70</v>
      </c>
      <c r="B71" t="s">
        <v>100</v>
      </c>
      <c r="C71">
        <f xml:space="preserve">  79.66</f>
        <v>79.66</v>
      </c>
      <c r="D71">
        <v>22</v>
      </c>
      <c r="E71">
        <v>14</v>
      </c>
      <c r="F71">
        <v>77.86</v>
      </c>
      <c r="G71">
        <v>0</v>
      </c>
      <c r="H71">
        <v>3</v>
      </c>
      <c r="I71">
        <v>3</v>
      </c>
      <c r="J71">
        <v>8</v>
      </c>
      <c r="K71">
        <v>79.45</v>
      </c>
      <c r="L71">
        <v>79.98</v>
      </c>
      <c r="M71">
        <v>80.19</v>
      </c>
    </row>
    <row r="72" spans="1:13" x14ac:dyDescent="0.2">
      <c r="A72" s="1">
        <v>71</v>
      </c>
      <c r="B72" t="s">
        <v>874</v>
      </c>
      <c r="C72">
        <v>79.62</v>
      </c>
      <c r="D72">
        <v>24</v>
      </c>
      <c r="E72">
        <v>12</v>
      </c>
      <c r="F72">
        <v>74.95</v>
      </c>
      <c r="G72">
        <v>1</v>
      </c>
      <c r="H72">
        <v>4</v>
      </c>
      <c r="I72">
        <v>1</v>
      </c>
      <c r="J72">
        <v>5</v>
      </c>
      <c r="K72">
        <v>79.75</v>
      </c>
      <c r="L72">
        <v>79.37</v>
      </c>
      <c r="M72">
        <v>79.67</v>
      </c>
    </row>
    <row r="73" spans="1:13" x14ac:dyDescent="0.2">
      <c r="A73" s="1">
        <v>72</v>
      </c>
      <c r="B73" t="s">
        <v>124</v>
      </c>
      <c r="C73">
        <f xml:space="preserve">  79.53</f>
        <v>79.53</v>
      </c>
      <c r="D73">
        <v>22</v>
      </c>
      <c r="E73">
        <v>7</v>
      </c>
      <c r="F73">
        <v>70.86</v>
      </c>
      <c r="G73">
        <v>0</v>
      </c>
      <c r="H73">
        <v>1</v>
      </c>
      <c r="I73">
        <v>0</v>
      </c>
      <c r="J73">
        <v>2</v>
      </c>
      <c r="K73">
        <v>79.569999999999993</v>
      </c>
      <c r="L73">
        <v>79.45</v>
      </c>
      <c r="M73">
        <v>79.52</v>
      </c>
    </row>
    <row r="74" spans="1:13" x14ac:dyDescent="0.2">
      <c r="A74" s="1">
        <v>73</v>
      </c>
      <c r="B74" t="s">
        <v>153</v>
      </c>
      <c r="C74">
        <f xml:space="preserve">  79.28</f>
        <v>79.28</v>
      </c>
      <c r="D74">
        <v>16</v>
      </c>
      <c r="E74">
        <v>17</v>
      </c>
      <c r="F74">
        <v>80.97</v>
      </c>
      <c r="G74">
        <v>2</v>
      </c>
      <c r="H74">
        <v>9</v>
      </c>
      <c r="I74">
        <v>5</v>
      </c>
      <c r="J74">
        <v>14</v>
      </c>
      <c r="K74">
        <v>79.06</v>
      </c>
      <c r="L74">
        <v>79.61</v>
      </c>
      <c r="M74">
        <v>79.58</v>
      </c>
    </row>
    <row r="75" spans="1:13" x14ac:dyDescent="0.2">
      <c r="A75" s="1">
        <v>74</v>
      </c>
      <c r="B75" t="s">
        <v>58</v>
      </c>
      <c r="C75">
        <f xml:space="preserve">  78.97</f>
        <v>78.97</v>
      </c>
      <c r="D75">
        <v>22</v>
      </c>
      <c r="E75">
        <v>12</v>
      </c>
      <c r="F75">
        <v>72.28</v>
      </c>
      <c r="G75">
        <v>1</v>
      </c>
      <c r="H75">
        <v>4</v>
      </c>
      <c r="I75">
        <v>1</v>
      </c>
      <c r="J75">
        <v>4</v>
      </c>
      <c r="K75">
        <v>79.23</v>
      </c>
      <c r="L75">
        <v>78.540000000000006</v>
      </c>
      <c r="M75">
        <v>78.14</v>
      </c>
    </row>
    <row r="76" spans="1:13" x14ac:dyDescent="0.2">
      <c r="A76" s="1">
        <v>75</v>
      </c>
      <c r="B76" t="s">
        <v>89</v>
      </c>
      <c r="C76">
        <f xml:space="preserve">  78.82</f>
        <v>78.819999999999993</v>
      </c>
      <c r="D76">
        <v>28</v>
      </c>
      <c r="E76">
        <v>6</v>
      </c>
      <c r="F76">
        <v>68.09</v>
      </c>
      <c r="G76">
        <v>0</v>
      </c>
      <c r="H76">
        <v>1</v>
      </c>
      <c r="I76">
        <v>0</v>
      </c>
      <c r="J76">
        <v>3</v>
      </c>
      <c r="K76">
        <v>78.540000000000006</v>
      </c>
      <c r="L76">
        <v>79.260000000000005</v>
      </c>
      <c r="M76">
        <v>79.75</v>
      </c>
    </row>
    <row r="77" spans="1:13" x14ac:dyDescent="0.2">
      <c r="A77" s="1">
        <v>76</v>
      </c>
      <c r="B77" t="s">
        <v>805</v>
      </c>
      <c r="C77">
        <f xml:space="preserve">  78.52</f>
        <v>78.52</v>
      </c>
      <c r="D77">
        <v>18</v>
      </c>
      <c r="E77">
        <v>14</v>
      </c>
      <c r="F77">
        <v>73</v>
      </c>
      <c r="G77">
        <v>0</v>
      </c>
      <c r="H77">
        <v>1</v>
      </c>
      <c r="I77">
        <v>0</v>
      </c>
      <c r="J77">
        <v>1</v>
      </c>
      <c r="K77">
        <v>78.72</v>
      </c>
      <c r="L77">
        <v>78.16</v>
      </c>
      <c r="M77">
        <v>77.680000000000007</v>
      </c>
    </row>
    <row r="78" spans="1:13" x14ac:dyDescent="0.2">
      <c r="A78" s="1">
        <v>77</v>
      </c>
      <c r="B78" t="s">
        <v>130</v>
      </c>
      <c r="C78">
        <f xml:space="preserve">  78.48</f>
        <v>78.48</v>
      </c>
      <c r="D78">
        <v>20</v>
      </c>
      <c r="E78">
        <v>16</v>
      </c>
      <c r="F78">
        <v>79.42</v>
      </c>
      <c r="G78">
        <v>3</v>
      </c>
      <c r="H78">
        <v>4</v>
      </c>
      <c r="I78">
        <v>7</v>
      </c>
      <c r="J78">
        <v>10</v>
      </c>
      <c r="K78">
        <v>77.91</v>
      </c>
      <c r="L78">
        <v>79.44</v>
      </c>
      <c r="M78">
        <v>80.09</v>
      </c>
    </row>
    <row r="79" spans="1:13" x14ac:dyDescent="0.2">
      <c r="A79" s="1">
        <v>78</v>
      </c>
      <c r="B79" t="s">
        <v>33</v>
      </c>
      <c r="C79">
        <f xml:space="preserve">  78.29</f>
        <v>78.290000000000006</v>
      </c>
      <c r="D79">
        <v>18</v>
      </c>
      <c r="E79">
        <v>14</v>
      </c>
      <c r="F79">
        <v>77.55</v>
      </c>
      <c r="G79">
        <v>0</v>
      </c>
      <c r="H79">
        <v>3</v>
      </c>
      <c r="I79">
        <v>2</v>
      </c>
      <c r="J79">
        <v>6</v>
      </c>
      <c r="K79">
        <v>78.14</v>
      </c>
      <c r="L79">
        <v>78.5</v>
      </c>
      <c r="M79">
        <v>78.599999999999994</v>
      </c>
    </row>
    <row r="80" spans="1:13" x14ac:dyDescent="0.2">
      <c r="A80" s="1">
        <v>79</v>
      </c>
      <c r="B80" t="s">
        <v>553</v>
      </c>
      <c r="C80">
        <v>78.290000000000006</v>
      </c>
      <c r="D80">
        <v>25</v>
      </c>
      <c r="E80">
        <v>8</v>
      </c>
      <c r="F80">
        <v>69.92</v>
      </c>
      <c r="G80">
        <v>0</v>
      </c>
      <c r="H80">
        <v>1</v>
      </c>
      <c r="I80">
        <v>0</v>
      </c>
      <c r="J80">
        <v>2</v>
      </c>
      <c r="K80">
        <v>78.400000000000006</v>
      </c>
      <c r="L80">
        <v>78.08</v>
      </c>
      <c r="M80">
        <v>78.33</v>
      </c>
    </row>
    <row r="81" spans="1:13" x14ac:dyDescent="0.2">
      <c r="A81" s="1">
        <v>80</v>
      </c>
      <c r="B81" t="s">
        <v>191</v>
      </c>
      <c r="C81">
        <f xml:space="preserve">  78.13</f>
        <v>78.13</v>
      </c>
      <c r="D81">
        <v>25</v>
      </c>
      <c r="E81">
        <v>9</v>
      </c>
      <c r="F81">
        <v>71.06</v>
      </c>
      <c r="G81">
        <v>1</v>
      </c>
      <c r="H81">
        <v>0</v>
      </c>
      <c r="I81">
        <v>1</v>
      </c>
      <c r="J81">
        <v>2</v>
      </c>
      <c r="K81">
        <v>78.010000000000005</v>
      </c>
      <c r="L81">
        <v>78.3</v>
      </c>
      <c r="M81">
        <v>78.52</v>
      </c>
    </row>
    <row r="82" spans="1:13" x14ac:dyDescent="0.2">
      <c r="A82" s="1">
        <v>81</v>
      </c>
      <c r="B82" t="s">
        <v>37</v>
      </c>
      <c r="C82">
        <f xml:space="preserve">  77.98</f>
        <v>77.98</v>
      </c>
      <c r="D82">
        <v>15</v>
      </c>
      <c r="E82">
        <v>17</v>
      </c>
      <c r="F82">
        <v>77.180000000000007</v>
      </c>
      <c r="G82">
        <v>0</v>
      </c>
      <c r="H82">
        <v>7</v>
      </c>
      <c r="I82">
        <v>1</v>
      </c>
      <c r="J82">
        <v>7</v>
      </c>
      <c r="K82">
        <v>78.180000000000007</v>
      </c>
      <c r="L82">
        <v>77.64</v>
      </c>
      <c r="M82">
        <v>77.13</v>
      </c>
    </row>
    <row r="83" spans="1:13" x14ac:dyDescent="0.2">
      <c r="A83" s="1">
        <v>82</v>
      </c>
      <c r="B83" t="s">
        <v>817</v>
      </c>
      <c r="C83">
        <f xml:space="preserve">  77.75</f>
        <v>77.75</v>
      </c>
      <c r="D83">
        <v>15</v>
      </c>
      <c r="E83">
        <v>18</v>
      </c>
      <c r="F83">
        <v>79.22</v>
      </c>
      <c r="G83">
        <v>0</v>
      </c>
      <c r="H83">
        <v>6</v>
      </c>
      <c r="I83">
        <v>3</v>
      </c>
      <c r="J83">
        <v>11</v>
      </c>
      <c r="K83">
        <v>77.77</v>
      </c>
      <c r="L83">
        <v>77.7</v>
      </c>
      <c r="M83">
        <v>77.739999999999995</v>
      </c>
    </row>
    <row r="84" spans="1:13" x14ac:dyDescent="0.2">
      <c r="A84" s="1">
        <v>83</v>
      </c>
      <c r="B84" t="s">
        <v>64</v>
      </c>
      <c r="C84">
        <f xml:space="preserve">  77.56</f>
        <v>77.56</v>
      </c>
      <c r="D84">
        <v>17</v>
      </c>
      <c r="E84">
        <v>15</v>
      </c>
      <c r="F84">
        <v>75.34</v>
      </c>
      <c r="G84">
        <v>0</v>
      </c>
      <c r="H84">
        <v>2</v>
      </c>
      <c r="I84">
        <v>2</v>
      </c>
      <c r="J84">
        <v>8</v>
      </c>
      <c r="K84">
        <v>77.680000000000007</v>
      </c>
      <c r="L84">
        <v>77.319999999999993</v>
      </c>
      <c r="M84">
        <v>77.150000000000006</v>
      </c>
    </row>
    <row r="85" spans="1:13" x14ac:dyDescent="0.2">
      <c r="A85" s="1">
        <v>84</v>
      </c>
      <c r="B85" t="s">
        <v>161</v>
      </c>
      <c r="C85">
        <f xml:space="preserve">  77.48</f>
        <v>77.48</v>
      </c>
      <c r="D85">
        <v>27</v>
      </c>
      <c r="E85">
        <v>7</v>
      </c>
      <c r="F85">
        <v>69.22</v>
      </c>
      <c r="G85">
        <v>0</v>
      </c>
      <c r="H85">
        <v>1</v>
      </c>
      <c r="I85">
        <v>0</v>
      </c>
      <c r="J85">
        <v>3</v>
      </c>
      <c r="K85">
        <v>77.180000000000007</v>
      </c>
      <c r="L85">
        <v>77.97</v>
      </c>
      <c r="M85">
        <v>78.349999999999994</v>
      </c>
    </row>
    <row r="86" spans="1:13" x14ac:dyDescent="0.2">
      <c r="A86" s="1">
        <v>85</v>
      </c>
      <c r="B86" t="s">
        <v>40</v>
      </c>
      <c r="C86">
        <f xml:space="preserve">  77.21</f>
        <v>77.209999999999994</v>
      </c>
      <c r="D86">
        <v>19</v>
      </c>
      <c r="E86">
        <v>13</v>
      </c>
      <c r="F86">
        <v>74.08</v>
      </c>
      <c r="G86">
        <v>0</v>
      </c>
      <c r="H86">
        <v>3</v>
      </c>
      <c r="I86">
        <v>1</v>
      </c>
      <c r="J86">
        <v>3</v>
      </c>
      <c r="K86">
        <v>77.05</v>
      </c>
      <c r="L86">
        <v>77.44</v>
      </c>
      <c r="M86">
        <v>77.239999999999995</v>
      </c>
    </row>
    <row r="87" spans="1:13" x14ac:dyDescent="0.2">
      <c r="A87" s="1">
        <v>86</v>
      </c>
      <c r="B87" t="s">
        <v>68</v>
      </c>
      <c r="C87">
        <f xml:space="preserve">  77.14</f>
        <v>77.14</v>
      </c>
      <c r="D87">
        <v>20</v>
      </c>
      <c r="E87">
        <v>12</v>
      </c>
      <c r="F87">
        <v>72.150000000000006</v>
      </c>
      <c r="G87">
        <v>0</v>
      </c>
      <c r="H87">
        <v>1</v>
      </c>
      <c r="I87">
        <v>0</v>
      </c>
      <c r="J87">
        <v>6</v>
      </c>
      <c r="K87">
        <v>77.14</v>
      </c>
      <c r="L87">
        <v>77.099999999999994</v>
      </c>
      <c r="M87">
        <v>77.08</v>
      </c>
    </row>
    <row r="88" spans="1:13" x14ac:dyDescent="0.2">
      <c r="A88" s="1">
        <v>87</v>
      </c>
      <c r="B88" t="s">
        <v>98</v>
      </c>
      <c r="C88">
        <f xml:space="preserve">  77.11</f>
        <v>77.11</v>
      </c>
      <c r="D88">
        <v>13</v>
      </c>
      <c r="E88">
        <v>17</v>
      </c>
      <c r="F88">
        <v>79.23</v>
      </c>
      <c r="G88">
        <v>0</v>
      </c>
      <c r="H88">
        <v>8</v>
      </c>
      <c r="I88">
        <v>2</v>
      </c>
      <c r="J88">
        <v>10</v>
      </c>
      <c r="K88">
        <v>77.150000000000006</v>
      </c>
      <c r="L88">
        <v>77.02</v>
      </c>
      <c r="M88">
        <v>76.8</v>
      </c>
    </row>
    <row r="89" spans="1:13" x14ac:dyDescent="0.2">
      <c r="A89" s="1">
        <v>88</v>
      </c>
      <c r="B89" t="s">
        <v>791</v>
      </c>
      <c r="C89">
        <f xml:space="preserve">  77.08</f>
        <v>77.08</v>
      </c>
      <c r="D89">
        <v>16</v>
      </c>
      <c r="E89">
        <v>16</v>
      </c>
      <c r="F89">
        <v>76.260000000000005</v>
      </c>
      <c r="G89">
        <v>0</v>
      </c>
      <c r="H89">
        <v>2</v>
      </c>
      <c r="I89">
        <v>1</v>
      </c>
      <c r="J89">
        <v>5</v>
      </c>
      <c r="K89">
        <v>77.22</v>
      </c>
      <c r="L89">
        <v>76.819999999999993</v>
      </c>
      <c r="M89">
        <v>76.61</v>
      </c>
    </row>
    <row r="90" spans="1:13" x14ac:dyDescent="0.2">
      <c r="A90" s="1">
        <v>89</v>
      </c>
      <c r="B90" t="s">
        <v>870</v>
      </c>
      <c r="C90">
        <f xml:space="preserve">  77.07</f>
        <v>77.069999999999993</v>
      </c>
      <c r="D90">
        <v>15</v>
      </c>
      <c r="E90">
        <v>17</v>
      </c>
      <c r="F90">
        <v>78.61</v>
      </c>
      <c r="G90">
        <v>1</v>
      </c>
      <c r="H90">
        <v>6</v>
      </c>
      <c r="I90">
        <v>2</v>
      </c>
      <c r="J90">
        <v>14</v>
      </c>
      <c r="K90">
        <v>76.84</v>
      </c>
      <c r="L90">
        <v>77.430000000000007</v>
      </c>
      <c r="M90">
        <v>77.11</v>
      </c>
    </row>
    <row r="91" spans="1:13" x14ac:dyDescent="0.2">
      <c r="A91" s="1">
        <v>90</v>
      </c>
      <c r="B91" t="s">
        <v>252</v>
      </c>
      <c r="C91">
        <f xml:space="preserve">  77.05</f>
        <v>77.05</v>
      </c>
      <c r="D91">
        <v>26</v>
      </c>
      <c r="E91">
        <v>9</v>
      </c>
      <c r="F91">
        <v>68.48</v>
      </c>
      <c r="G91">
        <v>0</v>
      </c>
      <c r="H91">
        <v>1</v>
      </c>
      <c r="I91">
        <v>1</v>
      </c>
      <c r="J91">
        <v>3</v>
      </c>
      <c r="K91">
        <v>77.13</v>
      </c>
      <c r="L91">
        <v>76.89</v>
      </c>
      <c r="M91">
        <v>77.2</v>
      </c>
    </row>
    <row r="92" spans="1:13" x14ac:dyDescent="0.2">
      <c r="A92" s="1">
        <v>91</v>
      </c>
      <c r="B92" t="s">
        <v>810</v>
      </c>
      <c r="C92">
        <f xml:space="preserve">  76.94</f>
        <v>76.94</v>
      </c>
      <c r="D92">
        <v>22</v>
      </c>
      <c r="E92">
        <v>12</v>
      </c>
      <c r="F92">
        <v>73.34</v>
      </c>
      <c r="G92">
        <v>0</v>
      </c>
      <c r="H92">
        <v>1</v>
      </c>
      <c r="I92">
        <v>0</v>
      </c>
      <c r="J92">
        <v>2</v>
      </c>
      <c r="K92">
        <v>76.849999999999994</v>
      </c>
      <c r="L92">
        <v>77.06</v>
      </c>
      <c r="M92">
        <v>77.34</v>
      </c>
    </row>
    <row r="93" spans="1:13" x14ac:dyDescent="0.2">
      <c r="A93" s="1">
        <v>92</v>
      </c>
      <c r="B93" t="s">
        <v>797</v>
      </c>
      <c r="C93">
        <f xml:space="preserve">  76.92</f>
        <v>76.92</v>
      </c>
      <c r="D93">
        <v>19</v>
      </c>
      <c r="E93">
        <v>12</v>
      </c>
      <c r="F93">
        <v>74.64</v>
      </c>
      <c r="G93">
        <v>1</v>
      </c>
      <c r="H93">
        <v>1</v>
      </c>
      <c r="I93">
        <v>2</v>
      </c>
      <c r="J93">
        <v>1</v>
      </c>
      <c r="K93">
        <v>76.87</v>
      </c>
      <c r="L93">
        <v>76.98</v>
      </c>
      <c r="M93">
        <v>76.98</v>
      </c>
    </row>
    <row r="94" spans="1:13" x14ac:dyDescent="0.2">
      <c r="A94" s="1">
        <v>93</v>
      </c>
      <c r="B94" t="s">
        <v>80</v>
      </c>
      <c r="C94">
        <f xml:space="preserve">  76.9</f>
        <v>76.900000000000006</v>
      </c>
      <c r="D94">
        <v>22</v>
      </c>
      <c r="E94">
        <v>13</v>
      </c>
      <c r="F94">
        <v>74.5</v>
      </c>
      <c r="G94">
        <v>0</v>
      </c>
      <c r="H94">
        <v>0</v>
      </c>
      <c r="I94">
        <v>1</v>
      </c>
      <c r="J94">
        <v>8</v>
      </c>
      <c r="K94">
        <v>76.569999999999993</v>
      </c>
      <c r="L94">
        <v>77.41</v>
      </c>
      <c r="M94">
        <v>77.819999999999993</v>
      </c>
    </row>
    <row r="95" spans="1:13" x14ac:dyDescent="0.2">
      <c r="A95" s="1">
        <v>94</v>
      </c>
      <c r="B95" t="s">
        <v>87</v>
      </c>
      <c r="C95">
        <f xml:space="preserve">  76.86</f>
        <v>76.86</v>
      </c>
      <c r="D95">
        <v>22</v>
      </c>
      <c r="E95">
        <v>7</v>
      </c>
      <c r="F95">
        <v>70.010000000000005</v>
      </c>
      <c r="G95">
        <v>0</v>
      </c>
      <c r="H95">
        <v>1</v>
      </c>
      <c r="I95">
        <v>0</v>
      </c>
      <c r="J95">
        <v>3</v>
      </c>
      <c r="K95">
        <v>76.58</v>
      </c>
      <c r="L95">
        <v>77.3</v>
      </c>
      <c r="M95">
        <v>77.599999999999994</v>
      </c>
    </row>
    <row r="96" spans="1:13" x14ac:dyDescent="0.2">
      <c r="A96" s="1">
        <v>95</v>
      </c>
      <c r="B96" t="s">
        <v>55</v>
      </c>
      <c r="C96">
        <f xml:space="preserve">  76.79</f>
        <v>76.790000000000006</v>
      </c>
      <c r="D96">
        <v>14</v>
      </c>
      <c r="E96">
        <v>19</v>
      </c>
      <c r="F96">
        <v>79.87</v>
      </c>
      <c r="G96">
        <v>0</v>
      </c>
      <c r="H96">
        <v>3</v>
      </c>
      <c r="I96">
        <v>4</v>
      </c>
      <c r="J96">
        <v>13</v>
      </c>
      <c r="K96">
        <v>76.77</v>
      </c>
      <c r="L96">
        <v>76.790000000000006</v>
      </c>
      <c r="M96">
        <v>76.88</v>
      </c>
    </row>
    <row r="97" spans="1:13" x14ac:dyDescent="0.2">
      <c r="A97" s="1">
        <v>96</v>
      </c>
      <c r="B97" t="s">
        <v>819</v>
      </c>
      <c r="C97">
        <f xml:space="preserve">  76.66</f>
        <v>76.66</v>
      </c>
      <c r="D97">
        <v>25</v>
      </c>
      <c r="E97">
        <v>6</v>
      </c>
      <c r="F97">
        <v>68.040000000000006</v>
      </c>
      <c r="G97">
        <v>0</v>
      </c>
      <c r="H97">
        <v>1</v>
      </c>
      <c r="I97">
        <v>0</v>
      </c>
      <c r="J97">
        <v>1</v>
      </c>
      <c r="K97">
        <v>76.36</v>
      </c>
      <c r="L97">
        <v>77.13</v>
      </c>
      <c r="M97">
        <v>77.31</v>
      </c>
    </row>
    <row r="98" spans="1:13" x14ac:dyDescent="0.2">
      <c r="A98" s="1">
        <v>97</v>
      </c>
      <c r="B98" t="s">
        <v>284</v>
      </c>
      <c r="C98">
        <f xml:space="preserve">  76.45</f>
        <v>76.45</v>
      </c>
      <c r="D98">
        <v>23</v>
      </c>
      <c r="E98">
        <v>9</v>
      </c>
      <c r="F98">
        <v>69.760000000000005</v>
      </c>
      <c r="G98">
        <v>0</v>
      </c>
      <c r="H98">
        <v>2</v>
      </c>
      <c r="I98">
        <v>1</v>
      </c>
      <c r="J98">
        <v>2</v>
      </c>
      <c r="K98">
        <v>76.150000000000006</v>
      </c>
      <c r="L98">
        <v>76.92</v>
      </c>
      <c r="M98">
        <v>76.87</v>
      </c>
    </row>
    <row r="99" spans="1:13" x14ac:dyDescent="0.2">
      <c r="A99" s="1">
        <v>98</v>
      </c>
      <c r="B99" t="s">
        <v>133</v>
      </c>
      <c r="C99">
        <f xml:space="preserve">  76.28</f>
        <v>76.28</v>
      </c>
      <c r="D99">
        <v>26</v>
      </c>
      <c r="E99">
        <v>9</v>
      </c>
      <c r="F99">
        <v>70.61</v>
      </c>
      <c r="G99">
        <v>0</v>
      </c>
      <c r="H99">
        <v>1</v>
      </c>
      <c r="I99">
        <v>0</v>
      </c>
      <c r="J99">
        <v>2</v>
      </c>
      <c r="K99">
        <v>75.88</v>
      </c>
      <c r="L99">
        <v>76.91</v>
      </c>
      <c r="M99">
        <v>77.180000000000007</v>
      </c>
    </row>
    <row r="100" spans="1:13" x14ac:dyDescent="0.2">
      <c r="A100" s="1">
        <v>99</v>
      </c>
      <c r="B100" t="s">
        <v>878</v>
      </c>
      <c r="C100">
        <f xml:space="preserve">  76.26</f>
        <v>76.260000000000005</v>
      </c>
      <c r="D100">
        <v>23</v>
      </c>
      <c r="E100">
        <v>9</v>
      </c>
      <c r="F100">
        <v>68.790000000000006</v>
      </c>
      <c r="G100">
        <v>0</v>
      </c>
      <c r="H100">
        <v>0</v>
      </c>
      <c r="I100">
        <v>1</v>
      </c>
      <c r="J100">
        <v>1</v>
      </c>
      <c r="K100">
        <v>76.16</v>
      </c>
      <c r="L100">
        <v>76.400000000000006</v>
      </c>
      <c r="M100">
        <v>76.540000000000006</v>
      </c>
    </row>
    <row r="101" spans="1:13" x14ac:dyDescent="0.2">
      <c r="A101" s="1">
        <v>100</v>
      </c>
      <c r="B101" t="s">
        <v>101</v>
      </c>
      <c r="C101">
        <f xml:space="preserve">  76.16</f>
        <v>76.16</v>
      </c>
      <c r="D101">
        <v>21</v>
      </c>
      <c r="E101">
        <v>10</v>
      </c>
      <c r="F101">
        <v>67.209999999999994</v>
      </c>
      <c r="G101">
        <v>0</v>
      </c>
      <c r="H101">
        <v>0</v>
      </c>
      <c r="I101">
        <v>0</v>
      </c>
      <c r="J101">
        <v>1</v>
      </c>
      <c r="K101">
        <v>76.680000000000007</v>
      </c>
      <c r="L101">
        <v>75.319999999999993</v>
      </c>
      <c r="M101">
        <v>75.09</v>
      </c>
    </row>
    <row r="102" spans="1:13" x14ac:dyDescent="0.2">
      <c r="A102" s="1">
        <v>101</v>
      </c>
      <c r="B102" t="s">
        <v>120</v>
      </c>
      <c r="C102">
        <f xml:space="preserve">  76.13</f>
        <v>76.13</v>
      </c>
      <c r="D102">
        <v>11</v>
      </c>
      <c r="E102">
        <v>19</v>
      </c>
      <c r="F102">
        <v>81.430000000000007</v>
      </c>
      <c r="G102">
        <v>1</v>
      </c>
      <c r="H102">
        <v>5</v>
      </c>
      <c r="I102">
        <v>4</v>
      </c>
      <c r="J102">
        <v>13</v>
      </c>
      <c r="K102">
        <v>76.3</v>
      </c>
      <c r="L102">
        <v>75.819999999999993</v>
      </c>
      <c r="M102">
        <v>75.62</v>
      </c>
    </row>
    <row r="103" spans="1:13" x14ac:dyDescent="0.2">
      <c r="A103" s="1">
        <v>102</v>
      </c>
      <c r="B103" t="s">
        <v>804</v>
      </c>
      <c r="C103">
        <f xml:space="preserve">  76.04</f>
        <v>76.040000000000006</v>
      </c>
      <c r="D103">
        <v>18</v>
      </c>
      <c r="E103">
        <v>13</v>
      </c>
      <c r="F103">
        <v>73.89</v>
      </c>
      <c r="G103">
        <v>0</v>
      </c>
      <c r="H103">
        <v>1</v>
      </c>
      <c r="I103">
        <v>0</v>
      </c>
      <c r="J103">
        <v>3</v>
      </c>
      <c r="K103">
        <v>76</v>
      </c>
      <c r="L103">
        <v>76.09</v>
      </c>
      <c r="M103">
        <v>76.22</v>
      </c>
    </row>
    <row r="104" spans="1:13" x14ac:dyDescent="0.2">
      <c r="A104" s="1">
        <v>103</v>
      </c>
      <c r="B104" t="s">
        <v>157</v>
      </c>
      <c r="C104">
        <v>75.89</v>
      </c>
      <c r="D104">
        <v>24</v>
      </c>
      <c r="E104">
        <v>10</v>
      </c>
      <c r="F104">
        <v>71.489999999999995</v>
      </c>
      <c r="G104">
        <v>0</v>
      </c>
      <c r="H104">
        <v>1</v>
      </c>
      <c r="I104">
        <v>0</v>
      </c>
      <c r="J104">
        <v>2</v>
      </c>
      <c r="K104">
        <v>75.599999999999994</v>
      </c>
      <c r="L104">
        <v>76.34</v>
      </c>
      <c r="M104">
        <v>76.77</v>
      </c>
    </row>
    <row r="105" spans="1:13" x14ac:dyDescent="0.2">
      <c r="A105" s="1">
        <v>104</v>
      </c>
      <c r="B105" t="s">
        <v>126</v>
      </c>
      <c r="C105">
        <f xml:space="preserve">  75.7</f>
        <v>75.7</v>
      </c>
      <c r="D105">
        <v>19</v>
      </c>
      <c r="E105">
        <v>11</v>
      </c>
      <c r="F105">
        <v>69.819999999999993</v>
      </c>
      <c r="G105">
        <v>0</v>
      </c>
      <c r="H105">
        <v>0</v>
      </c>
      <c r="I105">
        <v>0</v>
      </c>
      <c r="J105">
        <v>0</v>
      </c>
      <c r="K105">
        <v>75.95</v>
      </c>
      <c r="L105">
        <v>75.28</v>
      </c>
      <c r="M105">
        <v>75.12</v>
      </c>
    </row>
    <row r="106" spans="1:13" x14ac:dyDescent="0.2">
      <c r="A106" s="1">
        <v>105</v>
      </c>
      <c r="B106" t="s">
        <v>210</v>
      </c>
      <c r="C106">
        <f xml:space="preserve">  75.65</f>
        <v>75.650000000000006</v>
      </c>
      <c r="D106">
        <v>22</v>
      </c>
      <c r="E106">
        <v>10</v>
      </c>
      <c r="F106">
        <v>70.459999999999994</v>
      </c>
      <c r="G106">
        <v>0</v>
      </c>
      <c r="H106">
        <v>2</v>
      </c>
      <c r="I106">
        <v>0</v>
      </c>
      <c r="J106">
        <v>2</v>
      </c>
      <c r="K106">
        <v>75.430000000000007</v>
      </c>
      <c r="L106">
        <v>75.97</v>
      </c>
      <c r="M106">
        <v>76.61</v>
      </c>
    </row>
    <row r="107" spans="1:13" x14ac:dyDescent="0.2">
      <c r="A107" s="1">
        <v>106</v>
      </c>
      <c r="B107" t="s">
        <v>112</v>
      </c>
      <c r="C107">
        <f xml:space="preserve">  75.52</f>
        <v>75.52</v>
      </c>
      <c r="D107">
        <v>16</v>
      </c>
      <c r="E107">
        <v>16</v>
      </c>
      <c r="F107">
        <v>74.88</v>
      </c>
      <c r="G107">
        <v>2</v>
      </c>
      <c r="H107">
        <v>5</v>
      </c>
      <c r="I107">
        <v>2</v>
      </c>
      <c r="J107">
        <v>5</v>
      </c>
      <c r="K107">
        <v>75.48</v>
      </c>
      <c r="L107">
        <v>75.55</v>
      </c>
      <c r="M107">
        <v>75.36</v>
      </c>
    </row>
    <row r="108" spans="1:13" x14ac:dyDescent="0.2">
      <c r="A108" s="1">
        <v>107</v>
      </c>
      <c r="B108" t="s">
        <v>50</v>
      </c>
      <c r="C108">
        <f xml:space="preserve">  75.41</f>
        <v>75.41</v>
      </c>
      <c r="D108">
        <v>16</v>
      </c>
      <c r="E108">
        <v>14</v>
      </c>
      <c r="F108">
        <v>71.75</v>
      </c>
      <c r="G108">
        <v>0</v>
      </c>
      <c r="H108">
        <v>2</v>
      </c>
      <c r="I108">
        <v>0</v>
      </c>
      <c r="J108">
        <v>2</v>
      </c>
      <c r="K108">
        <v>75.91</v>
      </c>
      <c r="L108">
        <v>74.61</v>
      </c>
      <c r="M108">
        <v>74.39</v>
      </c>
    </row>
    <row r="109" spans="1:13" x14ac:dyDescent="0.2">
      <c r="A109" s="1">
        <v>108</v>
      </c>
      <c r="B109" t="s">
        <v>276</v>
      </c>
      <c r="C109">
        <f xml:space="preserve">  74.86</f>
        <v>74.86</v>
      </c>
      <c r="D109">
        <v>17</v>
      </c>
      <c r="E109">
        <v>14</v>
      </c>
      <c r="F109">
        <v>73.92</v>
      </c>
      <c r="G109">
        <v>0</v>
      </c>
      <c r="H109">
        <v>1</v>
      </c>
      <c r="I109">
        <v>0</v>
      </c>
      <c r="J109">
        <v>3</v>
      </c>
      <c r="K109">
        <v>74.599999999999994</v>
      </c>
      <c r="L109">
        <v>75.25</v>
      </c>
      <c r="M109">
        <v>75.19</v>
      </c>
    </row>
    <row r="110" spans="1:13" x14ac:dyDescent="0.2">
      <c r="A110" s="1">
        <v>109</v>
      </c>
      <c r="B110" t="s">
        <v>297</v>
      </c>
      <c r="C110">
        <f xml:space="preserve">  74.73</f>
        <v>74.73</v>
      </c>
      <c r="D110">
        <v>16</v>
      </c>
      <c r="E110">
        <v>10</v>
      </c>
      <c r="F110">
        <v>69.959999999999994</v>
      </c>
      <c r="G110">
        <v>0</v>
      </c>
      <c r="H110">
        <v>0</v>
      </c>
      <c r="I110">
        <v>0</v>
      </c>
      <c r="J110">
        <v>0</v>
      </c>
      <c r="K110">
        <v>74.78</v>
      </c>
      <c r="L110">
        <v>74.61</v>
      </c>
      <c r="M110">
        <v>74.540000000000006</v>
      </c>
    </row>
    <row r="111" spans="1:13" x14ac:dyDescent="0.2">
      <c r="A111" s="1">
        <v>110</v>
      </c>
      <c r="B111" t="s">
        <v>811</v>
      </c>
      <c r="C111">
        <f xml:space="preserve">  74.58</f>
        <v>74.58</v>
      </c>
      <c r="D111">
        <v>15</v>
      </c>
      <c r="E111">
        <v>18</v>
      </c>
      <c r="F111">
        <v>77.73</v>
      </c>
      <c r="G111">
        <v>0</v>
      </c>
      <c r="H111">
        <v>8</v>
      </c>
      <c r="I111">
        <v>0</v>
      </c>
      <c r="J111">
        <v>10</v>
      </c>
      <c r="K111">
        <v>74.56</v>
      </c>
      <c r="L111">
        <v>74.569999999999993</v>
      </c>
      <c r="M111">
        <v>74.53</v>
      </c>
    </row>
    <row r="112" spans="1:13" x14ac:dyDescent="0.2">
      <c r="A112" s="1">
        <v>111</v>
      </c>
      <c r="B112" t="s">
        <v>47</v>
      </c>
      <c r="C112">
        <f xml:space="preserve">  74.47</f>
        <v>74.47</v>
      </c>
      <c r="D112">
        <v>19</v>
      </c>
      <c r="E112">
        <v>13</v>
      </c>
      <c r="F112">
        <v>70.94</v>
      </c>
      <c r="G112">
        <v>0</v>
      </c>
      <c r="H112">
        <v>4</v>
      </c>
      <c r="I112">
        <v>1</v>
      </c>
      <c r="J112">
        <v>4</v>
      </c>
      <c r="K112">
        <v>74.709999999999994</v>
      </c>
      <c r="L112">
        <v>74.06</v>
      </c>
      <c r="M112">
        <v>74.17</v>
      </c>
    </row>
    <row r="113" spans="1:13" x14ac:dyDescent="0.2">
      <c r="A113" s="1">
        <v>112</v>
      </c>
      <c r="B113" t="s">
        <v>176</v>
      </c>
      <c r="C113">
        <f xml:space="preserve">  74.3</f>
        <v>74.3</v>
      </c>
      <c r="D113">
        <v>23</v>
      </c>
      <c r="E113">
        <v>8</v>
      </c>
      <c r="F113">
        <v>67.41</v>
      </c>
      <c r="G113">
        <v>0</v>
      </c>
      <c r="H113">
        <v>3</v>
      </c>
      <c r="I113">
        <v>0</v>
      </c>
      <c r="J113">
        <v>4</v>
      </c>
      <c r="K113">
        <v>74.150000000000006</v>
      </c>
      <c r="L113">
        <v>74.510000000000005</v>
      </c>
      <c r="M113">
        <v>74.8</v>
      </c>
    </row>
    <row r="114" spans="1:13" x14ac:dyDescent="0.2">
      <c r="A114" s="1">
        <v>113</v>
      </c>
      <c r="B114" t="s">
        <v>155</v>
      </c>
      <c r="C114">
        <f xml:space="preserve">  74.08</f>
        <v>74.08</v>
      </c>
      <c r="D114">
        <v>24</v>
      </c>
      <c r="E114">
        <v>7</v>
      </c>
      <c r="F114">
        <v>65.989999999999995</v>
      </c>
      <c r="G114">
        <v>0</v>
      </c>
      <c r="H114">
        <v>1</v>
      </c>
      <c r="I114">
        <v>0</v>
      </c>
      <c r="J114">
        <v>3</v>
      </c>
      <c r="K114">
        <v>73.760000000000005</v>
      </c>
      <c r="L114">
        <v>74.58</v>
      </c>
      <c r="M114">
        <v>75.06</v>
      </c>
    </row>
    <row r="115" spans="1:13" x14ac:dyDescent="0.2">
      <c r="A115" s="1">
        <v>114</v>
      </c>
      <c r="B115" t="s">
        <v>187</v>
      </c>
      <c r="C115">
        <f xml:space="preserve">  74.03</f>
        <v>74.03</v>
      </c>
      <c r="D115">
        <v>20</v>
      </c>
      <c r="E115">
        <v>15</v>
      </c>
      <c r="F115">
        <v>73.64</v>
      </c>
      <c r="G115">
        <v>0</v>
      </c>
      <c r="H115">
        <v>1</v>
      </c>
      <c r="I115">
        <v>1</v>
      </c>
      <c r="J115">
        <v>5</v>
      </c>
      <c r="K115">
        <v>73.61</v>
      </c>
      <c r="L115">
        <v>74.7</v>
      </c>
      <c r="M115">
        <v>75.03</v>
      </c>
    </row>
    <row r="116" spans="1:13" x14ac:dyDescent="0.2">
      <c r="A116" s="1">
        <v>115</v>
      </c>
      <c r="B116" t="s">
        <v>108</v>
      </c>
      <c r="C116">
        <f xml:space="preserve">  73.99</f>
        <v>73.989999999999995</v>
      </c>
      <c r="D116">
        <v>19</v>
      </c>
      <c r="E116">
        <v>13</v>
      </c>
      <c r="F116">
        <v>70.959999999999994</v>
      </c>
      <c r="G116">
        <v>0</v>
      </c>
      <c r="H116">
        <v>0</v>
      </c>
      <c r="I116">
        <v>0</v>
      </c>
      <c r="J116">
        <v>1</v>
      </c>
      <c r="K116">
        <v>74.010000000000005</v>
      </c>
      <c r="L116">
        <v>73.930000000000007</v>
      </c>
      <c r="M116">
        <v>74.02</v>
      </c>
    </row>
    <row r="117" spans="1:13" x14ac:dyDescent="0.2">
      <c r="A117" s="1">
        <v>116</v>
      </c>
      <c r="B117" t="s">
        <v>127</v>
      </c>
      <c r="C117">
        <f xml:space="preserve">  73.92</f>
        <v>73.92</v>
      </c>
      <c r="D117">
        <v>23</v>
      </c>
      <c r="E117">
        <v>13</v>
      </c>
      <c r="F117">
        <v>69.14</v>
      </c>
      <c r="G117">
        <v>0</v>
      </c>
      <c r="H117">
        <v>1</v>
      </c>
      <c r="I117">
        <v>0</v>
      </c>
      <c r="J117">
        <v>2</v>
      </c>
      <c r="K117">
        <v>74.14</v>
      </c>
      <c r="L117">
        <v>73.53</v>
      </c>
      <c r="M117">
        <v>73.88</v>
      </c>
    </row>
    <row r="118" spans="1:13" x14ac:dyDescent="0.2">
      <c r="A118" s="1">
        <v>117</v>
      </c>
      <c r="B118" t="s">
        <v>118</v>
      </c>
      <c r="C118">
        <f xml:space="preserve">  73.9</f>
        <v>73.900000000000006</v>
      </c>
      <c r="D118">
        <v>19</v>
      </c>
      <c r="E118">
        <v>14</v>
      </c>
      <c r="F118">
        <v>72.67</v>
      </c>
      <c r="G118">
        <v>0</v>
      </c>
      <c r="H118">
        <v>0</v>
      </c>
      <c r="I118">
        <v>0</v>
      </c>
      <c r="J118">
        <v>5</v>
      </c>
      <c r="K118">
        <v>73.760000000000005</v>
      </c>
      <c r="L118">
        <v>74.09</v>
      </c>
      <c r="M118">
        <v>74.33</v>
      </c>
    </row>
    <row r="119" spans="1:13" x14ac:dyDescent="0.2">
      <c r="A119" s="1">
        <v>118</v>
      </c>
      <c r="B119" t="s">
        <v>796</v>
      </c>
      <c r="C119">
        <f xml:space="preserve">  73.8</f>
        <v>73.8</v>
      </c>
      <c r="D119">
        <v>13</v>
      </c>
      <c r="E119">
        <v>17</v>
      </c>
      <c r="F119">
        <v>73.680000000000007</v>
      </c>
      <c r="G119">
        <v>0</v>
      </c>
      <c r="H119">
        <v>1</v>
      </c>
      <c r="I119">
        <v>0</v>
      </c>
      <c r="J119">
        <v>2</v>
      </c>
      <c r="K119">
        <v>74</v>
      </c>
      <c r="L119">
        <v>73.44</v>
      </c>
      <c r="M119">
        <v>73.31</v>
      </c>
    </row>
    <row r="120" spans="1:13" x14ac:dyDescent="0.2">
      <c r="A120" s="1">
        <v>119</v>
      </c>
      <c r="B120" t="s">
        <v>71</v>
      </c>
      <c r="C120">
        <f xml:space="preserve">  73.73</f>
        <v>73.73</v>
      </c>
      <c r="D120">
        <v>14</v>
      </c>
      <c r="E120">
        <v>18</v>
      </c>
      <c r="F120">
        <v>78.17</v>
      </c>
      <c r="G120">
        <v>0</v>
      </c>
      <c r="H120">
        <v>4</v>
      </c>
      <c r="I120">
        <v>0</v>
      </c>
      <c r="J120">
        <v>14</v>
      </c>
      <c r="K120">
        <v>73.790000000000006</v>
      </c>
      <c r="L120">
        <v>73.599999999999994</v>
      </c>
      <c r="M120">
        <v>73.77</v>
      </c>
    </row>
    <row r="121" spans="1:13" x14ac:dyDescent="0.2">
      <c r="A121" s="1">
        <v>120</v>
      </c>
      <c r="B121" t="s">
        <v>548</v>
      </c>
      <c r="C121">
        <f xml:space="preserve">  73.69</f>
        <v>73.69</v>
      </c>
      <c r="D121">
        <v>22</v>
      </c>
      <c r="E121">
        <v>13</v>
      </c>
      <c r="F121">
        <v>69.73</v>
      </c>
      <c r="G121">
        <v>0</v>
      </c>
      <c r="H121">
        <v>2</v>
      </c>
      <c r="I121">
        <v>0</v>
      </c>
      <c r="J121">
        <v>2</v>
      </c>
      <c r="K121">
        <v>73.760000000000005</v>
      </c>
      <c r="L121">
        <v>73.540000000000006</v>
      </c>
      <c r="M121">
        <v>73.53</v>
      </c>
    </row>
    <row r="122" spans="1:13" x14ac:dyDescent="0.2">
      <c r="A122" s="1">
        <v>121</v>
      </c>
      <c r="B122" t="s">
        <v>88</v>
      </c>
      <c r="C122">
        <f xml:space="preserve">  73.69</f>
        <v>73.69</v>
      </c>
      <c r="D122">
        <v>16</v>
      </c>
      <c r="E122">
        <v>16</v>
      </c>
      <c r="F122">
        <v>72.22</v>
      </c>
      <c r="G122">
        <v>0</v>
      </c>
      <c r="H122">
        <v>6</v>
      </c>
      <c r="I122">
        <v>0</v>
      </c>
      <c r="J122">
        <v>7</v>
      </c>
      <c r="K122">
        <v>73.84</v>
      </c>
      <c r="L122">
        <v>73.41</v>
      </c>
      <c r="M122">
        <v>73.459999999999994</v>
      </c>
    </row>
    <row r="123" spans="1:13" x14ac:dyDescent="0.2">
      <c r="A123" s="1">
        <v>122</v>
      </c>
      <c r="B123" t="s">
        <v>280</v>
      </c>
      <c r="C123">
        <f xml:space="preserve">  73.65</f>
        <v>73.650000000000006</v>
      </c>
      <c r="D123">
        <v>19</v>
      </c>
      <c r="E123">
        <v>12</v>
      </c>
      <c r="F123">
        <v>70.09</v>
      </c>
      <c r="G123">
        <v>0</v>
      </c>
      <c r="H123">
        <v>1</v>
      </c>
      <c r="I123">
        <v>0</v>
      </c>
      <c r="J123">
        <v>3</v>
      </c>
      <c r="K123">
        <v>73.62</v>
      </c>
      <c r="L123">
        <v>73.66</v>
      </c>
      <c r="M123">
        <v>73.650000000000006</v>
      </c>
    </row>
    <row r="124" spans="1:13" x14ac:dyDescent="0.2">
      <c r="A124" s="1">
        <v>123</v>
      </c>
      <c r="B124" t="s">
        <v>860</v>
      </c>
      <c r="C124">
        <f xml:space="preserve">  73.57</f>
        <v>73.569999999999993</v>
      </c>
      <c r="D124">
        <v>16</v>
      </c>
      <c r="E124">
        <v>16</v>
      </c>
      <c r="F124">
        <v>71.790000000000006</v>
      </c>
      <c r="G124">
        <v>0</v>
      </c>
      <c r="H124">
        <v>3</v>
      </c>
      <c r="I124">
        <v>0</v>
      </c>
      <c r="J124">
        <v>3</v>
      </c>
      <c r="K124">
        <v>73.78</v>
      </c>
      <c r="L124">
        <v>73.2</v>
      </c>
      <c r="M124">
        <v>72.89</v>
      </c>
    </row>
    <row r="125" spans="1:13" x14ac:dyDescent="0.2">
      <c r="A125" s="1">
        <v>124</v>
      </c>
      <c r="B125" t="s">
        <v>182</v>
      </c>
      <c r="C125">
        <f xml:space="preserve">  73.55</f>
        <v>73.55</v>
      </c>
      <c r="D125">
        <v>21</v>
      </c>
      <c r="E125">
        <v>10</v>
      </c>
      <c r="F125">
        <v>67.2</v>
      </c>
      <c r="G125">
        <v>0</v>
      </c>
      <c r="H125">
        <v>1</v>
      </c>
      <c r="I125">
        <v>0</v>
      </c>
      <c r="J125">
        <v>2</v>
      </c>
      <c r="K125">
        <v>73.48</v>
      </c>
      <c r="L125">
        <v>73.62</v>
      </c>
      <c r="M125">
        <v>73.900000000000006</v>
      </c>
    </row>
    <row r="126" spans="1:13" x14ac:dyDescent="0.2">
      <c r="A126" s="1">
        <v>125</v>
      </c>
      <c r="B126" t="s">
        <v>237</v>
      </c>
      <c r="C126">
        <f xml:space="preserve">  73.48</f>
        <v>73.48</v>
      </c>
      <c r="D126">
        <v>19</v>
      </c>
      <c r="E126">
        <v>12</v>
      </c>
      <c r="F126">
        <v>68.95</v>
      </c>
      <c r="G126">
        <v>0</v>
      </c>
      <c r="H126">
        <v>0</v>
      </c>
      <c r="I126">
        <v>0</v>
      </c>
      <c r="J126">
        <v>1</v>
      </c>
      <c r="K126">
        <v>73.599999999999994</v>
      </c>
      <c r="L126">
        <v>73.25</v>
      </c>
      <c r="M126">
        <v>73.28</v>
      </c>
    </row>
    <row r="127" spans="1:13" x14ac:dyDescent="0.2">
      <c r="A127" s="1">
        <v>126</v>
      </c>
      <c r="B127" t="s">
        <v>95</v>
      </c>
      <c r="C127">
        <f xml:space="preserve">  73.47</f>
        <v>73.47</v>
      </c>
      <c r="D127">
        <v>21</v>
      </c>
      <c r="E127">
        <v>12</v>
      </c>
      <c r="F127">
        <v>69.31</v>
      </c>
      <c r="G127">
        <v>0</v>
      </c>
      <c r="H127">
        <v>1</v>
      </c>
      <c r="I127">
        <v>0</v>
      </c>
      <c r="J127">
        <v>1</v>
      </c>
      <c r="K127">
        <v>73.69</v>
      </c>
      <c r="L127">
        <v>73.08</v>
      </c>
      <c r="M127">
        <v>73.31</v>
      </c>
    </row>
    <row r="128" spans="1:13" x14ac:dyDescent="0.2">
      <c r="A128" s="1">
        <v>127</v>
      </c>
      <c r="B128" t="s">
        <v>111</v>
      </c>
      <c r="C128">
        <f xml:space="preserve">  73.38</f>
        <v>73.38</v>
      </c>
      <c r="D128">
        <v>9</v>
      </c>
      <c r="E128">
        <v>22</v>
      </c>
      <c r="F128">
        <v>77.88</v>
      </c>
      <c r="G128">
        <v>0</v>
      </c>
      <c r="H128">
        <v>6</v>
      </c>
      <c r="I128">
        <v>0</v>
      </c>
      <c r="J128">
        <v>10</v>
      </c>
      <c r="K128">
        <v>73.67</v>
      </c>
      <c r="L128">
        <v>72.89</v>
      </c>
      <c r="M128">
        <v>72.17</v>
      </c>
    </row>
    <row r="129" spans="1:13" x14ac:dyDescent="0.2">
      <c r="A129" s="1">
        <v>128</v>
      </c>
      <c r="B129" t="s">
        <v>92</v>
      </c>
      <c r="C129">
        <f xml:space="preserve">  73.32</f>
        <v>73.319999999999993</v>
      </c>
      <c r="D129">
        <v>21</v>
      </c>
      <c r="E129">
        <v>15</v>
      </c>
      <c r="F129">
        <v>71.28</v>
      </c>
      <c r="G129">
        <v>0</v>
      </c>
      <c r="H129">
        <v>0</v>
      </c>
      <c r="I129">
        <v>0</v>
      </c>
      <c r="J129">
        <v>0</v>
      </c>
      <c r="K129">
        <v>73.44</v>
      </c>
      <c r="L129">
        <v>73.09</v>
      </c>
      <c r="M129">
        <v>73.209999999999994</v>
      </c>
    </row>
    <row r="130" spans="1:13" x14ac:dyDescent="0.2">
      <c r="A130" s="1">
        <v>129</v>
      </c>
      <c r="B130" t="s">
        <v>134</v>
      </c>
      <c r="C130">
        <f xml:space="preserve">  73.29</f>
        <v>73.290000000000006</v>
      </c>
      <c r="D130">
        <v>19</v>
      </c>
      <c r="E130">
        <v>15</v>
      </c>
      <c r="F130">
        <v>69.69</v>
      </c>
      <c r="G130">
        <v>0</v>
      </c>
      <c r="H130">
        <v>2</v>
      </c>
      <c r="I130">
        <v>0</v>
      </c>
      <c r="J130">
        <v>2</v>
      </c>
      <c r="K130">
        <v>73.58</v>
      </c>
      <c r="L130">
        <v>72.8</v>
      </c>
      <c r="M130">
        <v>72.459999999999994</v>
      </c>
    </row>
    <row r="131" spans="1:13" x14ac:dyDescent="0.2">
      <c r="A131" s="1">
        <v>130</v>
      </c>
      <c r="B131" t="s">
        <v>116</v>
      </c>
      <c r="C131">
        <f xml:space="preserve">  73.28</f>
        <v>73.28</v>
      </c>
      <c r="D131">
        <v>15</v>
      </c>
      <c r="E131">
        <v>15</v>
      </c>
      <c r="F131">
        <v>71.47</v>
      </c>
      <c r="G131">
        <v>0</v>
      </c>
      <c r="H131">
        <v>0</v>
      </c>
      <c r="I131">
        <v>0</v>
      </c>
      <c r="J131">
        <v>2</v>
      </c>
      <c r="K131">
        <v>73.39</v>
      </c>
      <c r="L131">
        <v>73.069999999999993</v>
      </c>
      <c r="M131">
        <v>73.09</v>
      </c>
    </row>
    <row r="132" spans="1:13" x14ac:dyDescent="0.2">
      <c r="A132" s="1">
        <v>131</v>
      </c>
      <c r="B132" t="s">
        <v>178</v>
      </c>
      <c r="C132">
        <f xml:space="preserve">  73.28</f>
        <v>73.28</v>
      </c>
      <c r="D132">
        <v>15</v>
      </c>
      <c r="E132">
        <v>15</v>
      </c>
      <c r="F132">
        <v>73.680000000000007</v>
      </c>
      <c r="G132">
        <v>0</v>
      </c>
      <c r="H132">
        <v>1</v>
      </c>
      <c r="I132">
        <v>1</v>
      </c>
      <c r="J132">
        <v>4</v>
      </c>
      <c r="K132">
        <v>73.040000000000006</v>
      </c>
      <c r="L132">
        <v>73.63</v>
      </c>
      <c r="M132">
        <v>73.58</v>
      </c>
    </row>
    <row r="133" spans="1:13" x14ac:dyDescent="0.2">
      <c r="A133" s="1">
        <v>132</v>
      </c>
      <c r="B133" t="s">
        <v>149</v>
      </c>
      <c r="C133">
        <f xml:space="preserve">  73.23</f>
        <v>73.23</v>
      </c>
      <c r="D133">
        <v>15</v>
      </c>
      <c r="E133">
        <v>17</v>
      </c>
      <c r="F133">
        <v>75.64</v>
      </c>
      <c r="G133">
        <v>0</v>
      </c>
      <c r="H133">
        <v>7</v>
      </c>
      <c r="I133">
        <v>0</v>
      </c>
      <c r="J133">
        <v>7</v>
      </c>
      <c r="K133">
        <v>73.180000000000007</v>
      </c>
      <c r="L133">
        <v>73.27</v>
      </c>
      <c r="M133">
        <v>73.19</v>
      </c>
    </row>
    <row r="134" spans="1:13" x14ac:dyDescent="0.2">
      <c r="A134" s="1">
        <v>133</v>
      </c>
      <c r="B134" t="s">
        <v>85</v>
      </c>
      <c r="C134">
        <f xml:space="preserve">  73.12</f>
        <v>73.12</v>
      </c>
      <c r="D134">
        <v>17</v>
      </c>
      <c r="E134">
        <v>12</v>
      </c>
      <c r="F134">
        <v>69.59</v>
      </c>
      <c r="G134">
        <v>0</v>
      </c>
      <c r="H134">
        <v>1</v>
      </c>
      <c r="I134">
        <v>0</v>
      </c>
      <c r="J134">
        <v>2</v>
      </c>
      <c r="K134">
        <v>73.22</v>
      </c>
      <c r="L134">
        <v>72.94</v>
      </c>
      <c r="M134">
        <v>72.53</v>
      </c>
    </row>
    <row r="135" spans="1:13" x14ac:dyDescent="0.2">
      <c r="A135" s="1">
        <v>134</v>
      </c>
      <c r="B135" t="s">
        <v>93</v>
      </c>
      <c r="C135">
        <f xml:space="preserve">  73.02</f>
        <v>73.02</v>
      </c>
      <c r="D135">
        <v>16</v>
      </c>
      <c r="E135">
        <v>17</v>
      </c>
      <c r="F135">
        <v>71.31</v>
      </c>
      <c r="G135">
        <v>0</v>
      </c>
      <c r="H135">
        <v>0</v>
      </c>
      <c r="I135">
        <v>0</v>
      </c>
      <c r="J135">
        <v>0</v>
      </c>
      <c r="K135">
        <v>73.27</v>
      </c>
      <c r="L135">
        <v>72.58</v>
      </c>
      <c r="M135">
        <v>72.37</v>
      </c>
    </row>
    <row r="136" spans="1:13" x14ac:dyDescent="0.2">
      <c r="A136" s="1">
        <v>135</v>
      </c>
      <c r="B136" t="s">
        <v>144</v>
      </c>
      <c r="C136">
        <f xml:space="preserve">  72.9</f>
        <v>72.900000000000006</v>
      </c>
      <c r="D136">
        <v>17</v>
      </c>
      <c r="E136">
        <v>11</v>
      </c>
      <c r="F136">
        <v>70.209999999999994</v>
      </c>
      <c r="G136">
        <v>0</v>
      </c>
      <c r="H136">
        <v>1</v>
      </c>
      <c r="I136">
        <v>0</v>
      </c>
      <c r="J136">
        <v>1</v>
      </c>
      <c r="K136">
        <v>72.84</v>
      </c>
      <c r="L136">
        <v>72.959999999999994</v>
      </c>
      <c r="M136">
        <v>72.8</v>
      </c>
    </row>
    <row r="137" spans="1:13" x14ac:dyDescent="0.2">
      <c r="A137" s="1">
        <v>136</v>
      </c>
      <c r="B137" t="s">
        <v>557</v>
      </c>
      <c r="C137">
        <f xml:space="preserve">  72.8</f>
        <v>72.8</v>
      </c>
      <c r="D137">
        <v>17</v>
      </c>
      <c r="E137">
        <v>13</v>
      </c>
      <c r="F137">
        <v>69.08</v>
      </c>
      <c r="G137">
        <v>0</v>
      </c>
      <c r="H137">
        <v>1</v>
      </c>
      <c r="I137">
        <v>1</v>
      </c>
      <c r="J137">
        <v>2</v>
      </c>
      <c r="K137">
        <v>72.98</v>
      </c>
      <c r="L137">
        <v>72.47</v>
      </c>
      <c r="M137">
        <v>72.16</v>
      </c>
    </row>
    <row r="138" spans="1:13" x14ac:dyDescent="0.2">
      <c r="A138" s="1">
        <v>137</v>
      </c>
      <c r="B138" t="s">
        <v>102</v>
      </c>
      <c r="C138">
        <f xml:space="preserve">  72.8</f>
        <v>72.8</v>
      </c>
      <c r="D138">
        <v>13</v>
      </c>
      <c r="E138">
        <v>16</v>
      </c>
      <c r="F138">
        <v>75.16</v>
      </c>
      <c r="G138">
        <v>0</v>
      </c>
      <c r="H138">
        <v>3</v>
      </c>
      <c r="I138">
        <v>0</v>
      </c>
      <c r="J138">
        <v>5</v>
      </c>
      <c r="K138">
        <v>72.5</v>
      </c>
      <c r="L138">
        <v>73.25</v>
      </c>
      <c r="M138">
        <v>72.989999999999995</v>
      </c>
    </row>
    <row r="139" spans="1:13" x14ac:dyDescent="0.2">
      <c r="A139" s="1">
        <v>138</v>
      </c>
      <c r="B139" t="s">
        <v>803</v>
      </c>
      <c r="C139">
        <f xml:space="preserve">  72.76</f>
        <v>72.760000000000005</v>
      </c>
      <c r="D139">
        <v>21</v>
      </c>
      <c r="E139">
        <v>14</v>
      </c>
      <c r="F139">
        <v>70.59</v>
      </c>
      <c r="G139">
        <v>0</v>
      </c>
      <c r="H139">
        <v>1</v>
      </c>
      <c r="I139">
        <v>0</v>
      </c>
      <c r="J139">
        <v>1</v>
      </c>
      <c r="K139">
        <v>72.75</v>
      </c>
      <c r="L139">
        <v>72.75</v>
      </c>
      <c r="M139">
        <v>72.989999999999995</v>
      </c>
    </row>
    <row r="140" spans="1:13" x14ac:dyDescent="0.2">
      <c r="A140" s="1">
        <v>139</v>
      </c>
      <c r="B140" t="s">
        <v>165</v>
      </c>
      <c r="C140">
        <f xml:space="preserve">  72.73</f>
        <v>72.73</v>
      </c>
      <c r="D140">
        <v>15</v>
      </c>
      <c r="E140">
        <v>18</v>
      </c>
      <c r="F140">
        <v>73.06</v>
      </c>
      <c r="G140">
        <v>0</v>
      </c>
      <c r="H140">
        <v>0</v>
      </c>
      <c r="I140">
        <v>1</v>
      </c>
      <c r="J140">
        <v>3</v>
      </c>
      <c r="K140">
        <v>72.819999999999993</v>
      </c>
      <c r="L140">
        <v>72.55</v>
      </c>
      <c r="M140">
        <v>72.349999999999994</v>
      </c>
    </row>
    <row r="141" spans="1:13" x14ac:dyDescent="0.2">
      <c r="A141" s="1">
        <v>140</v>
      </c>
      <c r="B141" t="s">
        <v>815</v>
      </c>
      <c r="C141">
        <f xml:space="preserve">  72.55</f>
        <v>72.55</v>
      </c>
      <c r="D141">
        <v>19</v>
      </c>
      <c r="E141">
        <v>12</v>
      </c>
      <c r="F141">
        <v>69.849999999999994</v>
      </c>
      <c r="G141">
        <v>0</v>
      </c>
      <c r="H141">
        <v>0</v>
      </c>
      <c r="I141">
        <v>0</v>
      </c>
      <c r="J141">
        <v>2</v>
      </c>
      <c r="K141">
        <v>72.66</v>
      </c>
      <c r="L141">
        <v>72.34</v>
      </c>
      <c r="M141">
        <v>72.52</v>
      </c>
    </row>
    <row r="142" spans="1:13" x14ac:dyDescent="0.2">
      <c r="A142" s="1">
        <v>141</v>
      </c>
      <c r="B142" t="s">
        <v>258</v>
      </c>
      <c r="C142">
        <f xml:space="preserve">  72.52</f>
        <v>72.52</v>
      </c>
      <c r="D142">
        <v>15</v>
      </c>
      <c r="E142">
        <v>14</v>
      </c>
      <c r="F142">
        <v>71.72</v>
      </c>
      <c r="G142">
        <v>0</v>
      </c>
      <c r="H142">
        <v>2</v>
      </c>
      <c r="I142">
        <v>0</v>
      </c>
      <c r="J142">
        <v>3</v>
      </c>
      <c r="K142">
        <v>72.59</v>
      </c>
      <c r="L142">
        <v>72.38</v>
      </c>
      <c r="M142">
        <v>72.33</v>
      </c>
    </row>
    <row r="143" spans="1:13" x14ac:dyDescent="0.2">
      <c r="A143" s="1">
        <v>142</v>
      </c>
      <c r="B143" t="s">
        <v>202</v>
      </c>
      <c r="C143">
        <f xml:space="preserve">  72.35</f>
        <v>72.349999999999994</v>
      </c>
      <c r="D143">
        <v>16</v>
      </c>
      <c r="E143">
        <v>14</v>
      </c>
      <c r="F143">
        <v>70.8</v>
      </c>
      <c r="G143">
        <v>0</v>
      </c>
      <c r="H143">
        <v>1</v>
      </c>
      <c r="I143">
        <v>0</v>
      </c>
      <c r="J143">
        <v>1</v>
      </c>
      <c r="K143">
        <v>72.459999999999994</v>
      </c>
      <c r="L143">
        <v>72.14</v>
      </c>
      <c r="M143">
        <v>72.239999999999995</v>
      </c>
    </row>
    <row r="144" spans="1:13" x14ac:dyDescent="0.2">
      <c r="A144" s="1">
        <v>143</v>
      </c>
      <c r="B144" t="s">
        <v>117</v>
      </c>
      <c r="C144">
        <f xml:space="preserve">  72.34</f>
        <v>72.34</v>
      </c>
      <c r="D144">
        <v>8</v>
      </c>
      <c r="E144">
        <v>24</v>
      </c>
      <c r="F144">
        <v>77.849999999999994</v>
      </c>
      <c r="G144">
        <v>0</v>
      </c>
      <c r="H144">
        <v>3</v>
      </c>
      <c r="I144">
        <v>2</v>
      </c>
      <c r="J144">
        <v>6</v>
      </c>
      <c r="K144">
        <v>72.97</v>
      </c>
      <c r="L144">
        <v>71.290000000000006</v>
      </c>
      <c r="M144">
        <v>70.75</v>
      </c>
    </row>
    <row r="145" spans="1:13" x14ac:dyDescent="0.2">
      <c r="A145" s="1">
        <v>144</v>
      </c>
      <c r="B145" t="s">
        <v>808</v>
      </c>
      <c r="C145">
        <f xml:space="preserve">  72.29</f>
        <v>72.290000000000006</v>
      </c>
      <c r="D145">
        <v>18</v>
      </c>
      <c r="E145">
        <v>13</v>
      </c>
      <c r="F145">
        <v>70.23</v>
      </c>
      <c r="G145">
        <v>0</v>
      </c>
      <c r="H145">
        <v>1</v>
      </c>
      <c r="I145">
        <v>0</v>
      </c>
      <c r="J145">
        <v>1</v>
      </c>
      <c r="K145">
        <v>72.11</v>
      </c>
      <c r="L145">
        <v>72.540000000000006</v>
      </c>
      <c r="M145">
        <v>72.69</v>
      </c>
    </row>
    <row r="146" spans="1:13" x14ac:dyDescent="0.2">
      <c r="A146" s="1">
        <v>145</v>
      </c>
      <c r="B146" t="s">
        <v>136</v>
      </c>
      <c r="C146">
        <f xml:space="preserve">  72.26</f>
        <v>72.260000000000005</v>
      </c>
      <c r="D146">
        <v>16</v>
      </c>
      <c r="E146">
        <v>16</v>
      </c>
      <c r="F146">
        <v>72.680000000000007</v>
      </c>
      <c r="G146">
        <v>0</v>
      </c>
      <c r="H146">
        <v>3</v>
      </c>
      <c r="I146">
        <v>0</v>
      </c>
      <c r="J146">
        <v>5</v>
      </c>
      <c r="K146">
        <v>72.069999999999993</v>
      </c>
      <c r="L146">
        <v>72.53</v>
      </c>
      <c r="M146">
        <v>72.66</v>
      </c>
    </row>
    <row r="147" spans="1:13" x14ac:dyDescent="0.2">
      <c r="A147" s="1">
        <v>146</v>
      </c>
      <c r="B147" t="s">
        <v>290</v>
      </c>
      <c r="C147">
        <f xml:space="preserve">  72.16</f>
        <v>72.16</v>
      </c>
      <c r="D147">
        <v>22</v>
      </c>
      <c r="E147">
        <v>11</v>
      </c>
      <c r="F147">
        <v>68.900000000000006</v>
      </c>
      <c r="G147">
        <v>0</v>
      </c>
      <c r="H147">
        <v>2</v>
      </c>
      <c r="I147">
        <v>0</v>
      </c>
      <c r="J147">
        <v>2</v>
      </c>
      <c r="K147">
        <v>72.05</v>
      </c>
      <c r="L147">
        <v>72.31</v>
      </c>
      <c r="M147">
        <v>72.86</v>
      </c>
    </row>
    <row r="148" spans="1:13" x14ac:dyDescent="0.2">
      <c r="A148" s="1">
        <v>147</v>
      </c>
      <c r="B148" t="s">
        <v>238</v>
      </c>
      <c r="C148">
        <f xml:space="preserve">  72.14</f>
        <v>72.14</v>
      </c>
      <c r="D148">
        <v>12</v>
      </c>
      <c r="E148">
        <v>17</v>
      </c>
      <c r="F148">
        <v>72.22</v>
      </c>
      <c r="G148">
        <v>0</v>
      </c>
      <c r="H148">
        <v>1</v>
      </c>
      <c r="I148">
        <v>0</v>
      </c>
      <c r="J148">
        <v>2</v>
      </c>
      <c r="K148">
        <v>72.459999999999994</v>
      </c>
      <c r="L148">
        <v>71.599999999999994</v>
      </c>
      <c r="M148">
        <v>71.25</v>
      </c>
    </row>
    <row r="149" spans="1:13" x14ac:dyDescent="0.2">
      <c r="A149" s="1">
        <v>148</v>
      </c>
      <c r="B149" t="s">
        <v>181</v>
      </c>
      <c r="C149">
        <f xml:space="preserve">  72.08</f>
        <v>72.08</v>
      </c>
      <c r="D149">
        <v>19</v>
      </c>
      <c r="E149">
        <v>15</v>
      </c>
      <c r="F149">
        <v>70.709999999999994</v>
      </c>
      <c r="G149">
        <v>0</v>
      </c>
      <c r="H149">
        <v>1</v>
      </c>
      <c r="I149">
        <v>0</v>
      </c>
      <c r="J149">
        <v>1</v>
      </c>
      <c r="K149">
        <v>72.150000000000006</v>
      </c>
      <c r="L149">
        <v>71.930000000000007</v>
      </c>
      <c r="M149">
        <v>71.89</v>
      </c>
    </row>
    <row r="150" spans="1:13" x14ac:dyDescent="0.2">
      <c r="A150" s="1">
        <v>149</v>
      </c>
      <c r="B150" t="s">
        <v>903</v>
      </c>
      <c r="C150">
        <f xml:space="preserve">  72</f>
        <v>72</v>
      </c>
      <c r="D150">
        <v>20</v>
      </c>
      <c r="E150">
        <v>14</v>
      </c>
      <c r="F150">
        <v>67.510000000000005</v>
      </c>
      <c r="G150">
        <v>0</v>
      </c>
      <c r="H150">
        <v>2</v>
      </c>
      <c r="I150">
        <v>0</v>
      </c>
      <c r="J150">
        <v>2</v>
      </c>
      <c r="K150">
        <v>72.16</v>
      </c>
      <c r="L150">
        <v>71.72</v>
      </c>
      <c r="M150">
        <v>71.77</v>
      </c>
    </row>
    <row r="151" spans="1:13" x14ac:dyDescent="0.2">
      <c r="A151" s="1">
        <v>150</v>
      </c>
      <c r="B151" t="s">
        <v>303</v>
      </c>
      <c r="C151">
        <f xml:space="preserve">  71.94</f>
        <v>71.94</v>
      </c>
      <c r="D151">
        <v>20</v>
      </c>
      <c r="E151">
        <v>12</v>
      </c>
      <c r="F151">
        <v>69.75</v>
      </c>
      <c r="G151">
        <v>0</v>
      </c>
      <c r="H151">
        <v>1</v>
      </c>
      <c r="I151">
        <v>0</v>
      </c>
      <c r="J151">
        <v>1</v>
      </c>
      <c r="K151">
        <v>71.650000000000006</v>
      </c>
      <c r="L151">
        <v>72.37</v>
      </c>
      <c r="M151">
        <v>72.959999999999994</v>
      </c>
    </row>
    <row r="152" spans="1:13" x14ac:dyDescent="0.2">
      <c r="A152" s="1">
        <v>151</v>
      </c>
      <c r="B152" t="s">
        <v>278</v>
      </c>
      <c r="C152">
        <f xml:space="preserve">  71.92</f>
        <v>71.92</v>
      </c>
      <c r="D152">
        <v>22</v>
      </c>
      <c r="E152">
        <v>10</v>
      </c>
      <c r="F152">
        <v>69.63</v>
      </c>
      <c r="G152">
        <v>0</v>
      </c>
      <c r="H152">
        <v>1</v>
      </c>
      <c r="I152">
        <v>0</v>
      </c>
      <c r="J152">
        <v>3</v>
      </c>
      <c r="K152">
        <v>71.45</v>
      </c>
      <c r="L152">
        <v>72.66</v>
      </c>
      <c r="M152">
        <v>73.48</v>
      </c>
    </row>
    <row r="153" spans="1:13" x14ac:dyDescent="0.2">
      <c r="A153" s="1">
        <v>152</v>
      </c>
      <c r="B153" t="s">
        <v>105</v>
      </c>
      <c r="C153">
        <f xml:space="preserve">  71.92</f>
        <v>71.92</v>
      </c>
      <c r="D153">
        <v>20</v>
      </c>
      <c r="E153">
        <v>9</v>
      </c>
      <c r="F153">
        <v>66.8</v>
      </c>
      <c r="G153">
        <v>0</v>
      </c>
      <c r="H153">
        <v>3</v>
      </c>
      <c r="I153">
        <v>0</v>
      </c>
      <c r="J153">
        <v>3</v>
      </c>
      <c r="K153">
        <v>71.760000000000005</v>
      </c>
      <c r="L153">
        <v>72.150000000000006</v>
      </c>
      <c r="M153">
        <v>72.430000000000007</v>
      </c>
    </row>
    <row r="154" spans="1:13" x14ac:dyDescent="0.2">
      <c r="A154" s="1">
        <v>153</v>
      </c>
      <c r="B154" t="s">
        <v>122</v>
      </c>
      <c r="C154">
        <f xml:space="preserve">  71.92</f>
        <v>71.92</v>
      </c>
      <c r="D154">
        <v>9</v>
      </c>
      <c r="E154">
        <v>23</v>
      </c>
      <c r="F154">
        <v>79.22</v>
      </c>
      <c r="G154">
        <v>0</v>
      </c>
      <c r="H154">
        <v>7</v>
      </c>
      <c r="I154">
        <v>1</v>
      </c>
      <c r="J154">
        <v>16</v>
      </c>
      <c r="K154">
        <v>72.150000000000006</v>
      </c>
      <c r="L154">
        <v>71.510000000000005</v>
      </c>
      <c r="M154">
        <v>71.27</v>
      </c>
    </row>
    <row r="155" spans="1:13" x14ac:dyDescent="0.2">
      <c r="A155" s="1">
        <v>154</v>
      </c>
      <c r="B155" t="s">
        <v>273</v>
      </c>
      <c r="C155">
        <f xml:space="preserve">  71.85</f>
        <v>71.849999999999994</v>
      </c>
      <c r="D155">
        <v>10</v>
      </c>
      <c r="E155">
        <v>21</v>
      </c>
      <c r="F155">
        <v>79.11</v>
      </c>
      <c r="G155">
        <v>0</v>
      </c>
      <c r="H155">
        <v>3</v>
      </c>
      <c r="I155">
        <v>0</v>
      </c>
      <c r="J155">
        <v>10</v>
      </c>
      <c r="K155">
        <v>71.44</v>
      </c>
      <c r="L155">
        <v>72.489999999999995</v>
      </c>
      <c r="M155">
        <v>72.31</v>
      </c>
    </row>
    <row r="156" spans="1:13" x14ac:dyDescent="0.2">
      <c r="A156" s="1">
        <v>155</v>
      </c>
      <c r="B156" t="s">
        <v>234</v>
      </c>
      <c r="C156">
        <f xml:space="preserve">  71.85</f>
        <v>71.849999999999994</v>
      </c>
      <c r="D156">
        <v>14</v>
      </c>
      <c r="E156">
        <v>17</v>
      </c>
      <c r="F156">
        <v>72.77</v>
      </c>
      <c r="G156">
        <v>0</v>
      </c>
      <c r="H156">
        <v>3</v>
      </c>
      <c r="I156">
        <v>0</v>
      </c>
      <c r="J156">
        <v>3</v>
      </c>
      <c r="K156">
        <v>72.16</v>
      </c>
      <c r="L156">
        <v>71.319999999999993</v>
      </c>
      <c r="M156">
        <v>71.17</v>
      </c>
    </row>
    <row r="157" spans="1:13" x14ac:dyDescent="0.2">
      <c r="A157" s="1">
        <v>156</v>
      </c>
      <c r="B157" t="s">
        <v>783</v>
      </c>
      <c r="C157">
        <f xml:space="preserve">  71.81</f>
        <v>71.81</v>
      </c>
      <c r="D157">
        <v>11</v>
      </c>
      <c r="E157">
        <v>20</v>
      </c>
      <c r="F157">
        <v>74.78</v>
      </c>
      <c r="G157">
        <v>0</v>
      </c>
      <c r="H157">
        <v>1</v>
      </c>
      <c r="I157">
        <v>0</v>
      </c>
      <c r="J157">
        <v>5</v>
      </c>
      <c r="K157">
        <v>71.900000000000006</v>
      </c>
      <c r="L157">
        <v>71.62</v>
      </c>
      <c r="M157">
        <v>71.17</v>
      </c>
    </row>
    <row r="158" spans="1:13" x14ac:dyDescent="0.2">
      <c r="A158" s="1">
        <v>157</v>
      </c>
      <c r="B158" t="s">
        <v>300</v>
      </c>
      <c r="C158">
        <f xml:space="preserve">  71.77</f>
        <v>71.77</v>
      </c>
      <c r="D158">
        <v>21</v>
      </c>
      <c r="E158">
        <v>12</v>
      </c>
      <c r="F158">
        <v>67.53</v>
      </c>
      <c r="G158">
        <v>0</v>
      </c>
      <c r="H158">
        <v>0</v>
      </c>
      <c r="I158">
        <v>0</v>
      </c>
      <c r="J158">
        <v>1</v>
      </c>
      <c r="K158">
        <v>71.84</v>
      </c>
      <c r="L158">
        <v>71.62</v>
      </c>
      <c r="M158">
        <v>71.739999999999995</v>
      </c>
    </row>
    <row r="159" spans="1:13" x14ac:dyDescent="0.2">
      <c r="A159" s="1">
        <v>158</v>
      </c>
      <c r="B159" t="s">
        <v>551</v>
      </c>
      <c r="C159">
        <v>71.739999999999995</v>
      </c>
      <c r="D159">
        <v>19</v>
      </c>
      <c r="E159">
        <v>12</v>
      </c>
      <c r="F159">
        <v>69.14</v>
      </c>
      <c r="G159">
        <v>0</v>
      </c>
      <c r="H159">
        <v>0</v>
      </c>
      <c r="I159">
        <v>0</v>
      </c>
      <c r="J159">
        <v>1</v>
      </c>
      <c r="K159">
        <v>71.69</v>
      </c>
      <c r="L159">
        <v>71.790000000000006</v>
      </c>
      <c r="M159">
        <v>71.94</v>
      </c>
    </row>
    <row r="160" spans="1:13" x14ac:dyDescent="0.2">
      <c r="A160" s="1">
        <v>159</v>
      </c>
      <c r="B160" t="s">
        <v>194</v>
      </c>
      <c r="C160">
        <f xml:space="preserve">  71.63</f>
        <v>71.63</v>
      </c>
      <c r="D160">
        <v>15</v>
      </c>
      <c r="E160">
        <v>16</v>
      </c>
      <c r="F160">
        <v>71.86</v>
      </c>
      <c r="G160">
        <v>0</v>
      </c>
      <c r="H160">
        <v>0</v>
      </c>
      <c r="I160">
        <v>1</v>
      </c>
      <c r="J160">
        <v>0</v>
      </c>
      <c r="K160">
        <v>71.81</v>
      </c>
      <c r="L160">
        <v>71.31</v>
      </c>
      <c r="M160">
        <v>71.040000000000006</v>
      </c>
    </row>
    <row r="161" spans="1:13" x14ac:dyDescent="0.2">
      <c r="A161" s="1">
        <v>160</v>
      </c>
      <c r="B161" t="s">
        <v>862</v>
      </c>
      <c r="C161">
        <f xml:space="preserve">  71.6</f>
        <v>71.599999999999994</v>
      </c>
      <c r="D161">
        <v>17</v>
      </c>
      <c r="E161">
        <v>11</v>
      </c>
      <c r="F161">
        <v>69.930000000000007</v>
      </c>
      <c r="G161">
        <v>0</v>
      </c>
      <c r="H161">
        <v>0</v>
      </c>
      <c r="I161">
        <v>0</v>
      </c>
      <c r="J161">
        <v>2</v>
      </c>
      <c r="K161">
        <v>71.430000000000007</v>
      </c>
      <c r="L161">
        <v>71.849999999999994</v>
      </c>
      <c r="M161">
        <v>71.849999999999994</v>
      </c>
    </row>
    <row r="162" spans="1:13" x14ac:dyDescent="0.2">
      <c r="A162" s="1">
        <v>161</v>
      </c>
      <c r="B162" t="s">
        <v>814</v>
      </c>
      <c r="C162">
        <f xml:space="preserve">  71.59</f>
        <v>71.59</v>
      </c>
      <c r="D162">
        <v>18</v>
      </c>
      <c r="E162">
        <v>12</v>
      </c>
      <c r="F162">
        <v>70.13</v>
      </c>
      <c r="G162">
        <v>0</v>
      </c>
      <c r="H162">
        <v>0</v>
      </c>
      <c r="I162">
        <v>0</v>
      </c>
      <c r="J162">
        <v>0</v>
      </c>
      <c r="K162">
        <v>71.34</v>
      </c>
      <c r="L162">
        <v>71.959999999999994</v>
      </c>
      <c r="M162">
        <v>72.19</v>
      </c>
    </row>
    <row r="163" spans="1:13" x14ac:dyDescent="0.2">
      <c r="A163" s="1">
        <v>162</v>
      </c>
      <c r="B163" t="s">
        <v>294</v>
      </c>
      <c r="C163">
        <f xml:space="preserve">  71.42</f>
        <v>71.42</v>
      </c>
      <c r="D163">
        <v>20</v>
      </c>
      <c r="E163">
        <v>15</v>
      </c>
      <c r="F163">
        <v>69.23</v>
      </c>
      <c r="G163">
        <v>0</v>
      </c>
      <c r="H163">
        <v>1</v>
      </c>
      <c r="I163">
        <v>0</v>
      </c>
      <c r="J163">
        <v>1</v>
      </c>
      <c r="K163">
        <v>71.41</v>
      </c>
      <c r="L163">
        <v>71.400000000000006</v>
      </c>
      <c r="M163">
        <v>72.010000000000005</v>
      </c>
    </row>
    <row r="164" spans="1:13" x14ac:dyDescent="0.2">
      <c r="A164" s="1">
        <v>163</v>
      </c>
      <c r="B164" t="s">
        <v>836</v>
      </c>
      <c r="C164">
        <f xml:space="preserve">  71.42</f>
        <v>71.42</v>
      </c>
      <c r="D164">
        <v>15</v>
      </c>
      <c r="E164">
        <v>13</v>
      </c>
      <c r="F164">
        <v>69.319999999999993</v>
      </c>
      <c r="G164">
        <v>0</v>
      </c>
      <c r="H164">
        <v>1</v>
      </c>
      <c r="I164">
        <v>0</v>
      </c>
      <c r="J164">
        <v>2</v>
      </c>
      <c r="K164">
        <v>71.42</v>
      </c>
      <c r="L164">
        <v>71.38</v>
      </c>
      <c r="M164">
        <v>71.25</v>
      </c>
    </row>
    <row r="165" spans="1:13" x14ac:dyDescent="0.2">
      <c r="A165" s="1">
        <v>164</v>
      </c>
      <c r="B165" t="s">
        <v>97</v>
      </c>
      <c r="C165">
        <f xml:space="preserve">  71.32</f>
        <v>71.319999999999993</v>
      </c>
      <c r="D165">
        <v>9</v>
      </c>
      <c r="E165">
        <v>23</v>
      </c>
      <c r="F165">
        <v>78.25</v>
      </c>
      <c r="G165">
        <v>0</v>
      </c>
      <c r="H165">
        <v>2</v>
      </c>
      <c r="I165">
        <v>0</v>
      </c>
      <c r="J165">
        <v>14</v>
      </c>
      <c r="K165">
        <v>71.849999999999994</v>
      </c>
      <c r="L165">
        <v>70.44</v>
      </c>
      <c r="M165">
        <v>69.849999999999994</v>
      </c>
    </row>
    <row r="166" spans="1:13" x14ac:dyDescent="0.2">
      <c r="A166" s="1">
        <v>165</v>
      </c>
      <c r="B166" t="s">
        <v>245</v>
      </c>
      <c r="C166">
        <f xml:space="preserve">  71.25</f>
        <v>71.25</v>
      </c>
      <c r="D166">
        <v>15</v>
      </c>
      <c r="E166">
        <v>16</v>
      </c>
      <c r="F166">
        <v>71.59</v>
      </c>
      <c r="G166">
        <v>0</v>
      </c>
      <c r="H166">
        <v>2</v>
      </c>
      <c r="I166">
        <v>0</v>
      </c>
      <c r="J166">
        <v>2</v>
      </c>
      <c r="K166">
        <v>71.36</v>
      </c>
      <c r="L166">
        <v>71.05</v>
      </c>
      <c r="M166">
        <v>71.28</v>
      </c>
    </row>
    <row r="167" spans="1:13" x14ac:dyDescent="0.2">
      <c r="A167" s="1">
        <v>166</v>
      </c>
      <c r="B167" t="s">
        <v>287</v>
      </c>
      <c r="C167">
        <f xml:space="preserve">  71.21</f>
        <v>71.209999999999994</v>
      </c>
      <c r="D167">
        <v>13</v>
      </c>
      <c r="E167">
        <v>15</v>
      </c>
      <c r="F167">
        <v>70.44</v>
      </c>
      <c r="G167">
        <v>0</v>
      </c>
      <c r="H167">
        <v>1</v>
      </c>
      <c r="I167">
        <v>0</v>
      </c>
      <c r="J167">
        <v>2</v>
      </c>
      <c r="K167">
        <v>71.489999999999995</v>
      </c>
      <c r="L167">
        <v>70.72</v>
      </c>
      <c r="M167">
        <v>70.64</v>
      </c>
    </row>
    <row r="168" spans="1:13" x14ac:dyDescent="0.2">
      <c r="A168" s="1">
        <v>167</v>
      </c>
      <c r="B168" t="s">
        <v>813</v>
      </c>
      <c r="C168">
        <f xml:space="preserve">  71.2</f>
        <v>71.2</v>
      </c>
      <c r="D168">
        <v>20</v>
      </c>
      <c r="E168">
        <v>13</v>
      </c>
      <c r="F168">
        <v>69.2</v>
      </c>
      <c r="G168">
        <v>0</v>
      </c>
      <c r="H168">
        <v>0</v>
      </c>
      <c r="I168">
        <v>0</v>
      </c>
      <c r="J168">
        <v>0</v>
      </c>
      <c r="K168">
        <v>70.959999999999994</v>
      </c>
      <c r="L168">
        <v>71.55</v>
      </c>
      <c r="M168">
        <v>71.78</v>
      </c>
    </row>
    <row r="169" spans="1:13" x14ac:dyDescent="0.2">
      <c r="A169" s="1">
        <v>168</v>
      </c>
      <c r="B169" t="s">
        <v>172</v>
      </c>
      <c r="C169">
        <f xml:space="preserve">  71.06</f>
        <v>71.06</v>
      </c>
      <c r="D169">
        <v>14</v>
      </c>
      <c r="E169">
        <v>15</v>
      </c>
      <c r="F169">
        <v>72.3</v>
      </c>
      <c r="G169">
        <v>0</v>
      </c>
      <c r="H169">
        <v>4</v>
      </c>
      <c r="I169">
        <v>0</v>
      </c>
      <c r="J169">
        <v>4</v>
      </c>
      <c r="K169">
        <v>70.900000000000006</v>
      </c>
      <c r="L169">
        <v>71.290000000000006</v>
      </c>
      <c r="M169">
        <v>71.47</v>
      </c>
    </row>
    <row r="170" spans="1:13" x14ac:dyDescent="0.2">
      <c r="A170" s="1">
        <v>169</v>
      </c>
      <c r="B170" t="s">
        <v>66</v>
      </c>
      <c r="C170">
        <f xml:space="preserve">  71.01</f>
        <v>71.010000000000005</v>
      </c>
      <c r="D170">
        <v>16</v>
      </c>
      <c r="E170">
        <v>16</v>
      </c>
      <c r="F170">
        <v>69.92</v>
      </c>
      <c r="G170">
        <v>0</v>
      </c>
      <c r="H170">
        <v>2</v>
      </c>
      <c r="I170">
        <v>0</v>
      </c>
      <c r="J170">
        <v>2</v>
      </c>
      <c r="K170">
        <v>71.14</v>
      </c>
      <c r="L170">
        <v>70.760000000000005</v>
      </c>
      <c r="M170">
        <v>70.06</v>
      </c>
    </row>
    <row r="171" spans="1:13" x14ac:dyDescent="0.2">
      <c r="A171" s="1">
        <v>170</v>
      </c>
      <c r="B171" t="s">
        <v>123</v>
      </c>
      <c r="C171">
        <f xml:space="preserve">  70.96</f>
        <v>70.959999999999994</v>
      </c>
      <c r="D171">
        <v>13</v>
      </c>
      <c r="E171">
        <v>17</v>
      </c>
      <c r="F171">
        <v>71.459999999999994</v>
      </c>
      <c r="G171">
        <v>0</v>
      </c>
      <c r="H171">
        <v>0</v>
      </c>
      <c r="I171">
        <v>0</v>
      </c>
      <c r="J171">
        <v>2</v>
      </c>
      <c r="K171">
        <v>71.239999999999995</v>
      </c>
      <c r="L171">
        <v>70.48</v>
      </c>
      <c r="M171">
        <v>70.459999999999994</v>
      </c>
    </row>
    <row r="172" spans="1:13" x14ac:dyDescent="0.2">
      <c r="A172" s="1">
        <v>171</v>
      </c>
      <c r="B172" t="s">
        <v>807</v>
      </c>
      <c r="C172">
        <f xml:space="preserve">  70.95</f>
        <v>70.95</v>
      </c>
      <c r="D172">
        <v>12</v>
      </c>
      <c r="E172">
        <v>18</v>
      </c>
      <c r="F172">
        <v>77.39</v>
      </c>
      <c r="G172">
        <v>0</v>
      </c>
      <c r="H172">
        <v>5</v>
      </c>
      <c r="I172">
        <v>0</v>
      </c>
      <c r="J172">
        <v>9</v>
      </c>
      <c r="K172">
        <v>70.680000000000007</v>
      </c>
      <c r="L172">
        <v>71.34</v>
      </c>
      <c r="M172">
        <v>71.48</v>
      </c>
    </row>
    <row r="173" spans="1:13" x14ac:dyDescent="0.2">
      <c r="A173" s="1">
        <v>172</v>
      </c>
      <c r="B173" t="s">
        <v>265</v>
      </c>
      <c r="C173">
        <f xml:space="preserve">  70.88</f>
        <v>70.88</v>
      </c>
      <c r="D173">
        <v>19</v>
      </c>
      <c r="E173">
        <v>10</v>
      </c>
      <c r="F173">
        <v>67.23</v>
      </c>
      <c r="G173">
        <v>0</v>
      </c>
      <c r="H173">
        <v>1</v>
      </c>
      <c r="I173">
        <v>0</v>
      </c>
      <c r="J173">
        <v>1</v>
      </c>
      <c r="K173">
        <v>70.75</v>
      </c>
      <c r="L173">
        <v>71.05</v>
      </c>
      <c r="M173">
        <v>71.5</v>
      </c>
    </row>
    <row r="174" spans="1:13" x14ac:dyDescent="0.2">
      <c r="A174" s="1">
        <v>173</v>
      </c>
      <c r="B174" t="s">
        <v>904</v>
      </c>
      <c r="C174">
        <f xml:space="preserve">  70.87</f>
        <v>70.87</v>
      </c>
      <c r="D174">
        <v>17</v>
      </c>
      <c r="E174">
        <v>14</v>
      </c>
      <c r="F174">
        <v>71.14</v>
      </c>
      <c r="G174">
        <v>0</v>
      </c>
      <c r="H174">
        <v>1</v>
      </c>
      <c r="I174">
        <v>0</v>
      </c>
      <c r="J174">
        <v>2</v>
      </c>
      <c r="K174">
        <v>70.599999999999994</v>
      </c>
      <c r="L174">
        <v>71.28</v>
      </c>
      <c r="M174">
        <v>71.56</v>
      </c>
    </row>
    <row r="175" spans="1:13" x14ac:dyDescent="0.2">
      <c r="A175" s="1">
        <v>174</v>
      </c>
      <c r="B175" t="s">
        <v>196</v>
      </c>
      <c r="C175">
        <f xml:space="preserve">  70.8</f>
        <v>70.8</v>
      </c>
      <c r="D175">
        <v>17</v>
      </c>
      <c r="E175">
        <v>17</v>
      </c>
      <c r="F175">
        <v>70.510000000000005</v>
      </c>
      <c r="G175">
        <v>0</v>
      </c>
      <c r="H175">
        <v>1</v>
      </c>
      <c r="I175">
        <v>0</v>
      </c>
      <c r="J175">
        <v>1</v>
      </c>
      <c r="K175">
        <v>70.849999999999994</v>
      </c>
      <c r="L175">
        <v>70.69</v>
      </c>
      <c r="M175">
        <v>70.709999999999994</v>
      </c>
    </row>
    <row r="176" spans="1:13" x14ac:dyDescent="0.2">
      <c r="A176" s="1">
        <v>175</v>
      </c>
      <c r="B176" t="s">
        <v>275</v>
      </c>
      <c r="C176">
        <f xml:space="preserve">  70.79</f>
        <v>70.790000000000006</v>
      </c>
      <c r="D176">
        <v>15</v>
      </c>
      <c r="E176">
        <v>18</v>
      </c>
      <c r="F176">
        <v>72.98</v>
      </c>
      <c r="G176">
        <v>0</v>
      </c>
      <c r="H176">
        <v>5</v>
      </c>
      <c r="I176">
        <v>0</v>
      </c>
      <c r="J176">
        <v>5</v>
      </c>
      <c r="K176">
        <v>70.66</v>
      </c>
      <c r="L176">
        <v>70.97</v>
      </c>
      <c r="M176">
        <v>71.03</v>
      </c>
    </row>
    <row r="177" spans="1:13" x14ac:dyDescent="0.2">
      <c r="A177" s="1">
        <v>176</v>
      </c>
      <c r="B177" t="s">
        <v>816</v>
      </c>
      <c r="C177">
        <f xml:space="preserve">  70.7</f>
        <v>70.7</v>
      </c>
      <c r="D177">
        <v>18</v>
      </c>
      <c r="E177">
        <v>14</v>
      </c>
      <c r="F177">
        <v>68.010000000000005</v>
      </c>
      <c r="G177">
        <v>0</v>
      </c>
      <c r="H177">
        <v>0</v>
      </c>
      <c r="I177">
        <v>0</v>
      </c>
      <c r="J177">
        <v>0</v>
      </c>
      <c r="K177">
        <v>70.64</v>
      </c>
      <c r="L177">
        <v>70.77</v>
      </c>
      <c r="M177">
        <v>70.73</v>
      </c>
    </row>
    <row r="178" spans="1:13" x14ac:dyDescent="0.2">
      <c r="A178" s="1">
        <v>177</v>
      </c>
      <c r="B178" t="s">
        <v>146</v>
      </c>
      <c r="C178">
        <f xml:space="preserve">  70.65</f>
        <v>70.650000000000006</v>
      </c>
      <c r="D178">
        <v>14</v>
      </c>
      <c r="E178">
        <v>17</v>
      </c>
      <c r="F178">
        <v>70.400000000000006</v>
      </c>
      <c r="G178">
        <v>0</v>
      </c>
      <c r="H178">
        <v>1</v>
      </c>
      <c r="I178">
        <v>0</v>
      </c>
      <c r="J178">
        <v>2</v>
      </c>
      <c r="K178">
        <v>71.040000000000006</v>
      </c>
      <c r="L178">
        <v>69.98</v>
      </c>
      <c r="M178">
        <v>70.2</v>
      </c>
    </row>
    <row r="179" spans="1:13" x14ac:dyDescent="0.2">
      <c r="A179" s="1">
        <v>178</v>
      </c>
      <c r="B179" t="s">
        <v>259</v>
      </c>
      <c r="C179">
        <f xml:space="preserve">  70.64</f>
        <v>70.64</v>
      </c>
      <c r="D179">
        <v>16</v>
      </c>
      <c r="E179">
        <v>14</v>
      </c>
      <c r="F179">
        <v>69.540000000000006</v>
      </c>
      <c r="G179">
        <v>0</v>
      </c>
      <c r="H179">
        <v>1</v>
      </c>
      <c r="I179">
        <v>0</v>
      </c>
      <c r="J179">
        <v>2</v>
      </c>
      <c r="K179">
        <v>70.45</v>
      </c>
      <c r="L179">
        <v>70.900000000000006</v>
      </c>
      <c r="M179">
        <v>70.91</v>
      </c>
    </row>
    <row r="180" spans="1:13" x14ac:dyDescent="0.2">
      <c r="A180" s="1">
        <v>179</v>
      </c>
      <c r="B180" t="s">
        <v>282</v>
      </c>
      <c r="C180">
        <f xml:space="preserve">  70.53</f>
        <v>70.53</v>
      </c>
      <c r="D180">
        <v>13</v>
      </c>
      <c r="E180">
        <v>17</v>
      </c>
      <c r="F180">
        <v>71.02</v>
      </c>
      <c r="G180">
        <v>0</v>
      </c>
      <c r="H180">
        <v>1</v>
      </c>
      <c r="I180">
        <v>0</v>
      </c>
      <c r="J180">
        <v>2</v>
      </c>
      <c r="K180">
        <v>70.69</v>
      </c>
      <c r="L180">
        <v>70.25</v>
      </c>
      <c r="M180">
        <v>70.27</v>
      </c>
    </row>
    <row r="181" spans="1:13" x14ac:dyDescent="0.2">
      <c r="A181" s="1">
        <v>180</v>
      </c>
      <c r="B181" t="s">
        <v>859</v>
      </c>
      <c r="C181">
        <f xml:space="preserve">  70.46</f>
        <v>70.459999999999994</v>
      </c>
      <c r="D181">
        <v>16</v>
      </c>
      <c r="E181">
        <v>17</v>
      </c>
      <c r="F181">
        <v>71.02</v>
      </c>
      <c r="G181">
        <v>0</v>
      </c>
      <c r="H181">
        <v>2</v>
      </c>
      <c r="I181">
        <v>0</v>
      </c>
      <c r="J181">
        <v>2</v>
      </c>
      <c r="K181">
        <v>70.41</v>
      </c>
      <c r="L181">
        <v>70.52</v>
      </c>
      <c r="M181">
        <v>70.59</v>
      </c>
    </row>
    <row r="182" spans="1:13" x14ac:dyDescent="0.2">
      <c r="A182" s="1">
        <v>181</v>
      </c>
      <c r="B182" t="s">
        <v>240</v>
      </c>
      <c r="C182">
        <f xml:space="preserve">  70.23</f>
        <v>70.23</v>
      </c>
      <c r="D182">
        <v>22</v>
      </c>
      <c r="E182">
        <v>9</v>
      </c>
      <c r="F182">
        <v>61.38</v>
      </c>
      <c r="G182">
        <v>0</v>
      </c>
      <c r="H182">
        <v>0</v>
      </c>
      <c r="I182">
        <v>0</v>
      </c>
      <c r="J182">
        <v>0</v>
      </c>
      <c r="K182">
        <v>70.3</v>
      </c>
      <c r="L182">
        <v>70.08</v>
      </c>
      <c r="M182">
        <v>70.39</v>
      </c>
    </row>
    <row r="183" spans="1:13" x14ac:dyDescent="0.2">
      <c r="A183" s="1">
        <v>182</v>
      </c>
      <c r="B183" t="s">
        <v>209</v>
      </c>
      <c r="C183">
        <f xml:space="preserve">  70.21</f>
        <v>70.209999999999994</v>
      </c>
      <c r="D183">
        <v>17</v>
      </c>
      <c r="E183">
        <v>13</v>
      </c>
      <c r="F183">
        <v>67.739999999999995</v>
      </c>
      <c r="G183">
        <v>0</v>
      </c>
      <c r="H183">
        <v>1</v>
      </c>
      <c r="I183">
        <v>0</v>
      </c>
      <c r="J183">
        <v>1</v>
      </c>
      <c r="K183">
        <v>70.540000000000006</v>
      </c>
      <c r="L183">
        <v>69.650000000000006</v>
      </c>
      <c r="M183">
        <v>69.84</v>
      </c>
    </row>
    <row r="184" spans="1:13" x14ac:dyDescent="0.2">
      <c r="A184" s="1">
        <v>183</v>
      </c>
      <c r="B184" t="s">
        <v>142</v>
      </c>
      <c r="C184">
        <f xml:space="preserve">  70.16</f>
        <v>70.16</v>
      </c>
      <c r="D184">
        <v>14</v>
      </c>
      <c r="E184">
        <v>17</v>
      </c>
      <c r="F184">
        <v>70.34</v>
      </c>
      <c r="G184">
        <v>0</v>
      </c>
      <c r="H184">
        <v>1</v>
      </c>
      <c r="I184">
        <v>0</v>
      </c>
      <c r="J184">
        <v>1</v>
      </c>
      <c r="K184">
        <v>70.22</v>
      </c>
      <c r="L184">
        <v>70.03</v>
      </c>
      <c r="M184">
        <v>69.94</v>
      </c>
    </row>
    <row r="185" spans="1:13" x14ac:dyDescent="0.2">
      <c r="A185" s="1">
        <v>184</v>
      </c>
      <c r="B185" t="s">
        <v>829</v>
      </c>
      <c r="C185">
        <f xml:space="preserve">  70.07</f>
        <v>70.069999999999993</v>
      </c>
      <c r="D185">
        <v>18</v>
      </c>
      <c r="E185">
        <v>15</v>
      </c>
      <c r="F185">
        <v>69.650000000000006</v>
      </c>
      <c r="G185">
        <v>0</v>
      </c>
      <c r="H185">
        <v>1</v>
      </c>
      <c r="I185">
        <v>0</v>
      </c>
      <c r="J185">
        <v>3</v>
      </c>
      <c r="K185">
        <v>69.97</v>
      </c>
      <c r="L185">
        <v>70.19</v>
      </c>
      <c r="M185">
        <v>70.86</v>
      </c>
    </row>
    <row r="186" spans="1:13" x14ac:dyDescent="0.2">
      <c r="A186" s="1">
        <v>185</v>
      </c>
      <c r="B186" t="s">
        <v>821</v>
      </c>
      <c r="C186">
        <f xml:space="preserve">  69.86</f>
        <v>69.86</v>
      </c>
      <c r="D186">
        <v>10</v>
      </c>
      <c r="E186">
        <v>20</v>
      </c>
      <c r="F186">
        <v>73.790000000000006</v>
      </c>
      <c r="G186">
        <v>0</v>
      </c>
      <c r="H186">
        <v>3</v>
      </c>
      <c r="I186">
        <v>1</v>
      </c>
      <c r="J186">
        <v>3</v>
      </c>
      <c r="K186">
        <v>70.319999999999993</v>
      </c>
      <c r="L186">
        <v>69.069999999999993</v>
      </c>
      <c r="M186">
        <v>68.52</v>
      </c>
    </row>
    <row r="187" spans="1:13" x14ac:dyDescent="0.2">
      <c r="A187" s="1">
        <v>186</v>
      </c>
      <c r="B187" t="s">
        <v>289</v>
      </c>
      <c r="C187">
        <f xml:space="preserve">  69.85</f>
        <v>69.849999999999994</v>
      </c>
      <c r="D187">
        <v>18</v>
      </c>
      <c r="E187">
        <v>16</v>
      </c>
      <c r="F187">
        <v>68.7</v>
      </c>
      <c r="G187">
        <v>0</v>
      </c>
      <c r="H187">
        <v>2</v>
      </c>
      <c r="I187">
        <v>0</v>
      </c>
      <c r="J187">
        <v>2</v>
      </c>
      <c r="K187">
        <v>70.03</v>
      </c>
      <c r="L187">
        <v>69.53</v>
      </c>
      <c r="M187">
        <v>69.59</v>
      </c>
    </row>
    <row r="188" spans="1:13" x14ac:dyDescent="0.2">
      <c r="A188" s="1">
        <v>187</v>
      </c>
      <c r="B188" t="s">
        <v>887</v>
      </c>
      <c r="C188">
        <v>69.8</v>
      </c>
      <c r="D188">
        <v>21</v>
      </c>
      <c r="E188">
        <v>12</v>
      </c>
      <c r="F188">
        <v>66.209999999999994</v>
      </c>
      <c r="G188">
        <v>0</v>
      </c>
      <c r="H188">
        <v>2</v>
      </c>
      <c r="I188">
        <v>0</v>
      </c>
      <c r="J188">
        <v>2</v>
      </c>
      <c r="K188">
        <v>69.58</v>
      </c>
      <c r="L188">
        <v>70.12</v>
      </c>
      <c r="M188">
        <v>70.61</v>
      </c>
    </row>
    <row r="189" spans="1:13" x14ac:dyDescent="0.2">
      <c r="A189" s="1">
        <v>188</v>
      </c>
      <c r="B189" t="s">
        <v>212</v>
      </c>
      <c r="C189">
        <f xml:space="preserve">  69.75</f>
        <v>69.75</v>
      </c>
      <c r="D189">
        <v>18</v>
      </c>
      <c r="E189">
        <v>16</v>
      </c>
      <c r="F189">
        <v>69.22</v>
      </c>
      <c r="G189">
        <v>0</v>
      </c>
      <c r="H189">
        <v>1</v>
      </c>
      <c r="I189">
        <v>0</v>
      </c>
      <c r="J189">
        <v>1</v>
      </c>
      <c r="K189">
        <v>69.790000000000006</v>
      </c>
      <c r="L189">
        <v>69.650000000000006</v>
      </c>
      <c r="M189">
        <v>69.75</v>
      </c>
    </row>
    <row r="190" spans="1:13" x14ac:dyDescent="0.2">
      <c r="A190" s="1">
        <v>189</v>
      </c>
      <c r="B190" t="s">
        <v>184</v>
      </c>
      <c r="C190">
        <f xml:space="preserve">  69.67</f>
        <v>69.67</v>
      </c>
      <c r="D190">
        <v>20</v>
      </c>
      <c r="E190">
        <v>12</v>
      </c>
      <c r="F190">
        <v>67.52</v>
      </c>
      <c r="G190">
        <v>0</v>
      </c>
      <c r="H190">
        <v>0</v>
      </c>
      <c r="I190">
        <v>0</v>
      </c>
      <c r="J190">
        <v>2</v>
      </c>
      <c r="K190">
        <v>69.42</v>
      </c>
      <c r="L190">
        <v>70.05</v>
      </c>
      <c r="M190">
        <v>70.38</v>
      </c>
    </row>
    <row r="191" spans="1:13" x14ac:dyDescent="0.2">
      <c r="A191" s="1">
        <v>190</v>
      </c>
      <c r="B191" t="s">
        <v>241</v>
      </c>
      <c r="C191">
        <f xml:space="preserve">  69.65</f>
        <v>69.650000000000006</v>
      </c>
      <c r="D191">
        <v>16</v>
      </c>
      <c r="E191">
        <v>14</v>
      </c>
      <c r="F191">
        <v>68.930000000000007</v>
      </c>
      <c r="G191">
        <v>0</v>
      </c>
      <c r="H191">
        <v>0</v>
      </c>
      <c r="I191">
        <v>0</v>
      </c>
      <c r="J191">
        <v>0</v>
      </c>
      <c r="K191">
        <v>69.66</v>
      </c>
      <c r="L191">
        <v>69.61</v>
      </c>
      <c r="M191">
        <v>69.739999999999995</v>
      </c>
    </row>
    <row r="192" spans="1:13" x14ac:dyDescent="0.2">
      <c r="A192" s="1">
        <v>191</v>
      </c>
      <c r="B192" t="s">
        <v>288</v>
      </c>
      <c r="C192">
        <f xml:space="preserve">  69.64</f>
        <v>69.64</v>
      </c>
      <c r="D192">
        <v>12</v>
      </c>
      <c r="E192">
        <v>19</v>
      </c>
      <c r="F192">
        <v>72.92</v>
      </c>
      <c r="G192">
        <v>0</v>
      </c>
      <c r="H192">
        <v>0</v>
      </c>
      <c r="I192">
        <v>2</v>
      </c>
      <c r="J192">
        <v>1</v>
      </c>
      <c r="K192">
        <v>69.48</v>
      </c>
      <c r="L192">
        <v>69.86</v>
      </c>
      <c r="M192">
        <v>69.900000000000006</v>
      </c>
    </row>
    <row r="193" spans="1:13" x14ac:dyDescent="0.2">
      <c r="A193" s="1">
        <v>192</v>
      </c>
      <c r="B193" t="s">
        <v>192</v>
      </c>
      <c r="C193">
        <f xml:space="preserve">  69.61</f>
        <v>69.61</v>
      </c>
      <c r="D193">
        <v>16</v>
      </c>
      <c r="E193">
        <v>16</v>
      </c>
      <c r="F193">
        <v>67.81</v>
      </c>
      <c r="G193">
        <v>0</v>
      </c>
      <c r="H193">
        <v>1</v>
      </c>
      <c r="I193">
        <v>0</v>
      </c>
      <c r="J193">
        <v>1</v>
      </c>
      <c r="K193">
        <v>69.84</v>
      </c>
      <c r="L193">
        <v>69.19</v>
      </c>
      <c r="M193">
        <v>69.010000000000005</v>
      </c>
    </row>
    <row r="194" spans="1:13" x14ac:dyDescent="0.2">
      <c r="A194" s="1">
        <v>193</v>
      </c>
      <c r="B194" t="s">
        <v>894</v>
      </c>
      <c r="C194">
        <f xml:space="preserve">  69.58</f>
        <v>69.58</v>
      </c>
      <c r="D194">
        <v>17</v>
      </c>
      <c r="E194">
        <v>14</v>
      </c>
      <c r="F194">
        <v>68.08</v>
      </c>
      <c r="G194">
        <v>0</v>
      </c>
      <c r="H194">
        <v>0</v>
      </c>
      <c r="I194">
        <v>0</v>
      </c>
      <c r="J194">
        <v>1</v>
      </c>
      <c r="K194">
        <v>69.599999999999994</v>
      </c>
      <c r="L194">
        <v>69.5</v>
      </c>
      <c r="M194">
        <v>69.489999999999995</v>
      </c>
    </row>
    <row r="195" spans="1:13" x14ac:dyDescent="0.2">
      <c r="A195" s="1">
        <v>194</v>
      </c>
      <c r="B195" t="s">
        <v>197</v>
      </c>
      <c r="C195">
        <f xml:space="preserve">  69.56</f>
        <v>69.56</v>
      </c>
      <c r="D195">
        <v>17</v>
      </c>
      <c r="E195">
        <v>12</v>
      </c>
      <c r="F195">
        <v>67.489999999999995</v>
      </c>
      <c r="G195">
        <v>0</v>
      </c>
      <c r="H195">
        <v>1</v>
      </c>
      <c r="I195">
        <v>0</v>
      </c>
      <c r="J195">
        <v>1</v>
      </c>
      <c r="K195">
        <v>69.19</v>
      </c>
      <c r="L195">
        <v>70.11</v>
      </c>
      <c r="M195">
        <v>70.41</v>
      </c>
    </row>
    <row r="196" spans="1:13" x14ac:dyDescent="0.2">
      <c r="A196" s="1">
        <v>195</v>
      </c>
      <c r="B196" t="s">
        <v>861</v>
      </c>
      <c r="C196">
        <f xml:space="preserve">  69.52</f>
        <v>69.52</v>
      </c>
      <c r="D196">
        <v>20</v>
      </c>
      <c r="E196">
        <v>14</v>
      </c>
      <c r="F196">
        <v>67.92</v>
      </c>
      <c r="G196">
        <v>0</v>
      </c>
      <c r="H196">
        <v>0</v>
      </c>
      <c r="I196">
        <v>0</v>
      </c>
      <c r="J196">
        <v>0</v>
      </c>
      <c r="K196">
        <v>69.510000000000005</v>
      </c>
      <c r="L196">
        <v>69.5</v>
      </c>
      <c r="M196">
        <v>70.069999999999993</v>
      </c>
    </row>
    <row r="197" spans="1:13" x14ac:dyDescent="0.2">
      <c r="A197" s="1">
        <v>196</v>
      </c>
      <c r="B197" t="s">
        <v>798</v>
      </c>
      <c r="C197">
        <f xml:space="preserve">  69.48</f>
        <v>69.48</v>
      </c>
      <c r="D197">
        <v>14</v>
      </c>
      <c r="E197">
        <v>17</v>
      </c>
      <c r="F197">
        <v>68.48</v>
      </c>
      <c r="G197">
        <v>0</v>
      </c>
      <c r="H197">
        <v>0</v>
      </c>
      <c r="I197">
        <v>0</v>
      </c>
      <c r="J197">
        <v>0</v>
      </c>
      <c r="K197">
        <v>69.75</v>
      </c>
      <c r="L197">
        <v>69.010000000000005</v>
      </c>
      <c r="M197">
        <v>68.61</v>
      </c>
    </row>
    <row r="198" spans="1:13" x14ac:dyDescent="0.2">
      <c r="A198" s="1">
        <v>197</v>
      </c>
      <c r="B198" t="s">
        <v>200</v>
      </c>
      <c r="C198">
        <f xml:space="preserve">  69.43</f>
        <v>69.430000000000007</v>
      </c>
      <c r="D198">
        <v>16</v>
      </c>
      <c r="E198">
        <v>15</v>
      </c>
      <c r="F198">
        <v>70.02</v>
      </c>
      <c r="G198">
        <v>0</v>
      </c>
      <c r="H198">
        <v>0</v>
      </c>
      <c r="I198">
        <v>0</v>
      </c>
      <c r="J198">
        <v>1</v>
      </c>
      <c r="K198">
        <v>69.17</v>
      </c>
      <c r="L198">
        <v>69.81</v>
      </c>
      <c r="M198">
        <v>69.84</v>
      </c>
    </row>
    <row r="199" spans="1:13" x14ac:dyDescent="0.2">
      <c r="A199" s="1">
        <v>198</v>
      </c>
      <c r="B199" t="s">
        <v>291</v>
      </c>
      <c r="C199">
        <f xml:space="preserve">  69.32</f>
        <v>69.319999999999993</v>
      </c>
      <c r="D199">
        <v>16</v>
      </c>
      <c r="E199">
        <v>14</v>
      </c>
      <c r="F199">
        <v>66.88</v>
      </c>
      <c r="G199">
        <v>0</v>
      </c>
      <c r="H199">
        <v>1</v>
      </c>
      <c r="I199">
        <v>0</v>
      </c>
      <c r="J199">
        <v>2</v>
      </c>
      <c r="K199">
        <v>69.510000000000005</v>
      </c>
      <c r="L199">
        <v>68.97</v>
      </c>
      <c r="M199">
        <v>69.11</v>
      </c>
    </row>
    <row r="200" spans="1:13" x14ac:dyDescent="0.2">
      <c r="A200" s="1">
        <v>199</v>
      </c>
      <c r="B200" t="s">
        <v>236</v>
      </c>
      <c r="C200">
        <f xml:space="preserve">  69.16</f>
        <v>69.16</v>
      </c>
      <c r="D200">
        <v>12</v>
      </c>
      <c r="E200">
        <v>17</v>
      </c>
      <c r="F200">
        <v>70.12</v>
      </c>
      <c r="G200">
        <v>0</v>
      </c>
      <c r="H200">
        <v>0</v>
      </c>
      <c r="I200">
        <v>0</v>
      </c>
      <c r="J200">
        <v>1</v>
      </c>
      <c r="K200">
        <v>69.28</v>
      </c>
      <c r="L200">
        <v>68.94</v>
      </c>
      <c r="M200">
        <v>68.7</v>
      </c>
    </row>
    <row r="201" spans="1:13" x14ac:dyDescent="0.2">
      <c r="A201" s="1">
        <v>200</v>
      </c>
      <c r="B201" t="s">
        <v>820</v>
      </c>
      <c r="C201">
        <f xml:space="preserve">  69</f>
        <v>69</v>
      </c>
      <c r="D201">
        <v>12</v>
      </c>
      <c r="E201">
        <v>16</v>
      </c>
      <c r="F201">
        <v>70.42</v>
      </c>
      <c r="G201">
        <v>0</v>
      </c>
      <c r="H201">
        <v>1</v>
      </c>
      <c r="I201">
        <v>0</v>
      </c>
      <c r="J201">
        <v>1</v>
      </c>
      <c r="K201">
        <v>69.08</v>
      </c>
      <c r="L201">
        <v>68.819999999999993</v>
      </c>
      <c r="M201">
        <v>68.650000000000006</v>
      </c>
    </row>
    <row r="202" spans="1:13" x14ac:dyDescent="0.2">
      <c r="A202" s="1">
        <v>201</v>
      </c>
      <c r="B202" t="s">
        <v>301</v>
      </c>
      <c r="C202">
        <f xml:space="preserve">  68.85</f>
        <v>68.849999999999994</v>
      </c>
      <c r="D202">
        <v>21</v>
      </c>
      <c r="E202">
        <v>13</v>
      </c>
      <c r="F202">
        <v>68.239999999999995</v>
      </c>
      <c r="G202">
        <v>0</v>
      </c>
      <c r="H202">
        <v>1</v>
      </c>
      <c r="I202">
        <v>0</v>
      </c>
      <c r="J202">
        <v>1</v>
      </c>
      <c r="K202">
        <v>68.38</v>
      </c>
      <c r="L202">
        <v>69.55</v>
      </c>
      <c r="M202">
        <v>69.989999999999995</v>
      </c>
    </row>
    <row r="203" spans="1:13" x14ac:dyDescent="0.2">
      <c r="A203" s="1">
        <v>202</v>
      </c>
      <c r="B203" t="s">
        <v>272</v>
      </c>
      <c r="C203">
        <f xml:space="preserve">  68.71</f>
        <v>68.709999999999994</v>
      </c>
      <c r="D203">
        <v>12</v>
      </c>
      <c r="E203">
        <v>18</v>
      </c>
      <c r="F203">
        <v>70.97</v>
      </c>
      <c r="G203">
        <v>0</v>
      </c>
      <c r="H203">
        <v>1</v>
      </c>
      <c r="I203">
        <v>0</v>
      </c>
      <c r="J203">
        <v>3</v>
      </c>
      <c r="K203">
        <v>68.81</v>
      </c>
      <c r="L203">
        <v>68.510000000000005</v>
      </c>
      <c r="M203">
        <v>68.569999999999993</v>
      </c>
    </row>
    <row r="204" spans="1:13" x14ac:dyDescent="0.2">
      <c r="A204" s="1">
        <v>203</v>
      </c>
      <c r="B204" t="s">
        <v>163</v>
      </c>
      <c r="C204">
        <f xml:space="preserve">  68.67</f>
        <v>68.67</v>
      </c>
      <c r="D204">
        <v>14</v>
      </c>
      <c r="E204">
        <v>17</v>
      </c>
      <c r="F204">
        <v>69.099999999999994</v>
      </c>
      <c r="G204">
        <v>0</v>
      </c>
      <c r="H204">
        <v>0</v>
      </c>
      <c r="I204">
        <v>0</v>
      </c>
      <c r="J204">
        <v>1</v>
      </c>
      <c r="K204">
        <v>68.72</v>
      </c>
      <c r="L204">
        <v>68.540000000000006</v>
      </c>
      <c r="M204">
        <v>68.67</v>
      </c>
    </row>
    <row r="205" spans="1:13" x14ac:dyDescent="0.2">
      <c r="A205" s="1">
        <v>204</v>
      </c>
      <c r="B205" t="s">
        <v>839</v>
      </c>
      <c r="C205">
        <f xml:space="preserve">  68.39</f>
        <v>68.39</v>
      </c>
      <c r="D205">
        <v>13</v>
      </c>
      <c r="E205">
        <v>19</v>
      </c>
      <c r="F205">
        <v>70.91</v>
      </c>
      <c r="G205">
        <v>0</v>
      </c>
      <c r="H205">
        <v>5</v>
      </c>
      <c r="I205">
        <v>0</v>
      </c>
      <c r="J205">
        <v>5</v>
      </c>
      <c r="K205">
        <v>68.28</v>
      </c>
      <c r="L205">
        <v>68.53</v>
      </c>
      <c r="M205">
        <v>68.22</v>
      </c>
    </row>
    <row r="206" spans="1:13" x14ac:dyDescent="0.2">
      <c r="A206" s="1">
        <v>205</v>
      </c>
      <c r="B206" t="s">
        <v>159</v>
      </c>
      <c r="C206">
        <f xml:space="preserve">  68.38</f>
        <v>68.38</v>
      </c>
      <c r="D206">
        <v>18</v>
      </c>
      <c r="E206">
        <v>19</v>
      </c>
      <c r="F206">
        <v>70.28</v>
      </c>
      <c r="G206">
        <v>0</v>
      </c>
      <c r="H206">
        <v>0</v>
      </c>
      <c r="I206">
        <v>0</v>
      </c>
      <c r="J206">
        <v>1</v>
      </c>
      <c r="K206">
        <v>68</v>
      </c>
      <c r="L206">
        <v>68.959999999999994</v>
      </c>
      <c r="M206">
        <v>69.349999999999994</v>
      </c>
    </row>
    <row r="207" spans="1:13" x14ac:dyDescent="0.2">
      <c r="A207" s="1">
        <v>206</v>
      </c>
      <c r="B207" t="s">
        <v>828</v>
      </c>
      <c r="C207">
        <f xml:space="preserve">  68.35</f>
        <v>68.349999999999994</v>
      </c>
      <c r="D207">
        <v>12</v>
      </c>
      <c r="E207">
        <v>16</v>
      </c>
      <c r="F207">
        <v>73.13</v>
      </c>
      <c r="G207">
        <v>0</v>
      </c>
      <c r="H207">
        <v>1</v>
      </c>
      <c r="I207">
        <v>0</v>
      </c>
      <c r="J207">
        <v>1</v>
      </c>
      <c r="K207">
        <v>68.150000000000006</v>
      </c>
      <c r="L207">
        <v>68.63</v>
      </c>
      <c r="M207">
        <v>69.02</v>
      </c>
    </row>
    <row r="208" spans="1:13" x14ac:dyDescent="0.2">
      <c r="A208" s="1">
        <v>207</v>
      </c>
      <c r="B208" t="s">
        <v>188</v>
      </c>
      <c r="C208">
        <f xml:space="preserve">  68.33</f>
        <v>68.33</v>
      </c>
      <c r="D208">
        <v>16</v>
      </c>
      <c r="E208">
        <v>15</v>
      </c>
      <c r="F208">
        <v>69</v>
      </c>
      <c r="G208">
        <v>0</v>
      </c>
      <c r="H208">
        <v>0</v>
      </c>
      <c r="I208">
        <v>0</v>
      </c>
      <c r="J208">
        <v>0</v>
      </c>
      <c r="K208">
        <v>68.16</v>
      </c>
      <c r="L208">
        <v>68.569999999999993</v>
      </c>
      <c r="M208">
        <v>68.66</v>
      </c>
    </row>
    <row r="209" spans="1:13" x14ac:dyDescent="0.2">
      <c r="A209" s="1">
        <v>208</v>
      </c>
      <c r="B209" t="s">
        <v>219</v>
      </c>
      <c r="C209">
        <f xml:space="preserve">  68.25</f>
        <v>68.25</v>
      </c>
      <c r="D209">
        <v>17</v>
      </c>
      <c r="E209">
        <v>12</v>
      </c>
      <c r="F209">
        <v>66.680000000000007</v>
      </c>
      <c r="G209">
        <v>0</v>
      </c>
      <c r="H209">
        <v>1</v>
      </c>
      <c r="I209">
        <v>0</v>
      </c>
      <c r="J209">
        <v>2</v>
      </c>
      <c r="K209">
        <v>67.98</v>
      </c>
      <c r="L209">
        <v>68.64</v>
      </c>
      <c r="M209">
        <v>69.44</v>
      </c>
    </row>
    <row r="210" spans="1:13" x14ac:dyDescent="0.2">
      <c r="A210" s="1">
        <v>209</v>
      </c>
      <c r="B210" t="s">
        <v>114</v>
      </c>
      <c r="C210">
        <f xml:space="preserve">  68.16</f>
        <v>68.16</v>
      </c>
      <c r="D210">
        <v>12</v>
      </c>
      <c r="E210">
        <v>20</v>
      </c>
      <c r="F210">
        <v>73.540000000000006</v>
      </c>
      <c r="G210">
        <v>0</v>
      </c>
      <c r="H210">
        <v>3</v>
      </c>
      <c r="I210">
        <v>0</v>
      </c>
      <c r="J210">
        <v>4</v>
      </c>
      <c r="K210">
        <v>67.97</v>
      </c>
      <c r="L210">
        <v>68.430000000000007</v>
      </c>
      <c r="M210">
        <v>68.73</v>
      </c>
    </row>
    <row r="211" spans="1:13" x14ac:dyDescent="0.2">
      <c r="A211" s="1">
        <v>210</v>
      </c>
      <c r="B211" t="s">
        <v>299</v>
      </c>
      <c r="C211">
        <f xml:space="preserve">  68.15</f>
        <v>68.150000000000006</v>
      </c>
      <c r="D211">
        <v>23</v>
      </c>
      <c r="E211">
        <v>12</v>
      </c>
      <c r="F211">
        <v>63.91</v>
      </c>
      <c r="G211">
        <v>0</v>
      </c>
      <c r="H211">
        <v>5</v>
      </c>
      <c r="I211">
        <v>0</v>
      </c>
      <c r="J211">
        <v>6</v>
      </c>
      <c r="K211">
        <v>67.88</v>
      </c>
      <c r="L211">
        <v>68.55</v>
      </c>
      <c r="M211">
        <v>68.88</v>
      </c>
    </row>
    <row r="212" spans="1:13" x14ac:dyDescent="0.2">
      <c r="A212" s="1">
        <v>211</v>
      </c>
      <c r="B212" t="s">
        <v>195</v>
      </c>
      <c r="C212">
        <f xml:space="preserve">  68.13</f>
        <v>68.13</v>
      </c>
      <c r="D212">
        <v>18</v>
      </c>
      <c r="E212">
        <v>15</v>
      </c>
      <c r="F212">
        <v>68.06</v>
      </c>
      <c r="G212">
        <v>0</v>
      </c>
      <c r="H212">
        <v>0</v>
      </c>
      <c r="I212">
        <v>0</v>
      </c>
      <c r="J212">
        <v>0</v>
      </c>
      <c r="K212">
        <v>67.91</v>
      </c>
      <c r="L212">
        <v>68.45</v>
      </c>
      <c r="M212">
        <v>68.75</v>
      </c>
    </row>
    <row r="213" spans="1:13" x14ac:dyDescent="0.2">
      <c r="A213" s="1">
        <v>212</v>
      </c>
      <c r="B213" t="s">
        <v>216</v>
      </c>
      <c r="C213">
        <f xml:space="preserve">  68.08</f>
        <v>68.08</v>
      </c>
      <c r="D213">
        <v>10</v>
      </c>
      <c r="E213">
        <v>21</v>
      </c>
      <c r="F213">
        <v>72.63</v>
      </c>
      <c r="G213">
        <v>0</v>
      </c>
      <c r="H213">
        <v>0</v>
      </c>
      <c r="I213">
        <v>0</v>
      </c>
      <c r="J213">
        <v>0</v>
      </c>
      <c r="K213">
        <v>68.14</v>
      </c>
      <c r="L213">
        <v>67.95</v>
      </c>
      <c r="M213">
        <v>67.87</v>
      </c>
    </row>
    <row r="214" spans="1:13" x14ac:dyDescent="0.2">
      <c r="A214" s="1">
        <v>213</v>
      </c>
      <c r="B214" t="s">
        <v>891</v>
      </c>
      <c r="C214">
        <f xml:space="preserve">  68.07</f>
        <v>68.069999999999993</v>
      </c>
      <c r="D214">
        <v>20</v>
      </c>
      <c r="E214">
        <v>13</v>
      </c>
      <c r="F214">
        <v>67.86</v>
      </c>
      <c r="G214">
        <v>0</v>
      </c>
      <c r="H214">
        <v>1</v>
      </c>
      <c r="I214">
        <v>0</v>
      </c>
      <c r="J214">
        <v>1</v>
      </c>
      <c r="K214">
        <v>67.77</v>
      </c>
      <c r="L214">
        <v>68.52</v>
      </c>
      <c r="M214">
        <v>68.87</v>
      </c>
    </row>
    <row r="215" spans="1:13" x14ac:dyDescent="0.2">
      <c r="A215" s="1">
        <v>214</v>
      </c>
      <c r="B215" t="s">
        <v>205</v>
      </c>
      <c r="C215">
        <f xml:space="preserve">  67.85</f>
        <v>67.849999999999994</v>
      </c>
      <c r="D215">
        <v>10</v>
      </c>
      <c r="E215">
        <v>22</v>
      </c>
      <c r="F215">
        <v>71.34</v>
      </c>
      <c r="G215">
        <v>0</v>
      </c>
      <c r="H215">
        <v>1</v>
      </c>
      <c r="I215">
        <v>0</v>
      </c>
      <c r="J215">
        <v>5</v>
      </c>
      <c r="K215">
        <v>68.02</v>
      </c>
      <c r="L215">
        <v>67.56</v>
      </c>
      <c r="M215">
        <v>67.27</v>
      </c>
    </row>
    <row r="216" spans="1:13" x14ac:dyDescent="0.2">
      <c r="A216" s="1">
        <v>215</v>
      </c>
      <c r="B216" t="s">
        <v>213</v>
      </c>
      <c r="C216">
        <f xml:space="preserve">  67.84</f>
        <v>67.84</v>
      </c>
      <c r="D216">
        <v>20</v>
      </c>
      <c r="E216">
        <v>16</v>
      </c>
      <c r="F216">
        <v>67.23</v>
      </c>
      <c r="G216">
        <v>0</v>
      </c>
      <c r="H216">
        <v>4</v>
      </c>
      <c r="I216">
        <v>0</v>
      </c>
      <c r="J216">
        <v>6</v>
      </c>
      <c r="K216">
        <v>67.78</v>
      </c>
      <c r="L216">
        <v>67.89</v>
      </c>
      <c r="M216">
        <v>68.25</v>
      </c>
    </row>
    <row r="217" spans="1:13" x14ac:dyDescent="0.2">
      <c r="A217" s="1">
        <v>216</v>
      </c>
      <c r="B217" t="s">
        <v>193</v>
      </c>
      <c r="C217">
        <f xml:space="preserve">  67.81</f>
        <v>67.81</v>
      </c>
      <c r="D217">
        <v>19</v>
      </c>
      <c r="E217">
        <v>13</v>
      </c>
      <c r="F217">
        <v>66.53</v>
      </c>
      <c r="G217">
        <v>0</v>
      </c>
      <c r="H217">
        <v>0</v>
      </c>
      <c r="I217">
        <v>0</v>
      </c>
      <c r="J217">
        <v>1</v>
      </c>
      <c r="K217">
        <v>67.83</v>
      </c>
      <c r="L217">
        <v>67.75</v>
      </c>
      <c r="M217">
        <v>68.12</v>
      </c>
    </row>
    <row r="218" spans="1:13" x14ac:dyDescent="0.2">
      <c r="A218" s="1">
        <v>217</v>
      </c>
      <c r="B218" t="s">
        <v>257</v>
      </c>
      <c r="C218">
        <f xml:space="preserve">  67.79</f>
        <v>67.790000000000006</v>
      </c>
      <c r="D218">
        <v>17</v>
      </c>
      <c r="E218">
        <v>14</v>
      </c>
      <c r="F218">
        <v>67.23</v>
      </c>
      <c r="G218">
        <v>0</v>
      </c>
      <c r="H218">
        <v>0</v>
      </c>
      <c r="I218">
        <v>0</v>
      </c>
      <c r="J218">
        <v>0</v>
      </c>
      <c r="K218">
        <v>67.650000000000006</v>
      </c>
      <c r="L218">
        <v>67.97</v>
      </c>
      <c r="M218">
        <v>68.180000000000007</v>
      </c>
    </row>
    <row r="219" spans="1:13" x14ac:dyDescent="0.2">
      <c r="A219" s="1">
        <v>218</v>
      </c>
      <c r="B219" t="s">
        <v>283</v>
      </c>
      <c r="C219">
        <f xml:space="preserve">  67.58</f>
        <v>67.58</v>
      </c>
      <c r="D219">
        <v>15</v>
      </c>
      <c r="E219">
        <v>16</v>
      </c>
      <c r="F219">
        <v>68.02</v>
      </c>
      <c r="G219">
        <v>0</v>
      </c>
      <c r="H219">
        <v>0</v>
      </c>
      <c r="I219">
        <v>0</v>
      </c>
      <c r="J219">
        <v>0</v>
      </c>
      <c r="K219">
        <v>67.680000000000007</v>
      </c>
      <c r="L219">
        <v>67.39</v>
      </c>
      <c r="M219">
        <v>67.53</v>
      </c>
    </row>
    <row r="220" spans="1:13" x14ac:dyDescent="0.2">
      <c r="A220" s="1">
        <v>219</v>
      </c>
      <c r="B220" t="s">
        <v>115</v>
      </c>
      <c r="C220">
        <f xml:space="preserve">  67.57</f>
        <v>67.569999999999993</v>
      </c>
      <c r="D220">
        <v>11</v>
      </c>
      <c r="E220">
        <v>21</v>
      </c>
      <c r="F220">
        <v>73.290000000000006</v>
      </c>
      <c r="G220">
        <v>0</v>
      </c>
      <c r="H220">
        <v>3</v>
      </c>
      <c r="I220">
        <v>0</v>
      </c>
      <c r="J220">
        <v>4</v>
      </c>
      <c r="K220">
        <v>67.39</v>
      </c>
      <c r="L220">
        <v>67.84</v>
      </c>
      <c r="M220">
        <v>67.67</v>
      </c>
    </row>
    <row r="221" spans="1:13" x14ac:dyDescent="0.2">
      <c r="A221" s="1">
        <v>220</v>
      </c>
      <c r="B221" t="s">
        <v>907</v>
      </c>
      <c r="C221">
        <f xml:space="preserve">  67.51</f>
        <v>67.510000000000005</v>
      </c>
      <c r="D221">
        <v>18</v>
      </c>
      <c r="E221">
        <v>14</v>
      </c>
      <c r="F221">
        <v>67.11</v>
      </c>
      <c r="G221">
        <v>0</v>
      </c>
      <c r="H221">
        <v>0</v>
      </c>
      <c r="I221">
        <v>0</v>
      </c>
      <c r="J221">
        <v>1</v>
      </c>
      <c r="K221">
        <v>67.31</v>
      </c>
      <c r="L221">
        <v>67.790000000000006</v>
      </c>
      <c r="M221">
        <v>68.25</v>
      </c>
    </row>
    <row r="222" spans="1:13" x14ac:dyDescent="0.2">
      <c r="A222" s="1">
        <v>221</v>
      </c>
      <c r="B222" t="s">
        <v>243</v>
      </c>
      <c r="C222">
        <f xml:space="preserve">  67.5</f>
        <v>67.5</v>
      </c>
      <c r="D222">
        <v>14</v>
      </c>
      <c r="E222">
        <v>16</v>
      </c>
      <c r="F222">
        <v>70.290000000000006</v>
      </c>
      <c r="G222">
        <v>0</v>
      </c>
      <c r="H222">
        <v>0</v>
      </c>
      <c r="I222">
        <v>0</v>
      </c>
      <c r="J222">
        <v>0</v>
      </c>
      <c r="K222">
        <v>67.150000000000006</v>
      </c>
      <c r="L222">
        <v>68.03</v>
      </c>
      <c r="M222">
        <v>67.98</v>
      </c>
    </row>
    <row r="223" spans="1:13" x14ac:dyDescent="0.2">
      <c r="A223" s="1">
        <v>222</v>
      </c>
      <c r="B223" t="s">
        <v>121</v>
      </c>
      <c r="C223">
        <f xml:space="preserve">  67.41</f>
        <v>67.41</v>
      </c>
      <c r="D223">
        <v>15</v>
      </c>
      <c r="E223">
        <v>17</v>
      </c>
      <c r="F223">
        <v>69.41</v>
      </c>
      <c r="G223">
        <v>0</v>
      </c>
      <c r="H223">
        <v>1</v>
      </c>
      <c r="I223">
        <v>0</v>
      </c>
      <c r="J223">
        <v>1</v>
      </c>
      <c r="K223">
        <v>67.08</v>
      </c>
      <c r="L223">
        <v>67.89</v>
      </c>
      <c r="M223">
        <v>67.91</v>
      </c>
    </row>
    <row r="224" spans="1:13" x14ac:dyDescent="0.2">
      <c r="A224" s="1">
        <v>223</v>
      </c>
      <c r="B224" t="s">
        <v>137</v>
      </c>
      <c r="C224">
        <f xml:space="preserve">  67.39</f>
        <v>67.39</v>
      </c>
      <c r="D224">
        <v>18</v>
      </c>
      <c r="E224">
        <v>14</v>
      </c>
      <c r="F224">
        <v>66.5</v>
      </c>
      <c r="G224">
        <v>0</v>
      </c>
      <c r="H224">
        <v>0</v>
      </c>
      <c r="I224">
        <v>0</v>
      </c>
      <c r="J224">
        <v>2</v>
      </c>
      <c r="K224">
        <v>67.150000000000006</v>
      </c>
      <c r="L224">
        <v>67.739999999999995</v>
      </c>
      <c r="M224">
        <v>68.08</v>
      </c>
    </row>
    <row r="225" spans="1:13" x14ac:dyDescent="0.2">
      <c r="A225" s="1">
        <v>224</v>
      </c>
      <c r="B225" t="s">
        <v>263</v>
      </c>
      <c r="C225">
        <f xml:space="preserve">  67.3</f>
        <v>67.3</v>
      </c>
      <c r="D225">
        <v>15</v>
      </c>
      <c r="E225">
        <v>17</v>
      </c>
      <c r="F225">
        <v>68.55</v>
      </c>
      <c r="G225">
        <v>0</v>
      </c>
      <c r="H225">
        <v>0</v>
      </c>
      <c r="I225">
        <v>0</v>
      </c>
      <c r="J225">
        <v>3</v>
      </c>
      <c r="K225">
        <v>67.13</v>
      </c>
      <c r="L225">
        <v>67.56</v>
      </c>
      <c r="M225">
        <v>67.680000000000007</v>
      </c>
    </row>
    <row r="226" spans="1:13" x14ac:dyDescent="0.2">
      <c r="A226" s="1">
        <v>225</v>
      </c>
      <c r="B226" t="s">
        <v>271</v>
      </c>
      <c r="C226">
        <f xml:space="preserve">  67.28</f>
        <v>67.28</v>
      </c>
      <c r="D226">
        <v>12</v>
      </c>
      <c r="E226">
        <v>15</v>
      </c>
      <c r="F226">
        <v>67.7</v>
      </c>
      <c r="G226">
        <v>0</v>
      </c>
      <c r="H226">
        <v>0</v>
      </c>
      <c r="I226">
        <v>0</v>
      </c>
      <c r="J226">
        <v>0</v>
      </c>
      <c r="K226">
        <v>67.45</v>
      </c>
      <c r="L226">
        <v>66.989999999999995</v>
      </c>
      <c r="M226">
        <v>66.83</v>
      </c>
    </row>
    <row r="227" spans="1:13" x14ac:dyDescent="0.2">
      <c r="A227" s="1">
        <v>226</v>
      </c>
      <c r="B227" t="s">
        <v>264</v>
      </c>
      <c r="C227">
        <f xml:space="preserve">  67.21</f>
        <v>67.209999999999994</v>
      </c>
      <c r="D227">
        <v>10</v>
      </c>
      <c r="E227">
        <v>16</v>
      </c>
      <c r="F227">
        <v>69.14</v>
      </c>
      <c r="G227">
        <v>0</v>
      </c>
      <c r="H227">
        <v>0</v>
      </c>
      <c r="I227">
        <v>0</v>
      </c>
      <c r="J227">
        <v>2</v>
      </c>
      <c r="K227">
        <v>67.42</v>
      </c>
      <c r="L227">
        <v>66.84</v>
      </c>
      <c r="M227">
        <v>66.45</v>
      </c>
    </row>
    <row r="228" spans="1:13" x14ac:dyDescent="0.2">
      <c r="A228" s="1">
        <v>227</v>
      </c>
      <c r="B228" t="s">
        <v>218</v>
      </c>
      <c r="C228">
        <f xml:space="preserve">  67.16</f>
        <v>67.16</v>
      </c>
      <c r="D228">
        <v>10</v>
      </c>
      <c r="E228">
        <v>22</v>
      </c>
      <c r="F228">
        <v>72.650000000000006</v>
      </c>
      <c r="G228">
        <v>0</v>
      </c>
      <c r="H228">
        <v>6</v>
      </c>
      <c r="I228">
        <v>0</v>
      </c>
      <c r="J228">
        <v>6</v>
      </c>
      <c r="K228">
        <v>67.209999999999994</v>
      </c>
      <c r="L228">
        <v>67.05</v>
      </c>
      <c r="M228">
        <v>66.849999999999994</v>
      </c>
    </row>
    <row r="229" spans="1:13" x14ac:dyDescent="0.2">
      <c r="A229" s="1">
        <v>228</v>
      </c>
      <c r="B229" t="s">
        <v>174</v>
      </c>
      <c r="C229">
        <f xml:space="preserve">  67.15</f>
        <v>67.150000000000006</v>
      </c>
      <c r="D229">
        <v>9</v>
      </c>
      <c r="E229">
        <v>23</v>
      </c>
      <c r="F229">
        <v>70.87</v>
      </c>
      <c r="G229">
        <v>0</v>
      </c>
      <c r="H229">
        <v>0</v>
      </c>
      <c r="I229">
        <v>0</v>
      </c>
      <c r="J229">
        <v>0</v>
      </c>
      <c r="K229">
        <v>67.430000000000007</v>
      </c>
      <c r="L229">
        <v>66.67</v>
      </c>
      <c r="M229">
        <v>66.36</v>
      </c>
    </row>
    <row r="230" spans="1:13" x14ac:dyDescent="0.2">
      <c r="A230" s="1">
        <v>229</v>
      </c>
      <c r="B230" t="s">
        <v>812</v>
      </c>
      <c r="C230">
        <f xml:space="preserve">  67.1</f>
        <v>67.099999999999994</v>
      </c>
      <c r="D230">
        <v>4</v>
      </c>
      <c r="E230">
        <v>27</v>
      </c>
      <c r="F230">
        <v>77.37</v>
      </c>
      <c r="G230">
        <v>0</v>
      </c>
      <c r="H230">
        <v>5</v>
      </c>
      <c r="I230">
        <v>1</v>
      </c>
      <c r="J230">
        <v>6</v>
      </c>
      <c r="K230">
        <v>67.33</v>
      </c>
      <c r="L230">
        <v>66.67</v>
      </c>
      <c r="M230">
        <v>65.89</v>
      </c>
    </row>
    <row r="231" spans="1:13" x14ac:dyDescent="0.2">
      <c r="A231" s="1">
        <v>230</v>
      </c>
      <c r="B231" t="s">
        <v>558</v>
      </c>
      <c r="C231">
        <f xml:space="preserve">  66.93</f>
        <v>66.930000000000007</v>
      </c>
      <c r="D231">
        <v>15</v>
      </c>
      <c r="E231">
        <v>17</v>
      </c>
      <c r="F231">
        <v>70.05</v>
      </c>
      <c r="G231">
        <v>0</v>
      </c>
      <c r="H231">
        <v>2</v>
      </c>
      <c r="I231">
        <v>0</v>
      </c>
      <c r="J231">
        <v>3</v>
      </c>
      <c r="K231">
        <v>66.73</v>
      </c>
      <c r="L231">
        <v>67.209999999999994</v>
      </c>
      <c r="M231">
        <v>67.63</v>
      </c>
    </row>
    <row r="232" spans="1:13" x14ac:dyDescent="0.2">
      <c r="A232" s="1">
        <v>231</v>
      </c>
      <c r="B232" t="s">
        <v>285</v>
      </c>
      <c r="C232">
        <f xml:space="preserve">  66.88</f>
        <v>66.88</v>
      </c>
      <c r="D232">
        <v>12</v>
      </c>
      <c r="E232">
        <v>17</v>
      </c>
      <c r="F232">
        <v>70.27</v>
      </c>
      <c r="G232">
        <v>0</v>
      </c>
      <c r="H232">
        <v>1</v>
      </c>
      <c r="I232">
        <v>0</v>
      </c>
      <c r="J232">
        <v>3</v>
      </c>
      <c r="K232">
        <v>66.760000000000005</v>
      </c>
      <c r="L232">
        <v>67.03</v>
      </c>
      <c r="M232">
        <v>66.959999999999994</v>
      </c>
    </row>
    <row r="233" spans="1:13" x14ac:dyDescent="0.2">
      <c r="A233" s="1">
        <v>232</v>
      </c>
      <c r="B233" t="s">
        <v>139</v>
      </c>
      <c r="C233">
        <f xml:space="preserve">  66.8</f>
        <v>66.8</v>
      </c>
      <c r="D233">
        <v>15</v>
      </c>
      <c r="E233">
        <v>15</v>
      </c>
      <c r="F233">
        <v>66.41</v>
      </c>
      <c r="G233">
        <v>0</v>
      </c>
      <c r="H233">
        <v>1</v>
      </c>
      <c r="I233">
        <v>0</v>
      </c>
      <c r="J233">
        <v>3</v>
      </c>
      <c r="K233">
        <v>66.58</v>
      </c>
      <c r="L233">
        <v>67.11</v>
      </c>
      <c r="M233">
        <v>67.05</v>
      </c>
    </row>
    <row r="234" spans="1:13" x14ac:dyDescent="0.2">
      <c r="A234" s="1">
        <v>233</v>
      </c>
      <c r="B234" t="s">
        <v>239</v>
      </c>
      <c r="C234">
        <f xml:space="preserve">  66.74</f>
        <v>66.739999999999995</v>
      </c>
      <c r="D234">
        <v>13</v>
      </c>
      <c r="E234">
        <v>17</v>
      </c>
      <c r="F234">
        <v>68.290000000000006</v>
      </c>
      <c r="G234">
        <v>0</v>
      </c>
      <c r="H234">
        <v>1</v>
      </c>
      <c r="I234">
        <v>0</v>
      </c>
      <c r="J234">
        <v>1</v>
      </c>
      <c r="K234">
        <v>66.7</v>
      </c>
      <c r="L234">
        <v>66.77</v>
      </c>
      <c r="M234">
        <v>66.5</v>
      </c>
    </row>
    <row r="235" spans="1:13" x14ac:dyDescent="0.2">
      <c r="A235" s="1">
        <v>234</v>
      </c>
      <c r="B235" t="s">
        <v>221</v>
      </c>
      <c r="C235">
        <f xml:space="preserve">  66.71</f>
        <v>66.709999999999994</v>
      </c>
      <c r="D235">
        <v>15</v>
      </c>
      <c r="E235">
        <v>19</v>
      </c>
      <c r="F235">
        <v>68.8</v>
      </c>
      <c r="G235">
        <v>0</v>
      </c>
      <c r="H235">
        <v>0</v>
      </c>
      <c r="I235">
        <v>0</v>
      </c>
      <c r="J235">
        <v>0</v>
      </c>
      <c r="K235">
        <v>66.59</v>
      </c>
      <c r="L235">
        <v>66.86</v>
      </c>
      <c r="M235">
        <v>66.94</v>
      </c>
    </row>
    <row r="236" spans="1:13" x14ac:dyDescent="0.2">
      <c r="A236" s="1">
        <v>235</v>
      </c>
      <c r="B236" t="s">
        <v>160</v>
      </c>
      <c r="C236">
        <f xml:space="preserve">  66.68</f>
        <v>66.680000000000007</v>
      </c>
      <c r="D236">
        <v>6</v>
      </c>
      <c r="E236">
        <v>22</v>
      </c>
      <c r="F236">
        <v>73</v>
      </c>
      <c r="G236">
        <v>0</v>
      </c>
      <c r="H236">
        <v>1</v>
      </c>
      <c r="I236">
        <v>0</v>
      </c>
      <c r="J236">
        <v>3</v>
      </c>
      <c r="K236">
        <v>67.03</v>
      </c>
      <c r="L236">
        <v>66.08</v>
      </c>
      <c r="M236">
        <v>65.760000000000005</v>
      </c>
    </row>
    <row r="237" spans="1:13" x14ac:dyDescent="0.2">
      <c r="A237" s="1">
        <v>236</v>
      </c>
      <c r="B237" t="s">
        <v>837</v>
      </c>
      <c r="C237">
        <f xml:space="preserve">  66.57</f>
        <v>66.569999999999993</v>
      </c>
      <c r="D237">
        <v>17</v>
      </c>
      <c r="E237">
        <v>13</v>
      </c>
      <c r="F237">
        <v>65.73</v>
      </c>
      <c r="G237">
        <v>0</v>
      </c>
      <c r="H237">
        <v>1</v>
      </c>
      <c r="I237">
        <v>0</v>
      </c>
      <c r="J237">
        <v>2</v>
      </c>
      <c r="K237">
        <v>66.069999999999993</v>
      </c>
      <c r="L237">
        <v>67.33</v>
      </c>
      <c r="M237">
        <v>67.31</v>
      </c>
    </row>
    <row r="238" spans="1:13" x14ac:dyDescent="0.2">
      <c r="A238" s="1">
        <v>237</v>
      </c>
      <c r="B238" t="s">
        <v>207</v>
      </c>
      <c r="C238">
        <f xml:space="preserve">  66.52</f>
        <v>66.52</v>
      </c>
      <c r="D238">
        <v>12</v>
      </c>
      <c r="E238">
        <v>19</v>
      </c>
      <c r="F238">
        <v>70.66</v>
      </c>
      <c r="G238">
        <v>0</v>
      </c>
      <c r="H238">
        <v>1</v>
      </c>
      <c r="I238">
        <v>0</v>
      </c>
      <c r="J238">
        <v>1</v>
      </c>
      <c r="K238">
        <v>66.59</v>
      </c>
      <c r="L238">
        <v>66.36</v>
      </c>
      <c r="M238">
        <v>66.2</v>
      </c>
    </row>
    <row r="239" spans="1:13" x14ac:dyDescent="0.2">
      <c r="A239" s="1">
        <v>238</v>
      </c>
      <c r="B239" t="s">
        <v>110</v>
      </c>
      <c r="C239">
        <f xml:space="preserve">  66.35</f>
        <v>66.349999999999994</v>
      </c>
      <c r="D239">
        <v>6</v>
      </c>
      <c r="E239">
        <v>25</v>
      </c>
      <c r="F239">
        <v>74.930000000000007</v>
      </c>
      <c r="G239">
        <v>0</v>
      </c>
      <c r="H239">
        <v>5</v>
      </c>
      <c r="I239">
        <v>0</v>
      </c>
      <c r="J239">
        <v>5</v>
      </c>
      <c r="K239">
        <v>66.739999999999995</v>
      </c>
      <c r="L239">
        <v>65.67</v>
      </c>
      <c r="M239">
        <v>65.38</v>
      </c>
    </row>
    <row r="240" spans="1:13" x14ac:dyDescent="0.2">
      <c r="A240" s="1">
        <v>239</v>
      </c>
      <c r="B240" t="s">
        <v>823</v>
      </c>
      <c r="C240">
        <f xml:space="preserve">  66.13</f>
        <v>66.13</v>
      </c>
      <c r="D240">
        <v>14</v>
      </c>
      <c r="E240">
        <v>16</v>
      </c>
      <c r="F240">
        <v>66.599999999999994</v>
      </c>
      <c r="G240">
        <v>0</v>
      </c>
      <c r="H240">
        <v>0</v>
      </c>
      <c r="I240">
        <v>0</v>
      </c>
      <c r="J240">
        <v>1</v>
      </c>
      <c r="K240">
        <v>66.34</v>
      </c>
      <c r="L240">
        <v>65.739999999999995</v>
      </c>
      <c r="M240">
        <v>65.72</v>
      </c>
    </row>
    <row r="241" spans="1:13" x14ac:dyDescent="0.2">
      <c r="A241" s="1">
        <v>240</v>
      </c>
      <c r="B241" t="s">
        <v>261</v>
      </c>
      <c r="C241">
        <f xml:space="preserve">  66.11</f>
        <v>66.11</v>
      </c>
      <c r="D241">
        <v>13</v>
      </c>
      <c r="E241">
        <v>14</v>
      </c>
      <c r="F241">
        <v>67.86</v>
      </c>
      <c r="G241">
        <v>0</v>
      </c>
      <c r="H241">
        <v>0</v>
      </c>
      <c r="I241">
        <v>0</v>
      </c>
      <c r="J241">
        <v>4</v>
      </c>
      <c r="K241">
        <v>65.86</v>
      </c>
      <c r="L241">
        <v>66.48</v>
      </c>
      <c r="M241">
        <v>66.87</v>
      </c>
    </row>
    <row r="242" spans="1:13" x14ac:dyDescent="0.2">
      <c r="A242" s="1">
        <v>241</v>
      </c>
      <c r="B242" t="s">
        <v>217</v>
      </c>
      <c r="C242">
        <f xml:space="preserve">  66.1</f>
        <v>66.099999999999994</v>
      </c>
      <c r="D242">
        <v>15</v>
      </c>
      <c r="E242">
        <v>17</v>
      </c>
      <c r="F242">
        <v>68.56</v>
      </c>
      <c r="G242">
        <v>0</v>
      </c>
      <c r="H242">
        <v>1</v>
      </c>
      <c r="I242">
        <v>0</v>
      </c>
      <c r="J242">
        <v>2</v>
      </c>
      <c r="K242">
        <v>66.02</v>
      </c>
      <c r="L242">
        <v>66.209999999999994</v>
      </c>
      <c r="M242">
        <v>66.430000000000007</v>
      </c>
    </row>
    <row r="243" spans="1:13" x14ac:dyDescent="0.2">
      <c r="A243" s="1">
        <v>242</v>
      </c>
      <c r="B243" t="s">
        <v>277</v>
      </c>
      <c r="C243">
        <f xml:space="preserve">  66.06</f>
        <v>66.06</v>
      </c>
      <c r="D243">
        <v>13</v>
      </c>
      <c r="E243">
        <v>16</v>
      </c>
      <c r="F243">
        <v>66.650000000000006</v>
      </c>
      <c r="G243">
        <v>0</v>
      </c>
      <c r="H243">
        <v>1</v>
      </c>
      <c r="I243">
        <v>0</v>
      </c>
      <c r="J243">
        <v>3</v>
      </c>
      <c r="K243">
        <v>66.02</v>
      </c>
      <c r="L243">
        <v>66.08</v>
      </c>
      <c r="M243">
        <v>66</v>
      </c>
    </row>
    <row r="244" spans="1:13" x14ac:dyDescent="0.2">
      <c r="A244" s="1">
        <v>243</v>
      </c>
      <c r="B244" t="s">
        <v>158</v>
      </c>
      <c r="C244">
        <f xml:space="preserve">  65.91</f>
        <v>65.91</v>
      </c>
      <c r="D244">
        <v>12</v>
      </c>
      <c r="E244">
        <v>18</v>
      </c>
      <c r="F244">
        <v>69.150000000000006</v>
      </c>
      <c r="G244">
        <v>0</v>
      </c>
      <c r="H244">
        <v>0</v>
      </c>
      <c r="I244">
        <v>0</v>
      </c>
      <c r="J244">
        <v>0</v>
      </c>
      <c r="K244">
        <v>65.819999999999993</v>
      </c>
      <c r="L244">
        <v>66.010000000000005</v>
      </c>
      <c r="M244">
        <v>66</v>
      </c>
    </row>
    <row r="245" spans="1:13" x14ac:dyDescent="0.2">
      <c r="A245" s="1">
        <v>244</v>
      </c>
      <c r="B245" t="s">
        <v>840</v>
      </c>
      <c r="C245">
        <f xml:space="preserve">  65.88</f>
        <v>65.88</v>
      </c>
      <c r="D245">
        <v>8</v>
      </c>
      <c r="E245">
        <v>22</v>
      </c>
      <c r="F245">
        <v>70.8</v>
      </c>
      <c r="G245">
        <v>0</v>
      </c>
      <c r="H245">
        <v>2</v>
      </c>
      <c r="I245">
        <v>0</v>
      </c>
      <c r="J245">
        <v>2</v>
      </c>
      <c r="K245">
        <v>66.08</v>
      </c>
      <c r="L245">
        <v>65.510000000000005</v>
      </c>
      <c r="M245">
        <v>65.319999999999993</v>
      </c>
    </row>
    <row r="246" spans="1:13" x14ac:dyDescent="0.2">
      <c r="A246" s="1">
        <v>245</v>
      </c>
      <c r="B246" t="s">
        <v>166</v>
      </c>
      <c r="C246">
        <f xml:space="preserve">  65.82</f>
        <v>65.819999999999993</v>
      </c>
      <c r="D246">
        <v>15</v>
      </c>
      <c r="E246">
        <v>14</v>
      </c>
      <c r="F246">
        <v>64.45</v>
      </c>
      <c r="G246">
        <v>0</v>
      </c>
      <c r="H246">
        <v>0</v>
      </c>
      <c r="I246">
        <v>0</v>
      </c>
      <c r="J246">
        <v>0</v>
      </c>
      <c r="K246">
        <v>65.760000000000005</v>
      </c>
      <c r="L246">
        <v>65.88</v>
      </c>
      <c r="M246">
        <v>65.959999999999994</v>
      </c>
    </row>
    <row r="247" spans="1:13" x14ac:dyDescent="0.2">
      <c r="A247" s="1">
        <v>246</v>
      </c>
      <c r="B247" t="s">
        <v>889</v>
      </c>
      <c r="C247">
        <v>65.78</v>
      </c>
      <c r="D247">
        <v>13</v>
      </c>
      <c r="E247">
        <v>18</v>
      </c>
      <c r="F247">
        <v>68.17</v>
      </c>
      <c r="G247">
        <v>0</v>
      </c>
      <c r="H247">
        <v>0</v>
      </c>
      <c r="I247">
        <v>0</v>
      </c>
      <c r="J247">
        <v>1</v>
      </c>
      <c r="K247">
        <v>66.14</v>
      </c>
      <c r="L247">
        <v>65.150000000000006</v>
      </c>
      <c r="M247">
        <v>65.34</v>
      </c>
    </row>
    <row r="248" spans="1:13" x14ac:dyDescent="0.2">
      <c r="A248" s="1">
        <v>247</v>
      </c>
      <c r="B248" t="s">
        <v>549</v>
      </c>
      <c r="C248">
        <f xml:space="preserve">  65.72</f>
        <v>65.72</v>
      </c>
      <c r="D248">
        <v>12</v>
      </c>
      <c r="E248">
        <v>19</v>
      </c>
      <c r="F248">
        <v>67.61</v>
      </c>
      <c r="G248">
        <v>0</v>
      </c>
      <c r="H248">
        <v>1</v>
      </c>
      <c r="I248">
        <v>0</v>
      </c>
      <c r="J248">
        <v>1</v>
      </c>
      <c r="K248">
        <v>66.12</v>
      </c>
      <c r="L248">
        <v>65.02</v>
      </c>
      <c r="M248">
        <v>64.930000000000007</v>
      </c>
    </row>
    <row r="249" spans="1:13" x14ac:dyDescent="0.2">
      <c r="A249" s="1">
        <v>248</v>
      </c>
      <c r="B249" t="s">
        <v>169</v>
      </c>
      <c r="C249">
        <f xml:space="preserve">  65.71</f>
        <v>65.709999999999994</v>
      </c>
      <c r="D249">
        <v>15</v>
      </c>
      <c r="E249">
        <v>15</v>
      </c>
      <c r="F249">
        <v>66.209999999999994</v>
      </c>
      <c r="G249">
        <v>0</v>
      </c>
      <c r="H249">
        <v>0</v>
      </c>
      <c r="I249">
        <v>0</v>
      </c>
      <c r="J249">
        <v>0</v>
      </c>
      <c r="K249">
        <v>65.66</v>
      </c>
      <c r="L249">
        <v>65.760000000000005</v>
      </c>
      <c r="M249">
        <v>65.91</v>
      </c>
    </row>
    <row r="250" spans="1:13" x14ac:dyDescent="0.2">
      <c r="A250" s="1">
        <v>249</v>
      </c>
      <c r="B250" t="s">
        <v>825</v>
      </c>
      <c r="C250">
        <f xml:space="preserve">  65.71</f>
        <v>65.709999999999994</v>
      </c>
      <c r="D250">
        <v>12</v>
      </c>
      <c r="E250">
        <v>16</v>
      </c>
      <c r="F250">
        <v>66.67</v>
      </c>
      <c r="G250">
        <v>0</v>
      </c>
      <c r="H250">
        <v>0</v>
      </c>
      <c r="I250">
        <v>0</v>
      </c>
      <c r="J250">
        <v>0</v>
      </c>
      <c r="K250">
        <v>65.91</v>
      </c>
      <c r="L250">
        <v>65.34</v>
      </c>
      <c r="M250">
        <v>65.28</v>
      </c>
    </row>
    <row r="251" spans="1:13" x14ac:dyDescent="0.2">
      <c r="A251" s="1">
        <v>250</v>
      </c>
      <c r="B251" t="s">
        <v>162</v>
      </c>
      <c r="C251">
        <f xml:space="preserve">  65.63</f>
        <v>65.63</v>
      </c>
      <c r="D251">
        <v>8</v>
      </c>
      <c r="E251">
        <v>23</v>
      </c>
      <c r="F251">
        <v>70.510000000000005</v>
      </c>
      <c r="G251">
        <v>0</v>
      </c>
      <c r="H251">
        <v>0</v>
      </c>
      <c r="I251">
        <v>0</v>
      </c>
      <c r="J251">
        <v>0</v>
      </c>
      <c r="K251">
        <v>65.900000000000006</v>
      </c>
      <c r="L251">
        <v>65.14</v>
      </c>
      <c r="M251">
        <v>64.819999999999993</v>
      </c>
    </row>
    <row r="252" spans="1:13" x14ac:dyDescent="0.2">
      <c r="A252" s="1">
        <v>251</v>
      </c>
      <c r="B252" t="s">
        <v>177</v>
      </c>
      <c r="C252">
        <f xml:space="preserve">  65.52</f>
        <v>65.52</v>
      </c>
      <c r="D252">
        <v>9</v>
      </c>
      <c r="E252">
        <v>22</v>
      </c>
      <c r="F252">
        <v>72.42</v>
      </c>
      <c r="G252">
        <v>0</v>
      </c>
      <c r="H252">
        <v>6</v>
      </c>
      <c r="I252">
        <v>0</v>
      </c>
      <c r="J252">
        <v>7</v>
      </c>
      <c r="K252">
        <v>65.53</v>
      </c>
      <c r="L252">
        <v>65.47</v>
      </c>
      <c r="M252">
        <v>65.150000000000006</v>
      </c>
    </row>
    <row r="253" spans="1:13" x14ac:dyDescent="0.2">
      <c r="A253" s="1">
        <v>252</v>
      </c>
      <c r="B253" t="s">
        <v>302</v>
      </c>
      <c r="C253">
        <f xml:space="preserve">  65.48</f>
        <v>65.48</v>
      </c>
      <c r="D253">
        <v>12</v>
      </c>
      <c r="E253">
        <v>18</v>
      </c>
      <c r="F253">
        <v>71.41</v>
      </c>
      <c r="G253">
        <v>0</v>
      </c>
      <c r="H253">
        <v>5</v>
      </c>
      <c r="I253">
        <v>0</v>
      </c>
      <c r="J253">
        <v>5</v>
      </c>
      <c r="K253">
        <v>65.12</v>
      </c>
      <c r="L253">
        <v>66</v>
      </c>
      <c r="M253">
        <v>66.47</v>
      </c>
    </row>
    <row r="254" spans="1:13" x14ac:dyDescent="0.2">
      <c r="A254" s="1">
        <v>253</v>
      </c>
      <c r="B254" t="s">
        <v>880</v>
      </c>
      <c r="C254">
        <f xml:space="preserve">  65.36</f>
        <v>65.36</v>
      </c>
      <c r="D254">
        <v>11</v>
      </c>
      <c r="E254">
        <v>19</v>
      </c>
      <c r="F254">
        <v>70.66</v>
      </c>
      <c r="G254">
        <v>0</v>
      </c>
      <c r="H254">
        <v>1</v>
      </c>
      <c r="I254">
        <v>0</v>
      </c>
      <c r="J254">
        <v>4</v>
      </c>
      <c r="K254">
        <v>65.28</v>
      </c>
      <c r="L254">
        <v>65.459999999999994</v>
      </c>
      <c r="M254">
        <v>65.52</v>
      </c>
    </row>
    <row r="255" spans="1:13" x14ac:dyDescent="0.2">
      <c r="A255" s="1">
        <v>254</v>
      </c>
      <c r="B255" t="s">
        <v>91</v>
      </c>
      <c r="C255">
        <f xml:space="preserve">  65.33</f>
        <v>65.33</v>
      </c>
      <c r="D255">
        <v>6</v>
      </c>
      <c r="E255">
        <v>23</v>
      </c>
      <c r="F255">
        <v>72.58</v>
      </c>
      <c r="G255">
        <v>0</v>
      </c>
      <c r="H255">
        <v>3</v>
      </c>
      <c r="I255">
        <v>0</v>
      </c>
      <c r="J255">
        <v>3</v>
      </c>
      <c r="K255">
        <v>65.89</v>
      </c>
      <c r="L255">
        <v>64.349999999999994</v>
      </c>
      <c r="M255">
        <v>64.03</v>
      </c>
    </row>
    <row r="256" spans="1:13" x14ac:dyDescent="0.2">
      <c r="A256" s="1">
        <v>255</v>
      </c>
      <c r="B256" t="s">
        <v>227</v>
      </c>
      <c r="C256">
        <f xml:space="preserve">  65.25</f>
        <v>65.25</v>
      </c>
      <c r="D256">
        <v>14</v>
      </c>
      <c r="E256">
        <v>16</v>
      </c>
      <c r="F256">
        <v>64.89</v>
      </c>
      <c r="G256">
        <v>0</v>
      </c>
      <c r="H256">
        <v>0</v>
      </c>
      <c r="I256">
        <v>0</v>
      </c>
      <c r="J256">
        <v>0</v>
      </c>
      <c r="K256">
        <v>65.55</v>
      </c>
      <c r="L256">
        <v>64.72</v>
      </c>
      <c r="M256">
        <v>64.739999999999995</v>
      </c>
    </row>
    <row r="257" spans="1:13" x14ac:dyDescent="0.2">
      <c r="A257" s="1">
        <v>256</v>
      </c>
      <c r="B257" t="s">
        <v>74</v>
      </c>
      <c r="C257">
        <f xml:space="preserve">  65.25</f>
        <v>65.25</v>
      </c>
      <c r="D257">
        <v>12</v>
      </c>
      <c r="E257">
        <v>21</v>
      </c>
      <c r="F257">
        <v>73.150000000000006</v>
      </c>
      <c r="G257">
        <v>0</v>
      </c>
      <c r="H257">
        <v>1</v>
      </c>
      <c r="I257">
        <v>0</v>
      </c>
      <c r="J257">
        <v>6</v>
      </c>
      <c r="K257">
        <v>64.83</v>
      </c>
      <c r="L257">
        <v>65.86</v>
      </c>
      <c r="M257">
        <v>66.3</v>
      </c>
    </row>
    <row r="258" spans="1:13" x14ac:dyDescent="0.2">
      <c r="A258" s="1">
        <v>257</v>
      </c>
      <c r="B258" t="s">
        <v>248</v>
      </c>
      <c r="C258">
        <f xml:space="preserve">  65.18</f>
        <v>65.180000000000007</v>
      </c>
      <c r="D258">
        <v>10</v>
      </c>
      <c r="E258">
        <v>18</v>
      </c>
      <c r="F258">
        <v>68.040000000000006</v>
      </c>
      <c r="G258">
        <v>0</v>
      </c>
      <c r="H258">
        <v>1</v>
      </c>
      <c r="I258">
        <v>0</v>
      </c>
      <c r="J258">
        <v>1</v>
      </c>
      <c r="K258">
        <v>65.319999999999993</v>
      </c>
      <c r="L258">
        <v>64.92</v>
      </c>
      <c r="M258">
        <v>64.47</v>
      </c>
    </row>
    <row r="259" spans="1:13" x14ac:dyDescent="0.2">
      <c r="A259" s="1">
        <v>258</v>
      </c>
      <c r="B259" t="s">
        <v>220</v>
      </c>
      <c r="C259">
        <f xml:space="preserve">  65.18</f>
        <v>65.180000000000007</v>
      </c>
      <c r="D259">
        <v>10</v>
      </c>
      <c r="E259">
        <v>20</v>
      </c>
      <c r="F259">
        <v>68.83</v>
      </c>
      <c r="G259">
        <v>0</v>
      </c>
      <c r="H259">
        <v>0</v>
      </c>
      <c r="I259">
        <v>0</v>
      </c>
      <c r="J259">
        <v>1</v>
      </c>
      <c r="K259">
        <v>65.48</v>
      </c>
      <c r="L259">
        <v>64.64</v>
      </c>
      <c r="M259">
        <v>64.44</v>
      </c>
    </row>
    <row r="260" spans="1:13" x14ac:dyDescent="0.2">
      <c r="A260" s="1">
        <v>259</v>
      </c>
      <c r="B260" t="s">
        <v>871</v>
      </c>
      <c r="C260">
        <v>65.16</v>
      </c>
      <c r="D260">
        <v>19</v>
      </c>
      <c r="E260">
        <v>12</v>
      </c>
      <c r="F260">
        <v>63.98</v>
      </c>
      <c r="G260">
        <v>0</v>
      </c>
      <c r="H260">
        <v>0</v>
      </c>
      <c r="I260">
        <v>0</v>
      </c>
      <c r="J260">
        <v>1</v>
      </c>
      <c r="K260">
        <v>65.010000000000005</v>
      </c>
      <c r="L260">
        <v>65.37</v>
      </c>
      <c r="M260">
        <v>65.66</v>
      </c>
    </row>
    <row r="261" spans="1:13" x14ac:dyDescent="0.2">
      <c r="A261" s="1">
        <v>260</v>
      </c>
      <c r="B261" t="s">
        <v>249</v>
      </c>
      <c r="C261">
        <f xml:space="preserve">  65.03</f>
        <v>65.03</v>
      </c>
      <c r="D261">
        <v>10</v>
      </c>
      <c r="E261">
        <v>24</v>
      </c>
      <c r="F261">
        <v>70.78</v>
      </c>
      <c r="G261">
        <v>0</v>
      </c>
      <c r="H261">
        <v>0</v>
      </c>
      <c r="I261">
        <v>0</v>
      </c>
      <c r="J261">
        <v>0</v>
      </c>
      <c r="K261">
        <v>65.25</v>
      </c>
      <c r="L261">
        <v>64.64</v>
      </c>
      <c r="M261">
        <v>64.63</v>
      </c>
    </row>
    <row r="262" spans="1:13" x14ac:dyDescent="0.2">
      <c r="A262" s="1">
        <v>261</v>
      </c>
      <c r="B262" t="s">
        <v>262</v>
      </c>
      <c r="C262">
        <f xml:space="preserve">  64.95</f>
        <v>64.95</v>
      </c>
      <c r="D262">
        <v>15</v>
      </c>
      <c r="E262">
        <v>15</v>
      </c>
      <c r="F262">
        <v>65.38</v>
      </c>
      <c r="G262">
        <v>0</v>
      </c>
      <c r="H262">
        <v>0</v>
      </c>
      <c r="I262">
        <v>0</v>
      </c>
      <c r="J262">
        <v>0</v>
      </c>
      <c r="K262">
        <v>65.13</v>
      </c>
      <c r="L262">
        <v>64.61</v>
      </c>
      <c r="M262">
        <v>65.150000000000006</v>
      </c>
    </row>
    <row r="263" spans="1:13" x14ac:dyDescent="0.2">
      <c r="A263" s="1">
        <v>262</v>
      </c>
      <c r="B263" t="s">
        <v>232</v>
      </c>
      <c r="C263">
        <f xml:space="preserve">  64.75</f>
        <v>64.75</v>
      </c>
      <c r="D263">
        <v>12</v>
      </c>
      <c r="E263">
        <v>19</v>
      </c>
      <c r="F263">
        <v>69.33</v>
      </c>
      <c r="G263">
        <v>0</v>
      </c>
      <c r="H263">
        <v>0</v>
      </c>
      <c r="I263">
        <v>0</v>
      </c>
      <c r="J263">
        <v>1</v>
      </c>
      <c r="K263">
        <v>64.77</v>
      </c>
      <c r="L263">
        <v>64.67</v>
      </c>
      <c r="M263">
        <v>65.010000000000005</v>
      </c>
    </row>
    <row r="264" spans="1:13" x14ac:dyDescent="0.2">
      <c r="A264" s="1">
        <v>263</v>
      </c>
      <c r="B264" t="s">
        <v>231</v>
      </c>
      <c r="C264">
        <f xml:space="preserve">  64.72</f>
        <v>64.72</v>
      </c>
      <c r="D264">
        <v>13</v>
      </c>
      <c r="E264">
        <v>16</v>
      </c>
      <c r="F264">
        <v>67.27</v>
      </c>
      <c r="G264">
        <v>0</v>
      </c>
      <c r="H264">
        <v>0</v>
      </c>
      <c r="I264">
        <v>0</v>
      </c>
      <c r="J264">
        <v>0</v>
      </c>
      <c r="K264">
        <v>64.73</v>
      </c>
      <c r="L264">
        <v>64.67</v>
      </c>
      <c r="M264">
        <v>64.89</v>
      </c>
    </row>
    <row r="265" spans="1:13" x14ac:dyDescent="0.2">
      <c r="A265" s="1">
        <v>264</v>
      </c>
      <c r="B265" t="s">
        <v>890</v>
      </c>
      <c r="C265">
        <f xml:space="preserve">  64.57</f>
        <v>64.569999999999993</v>
      </c>
      <c r="D265">
        <v>7</v>
      </c>
      <c r="E265">
        <v>24</v>
      </c>
      <c r="F265">
        <v>69.88</v>
      </c>
      <c r="G265">
        <v>0</v>
      </c>
      <c r="H265">
        <v>0</v>
      </c>
      <c r="I265">
        <v>0</v>
      </c>
      <c r="J265">
        <v>1</v>
      </c>
      <c r="K265">
        <v>64.89</v>
      </c>
      <c r="L265">
        <v>64.010000000000005</v>
      </c>
      <c r="M265">
        <v>63.68</v>
      </c>
    </row>
    <row r="266" spans="1:13" x14ac:dyDescent="0.2">
      <c r="A266" s="1">
        <v>265</v>
      </c>
      <c r="B266" t="s">
        <v>199</v>
      </c>
      <c r="C266">
        <f xml:space="preserve">  64.52</f>
        <v>64.52</v>
      </c>
      <c r="D266">
        <v>10</v>
      </c>
      <c r="E266">
        <v>19</v>
      </c>
      <c r="F266">
        <v>69.83</v>
      </c>
      <c r="G266">
        <v>0</v>
      </c>
      <c r="H266">
        <v>1</v>
      </c>
      <c r="I266">
        <v>0</v>
      </c>
      <c r="J266">
        <v>2</v>
      </c>
      <c r="K266">
        <v>64.39</v>
      </c>
      <c r="L266">
        <v>64.680000000000007</v>
      </c>
      <c r="M266">
        <v>64.680000000000007</v>
      </c>
    </row>
    <row r="267" spans="1:13" x14ac:dyDescent="0.2">
      <c r="A267" s="1">
        <v>266</v>
      </c>
      <c r="B267" t="s">
        <v>893</v>
      </c>
      <c r="C267">
        <f xml:space="preserve">  64.48</f>
        <v>64.48</v>
      </c>
      <c r="D267">
        <v>16</v>
      </c>
      <c r="E267">
        <v>17</v>
      </c>
      <c r="F267">
        <v>65.19</v>
      </c>
      <c r="G267">
        <v>0</v>
      </c>
      <c r="H267">
        <v>0</v>
      </c>
      <c r="I267">
        <v>0</v>
      </c>
      <c r="J267">
        <v>1</v>
      </c>
      <c r="K267">
        <v>64.599999999999994</v>
      </c>
      <c r="L267">
        <v>64.239999999999995</v>
      </c>
      <c r="M267">
        <v>64.58</v>
      </c>
    </row>
    <row r="268" spans="1:13" x14ac:dyDescent="0.2">
      <c r="A268" s="1">
        <v>267</v>
      </c>
      <c r="B268" t="s">
        <v>295</v>
      </c>
      <c r="C268">
        <f xml:space="preserve">  64.47</f>
        <v>64.47</v>
      </c>
      <c r="D268">
        <v>7</v>
      </c>
      <c r="E268">
        <v>21</v>
      </c>
      <c r="F268">
        <v>71.16</v>
      </c>
      <c r="G268">
        <v>0</v>
      </c>
      <c r="H268">
        <v>0</v>
      </c>
      <c r="I268">
        <v>0</v>
      </c>
      <c r="J268">
        <v>1</v>
      </c>
      <c r="K268">
        <v>64.67</v>
      </c>
      <c r="L268">
        <v>64.099999999999994</v>
      </c>
      <c r="M268">
        <v>63.99</v>
      </c>
    </row>
    <row r="269" spans="1:13" x14ac:dyDescent="0.2">
      <c r="A269" s="1">
        <v>268</v>
      </c>
      <c r="B269" t="s">
        <v>865</v>
      </c>
      <c r="C269">
        <f xml:space="preserve">  64.46</f>
        <v>64.459999999999994</v>
      </c>
      <c r="D269">
        <v>12</v>
      </c>
      <c r="E269">
        <v>18</v>
      </c>
      <c r="F269">
        <v>67.37</v>
      </c>
      <c r="G269">
        <v>0</v>
      </c>
      <c r="H269">
        <v>1</v>
      </c>
      <c r="I269">
        <v>0</v>
      </c>
      <c r="J269">
        <v>1</v>
      </c>
      <c r="K269">
        <v>64.599999999999994</v>
      </c>
      <c r="L269">
        <v>64.209999999999994</v>
      </c>
      <c r="M269">
        <v>64.48</v>
      </c>
    </row>
    <row r="270" spans="1:13" x14ac:dyDescent="0.2">
      <c r="A270" s="1">
        <v>269</v>
      </c>
      <c r="B270" t="s">
        <v>180</v>
      </c>
      <c r="C270">
        <f xml:space="preserve">  64.4</f>
        <v>64.400000000000006</v>
      </c>
      <c r="D270">
        <v>10</v>
      </c>
      <c r="E270">
        <v>23</v>
      </c>
      <c r="F270">
        <v>68.64</v>
      </c>
      <c r="G270">
        <v>0</v>
      </c>
      <c r="H270">
        <v>0</v>
      </c>
      <c r="I270">
        <v>0</v>
      </c>
      <c r="J270">
        <v>0</v>
      </c>
      <c r="K270">
        <v>64.52</v>
      </c>
      <c r="L270">
        <v>64.180000000000007</v>
      </c>
      <c r="M270">
        <v>64.41</v>
      </c>
    </row>
    <row r="271" spans="1:13" x14ac:dyDescent="0.2">
      <c r="A271" s="1">
        <v>270</v>
      </c>
      <c r="B271" t="s">
        <v>140</v>
      </c>
      <c r="C271">
        <f xml:space="preserve">  64.19</f>
        <v>64.19</v>
      </c>
      <c r="D271">
        <v>9</v>
      </c>
      <c r="E271">
        <v>22</v>
      </c>
      <c r="F271">
        <v>68.63</v>
      </c>
      <c r="G271">
        <v>0</v>
      </c>
      <c r="H271">
        <v>1</v>
      </c>
      <c r="I271">
        <v>0</v>
      </c>
      <c r="J271">
        <v>2</v>
      </c>
      <c r="K271">
        <v>64.430000000000007</v>
      </c>
      <c r="L271">
        <v>63.75</v>
      </c>
      <c r="M271">
        <v>63.64</v>
      </c>
    </row>
    <row r="272" spans="1:13" x14ac:dyDescent="0.2">
      <c r="A272" s="1">
        <v>271</v>
      </c>
      <c r="B272" t="s">
        <v>211</v>
      </c>
      <c r="C272">
        <f xml:space="preserve">  64.15</f>
        <v>64.150000000000006</v>
      </c>
      <c r="D272">
        <v>12</v>
      </c>
      <c r="E272">
        <v>16</v>
      </c>
      <c r="F272">
        <v>66.209999999999994</v>
      </c>
      <c r="G272">
        <v>0</v>
      </c>
      <c r="H272">
        <v>0</v>
      </c>
      <c r="I272">
        <v>0</v>
      </c>
      <c r="J272">
        <v>3</v>
      </c>
      <c r="K272">
        <v>64.03</v>
      </c>
      <c r="L272">
        <v>64.31</v>
      </c>
      <c r="M272">
        <v>64.34</v>
      </c>
    </row>
    <row r="273" spans="1:13" x14ac:dyDescent="0.2">
      <c r="A273" s="1">
        <v>272</v>
      </c>
      <c r="B273" t="s">
        <v>873</v>
      </c>
      <c r="C273">
        <f xml:space="preserve">  64.12</f>
        <v>64.12</v>
      </c>
      <c r="D273">
        <v>9</v>
      </c>
      <c r="E273">
        <v>21</v>
      </c>
      <c r="F273">
        <v>70.36</v>
      </c>
      <c r="G273">
        <v>0</v>
      </c>
      <c r="H273">
        <v>0</v>
      </c>
      <c r="I273">
        <v>0</v>
      </c>
      <c r="J273">
        <v>0</v>
      </c>
      <c r="K273">
        <v>64.290000000000006</v>
      </c>
      <c r="L273">
        <v>63.8</v>
      </c>
      <c r="M273">
        <v>63.54</v>
      </c>
    </row>
    <row r="274" spans="1:13" x14ac:dyDescent="0.2">
      <c r="A274" s="1">
        <v>273</v>
      </c>
      <c r="B274" t="s">
        <v>266</v>
      </c>
      <c r="C274">
        <v>64.06</v>
      </c>
      <c r="D274">
        <v>10</v>
      </c>
      <c r="E274">
        <v>19</v>
      </c>
      <c r="F274">
        <v>67.209999999999994</v>
      </c>
      <c r="G274">
        <v>0</v>
      </c>
      <c r="H274">
        <v>1</v>
      </c>
      <c r="I274">
        <v>0</v>
      </c>
      <c r="J274">
        <v>2</v>
      </c>
      <c r="K274">
        <v>64.180000000000007</v>
      </c>
      <c r="L274">
        <v>63.83</v>
      </c>
      <c r="M274">
        <v>63.53</v>
      </c>
    </row>
    <row r="275" spans="1:13" x14ac:dyDescent="0.2">
      <c r="A275" s="1">
        <v>274</v>
      </c>
      <c r="B275" t="s">
        <v>183</v>
      </c>
      <c r="C275">
        <f xml:space="preserve">  64.01</f>
        <v>64.010000000000005</v>
      </c>
      <c r="D275">
        <v>7</v>
      </c>
      <c r="E275">
        <v>23</v>
      </c>
      <c r="F275">
        <v>73.540000000000006</v>
      </c>
      <c r="G275">
        <v>0</v>
      </c>
      <c r="H275">
        <v>3</v>
      </c>
      <c r="I275">
        <v>0</v>
      </c>
      <c r="J275">
        <v>4</v>
      </c>
      <c r="K275">
        <v>64.09</v>
      </c>
      <c r="L275">
        <v>63.85</v>
      </c>
      <c r="M275">
        <v>63.49</v>
      </c>
    </row>
    <row r="276" spans="1:13" x14ac:dyDescent="0.2">
      <c r="A276" s="1">
        <v>275</v>
      </c>
      <c r="B276" t="s">
        <v>152</v>
      </c>
      <c r="C276">
        <f xml:space="preserve">  63.97</f>
        <v>63.97</v>
      </c>
      <c r="D276">
        <v>10</v>
      </c>
      <c r="E276">
        <v>17</v>
      </c>
      <c r="F276">
        <v>68.36</v>
      </c>
      <c r="G276">
        <v>0</v>
      </c>
      <c r="H276">
        <v>1</v>
      </c>
      <c r="I276">
        <v>0</v>
      </c>
      <c r="J276">
        <v>1</v>
      </c>
      <c r="K276">
        <v>63.92</v>
      </c>
      <c r="L276">
        <v>64.03</v>
      </c>
      <c r="M276">
        <v>64.09</v>
      </c>
    </row>
    <row r="277" spans="1:13" x14ac:dyDescent="0.2">
      <c r="A277" s="1">
        <v>276</v>
      </c>
      <c r="B277" t="s">
        <v>298</v>
      </c>
      <c r="C277">
        <f xml:space="preserve">  63.97</f>
        <v>63.97</v>
      </c>
      <c r="D277">
        <v>11</v>
      </c>
      <c r="E277">
        <v>17</v>
      </c>
      <c r="F277">
        <v>67.62</v>
      </c>
      <c r="G277">
        <v>0</v>
      </c>
      <c r="H277">
        <v>1</v>
      </c>
      <c r="I277">
        <v>0</v>
      </c>
      <c r="J277">
        <v>2</v>
      </c>
      <c r="K277">
        <v>63.88</v>
      </c>
      <c r="L277">
        <v>64.09</v>
      </c>
      <c r="M277">
        <v>64.209999999999994</v>
      </c>
    </row>
    <row r="278" spans="1:13" x14ac:dyDescent="0.2">
      <c r="A278" s="1">
        <v>277</v>
      </c>
      <c r="B278" t="s">
        <v>148</v>
      </c>
      <c r="C278">
        <f xml:space="preserve">  63.96</f>
        <v>63.96</v>
      </c>
      <c r="D278">
        <v>8</v>
      </c>
      <c r="E278">
        <v>20</v>
      </c>
      <c r="F278">
        <v>69.599999999999994</v>
      </c>
      <c r="G278">
        <v>0</v>
      </c>
      <c r="H278">
        <v>0</v>
      </c>
      <c r="I278">
        <v>0</v>
      </c>
      <c r="J278">
        <v>1</v>
      </c>
      <c r="K278">
        <v>64.14</v>
      </c>
      <c r="L278">
        <v>63.64</v>
      </c>
      <c r="M278">
        <v>63.59</v>
      </c>
    </row>
    <row r="279" spans="1:13" x14ac:dyDescent="0.2">
      <c r="A279" s="1">
        <v>278</v>
      </c>
      <c r="B279" t="s">
        <v>251</v>
      </c>
      <c r="C279">
        <f xml:space="preserve">  63.89</f>
        <v>63.89</v>
      </c>
      <c r="D279">
        <v>14</v>
      </c>
      <c r="E279">
        <v>19</v>
      </c>
      <c r="F279">
        <v>67.08</v>
      </c>
      <c r="G279">
        <v>0</v>
      </c>
      <c r="H279">
        <v>1</v>
      </c>
      <c r="I279">
        <v>0</v>
      </c>
      <c r="J279">
        <v>2</v>
      </c>
      <c r="K279">
        <v>63.98</v>
      </c>
      <c r="L279">
        <v>63.72</v>
      </c>
      <c r="M279">
        <v>63.76</v>
      </c>
    </row>
    <row r="280" spans="1:13" x14ac:dyDescent="0.2">
      <c r="A280" s="1">
        <v>279</v>
      </c>
      <c r="B280" t="s">
        <v>214</v>
      </c>
      <c r="C280">
        <f xml:space="preserve">  63.79</f>
        <v>63.79</v>
      </c>
      <c r="D280">
        <v>10</v>
      </c>
      <c r="E280">
        <v>22</v>
      </c>
      <c r="F280">
        <v>69.489999999999995</v>
      </c>
      <c r="G280">
        <v>0</v>
      </c>
      <c r="H280">
        <v>2</v>
      </c>
      <c r="I280">
        <v>0</v>
      </c>
      <c r="J280">
        <v>2</v>
      </c>
      <c r="K280">
        <v>63.68</v>
      </c>
      <c r="L280">
        <v>63.92</v>
      </c>
      <c r="M280">
        <v>63.78</v>
      </c>
    </row>
    <row r="281" spans="1:13" x14ac:dyDescent="0.2">
      <c r="A281" s="1">
        <v>280</v>
      </c>
      <c r="B281" t="s">
        <v>201</v>
      </c>
      <c r="C281">
        <f xml:space="preserve">  63.77</f>
        <v>63.77</v>
      </c>
      <c r="D281">
        <v>8</v>
      </c>
      <c r="E281">
        <v>22</v>
      </c>
      <c r="F281">
        <v>72.599999999999994</v>
      </c>
      <c r="G281">
        <v>0</v>
      </c>
      <c r="H281">
        <v>4</v>
      </c>
      <c r="I281">
        <v>0</v>
      </c>
      <c r="J281">
        <v>4</v>
      </c>
      <c r="K281">
        <v>63.15</v>
      </c>
      <c r="L281">
        <v>64.680000000000007</v>
      </c>
      <c r="M281">
        <v>64.66</v>
      </c>
    </row>
    <row r="282" spans="1:13" x14ac:dyDescent="0.2">
      <c r="A282" s="1">
        <v>281</v>
      </c>
      <c r="B282" t="s">
        <v>881</v>
      </c>
      <c r="C282">
        <f xml:space="preserve">  63.7</f>
        <v>63.7</v>
      </c>
      <c r="D282">
        <v>5</v>
      </c>
      <c r="E282">
        <v>24</v>
      </c>
      <c r="F282">
        <v>68.45</v>
      </c>
      <c r="G282">
        <v>0</v>
      </c>
      <c r="H282">
        <v>0</v>
      </c>
      <c r="I282">
        <v>0</v>
      </c>
      <c r="J282">
        <v>1</v>
      </c>
      <c r="K282">
        <v>64.39</v>
      </c>
      <c r="L282">
        <v>62.45</v>
      </c>
      <c r="M282">
        <v>61.91</v>
      </c>
    </row>
    <row r="283" spans="1:13" x14ac:dyDescent="0.2">
      <c r="A283" s="1">
        <v>282</v>
      </c>
      <c r="B283" t="s">
        <v>826</v>
      </c>
      <c r="C283">
        <f xml:space="preserve">  63.67</f>
        <v>63.67</v>
      </c>
      <c r="D283">
        <v>7</v>
      </c>
      <c r="E283">
        <v>21</v>
      </c>
      <c r="F283">
        <v>70.599999999999994</v>
      </c>
      <c r="G283">
        <v>0</v>
      </c>
      <c r="H283">
        <v>1</v>
      </c>
      <c r="I283">
        <v>0</v>
      </c>
      <c r="J283">
        <v>1</v>
      </c>
      <c r="K283">
        <v>63.9</v>
      </c>
      <c r="L283">
        <v>63.24</v>
      </c>
      <c r="M283">
        <v>63.12</v>
      </c>
    </row>
    <row r="284" spans="1:13" x14ac:dyDescent="0.2">
      <c r="A284" s="1">
        <v>283</v>
      </c>
      <c r="B284" t="s">
        <v>150</v>
      </c>
      <c r="C284">
        <f xml:space="preserve">  63.59</f>
        <v>63.59</v>
      </c>
      <c r="D284">
        <v>11</v>
      </c>
      <c r="E284">
        <v>20</v>
      </c>
      <c r="F284">
        <v>71.39</v>
      </c>
      <c r="G284">
        <v>0</v>
      </c>
      <c r="H284">
        <v>0</v>
      </c>
      <c r="I284">
        <v>0</v>
      </c>
      <c r="J284">
        <v>1</v>
      </c>
      <c r="K284">
        <v>63.11</v>
      </c>
      <c r="L284">
        <v>64.3</v>
      </c>
      <c r="M284">
        <v>64.66</v>
      </c>
    </row>
    <row r="285" spans="1:13" x14ac:dyDescent="0.2">
      <c r="A285" s="1">
        <v>284</v>
      </c>
      <c r="B285" t="s">
        <v>293</v>
      </c>
      <c r="C285">
        <f xml:space="preserve">  63.34</f>
        <v>63.34</v>
      </c>
      <c r="D285">
        <v>9</v>
      </c>
      <c r="E285">
        <v>18</v>
      </c>
      <c r="F285">
        <v>68</v>
      </c>
      <c r="G285">
        <v>0</v>
      </c>
      <c r="H285">
        <v>1</v>
      </c>
      <c r="I285">
        <v>0</v>
      </c>
      <c r="J285">
        <v>2</v>
      </c>
      <c r="K285">
        <v>63.48</v>
      </c>
      <c r="L285">
        <v>63.09</v>
      </c>
      <c r="M285">
        <v>63.12</v>
      </c>
    </row>
    <row r="286" spans="1:13" x14ac:dyDescent="0.2">
      <c r="A286" s="1">
        <v>285</v>
      </c>
      <c r="B286" t="s">
        <v>882</v>
      </c>
      <c r="C286">
        <v>63.32</v>
      </c>
      <c r="D286">
        <v>9</v>
      </c>
      <c r="E286">
        <v>20</v>
      </c>
      <c r="F286">
        <v>68.239999999999995</v>
      </c>
      <c r="G286">
        <v>0</v>
      </c>
      <c r="H286">
        <v>1</v>
      </c>
      <c r="I286">
        <v>0</v>
      </c>
      <c r="J286">
        <v>2</v>
      </c>
      <c r="K286">
        <v>63.46</v>
      </c>
      <c r="L286">
        <v>63.07</v>
      </c>
      <c r="M286">
        <v>62.79</v>
      </c>
    </row>
    <row r="287" spans="1:13" x14ac:dyDescent="0.2">
      <c r="A287" s="1">
        <v>286</v>
      </c>
      <c r="B287" t="s">
        <v>296</v>
      </c>
      <c r="C287">
        <f xml:space="preserve">  63.31</f>
        <v>63.31</v>
      </c>
      <c r="D287">
        <v>13</v>
      </c>
      <c r="E287">
        <v>16</v>
      </c>
      <c r="F287">
        <v>65.08</v>
      </c>
      <c r="G287">
        <v>0</v>
      </c>
      <c r="H287">
        <v>0</v>
      </c>
      <c r="I287">
        <v>0</v>
      </c>
      <c r="J287">
        <v>0</v>
      </c>
      <c r="K287">
        <v>63.34</v>
      </c>
      <c r="L287">
        <v>63.24</v>
      </c>
      <c r="M287">
        <v>63.26</v>
      </c>
    </row>
    <row r="288" spans="1:13" x14ac:dyDescent="0.2">
      <c r="A288" s="1">
        <v>287</v>
      </c>
      <c r="B288" t="s">
        <v>831</v>
      </c>
      <c r="C288">
        <f xml:space="preserve">  63.16</f>
        <v>63.16</v>
      </c>
      <c r="D288">
        <v>11</v>
      </c>
      <c r="E288">
        <v>21</v>
      </c>
      <c r="F288">
        <v>69.87</v>
      </c>
      <c r="G288">
        <v>0</v>
      </c>
      <c r="H288">
        <v>0</v>
      </c>
      <c r="I288">
        <v>0</v>
      </c>
      <c r="J288">
        <v>1</v>
      </c>
      <c r="K288">
        <v>63.11</v>
      </c>
      <c r="L288">
        <v>63.2</v>
      </c>
      <c r="M288">
        <v>63.31</v>
      </c>
    </row>
    <row r="289" spans="1:13" x14ac:dyDescent="0.2">
      <c r="A289" s="1">
        <v>288</v>
      </c>
      <c r="B289" t="s">
        <v>175</v>
      </c>
      <c r="C289">
        <f xml:space="preserve">  63.13</f>
        <v>63.13</v>
      </c>
      <c r="D289">
        <v>11</v>
      </c>
      <c r="E289">
        <v>20</v>
      </c>
      <c r="F289">
        <v>66.37</v>
      </c>
      <c r="G289">
        <v>0</v>
      </c>
      <c r="H289">
        <v>2</v>
      </c>
      <c r="I289">
        <v>0</v>
      </c>
      <c r="J289">
        <v>3</v>
      </c>
      <c r="K289">
        <v>63.28</v>
      </c>
      <c r="L289">
        <v>62.86</v>
      </c>
      <c r="M289">
        <v>62.76</v>
      </c>
    </row>
    <row r="290" spans="1:13" x14ac:dyDescent="0.2">
      <c r="A290" s="1">
        <v>289</v>
      </c>
      <c r="B290" t="s">
        <v>189</v>
      </c>
      <c r="C290">
        <f xml:space="preserve">  63.13</f>
        <v>63.13</v>
      </c>
      <c r="D290">
        <v>16</v>
      </c>
      <c r="E290">
        <v>18</v>
      </c>
      <c r="F290">
        <v>65.08</v>
      </c>
      <c r="G290">
        <v>0</v>
      </c>
      <c r="H290">
        <v>1</v>
      </c>
      <c r="I290">
        <v>0</v>
      </c>
      <c r="J290">
        <v>1</v>
      </c>
      <c r="K290">
        <v>62.84</v>
      </c>
      <c r="L290">
        <v>63.54</v>
      </c>
      <c r="M290">
        <v>64.14</v>
      </c>
    </row>
    <row r="291" spans="1:13" x14ac:dyDescent="0.2">
      <c r="A291" s="1">
        <v>290</v>
      </c>
      <c r="B291" t="s">
        <v>850</v>
      </c>
      <c r="C291">
        <f xml:space="preserve">  63.05</f>
        <v>63.05</v>
      </c>
      <c r="D291">
        <v>9</v>
      </c>
      <c r="E291">
        <v>20</v>
      </c>
      <c r="F291">
        <v>69.13</v>
      </c>
      <c r="G291">
        <v>0</v>
      </c>
      <c r="H291">
        <v>0</v>
      </c>
      <c r="I291">
        <v>0</v>
      </c>
      <c r="J291">
        <v>0</v>
      </c>
      <c r="K291">
        <v>62.99</v>
      </c>
      <c r="L291">
        <v>63.12</v>
      </c>
      <c r="M291">
        <v>63.18</v>
      </c>
    </row>
    <row r="292" spans="1:13" x14ac:dyDescent="0.2">
      <c r="A292" s="1">
        <v>291</v>
      </c>
      <c r="B292" t="s">
        <v>550</v>
      </c>
      <c r="C292">
        <f xml:space="preserve">  62.86</f>
        <v>62.86</v>
      </c>
      <c r="D292">
        <v>7</v>
      </c>
      <c r="E292">
        <v>23</v>
      </c>
      <c r="F292">
        <v>70.650000000000006</v>
      </c>
      <c r="G292">
        <v>0</v>
      </c>
      <c r="H292">
        <v>1</v>
      </c>
      <c r="I292">
        <v>0</v>
      </c>
      <c r="J292">
        <v>1</v>
      </c>
      <c r="K292">
        <v>62.83</v>
      </c>
      <c r="L292">
        <v>62.87</v>
      </c>
      <c r="M292">
        <v>62.63</v>
      </c>
    </row>
    <row r="293" spans="1:13" x14ac:dyDescent="0.2">
      <c r="A293" s="1">
        <v>292</v>
      </c>
      <c r="B293" t="s">
        <v>203</v>
      </c>
      <c r="C293">
        <f xml:space="preserve">  62.79</f>
        <v>62.79</v>
      </c>
      <c r="D293">
        <v>10</v>
      </c>
      <c r="E293">
        <v>21</v>
      </c>
      <c r="F293">
        <v>68.87</v>
      </c>
      <c r="G293">
        <v>0</v>
      </c>
      <c r="H293">
        <v>1</v>
      </c>
      <c r="I293">
        <v>0</v>
      </c>
      <c r="J293">
        <v>2</v>
      </c>
      <c r="K293">
        <v>62.93</v>
      </c>
      <c r="L293">
        <v>62.54</v>
      </c>
      <c r="M293">
        <v>62.32</v>
      </c>
    </row>
    <row r="294" spans="1:13" x14ac:dyDescent="0.2">
      <c r="A294" s="1">
        <v>293</v>
      </c>
      <c r="B294" t="s">
        <v>228</v>
      </c>
      <c r="C294">
        <f xml:space="preserve">  62.74</f>
        <v>62.74</v>
      </c>
      <c r="D294">
        <v>9</v>
      </c>
      <c r="E294">
        <v>19</v>
      </c>
      <c r="F294">
        <v>69.78</v>
      </c>
      <c r="G294">
        <v>0</v>
      </c>
      <c r="H294">
        <v>0</v>
      </c>
      <c r="I294">
        <v>0</v>
      </c>
      <c r="J294">
        <v>3</v>
      </c>
      <c r="K294">
        <v>62.39</v>
      </c>
      <c r="L294">
        <v>63.24</v>
      </c>
      <c r="M294">
        <v>63.42</v>
      </c>
    </row>
    <row r="295" spans="1:13" x14ac:dyDescent="0.2">
      <c r="A295" s="1">
        <v>294</v>
      </c>
      <c r="B295" t="s">
        <v>208</v>
      </c>
      <c r="C295">
        <f xml:space="preserve">  62.59</f>
        <v>62.59</v>
      </c>
      <c r="D295">
        <v>10</v>
      </c>
      <c r="E295">
        <v>20</v>
      </c>
      <c r="F295">
        <v>66.28</v>
      </c>
      <c r="G295">
        <v>0</v>
      </c>
      <c r="H295">
        <v>0</v>
      </c>
      <c r="I295">
        <v>0</v>
      </c>
      <c r="J295">
        <v>1</v>
      </c>
      <c r="K295">
        <v>62.89</v>
      </c>
      <c r="L295">
        <v>62.04</v>
      </c>
      <c r="M295">
        <v>61.84</v>
      </c>
    </row>
    <row r="296" spans="1:13" x14ac:dyDescent="0.2">
      <c r="A296" s="1">
        <v>295</v>
      </c>
      <c r="B296" t="s">
        <v>168</v>
      </c>
      <c r="C296">
        <f xml:space="preserve">  62.45</f>
        <v>62.45</v>
      </c>
      <c r="D296">
        <v>6</v>
      </c>
      <c r="E296">
        <v>21</v>
      </c>
      <c r="F296">
        <v>68.760000000000005</v>
      </c>
      <c r="G296">
        <v>0</v>
      </c>
      <c r="H296">
        <v>1</v>
      </c>
      <c r="I296">
        <v>0</v>
      </c>
      <c r="J296">
        <v>2</v>
      </c>
      <c r="K296">
        <v>62.46</v>
      </c>
      <c r="L296">
        <v>62.39</v>
      </c>
      <c r="M296">
        <v>62.17</v>
      </c>
    </row>
    <row r="297" spans="1:13" x14ac:dyDescent="0.2">
      <c r="A297" s="1">
        <v>296</v>
      </c>
      <c r="B297" t="s">
        <v>822</v>
      </c>
      <c r="C297">
        <f xml:space="preserve">  62.38</f>
        <v>62.38</v>
      </c>
      <c r="D297">
        <v>11</v>
      </c>
      <c r="E297">
        <v>18</v>
      </c>
      <c r="F297">
        <v>67.290000000000006</v>
      </c>
      <c r="G297">
        <v>0</v>
      </c>
      <c r="H297">
        <v>0</v>
      </c>
      <c r="I297">
        <v>0</v>
      </c>
      <c r="J297">
        <v>0</v>
      </c>
      <c r="K297">
        <v>62.28</v>
      </c>
      <c r="L297">
        <v>62.51</v>
      </c>
      <c r="M297">
        <v>62.7</v>
      </c>
    </row>
    <row r="298" spans="1:13" x14ac:dyDescent="0.2">
      <c r="A298" s="1">
        <v>297</v>
      </c>
      <c r="B298" t="s">
        <v>223</v>
      </c>
      <c r="C298">
        <f xml:space="preserve">  62.19</f>
        <v>62.19</v>
      </c>
      <c r="D298">
        <v>12</v>
      </c>
      <c r="E298">
        <v>18</v>
      </c>
      <c r="F298">
        <v>67.650000000000006</v>
      </c>
      <c r="G298">
        <v>0</v>
      </c>
      <c r="H298">
        <v>2</v>
      </c>
      <c r="I298">
        <v>0</v>
      </c>
      <c r="J298">
        <v>3</v>
      </c>
      <c r="K298">
        <v>61.85</v>
      </c>
      <c r="L298">
        <v>62.67</v>
      </c>
      <c r="M298">
        <v>62.84</v>
      </c>
    </row>
    <row r="299" spans="1:13" x14ac:dyDescent="0.2">
      <c r="A299" s="1">
        <v>298</v>
      </c>
      <c r="B299" t="s">
        <v>173</v>
      </c>
      <c r="C299">
        <f xml:space="preserve">  62.17</f>
        <v>62.17</v>
      </c>
      <c r="D299">
        <v>7</v>
      </c>
      <c r="E299">
        <v>20</v>
      </c>
      <c r="F299">
        <v>69.39</v>
      </c>
      <c r="G299">
        <v>0</v>
      </c>
      <c r="H299">
        <v>0</v>
      </c>
      <c r="I299">
        <v>0</v>
      </c>
      <c r="J299">
        <v>1</v>
      </c>
      <c r="K299">
        <v>62.32</v>
      </c>
      <c r="L299">
        <v>61.88</v>
      </c>
      <c r="M299">
        <v>61.62</v>
      </c>
    </row>
    <row r="300" spans="1:13" x14ac:dyDescent="0.2">
      <c r="A300" s="1">
        <v>299</v>
      </c>
      <c r="B300" t="s">
        <v>206</v>
      </c>
      <c r="C300">
        <f xml:space="preserve">  62.09</f>
        <v>62.09</v>
      </c>
      <c r="D300">
        <v>6</v>
      </c>
      <c r="E300">
        <v>20</v>
      </c>
      <c r="F300">
        <v>69.94</v>
      </c>
      <c r="G300">
        <v>0</v>
      </c>
      <c r="H300">
        <v>1</v>
      </c>
      <c r="I300">
        <v>0</v>
      </c>
      <c r="J300">
        <v>2</v>
      </c>
      <c r="K300">
        <v>62.12</v>
      </c>
      <c r="L300">
        <v>62.01</v>
      </c>
      <c r="M300">
        <v>62.02</v>
      </c>
    </row>
    <row r="301" spans="1:13" x14ac:dyDescent="0.2">
      <c r="A301" s="1">
        <v>300</v>
      </c>
      <c r="B301" t="s">
        <v>250</v>
      </c>
      <c r="C301">
        <f xml:space="preserve">  61.95</f>
        <v>61.95</v>
      </c>
      <c r="D301">
        <v>8</v>
      </c>
      <c r="E301">
        <v>22</v>
      </c>
      <c r="F301">
        <v>67.78</v>
      </c>
      <c r="G301">
        <v>0</v>
      </c>
      <c r="H301">
        <v>1</v>
      </c>
      <c r="I301">
        <v>0</v>
      </c>
      <c r="J301">
        <v>2</v>
      </c>
      <c r="K301">
        <v>62.22</v>
      </c>
      <c r="L301">
        <v>61.46</v>
      </c>
      <c r="M301">
        <v>61.17</v>
      </c>
    </row>
    <row r="302" spans="1:13" x14ac:dyDescent="0.2">
      <c r="A302" s="1">
        <v>301</v>
      </c>
      <c r="B302" t="s">
        <v>868</v>
      </c>
      <c r="C302">
        <f xml:space="preserve">  61.93</f>
        <v>61.93</v>
      </c>
      <c r="D302">
        <v>9</v>
      </c>
      <c r="E302">
        <v>16</v>
      </c>
      <c r="F302">
        <v>66.52</v>
      </c>
      <c r="G302">
        <v>0</v>
      </c>
      <c r="H302">
        <v>0</v>
      </c>
      <c r="I302">
        <v>0</v>
      </c>
      <c r="J302">
        <v>0</v>
      </c>
      <c r="K302">
        <v>61.71</v>
      </c>
      <c r="L302">
        <v>62.24</v>
      </c>
      <c r="M302">
        <v>62.31</v>
      </c>
    </row>
    <row r="303" spans="1:13" x14ac:dyDescent="0.2">
      <c r="A303" s="1">
        <v>302</v>
      </c>
      <c r="B303" t="s">
        <v>843</v>
      </c>
      <c r="C303">
        <f xml:space="preserve">  61.88</f>
        <v>61.88</v>
      </c>
      <c r="D303">
        <v>15</v>
      </c>
      <c r="E303">
        <v>17</v>
      </c>
      <c r="F303">
        <v>63.76</v>
      </c>
      <c r="G303">
        <v>0</v>
      </c>
      <c r="H303">
        <v>1</v>
      </c>
      <c r="I303">
        <v>0</v>
      </c>
      <c r="J303">
        <v>3</v>
      </c>
      <c r="K303">
        <v>61.66</v>
      </c>
      <c r="L303">
        <v>62.19</v>
      </c>
      <c r="M303">
        <v>62.48</v>
      </c>
    </row>
    <row r="304" spans="1:13" x14ac:dyDescent="0.2">
      <c r="A304" s="1">
        <v>303</v>
      </c>
      <c r="B304" t="s">
        <v>842</v>
      </c>
      <c r="C304">
        <f xml:space="preserve">  61.76</f>
        <v>61.76</v>
      </c>
      <c r="D304">
        <v>15</v>
      </c>
      <c r="E304">
        <v>14</v>
      </c>
      <c r="F304">
        <v>62.35</v>
      </c>
      <c r="G304">
        <v>0</v>
      </c>
      <c r="H304">
        <v>0</v>
      </c>
      <c r="I304">
        <v>0</v>
      </c>
      <c r="J304">
        <v>0</v>
      </c>
      <c r="K304">
        <v>61.54</v>
      </c>
      <c r="L304">
        <v>62.06</v>
      </c>
      <c r="M304">
        <v>62.6</v>
      </c>
    </row>
    <row r="305" spans="1:13" x14ac:dyDescent="0.2">
      <c r="A305" s="1">
        <v>304</v>
      </c>
      <c r="B305" t="s">
        <v>132</v>
      </c>
      <c r="C305">
        <f xml:space="preserve">  61.61</f>
        <v>61.61</v>
      </c>
      <c r="D305">
        <v>9</v>
      </c>
      <c r="E305">
        <v>16</v>
      </c>
      <c r="F305">
        <v>65.92</v>
      </c>
      <c r="G305">
        <v>0</v>
      </c>
      <c r="H305">
        <v>0</v>
      </c>
      <c r="I305">
        <v>0</v>
      </c>
      <c r="J305">
        <v>0</v>
      </c>
      <c r="K305">
        <v>61.61</v>
      </c>
      <c r="L305">
        <v>61.58</v>
      </c>
      <c r="M305">
        <v>61.64</v>
      </c>
    </row>
    <row r="306" spans="1:13" x14ac:dyDescent="0.2">
      <c r="A306" s="1">
        <v>305</v>
      </c>
      <c r="B306" t="s">
        <v>246</v>
      </c>
      <c r="C306">
        <f xml:space="preserve">  61.54</f>
        <v>61.54</v>
      </c>
      <c r="D306">
        <v>13</v>
      </c>
      <c r="E306">
        <v>19</v>
      </c>
      <c r="F306">
        <v>64.94</v>
      </c>
      <c r="G306">
        <v>0</v>
      </c>
      <c r="H306">
        <v>1</v>
      </c>
      <c r="I306">
        <v>0</v>
      </c>
      <c r="J306">
        <v>1</v>
      </c>
      <c r="K306">
        <v>61.71</v>
      </c>
      <c r="L306">
        <v>61.22</v>
      </c>
      <c r="M306">
        <v>61.23</v>
      </c>
    </row>
    <row r="307" spans="1:13" x14ac:dyDescent="0.2">
      <c r="A307" s="1">
        <v>306</v>
      </c>
      <c r="B307" t="s">
        <v>901</v>
      </c>
      <c r="C307">
        <f xml:space="preserve">  61.22</f>
        <v>61.22</v>
      </c>
      <c r="D307">
        <v>9</v>
      </c>
      <c r="E307">
        <v>20</v>
      </c>
      <c r="F307">
        <v>67.040000000000006</v>
      </c>
      <c r="G307">
        <v>0</v>
      </c>
      <c r="H307">
        <v>0</v>
      </c>
      <c r="I307">
        <v>0</v>
      </c>
      <c r="J307">
        <v>1</v>
      </c>
      <c r="K307">
        <v>61.11</v>
      </c>
      <c r="L307">
        <v>61.36</v>
      </c>
      <c r="M307">
        <v>61.27</v>
      </c>
    </row>
    <row r="308" spans="1:13" x14ac:dyDescent="0.2">
      <c r="A308" s="1">
        <v>307</v>
      </c>
      <c r="B308" t="s">
        <v>190</v>
      </c>
      <c r="C308">
        <f xml:space="preserve">  61.13</f>
        <v>61.13</v>
      </c>
      <c r="D308">
        <v>8</v>
      </c>
      <c r="E308">
        <v>24</v>
      </c>
      <c r="F308">
        <v>69.69</v>
      </c>
      <c r="G308">
        <v>0</v>
      </c>
      <c r="H308">
        <v>1</v>
      </c>
      <c r="I308">
        <v>0</v>
      </c>
      <c r="J308">
        <v>2</v>
      </c>
      <c r="K308">
        <v>61.03</v>
      </c>
      <c r="L308">
        <v>61.25</v>
      </c>
      <c r="M308">
        <v>61.19</v>
      </c>
    </row>
    <row r="309" spans="1:13" x14ac:dyDescent="0.2">
      <c r="A309" s="1">
        <v>308</v>
      </c>
      <c r="B309" t="s">
        <v>268</v>
      </c>
      <c r="C309">
        <v>60.93</v>
      </c>
      <c r="D309">
        <v>9</v>
      </c>
      <c r="E309">
        <v>19</v>
      </c>
      <c r="F309">
        <v>66.36</v>
      </c>
      <c r="G309">
        <v>0</v>
      </c>
      <c r="H309">
        <v>1</v>
      </c>
      <c r="I309">
        <v>0</v>
      </c>
      <c r="J309">
        <v>2</v>
      </c>
      <c r="K309">
        <v>61.09</v>
      </c>
      <c r="L309">
        <v>60.63</v>
      </c>
      <c r="M309">
        <v>60.55</v>
      </c>
    </row>
    <row r="310" spans="1:13" x14ac:dyDescent="0.2">
      <c r="A310" s="1">
        <v>309</v>
      </c>
      <c r="B310" t="s">
        <v>83</v>
      </c>
      <c r="C310">
        <f xml:space="preserve">  60.92</f>
        <v>60.92</v>
      </c>
      <c r="D310">
        <v>6</v>
      </c>
      <c r="E310">
        <v>22</v>
      </c>
      <c r="F310">
        <v>68.27</v>
      </c>
      <c r="G310">
        <v>0</v>
      </c>
      <c r="H310">
        <v>0</v>
      </c>
      <c r="I310">
        <v>0</v>
      </c>
      <c r="J310">
        <v>1</v>
      </c>
      <c r="K310">
        <v>61.2</v>
      </c>
      <c r="L310">
        <v>60.42</v>
      </c>
      <c r="M310">
        <v>59.94</v>
      </c>
    </row>
    <row r="311" spans="1:13" x14ac:dyDescent="0.2">
      <c r="A311" s="1">
        <v>310</v>
      </c>
      <c r="B311" t="s">
        <v>897</v>
      </c>
      <c r="C311">
        <f xml:space="preserve">  60.89</f>
        <v>60.89</v>
      </c>
      <c r="D311">
        <v>7</v>
      </c>
      <c r="E311">
        <v>22</v>
      </c>
      <c r="F311">
        <v>68.87</v>
      </c>
      <c r="G311">
        <v>0</v>
      </c>
      <c r="H311">
        <v>0</v>
      </c>
      <c r="I311">
        <v>0</v>
      </c>
      <c r="J311">
        <v>0</v>
      </c>
      <c r="K311">
        <v>61.02</v>
      </c>
      <c r="L311">
        <v>60.65</v>
      </c>
      <c r="M311">
        <v>60.69</v>
      </c>
    </row>
    <row r="312" spans="1:13" x14ac:dyDescent="0.2">
      <c r="A312" s="1">
        <v>311</v>
      </c>
      <c r="B312" t="s">
        <v>253</v>
      </c>
      <c r="C312">
        <f xml:space="preserve">  60.84</f>
        <v>60.84</v>
      </c>
      <c r="D312">
        <v>12</v>
      </c>
      <c r="E312">
        <v>17</v>
      </c>
      <c r="F312">
        <v>63.26</v>
      </c>
      <c r="G312">
        <v>0</v>
      </c>
      <c r="H312">
        <v>0</v>
      </c>
      <c r="I312">
        <v>0</v>
      </c>
      <c r="J312">
        <v>1</v>
      </c>
      <c r="K312">
        <v>60.69</v>
      </c>
      <c r="L312">
        <v>61.05</v>
      </c>
      <c r="M312">
        <v>61.18</v>
      </c>
    </row>
    <row r="313" spans="1:13" x14ac:dyDescent="0.2">
      <c r="A313" s="1">
        <v>312</v>
      </c>
      <c r="B313" t="s">
        <v>269</v>
      </c>
      <c r="C313">
        <f xml:space="preserve">  60.8</f>
        <v>60.8</v>
      </c>
      <c r="D313">
        <v>8</v>
      </c>
      <c r="E313">
        <v>17</v>
      </c>
      <c r="F313">
        <v>66.91</v>
      </c>
      <c r="G313">
        <v>0</v>
      </c>
      <c r="H313">
        <v>0</v>
      </c>
      <c r="I313">
        <v>0</v>
      </c>
      <c r="J313">
        <v>1</v>
      </c>
      <c r="K313">
        <v>60.88</v>
      </c>
      <c r="L313">
        <v>60.63</v>
      </c>
      <c r="M313">
        <v>60.84</v>
      </c>
    </row>
    <row r="314" spans="1:13" x14ac:dyDescent="0.2">
      <c r="A314" s="1">
        <v>313</v>
      </c>
      <c r="B314" t="s">
        <v>143</v>
      </c>
      <c r="C314">
        <f xml:space="preserve">  60.75</f>
        <v>60.75</v>
      </c>
      <c r="D314">
        <v>5</v>
      </c>
      <c r="E314">
        <v>22</v>
      </c>
      <c r="F314">
        <v>69.88</v>
      </c>
      <c r="G314">
        <v>0</v>
      </c>
      <c r="H314">
        <v>2</v>
      </c>
      <c r="I314">
        <v>0</v>
      </c>
      <c r="J314">
        <v>2</v>
      </c>
      <c r="K314">
        <v>60.71</v>
      </c>
      <c r="L314">
        <v>60.79</v>
      </c>
      <c r="M314">
        <v>60.31</v>
      </c>
    </row>
    <row r="315" spans="1:13" x14ac:dyDescent="0.2">
      <c r="A315" s="1">
        <v>314</v>
      </c>
      <c r="B315" t="s">
        <v>902</v>
      </c>
      <c r="C315">
        <f xml:space="preserve">  60.63</f>
        <v>60.63</v>
      </c>
      <c r="D315">
        <v>5</v>
      </c>
      <c r="E315">
        <v>23</v>
      </c>
      <c r="F315">
        <v>69.02</v>
      </c>
      <c r="G315">
        <v>0</v>
      </c>
      <c r="H315">
        <v>0</v>
      </c>
      <c r="I315">
        <v>0</v>
      </c>
      <c r="J315">
        <v>2</v>
      </c>
      <c r="K315">
        <v>60.79</v>
      </c>
      <c r="L315">
        <v>60.32</v>
      </c>
      <c r="M315">
        <v>60.16</v>
      </c>
    </row>
    <row r="316" spans="1:13" x14ac:dyDescent="0.2">
      <c r="A316" s="1">
        <v>315</v>
      </c>
      <c r="B316" t="s">
        <v>256</v>
      </c>
      <c r="C316">
        <f xml:space="preserve">  60.06</f>
        <v>60.06</v>
      </c>
      <c r="D316">
        <v>8</v>
      </c>
      <c r="E316">
        <v>24</v>
      </c>
      <c r="F316">
        <v>68.27</v>
      </c>
      <c r="G316">
        <v>0</v>
      </c>
      <c r="H316">
        <v>3</v>
      </c>
      <c r="I316">
        <v>0</v>
      </c>
      <c r="J316">
        <v>4</v>
      </c>
      <c r="K316">
        <v>60.09</v>
      </c>
      <c r="L316">
        <v>59.99</v>
      </c>
      <c r="M316">
        <v>60.22</v>
      </c>
    </row>
    <row r="317" spans="1:13" x14ac:dyDescent="0.2">
      <c r="A317" s="1">
        <v>316</v>
      </c>
      <c r="B317" t="s">
        <v>198</v>
      </c>
      <c r="C317">
        <f xml:space="preserve">  60.05</f>
        <v>60.05</v>
      </c>
      <c r="D317">
        <v>9</v>
      </c>
      <c r="E317">
        <v>21</v>
      </c>
      <c r="F317">
        <v>69.39</v>
      </c>
      <c r="G317">
        <v>0</v>
      </c>
      <c r="H317">
        <v>1</v>
      </c>
      <c r="I317">
        <v>0</v>
      </c>
      <c r="J317">
        <v>2</v>
      </c>
      <c r="K317">
        <v>59.86</v>
      </c>
      <c r="L317">
        <v>60.32</v>
      </c>
      <c r="M317">
        <v>60.7</v>
      </c>
    </row>
    <row r="318" spans="1:13" x14ac:dyDescent="0.2">
      <c r="A318" s="1">
        <v>317</v>
      </c>
      <c r="B318" t="s">
        <v>898</v>
      </c>
      <c r="C318">
        <f xml:space="preserve">  59.86</f>
        <v>59.86</v>
      </c>
      <c r="D318">
        <v>13</v>
      </c>
      <c r="E318">
        <v>17</v>
      </c>
      <c r="F318">
        <v>61.35</v>
      </c>
      <c r="G318">
        <v>0</v>
      </c>
      <c r="H318">
        <v>1</v>
      </c>
      <c r="I318">
        <v>0</v>
      </c>
      <c r="J318">
        <v>1</v>
      </c>
      <c r="K318">
        <v>59.92</v>
      </c>
      <c r="L318">
        <v>59.75</v>
      </c>
      <c r="M318">
        <v>59.58</v>
      </c>
    </row>
    <row r="319" spans="1:13" x14ac:dyDescent="0.2">
      <c r="A319" s="1">
        <v>318</v>
      </c>
      <c r="B319" t="s">
        <v>886</v>
      </c>
      <c r="C319">
        <v>59.75</v>
      </c>
      <c r="D319">
        <v>12</v>
      </c>
      <c r="E319">
        <v>20</v>
      </c>
      <c r="F319">
        <v>65.25</v>
      </c>
      <c r="G319">
        <v>0</v>
      </c>
      <c r="H319">
        <v>2</v>
      </c>
      <c r="I319">
        <v>0</v>
      </c>
      <c r="J319">
        <v>3</v>
      </c>
      <c r="K319">
        <v>59.84</v>
      </c>
      <c r="L319">
        <v>59.58</v>
      </c>
      <c r="M319">
        <v>59.63</v>
      </c>
    </row>
    <row r="320" spans="1:13" x14ac:dyDescent="0.2">
      <c r="A320" s="1">
        <v>319</v>
      </c>
      <c r="B320" t="s">
        <v>233</v>
      </c>
      <c r="C320">
        <f xml:space="preserve">  59.69</f>
        <v>59.69</v>
      </c>
      <c r="D320">
        <v>8</v>
      </c>
      <c r="E320">
        <v>21</v>
      </c>
      <c r="F320">
        <v>67.040000000000006</v>
      </c>
      <c r="G320">
        <v>0</v>
      </c>
      <c r="H320">
        <v>0</v>
      </c>
      <c r="I320">
        <v>0</v>
      </c>
      <c r="J320">
        <v>0</v>
      </c>
      <c r="K320">
        <v>59.36</v>
      </c>
      <c r="L320">
        <v>60.15</v>
      </c>
      <c r="M320">
        <v>60.33</v>
      </c>
    </row>
    <row r="321" spans="1:13" x14ac:dyDescent="0.2">
      <c r="A321" s="1">
        <v>320</v>
      </c>
      <c r="B321" t="s">
        <v>255</v>
      </c>
      <c r="C321">
        <f xml:space="preserve">  59.53</f>
        <v>59.53</v>
      </c>
      <c r="D321">
        <v>7</v>
      </c>
      <c r="E321">
        <v>22</v>
      </c>
      <c r="F321">
        <v>69.150000000000006</v>
      </c>
      <c r="G321">
        <v>0</v>
      </c>
      <c r="H321">
        <v>1</v>
      </c>
      <c r="I321">
        <v>0</v>
      </c>
      <c r="J321">
        <v>1</v>
      </c>
      <c r="K321">
        <v>59.09</v>
      </c>
      <c r="L321">
        <v>60.15</v>
      </c>
      <c r="M321">
        <v>60.42</v>
      </c>
    </row>
    <row r="322" spans="1:13" x14ac:dyDescent="0.2">
      <c r="A322" s="1">
        <v>321</v>
      </c>
      <c r="B322" t="s">
        <v>235</v>
      </c>
      <c r="C322">
        <f xml:space="preserve">  59.4</f>
        <v>59.4</v>
      </c>
      <c r="D322">
        <v>11</v>
      </c>
      <c r="E322">
        <v>20</v>
      </c>
      <c r="F322">
        <v>64.040000000000006</v>
      </c>
      <c r="G322">
        <v>0</v>
      </c>
      <c r="H322">
        <v>2</v>
      </c>
      <c r="I322">
        <v>0</v>
      </c>
      <c r="J322">
        <v>4</v>
      </c>
      <c r="K322">
        <v>59.47</v>
      </c>
      <c r="L322">
        <v>59.26</v>
      </c>
      <c r="M322">
        <v>59.43</v>
      </c>
    </row>
    <row r="323" spans="1:13" x14ac:dyDescent="0.2">
      <c r="A323" s="1">
        <v>322</v>
      </c>
      <c r="B323" t="s">
        <v>833</v>
      </c>
      <c r="C323">
        <f xml:space="preserve">  59.33</f>
        <v>59.33</v>
      </c>
      <c r="D323">
        <v>5</v>
      </c>
      <c r="E323">
        <v>21</v>
      </c>
      <c r="F323">
        <v>67.91</v>
      </c>
      <c r="G323">
        <v>0</v>
      </c>
      <c r="H323">
        <v>2</v>
      </c>
      <c r="I323">
        <v>0</v>
      </c>
      <c r="J323">
        <v>2</v>
      </c>
      <c r="K323">
        <v>59.25</v>
      </c>
      <c r="L323">
        <v>59.42</v>
      </c>
      <c r="M323">
        <v>59.44</v>
      </c>
    </row>
    <row r="324" spans="1:13" x14ac:dyDescent="0.2">
      <c r="A324" s="1">
        <v>323</v>
      </c>
      <c r="B324" t="s">
        <v>254</v>
      </c>
      <c r="C324">
        <f xml:space="preserve">  59.29</f>
        <v>59.29</v>
      </c>
      <c r="D324">
        <v>8</v>
      </c>
      <c r="E324">
        <v>23</v>
      </c>
      <c r="F324">
        <v>67.040000000000006</v>
      </c>
      <c r="G324">
        <v>0</v>
      </c>
      <c r="H324">
        <v>0</v>
      </c>
      <c r="I324">
        <v>0</v>
      </c>
      <c r="J324">
        <v>0</v>
      </c>
      <c r="K324">
        <v>59.31</v>
      </c>
      <c r="L324">
        <v>59.22</v>
      </c>
      <c r="M324">
        <v>59.31</v>
      </c>
    </row>
    <row r="325" spans="1:13" x14ac:dyDescent="0.2">
      <c r="A325" s="1">
        <v>324</v>
      </c>
      <c r="B325" t="s">
        <v>838</v>
      </c>
      <c r="C325">
        <f xml:space="preserve">  59.28</f>
        <v>59.28</v>
      </c>
      <c r="D325">
        <v>12</v>
      </c>
      <c r="E325">
        <v>17</v>
      </c>
      <c r="F325">
        <v>61.66</v>
      </c>
      <c r="G325">
        <v>0</v>
      </c>
      <c r="H325">
        <v>1</v>
      </c>
      <c r="I325">
        <v>0</v>
      </c>
      <c r="J325">
        <v>1</v>
      </c>
      <c r="K325">
        <v>59.2</v>
      </c>
      <c r="L325">
        <v>59.37</v>
      </c>
      <c r="M325">
        <v>59.31</v>
      </c>
    </row>
    <row r="326" spans="1:13" x14ac:dyDescent="0.2">
      <c r="A326" s="1">
        <v>325</v>
      </c>
      <c r="B326" t="s">
        <v>845</v>
      </c>
      <c r="C326">
        <f xml:space="preserve">  58.87</f>
        <v>58.87</v>
      </c>
      <c r="D326">
        <v>10</v>
      </c>
      <c r="E326">
        <v>17</v>
      </c>
      <c r="F326">
        <v>67.459999999999994</v>
      </c>
      <c r="G326">
        <v>0</v>
      </c>
      <c r="H326">
        <v>1</v>
      </c>
      <c r="I326">
        <v>0</v>
      </c>
      <c r="J326">
        <v>2</v>
      </c>
      <c r="K326">
        <v>58.41</v>
      </c>
      <c r="L326">
        <v>59.52</v>
      </c>
      <c r="M326">
        <v>60.27</v>
      </c>
    </row>
    <row r="327" spans="1:13" x14ac:dyDescent="0.2">
      <c r="A327" s="1">
        <v>326</v>
      </c>
      <c r="B327" t="s">
        <v>841</v>
      </c>
      <c r="C327">
        <f xml:space="preserve">  58.82</f>
        <v>58.82</v>
      </c>
      <c r="D327">
        <v>13</v>
      </c>
      <c r="E327">
        <v>16</v>
      </c>
      <c r="F327">
        <v>61.63</v>
      </c>
      <c r="G327">
        <v>0</v>
      </c>
      <c r="H327">
        <v>0</v>
      </c>
      <c r="I327">
        <v>0</v>
      </c>
      <c r="J327">
        <v>0</v>
      </c>
      <c r="K327">
        <v>58.58</v>
      </c>
      <c r="L327">
        <v>59.16</v>
      </c>
      <c r="M327">
        <v>59.46</v>
      </c>
    </row>
    <row r="328" spans="1:13" x14ac:dyDescent="0.2">
      <c r="A328" s="1">
        <v>327</v>
      </c>
      <c r="B328" t="s">
        <v>244</v>
      </c>
      <c r="C328">
        <f xml:space="preserve">  58.72</f>
        <v>58.72</v>
      </c>
      <c r="D328">
        <v>8</v>
      </c>
      <c r="E328">
        <v>21</v>
      </c>
      <c r="F328">
        <v>68.239999999999995</v>
      </c>
      <c r="G328">
        <v>0</v>
      </c>
      <c r="H328">
        <v>1</v>
      </c>
      <c r="I328">
        <v>0</v>
      </c>
      <c r="J328">
        <v>1</v>
      </c>
      <c r="K328">
        <v>58.33</v>
      </c>
      <c r="L328">
        <v>59.28</v>
      </c>
      <c r="M328">
        <v>59.43</v>
      </c>
    </row>
    <row r="329" spans="1:13" x14ac:dyDescent="0.2">
      <c r="A329" s="1">
        <v>328</v>
      </c>
      <c r="B329" t="s">
        <v>830</v>
      </c>
      <c r="C329">
        <f xml:space="preserve">  58.68</f>
        <v>58.68</v>
      </c>
      <c r="D329">
        <v>4</v>
      </c>
      <c r="E329">
        <v>26</v>
      </c>
      <c r="F329">
        <v>69.180000000000007</v>
      </c>
      <c r="G329">
        <v>0</v>
      </c>
      <c r="H329">
        <v>1</v>
      </c>
      <c r="I329">
        <v>0</v>
      </c>
      <c r="J329">
        <v>2</v>
      </c>
      <c r="K329">
        <v>58.83</v>
      </c>
      <c r="L329">
        <v>58.39</v>
      </c>
      <c r="M329">
        <v>57.95</v>
      </c>
    </row>
    <row r="330" spans="1:13" x14ac:dyDescent="0.2">
      <c r="A330" s="1">
        <v>329</v>
      </c>
      <c r="B330" t="s">
        <v>279</v>
      </c>
      <c r="C330">
        <f xml:space="preserve">  58.66</f>
        <v>58.66</v>
      </c>
      <c r="D330">
        <v>4</v>
      </c>
      <c r="E330">
        <v>24</v>
      </c>
      <c r="F330">
        <v>70.2</v>
      </c>
      <c r="G330">
        <v>0</v>
      </c>
      <c r="H330">
        <v>1</v>
      </c>
      <c r="I330">
        <v>0</v>
      </c>
      <c r="J330">
        <v>3</v>
      </c>
      <c r="K330">
        <v>58.83</v>
      </c>
      <c r="L330">
        <v>58.33</v>
      </c>
      <c r="M330">
        <v>58.2</v>
      </c>
    </row>
    <row r="331" spans="1:13" x14ac:dyDescent="0.2">
      <c r="A331" s="1">
        <v>330</v>
      </c>
      <c r="B331" t="s">
        <v>226</v>
      </c>
      <c r="C331">
        <f xml:space="preserve">  58.44</f>
        <v>58.44</v>
      </c>
      <c r="D331">
        <v>7</v>
      </c>
      <c r="E331">
        <v>23</v>
      </c>
      <c r="F331">
        <v>71.28</v>
      </c>
      <c r="G331">
        <v>0</v>
      </c>
      <c r="H331">
        <v>1</v>
      </c>
      <c r="I331">
        <v>0</v>
      </c>
      <c r="J331">
        <v>3</v>
      </c>
      <c r="K331">
        <v>57.62</v>
      </c>
      <c r="L331">
        <v>59.56</v>
      </c>
      <c r="M331">
        <v>60.04</v>
      </c>
    </row>
    <row r="332" spans="1:13" x14ac:dyDescent="0.2">
      <c r="A332" s="1">
        <v>331</v>
      </c>
      <c r="B332" t="s">
        <v>844</v>
      </c>
      <c r="C332">
        <f xml:space="preserve">  58.43</f>
        <v>58.43</v>
      </c>
      <c r="D332">
        <v>11</v>
      </c>
      <c r="E332">
        <v>16</v>
      </c>
      <c r="F332">
        <v>63.65</v>
      </c>
      <c r="G332">
        <v>0</v>
      </c>
      <c r="H332">
        <v>2</v>
      </c>
      <c r="I332">
        <v>0</v>
      </c>
      <c r="J332">
        <v>2</v>
      </c>
      <c r="K332">
        <v>58.2</v>
      </c>
      <c r="L332">
        <v>58.75</v>
      </c>
      <c r="M332">
        <v>59.22</v>
      </c>
    </row>
    <row r="333" spans="1:13" x14ac:dyDescent="0.2">
      <c r="A333" s="1">
        <v>332</v>
      </c>
      <c r="B333" t="s">
        <v>222</v>
      </c>
      <c r="C333">
        <f xml:space="preserve">  57.49</f>
        <v>57.49</v>
      </c>
      <c r="D333">
        <v>9</v>
      </c>
      <c r="E333">
        <v>23</v>
      </c>
      <c r="F333">
        <v>66.92</v>
      </c>
      <c r="G333">
        <v>0</v>
      </c>
      <c r="H333">
        <v>0</v>
      </c>
      <c r="I333">
        <v>0</v>
      </c>
      <c r="J333">
        <v>0</v>
      </c>
      <c r="K333">
        <v>57.23</v>
      </c>
      <c r="L333">
        <v>57.85</v>
      </c>
      <c r="M333">
        <v>58.21</v>
      </c>
    </row>
    <row r="334" spans="1:13" x14ac:dyDescent="0.2">
      <c r="A334" s="1">
        <v>333</v>
      </c>
      <c r="B334" t="s">
        <v>164</v>
      </c>
      <c r="C334">
        <f xml:space="preserve">  57.4</f>
        <v>57.4</v>
      </c>
      <c r="D334">
        <v>4</v>
      </c>
      <c r="E334">
        <v>27</v>
      </c>
      <c r="F334">
        <v>67.61</v>
      </c>
      <c r="G334">
        <v>0</v>
      </c>
      <c r="H334">
        <v>0</v>
      </c>
      <c r="I334">
        <v>0</v>
      </c>
      <c r="J334">
        <v>0</v>
      </c>
      <c r="K334">
        <v>57.81</v>
      </c>
      <c r="L334">
        <v>56.64</v>
      </c>
      <c r="M334">
        <v>56.4</v>
      </c>
    </row>
    <row r="335" spans="1:13" x14ac:dyDescent="0.2">
      <c r="A335" s="1">
        <v>334</v>
      </c>
      <c r="B335" t="s">
        <v>224</v>
      </c>
      <c r="C335">
        <f xml:space="preserve">  57.17</f>
        <v>57.17</v>
      </c>
      <c r="D335">
        <v>8</v>
      </c>
      <c r="E335">
        <v>24</v>
      </c>
      <c r="F335">
        <v>64.650000000000006</v>
      </c>
      <c r="G335">
        <v>0</v>
      </c>
      <c r="H335">
        <v>1</v>
      </c>
      <c r="I335">
        <v>0</v>
      </c>
      <c r="J335">
        <v>4</v>
      </c>
      <c r="K335">
        <v>57.35</v>
      </c>
      <c r="L335">
        <v>56.84</v>
      </c>
      <c r="M335">
        <v>56.41</v>
      </c>
    </row>
    <row r="336" spans="1:13" x14ac:dyDescent="0.2">
      <c r="A336" s="1">
        <v>335</v>
      </c>
      <c r="B336" t="s">
        <v>900</v>
      </c>
      <c r="C336">
        <f xml:space="preserve">  56.7</f>
        <v>56.7</v>
      </c>
      <c r="D336">
        <v>9</v>
      </c>
      <c r="E336">
        <v>20</v>
      </c>
      <c r="F336">
        <v>65.37</v>
      </c>
      <c r="G336">
        <v>0</v>
      </c>
      <c r="H336">
        <v>2</v>
      </c>
      <c r="I336">
        <v>0</v>
      </c>
      <c r="J336">
        <v>6</v>
      </c>
      <c r="K336">
        <v>56.48</v>
      </c>
      <c r="L336">
        <v>57.02</v>
      </c>
      <c r="M336">
        <v>57</v>
      </c>
    </row>
    <row r="337" spans="1:13" x14ac:dyDescent="0.2">
      <c r="A337" s="1">
        <v>336</v>
      </c>
      <c r="B337" t="s">
        <v>867</v>
      </c>
      <c r="C337">
        <f xml:space="preserve">  56.55</f>
        <v>56.55</v>
      </c>
      <c r="D337">
        <v>13</v>
      </c>
      <c r="E337">
        <v>17</v>
      </c>
      <c r="F337">
        <v>61.57</v>
      </c>
      <c r="G337">
        <v>0</v>
      </c>
      <c r="H337">
        <v>1</v>
      </c>
      <c r="I337">
        <v>0</v>
      </c>
      <c r="J337">
        <v>1</v>
      </c>
      <c r="K337">
        <v>56.35</v>
      </c>
      <c r="L337">
        <v>56.83</v>
      </c>
      <c r="M337">
        <v>57.66</v>
      </c>
    </row>
    <row r="338" spans="1:13" x14ac:dyDescent="0.2">
      <c r="A338" s="1">
        <v>337</v>
      </c>
      <c r="B338" t="s">
        <v>824</v>
      </c>
      <c r="C338">
        <f xml:space="preserve">  56.34</f>
        <v>56.34</v>
      </c>
      <c r="D338">
        <v>3</v>
      </c>
      <c r="E338">
        <v>26</v>
      </c>
      <c r="F338">
        <v>72.39</v>
      </c>
      <c r="G338">
        <v>0</v>
      </c>
      <c r="H338">
        <v>2</v>
      </c>
      <c r="I338">
        <v>0</v>
      </c>
      <c r="J338">
        <v>3</v>
      </c>
      <c r="K338">
        <v>56.32</v>
      </c>
      <c r="L338">
        <v>56.33</v>
      </c>
      <c r="M338">
        <v>56.5</v>
      </c>
    </row>
    <row r="339" spans="1:13" x14ac:dyDescent="0.2">
      <c r="A339" s="1">
        <v>338</v>
      </c>
      <c r="B339" t="s">
        <v>267</v>
      </c>
      <c r="C339">
        <f xml:space="preserve">  56.23</f>
        <v>56.23</v>
      </c>
      <c r="D339">
        <v>6</v>
      </c>
      <c r="E339">
        <v>25</v>
      </c>
      <c r="F339">
        <v>68.34</v>
      </c>
      <c r="G339">
        <v>0</v>
      </c>
      <c r="H339">
        <v>1</v>
      </c>
      <c r="I339">
        <v>0</v>
      </c>
      <c r="J339">
        <v>2</v>
      </c>
      <c r="K339">
        <v>56.52</v>
      </c>
      <c r="L339">
        <v>55.69</v>
      </c>
      <c r="M339">
        <v>55.71</v>
      </c>
    </row>
    <row r="340" spans="1:13" x14ac:dyDescent="0.2">
      <c r="A340" s="1">
        <v>339</v>
      </c>
      <c r="B340" t="s">
        <v>884</v>
      </c>
      <c r="C340">
        <v>55.63</v>
      </c>
      <c r="D340">
        <v>6</v>
      </c>
      <c r="E340">
        <v>23</v>
      </c>
      <c r="F340">
        <v>65.09</v>
      </c>
      <c r="G340">
        <v>0</v>
      </c>
      <c r="H340">
        <v>0</v>
      </c>
      <c r="I340">
        <v>0</v>
      </c>
      <c r="J340">
        <v>1</v>
      </c>
      <c r="K340">
        <v>55.67</v>
      </c>
      <c r="L340">
        <v>55.54</v>
      </c>
      <c r="M340">
        <v>55.61</v>
      </c>
    </row>
    <row r="341" spans="1:13" x14ac:dyDescent="0.2">
      <c r="A341" s="1">
        <v>340</v>
      </c>
      <c r="B341" t="s">
        <v>835</v>
      </c>
      <c r="C341">
        <f xml:space="preserve">  55.43</f>
        <v>55.43</v>
      </c>
      <c r="D341">
        <v>8</v>
      </c>
      <c r="E341">
        <v>22</v>
      </c>
      <c r="F341">
        <v>63.84</v>
      </c>
      <c r="G341">
        <v>0</v>
      </c>
      <c r="H341">
        <v>1</v>
      </c>
      <c r="I341">
        <v>0</v>
      </c>
      <c r="J341">
        <v>2</v>
      </c>
      <c r="K341">
        <v>55.56</v>
      </c>
      <c r="L341">
        <v>55.17</v>
      </c>
      <c r="M341">
        <v>55.23</v>
      </c>
    </row>
    <row r="342" spans="1:13" x14ac:dyDescent="0.2">
      <c r="A342" s="1">
        <v>341</v>
      </c>
      <c r="B342" t="s">
        <v>834</v>
      </c>
      <c r="C342">
        <f xml:space="preserve">  55.28</f>
        <v>55.28</v>
      </c>
      <c r="D342">
        <v>7</v>
      </c>
      <c r="E342">
        <v>23</v>
      </c>
      <c r="F342">
        <v>63.31</v>
      </c>
      <c r="G342">
        <v>0</v>
      </c>
      <c r="H342">
        <v>0</v>
      </c>
      <c r="I342">
        <v>0</v>
      </c>
      <c r="J342">
        <v>1</v>
      </c>
      <c r="K342">
        <v>55.33</v>
      </c>
      <c r="L342">
        <v>55.17</v>
      </c>
      <c r="M342">
        <v>54.93</v>
      </c>
    </row>
    <row r="343" spans="1:13" x14ac:dyDescent="0.2">
      <c r="A343" s="1">
        <v>342</v>
      </c>
      <c r="B343" t="s">
        <v>895</v>
      </c>
      <c r="C343">
        <f xml:space="preserve">  55.19</f>
        <v>55.19</v>
      </c>
      <c r="D343">
        <v>8</v>
      </c>
      <c r="E343">
        <v>22</v>
      </c>
      <c r="F343">
        <v>61.87</v>
      </c>
      <c r="G343">
        <v>0</v>
      </c>
      <c r="H343">
        <v>0</v>
      </c>
      <c r="I343">
        <v>0</v>
      </c>
      <c r="J343">
        <v>0</v>
      </c>
      <c r="K343">
        <v>55.18</v>
      </c>
      <c r="L343">
        <v>55.17</v>
      </c>
      <c r="M343">
        <v>55.16</v>
      </c>
    </row>
    <row r="344" spans="1:13" x14ac:dyDescent="0.2">
      <c r="A344" s="1">
        <v>343</v>
      </c>
      <c r="B344" t="s">
        <v>885</v>
      </c>
      <c r="C344">
        <v>54.23</v>
      </c>
      <c r="D344">
        <v>7</v>
      </c>
      <c r="E344">
        <v>25</v>
      </c>
      <c r="F344">
        <v>65.27</v>
      </c>
      <c r="G344">
        <v>0</v>
      </c>
      <c r="H344">
        <v>3</v>
      </c>
      <c r="I344">
        <v>0</v>
      </c>
      <c r="J344">
        <v>6</v>
      </c>
      <c r="K344">
        <v>54.26</v>
      </c>
      <c r="L344">
        <v>54.15</v>
      </c>
      <c r="M344">
        <v>54.28</v>
      </c>
    </row>
    <row r="345" spans="1:13" x14ac:dyDescent="0.2">
      <c r="A345" s="1">
        <v>344</v>
      </c>
      <c r="B345" t="s">
        <v>892</v>
      </c>
      <c r="C345">
        <f xml:space="preserve">  54.21</f>
        <v>54.21</v>
      </c>
      <c r="D345">
        <v>3</v>
      </c>
      <c r="E345">
        <v>27</v>
      </c>
      <c r="F345">
        <v>65.62</v>
      </c>
      <c r="G345">
        <v>0</v>
      </c>
      <c r="H345">
        <v>1</v>
      </c>
      <c r="I345">
        <v>0</v>
      </c>
      <c r="J345">
        <v>1</v>
      </c>
      <c r="K345">
        <v>54.46</v>
      </c>
      <c r="L345">
        <v>53.74</v>
      </c>
      <c r="M345">
        <v>53.16</v>
      </c>
    </row>
    <row r="346" spans="1:13" x14ac:dyDescent="0.2">
      <c r="A346" s="1">
        <v>345</v>
      </c>
      <c r="B346" t="s">
        <v>832</v>
      </c>
      <c r="C346">
        <f xml:space="preserve">  53.57</f>
        <v>53.57</v>
      </c>
      <c r="D346">
        <v>7</v>
      </c>
      <c r="E346">
        <v>23</v>
      </c>
      <c r="F346">
        <v>65.290000000000006</v>
      </c>
      <c r="G346">
        <v>0</v>
      </c>
      <c r="H346">
        <v>0</v>
      </c>
      <c r="I346">
        <v>0</v>
      </c>
      <c r="J346">
        <v>2</v>
      </c>
      <c r="K346">
        <v>53.21</v>
      </c>
      <c r="L346">
        <v>54.06</v>
      </c>
      <c r="M346">
        <v>54.35</v>
      </c>
    </row>
    <row r="347" spans="1:13" x14ac:dyDescent="0.2">
      <c r="A347" s="1">
        <v>346</v>
      </c>
      <c r="B347" t="s">
        <v>170</v>
      </c>
      <c r="C347">
        <f xml:space="preserve">  53.18</f>
        <v>53.18</v>
      </c>
      <c r="D347">
        <v>4</v>
      </c>
      <c r="E347">
        <v>24</v>
      </c>
      <c r="F347">
        <v>66.709999999999994</v>
      </c>
      <c r="G347">
        <v>0</v>
      </c>
      <c r="H347">
        <v>0</v>
      </c>
      <c r="I347">
        <v>0</v>
      </c>
      <c r="J347">
        <v>2</v>
      </c>
      <c r="K347">
        <v>53.19</v>
      </c>
      <c r="L347">
        <v>53.13</v>
      </c>
      <c r="M347">
        <v>52.94</v>
      </c>
    </row>
    <row r="348" spans="1:13" x14ac:dyDescent="0.2">
      <c r="A348" s="1">
        <v>347</v>
      </c>
      <c r="B348" t="s">
        <v>247</v>
      </c>
      <c r="C348">
        <f xml:space="preserve">  52.97</f>
        <v>52.97</v>
      </c>
      <c r="D348">
        <v>5</v>
      </c>
      <c r="E348">
        <v>23</v>
      </c>
      <c r="F348">
        <v>61.01</v>
      </c>
      <c r="G348">
        <v>0</v>
      </c>
      <c r="H348">
        <v>1</v>
      </c>
      <c r="I348">
        <v>0</v>
      </c>
      <c r="J348">
        <v>1</v>
      </c>
      <c r="K348">
        <v>53.25</v>
      </c>
      <c r="L348">
        <v>52.43</v>
      </c>
      <c r="M348">
        <v>52.42</v>
      </c>
    </row>
    <row r="349" spans="1:13" x14ac:dyDescent="0.2">
      <c r="A349" s="1">
        <v>348</v>
      </c>
      <c r="B349" t="s">
        <v>270</v>
      </c>
      <c r="C349">
        <f xml:space="preserve">  52</f>
        <v>52</v>
      </c>
      <c r="D349">
        <v>6</v>
      </c>
      <c r="E349">
        <v>24</v>
      </c>
      <c r="F349">
        <v>64</v>
      </c>
      <c r="G349">
        <v>0</v>
      </c>
      <c r="H349">
        <v>1</v>
      </c>
      <c r="I349">
        <v>0</v>
      </c>
      <c r="J349">
        <v>1</v>
      </c>
      <c r="K349">
        <v>51.9</v>
      </c>
      <c r="L349">
        <v>52.13</v>
      </c>
      <c r="M349">
        <v>52.3</v>
      </c>
    </row>
    <row r="350" spans="1:13" x14ac:dyDescent="0.2">
      <c r="A350" s="1">
        <v>349</v>
      </c>
      <c r="B350" t="s">
        <v>229</v>
      </c>
      <c r="C350">
        <f xml:space="preserve">  51.48</f>
        <v>51.48</v>
      </c>
      <c r="D350">
        <v>1</v>
      </c>
      <c r="E350">
        <v>29</v>
      </c>
      <c r="F350">
        <v>63.79</v>
      </c>
      <c r="G350">
        <v>0</v>
      </c>
      <c r="H350">
        <v>1</v>
      </c>
      <c r="I350">
        <v>0</v>
      </c>
      <c r="J350">
        <v>1</v>
      </c>
      <c r="K350">
        <v>52.03</v>
      </c>
      <c r="L350">
        <v>50.37</v>
      </c>
      <c r="M350">
        <v>49.59</v>
      </c>
    </row>
    <row r="351" spans="1:13" x14ac:dyDescent="0.2">
      <c r="A351" s="1">
        <v>350</v>
      </c>
      <c r="B351" t="s">
        <v>883</v>
      </c>
      <c r="C351">
        <v>50.96</v>
      </c>
      <c r="D351">
        <v>3</v>
      </c>
      <c r="E351">
        <v>25</v>
      </c>
      <c r="F351">
        <v>67.42</v>
      </c>
      <c r="G351">
        <v>0</v>
      </c>
      <c r="H351">
        <v>0</v>
      </c>
      <c r="I351">
        <v>0</v>
      </c>
      <c r="J351">
        <v>0</v>
      </c>
      <c r="K351">
        <v>50.68</v>
      </c>
      <c r="L351">
        <v>51.33</v>
      </c>
      <c r="M351">
        <v>51.44</v>
      </c>
    </row>
    <row r="352" spans="1:13" x14ac:dyDescent="0.2">
      <c r="A352" s="2">
        <v>351</v>
      </c>
      <c r="B352" t="s">
        <v>260</v>
      </c>
      <c r="C352">
        <f xml:space="preserve">  48.84</f>
        <v>48.84</v>
      </c>
      <c r="D352">
        <v>2</v>
      </c>
      <c r="E352">
        <v>27</v>
      </c>
      <c r="F352">
        <v>63.17</v>
      </c>
      <c r="G352">
        <v>0</v>
      </c>
      <c r="H352">
        <v>0</v>
      </c>
      <c r="I352">
        <v>0</v>
      </c>
      <c r="J352">
        <v>0</v>
      </c>
      <c r="K352">
        <v>48.89</v>
      </c>
      <c r="L352">
        <v>48.72</v>
      </c>
      <c r="M352">
        <v>48.56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B141-34FC-458B-9F6A-400F90D558B1}">
  <dimension ref="A1:M352"/>
  <sheetViews>
    <sheetView topLeftCell="A282" workbookViewId="0">
      <selection activeCell="U283" sqref="U283"/>
    </sheetView>
  </sheetViews>
  <sheetFormatPr baseColWidth="10" defaultColWidth="8.83203125" defaultRowHeight="15" x14ac:dyDescent="0.2"/>
  <cols>
    <col min="2" max="2" width="19.33203125" bestFit="1" customWidth="1"/>
  </cols>
  <sheetData>
    <row r="1" spans="1:13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</row>
    <row r="2" spans="1:13" x14ac:dyDescent="0.2">
      <c r="A2" s="1">
        <v>1</v>
      </c>
      <c r="B2" t="s">
        <v>11</v>
      </c>
      <c r="C2">
        <f xml:space="preserve">  94.26</f>
        <v>94.26</v>
      </c>
      <c r="D2">
        <v>35</v>
      </c>
      <c r="E2">
        <v>5</v>
      </c>
      <c r="F2">
        <v>80.709999999999994</v>
      </c>
      <c r="G2">
        <v>6</v>
      </c>
      <c r="H2">
        <v>3</v>
      </c>
      <c r="I2">
        <v>16</v>
      </c>
      <c r="J2">
        <v>5</v>
      </c>
      <c r="K2">
        <v>93.65</v>
      </c>
      <c r="L2">
        <v>94</v>
      </c>
      <c r="M2">
        <v>97.6</v>
      </c>
    </row>
    <row r="3" spans="1:13" x14ac:dyDescent="0.2">
      <c r="A3" s="1">
        <v>2</v>
      </c>
      <c r="B3" t="s">
        <v>2</v>
      </c>
      <c r="C3">
        <f xml:space="preserve">  93.55</f>
        <v>93.55</v>
      </c>
      <c r="D3">
        <v>32</v>
      </c>
      <c r="E3">
        <v>5</v>
      </c>
      <c r="F3">
        <v>81.92</v>
      </c>
      <c r="G3">
        <v>11</v>
      </c>
      <c r="H3">
        <v>4</v>
      </c>
      <c r="I3">
        <v>15</v>
      </c>
      <c r="J3">
        <v>4</v>
      </c>
      <c r="K3">
        <v>93.06</v>
      </c>
      <c r="L3">
        <v>93.49</v>
      </c>
      <c r="M3">
        <v>95.4</v>
      </c>
    </row>
    <row r="4" spans="1:13" x14ac:dyDescent="0.2">
      <c r="A4" s="1">
        <v>3</v>
      </c>
      <c r="B4" t="s">
        <v>36</v>
      </c>
      <c r="C4">
        <f xml:space="preserve">  93.33</f>
        <v>93.33</v>
      </c>
      <c r="D4">
        <v>33</v>
      </c>
      <c r="E4">
        <v>7</v>
      </c>
      <c r="F4">
        <v>81.28</v>
      </c>
      <c r="G4">
        <v>5</v>
      </c>
      <c r="H4">
        <v>4</v>
      </c>
      <c r="I4">
        <v>15</v>
      </c>
      <c r="J4">
        <v>6</v>
      </c>
      <c r="K4">
        <v>92.71</v>
      </c>
      <c r="L4">
        <v>93.41</v>
      </c>
      <c r="M4">
        <v>95.46</v>
      </c>
    </row>
    <row r="5" spans="1:13" x14ac:dyDescent="0.2">
      <c r="A5" s="1">
        <v>4</v>
      </c>
      <c r="B5" t="s">
        <v>70</v>
      </c>
      <c r="C5">
        <f xml:space="preserve">  92.14</f>
        <v>92.14</v>
      </c>
      <c r="D5">
        <v>29</v>
      </c>
      <c r="E5">
        <v>8</v>
      </c>
      <c r="F5">
        <v>82.13</v>
      </c>
      <c r="G5">
        <v>8</v>
      </c>
      <c r="H5">
        <v>3</v>
      </c>
      <c r="I5">
        <v>14</v>
      </c>
      <c r="J5">
        <v>7</v>
      </c>
      <c r="K5">
        <v>91.89</v>
      </c>
      <c r="L5">
        <v>92.41</v>
      </c>
      <c r="M5">
        <v>92.39</v>
      </c>
    </row>
    <row r="6" spans="1:13" x14ac:dyDescent="0.2">
      <c r="A6" s="1">
        <v>5</v>
      </c>
      <c r="B6" t="s">
        <v>794</v>
      </c>
      <c r="C6">
        <f xml:space="preserve">  91.92</f>
        <v>91.92</v>
      </c>
      <c r="D6">
        <v>29</v>
      </c>
      <c r="E6">
        <v>6</v>
      </c>
      <c r="F6">
        <v>78.41</v>
      </c>
      <c r="G6">
        <v>6</v>
      </c>
      <c r="H6">
        <v>3</v>
      </c>
      <c r="I6">
        <v>10</v>
      </c>
      <c r="J6">
        <v>4</v>
      </c>
      <c r="K6">
        <v>92.48</v>
      </c>
      <c r="L6">
        <v>91.85</v>
      </c>
      <c r="M6">
        <v>90.83</v>
      </c>
    </row>
    <row r="7" spans="1:13" x14ac:dyDescent="0.2">
      <c r="A7" s="1">
        <v>6</v>
      </c>
      <c r="B7" t="s">
        <v>45</v>
      </c>
      <c r="C7">
        <f xml:space="preserve">  90.06</f>
        <v>90.06</v>
      </c>
      <c r="D7">
        <v>29</v>
      </c>
      <c r="E7">
        <v>8</v>
      </c>
      <c r="F7">
        <v>82.17</v>
      </c>
      <c r="G7">
        <v>9</v>
      </c>
      <c r="H7">
        <v>5</v>
      </c>
      <c r="I7">
        <v>13</v>
      </c>
      <c r="J7">
        <v>6</v>
      </c>
      <c r="K7">
        <v>89.51</v>
      </c>
      <c r="L7">
        <v>90.48</v>
      </c>
      <c r="M7">
        <v>91.01</v>
      </c>
    </row>
    <row r="8" spans="1:13" x14ac:dyDescent="0.2">
      <c r="A8" s="1">
        <v>7</v>
      </c>
      <c r="B8" t="s">
        <v>104</v>
      </c>
      <c r="C8">
        <f xml:space="preserve">  89.89</f>
        <v>89.89</v>
      </c>
      <c r="D8">
        <v>23</v>
      </c>
      <c r="E8">
        <v>8</v>
      </c>
      <c r="F8">
        <v>78.33</v>
      </c>
      <c r="G8">
        <v>2</v>
      </c>
      <c r="H8">
        <v>6</v>
      </c>
      <c r="I8">
        <v>8</v>
      </c>
      <c r="J8">
        <v>7</v>
      </c>
      <c r="K8">
        <v>90.89</v>
      </c>
      <c r="L8">
        <v>89.84</v>
      </c>
      <c r="M8">
        <v>88.05</v>
      </c>
    </row>
    <row r="9" spans="1:13" x14ac:dyDescent="0.2">
      <c r="A9" s="1">
        <v>8</v>
      </c>
      <c r="B9" t="s">
        <v>15</v>
      </c>
      <c r="C9">
        <f xml:space="preserve">  89.78</f>
        <v>89.78</v>
      </c>
      <c r="D9">
        <v>27</v>
      </c>
      <c r="E9">
        <v>9</v>
      </c>
      <c r="F9">
        <v>78.87</v>
      </c>
      <c r="G9">
        <v>3</v>
      </c>
      <c r="H9">
        <v>3</v>
      </c>
      <c r="I9">
        <v>6</v>
      </c>
      <c r="J9">
        <v>4</v>
      </c>
      <c r="K9">
        <v>90.14</v>
      </c>
      <c r="L9">
        <v>89.49</v>
      </c>
      <c r="M9">
        <v>89.37</v>
      </c>
    </row>
    <row r="10" spans="1:13" x14ac:dyDescent="0.2">
      <c r="A10" s="1">
        <v>9</v>
      </c>
      <c r="B10" t="s">
        <v>72</v>
      </c>
      <c r="C10">
        <f xml:space="preserve">  89.6</f>
        <v>89.6</v>
      </c>
      <c r="D10">
        <v>26</v>
      </c>
      <c r="E10">
        <v>9</v>
      </c>
      <c r="F10">
        <v>80.819999999999993</v>
      </c>
      <c r="G10">
        <v>6</v>
      </c>
      <c r="H10">
        <v>5</v>
      </c>
      <c r="I10">
        <v>7</v>
      </c>
      <c r="J10">
        <v>8</v>
      </c>
      <c r="K10">
        <v>90.96</v>
      </c>
      <c r="L10">
        <v>89.62</v>
      </c>
      <c r="M10">
        <v>87.21</v>
      </c>
    </row>
    <row r="11" spans="1:13" x14ac:dyDescent="0.2">
      <c r="A11" s="1">
        <v>10</v>
      </c>
      <c r="B11" t="s">
        <v>46</v>
      </c>
      <c r="C11">
        <f xml:space="preserve">  89.27</f>
        <v>89.27</v>
      </c>
      <c r="D11">
        <v>27</v>
      </c>
      <c r="E11">
        <v>8</v>
      </c>
      <c r="F11">
        <v>77.62</v>
      </c>
      <c r="G11">
        <v>5</v>
      </c>
      <c r="H11">
        <v>3</v>
      </c>
      <c r="I11">
        <v>9</v>
      </c>
      <c r="J11">
        <v>5</v>
      </c>
      <c r="K11">
        <v>89.4</v>
      </c>
      <c r="L11">
        <v>89.13</v>
      </c>
      <c r="M11">
        <v>89.18</v>
      </c>
    </row>
    <row r="12" spans="1:13" x14ac:dyDescent="0.2">
      <c r="A12" s="1">
        <v>11</v>
      </c>
      <c r="B12" t="s">
        <v>16</v>
      </c>
      <c r="C12">
        <f xml:space="preserve">  89.24</f>
        <v>89.24</v>
      </c>
      <c r="D12">
        <v>26</v>
      </c>
      <c r="E12">
        <v>9</v>
      </c>
      <c r="F12">
        <v>78.62</v>
      </c>
      <c r="G12">
        <v>2</v>
      </c>
      <c r="H12">
        <v>5</v>
      </c>
      <c r="I12">
        <v>9</v>
      </c>
      <c r="J12">
        <v>7</v>
      </c>
      <c r="K12">
        <v>90.11</v>
      </c>
      <c r="L12">
        <v>89.12</v>
      </c>
      <c r="M12">
        <v>87.65</v>
      </c>
    </row>
    <row r="13" spans="1:13" x14ac:dyDescent="0.2">
      <c r="A13" s="1">
        <v>12</v>
      </c>
      <c r="B13" t="s">
        <v>59</v>
      </c>
      <c r="C13">
        <f xml:space="preserve">  88.51</f>
        <v>88.51</v>
      </c>
      <c r="D13">
        <v>30</v>
      </c>
      <c r="E13">
        <v>7</v>
      </c>
      <c r="F13">
        <v>79.56</v>
      </c>
      <c r="G13">
        <v>4</v>
      </c>
      <c r="H13">
        <v>1</v>
      </c>
      <c r="I13">
        <v>12</v>
      </c>
      <c r="J13">
        <v>2</v>
      </c>
      <c r="K13">
        <v>87.8</v>
      </c>
      <c r="L13">
        <v>88.47</v>
      </c>
      <c r="M13">
        <v>91.18</v>
      </c>
    </row>
    <row r="14" spans="1:13" x14ac:dyDescent="0.2">
      <c r="A14" s="1">
        <v>13</v>
      </c>
      <c r="B14" t="s">
        <v>51</v>
      </c>
      <c r="C14">
        <f xml:space="preserve">  88.48</f>
        <v>88.48</v>
      </c>
      <c r="D14">
        <v>28</v>
      </c>
      <c r="E14">
        <v>6</v>
      </c>
      <c r="F14">
        <v>78.819999999999993</v>
      </c>
      <c r="G14">
        <v>1</v>
      </c>
      <c r="H14">
        <v>1</v>
      </c>
      <c r="I14">
        <v>10</v>
      </c>
      <c r="J14">
        <v>5</v>
      </c>
      <c r="K14">
        <v>88.21</v>
      </c>
      <c r="L14">
        <v>88.89</v>
      </c>
      <c r="M14">
        <v>88.57</v>
      </c>
    </row>
    <row r="15" spans="1:13" x14ac:dyDescent="0.2">
      <c r="A15" s="1">
        <v>14</v>
      </c>
      <c r="B15" t="s">
        <v>872</v>
      </c>
      <c r="C15">
        <f xml:space="preserve">  88.37</f>
        <v>88.37</v>
      </c>
      <c r="D15">
        <v>27</v>
      </c>
      <c r="E15">
        <v>8</v>
      </c>
      <c r="F15">
        <v>81.23</v>
      </c>
      <c r="G15">
        <v>4</v>
      </c>
      <c r="H15">
        <v>4</v>
      </c>
      <c r="I15">
        <v>14</v>
      </c>
      <c r="J15">
        <v>4</v>
      </c>
      <c r="K15">
        <v>88.25</v>
      </c>
      <c r="L15">
        <v>88.7</v>
      </c>
      <c r="M15">
        <v>88.15</v>
      </c>
    </row>
    <row r="16" spans="1:13" x14ac:dyDescent="0.2">
      <c r="A16" s="1">
        <v>15</v>
      </c>
      <c r="B16" t="s">
        <v>9</v>
      </c>
      <c r="C16">
        <f xml:space="preserve">  88.06</f>
        <v>88.06</v>
      </c>
      <c r="D16">
        <v>25</v>
      </c>
      <c r="E16">
        <v>11</v>
      </c>
      <c r="F16">
        <v>80.900000000000006</v>
      </c>
      <c r="G16">
        <v>4</v>
      </c>
      <c r="H16">
        <v>5</v>
      </c>
      <c r="I16">
        <v>7</v>
      </c>
      <c r="J16">
        <v>10</v>
      </c>
      <c r="K16">
        <v>88.64</v>
      </c>
      <c r="L16">
        <v>88.36</v>
      </c>
      <c r="M16">
        <v>86.43</v>
      </c>
    </row>
    <row r="17" spans="1:13" x14ac:dyDescent="0.2">
      <c r="A17" s="1">
        <v>16</v>
      </c>
      <c r="B17" t="s">
        <v>6</v>
      </c>
      <c r="C17">
        <f xml:space="preserve">  88.01</f>
        <v>88.01</v>
      </c>
      <c r="D17">
        <v>25</v>
      </c>
      <c r="E17">
        <v>9</v>
      </c>
      <c r="F17">
        <v>77.81</v>
      </c>
      <c r="G17">
        <v>1</v>
      </c>
      <c r="H17">
        <v>3</v>
      </c>
      <c r="I17">
        <v>3</v>
      </c>
      <c r="J17">
        <v>7</v>
      </c>
      <c r="K17">
        <v>88.44</v>
      </c>
      <c r="L17">
        <v>88.27</v>
      </c>
      <c r="M17">
        <v>86.7</v>
      </c>
    </row>
    <row r="18" spans="1:13" x14ac:dyDescent="0.2">
      <c r="A18" s="1">
        <v>17</v>
      </c>
      <c r="B18" t="s">
        <v>0</v>
      </c>
      <c r="C18">
        <f xml:space="preserve">  87.88</f>
        <v>87.88</v>
      </c>
      <c r="D18">
        <v>27</v>
      </c>
      <c r="E18">
        <v>8</v>
      </c>
      <c r="F18">
        <v>75.31</v>
      </c>
      <c r="G18">
        <v>1</v>
      </c>
      <c r="H18">
        <v>3</v>
      </c>
      <c r="I18">
        <v>6</v>
      </c>
      <c r="J18">
        <v>7</v>
      </c>
      <c r="K18">
        <v>87.69</v>
      </c>
      <c r="L18">
        <v>87.67</v>
      </c>
      <c r="M18">
        <v>88.82</v>
      </c>
    </row>
    <row r="19" spans="1:13" x14ac:dyDescent="0.2">
      <c r="A19" s="1">
        <v>18</v>
      </c>
      <c r="B19" t="s">
        <v>57</v>
      </c>
      <c r="C19">
        <f xml:space="preserve">  87.73</f>
        <v>87.73</v>
      </c>
      <c r="D19">
        <v>28</v>
      </c>
      <c r="E19">
        <v>9</v>
      </c>
      <c r="F19">
        <v>78.98</v>
      </c>
      <c r="G19">
        <v>4</v>
      </c>
      <c r="H19">
        <v>2</v>
      </c>
      <c r="I19">
        <v>8</v>
      </c>
      <c r="J19">
        <v>4</v>
      </c>
      <c r="K19">
        <v>88.13</v>
      </c>
      <c r="L19">
        <v>87.69</v>
      </c>
      <c r="M19">
        <v>86.87</v>
      </c>
    </row>
    <row r="20" spans="1:13" x14ac:dyDescent="0.2">
      <c r="A20" s="1">
        <v>19</v>
      </c>
      <c r="B20" t="s">
        <v>61</v>
      </c>
      <c r="C20">
        <f xml:space="preserve">  87.62</f>
        <v>87.62</v>
      </c>
      <c r="D20">
        <v>25</v>
      </c>
      <c r="E20">
        <v>5</v>
      </c>
      <c r="F20">
        <v>75.260000000000005</v>
      </c>
      <c r="G20">
        <v>2</v>
      </c>
      <c r="H20">
        <v>1</v>
      </c>
      <c r="I20">
        <v>4</v>
      </c>
      <c r="J20">
        <v>2</v>
      </c>
      <c r="K20">
        <v>88.26</v>
      </c>
      <c r="L20">
        <v>88</v>
      </c>
      <c r="M20">
        <v>85.79</v>
      </c>
    </row>
    <row r="21" spans="1:13" x14ac:dyDescent="0.2">
      <c r="A21" s="1">
        <v>20</v>
      </c>
      <c r="B21" t="s">
        <v>801</v>
      </c>
      <c r="C21">
        <f xml:space="preserve">  87.41</f>
        <v>87.41</v>
      </c>
      <c r="D21">
        <v>25</v>
      </c>
      <c r="E21">
        <v>9</v>
      </c>
      <c r="F21">
        <v>75.209999999999994</v>
      </c>
      <c r="G21">
        <v>1</v>
      </c>
      <c r="H21">
        <v>2</v>
      </c>
      <c r="I21">
        <v>3</v>
      </c>
      <c r="J21">
        <v>4</v>
      </c>
      <c r="K21">
        <v>88.09</v>
      </c>
      <c r="L21">
        <v>86.97</v>
      </c>
      <c r="M21">
        <v>86.58</v>
      </c>
    </row>
    <row r="22" spans="1:13" x14ac:dyDescent="0.2">
      <c r="A22" s="1">
        <v>21</v>
      </c>
      <c r="B22" t="s">
        <v>75</v>
      </c>
      <c r="C22">
        <f xml:space="preserve">  87.26</f>
        <v>87.26</v>
      </c>
      <c r="D22">
        <v>26</v>
      </c>
      <c r="E22">
        <v>9</v>
      </c>
      <c r="F22">
        <v>79.239999999999995</v>
      </c>
      <c r="G22">
        <v>3</v>
      </c>
      <c r="H22">
        <v>6</v>
      </c>
      <c r="I22">
        <v>5</v>
      </c>
      <c r="J22">
        <v>8</v>
      </c>
      <c r="K22">
        <v>87.15</v>
      </c>
      <c r="L22">
        <v>87.8</v>
      </c>
      <c r="M22">
        <v>86.73</v>
      </c>
    </row>
    <row r="23" spans="1:13" x14ac:dyDescent="0.2">
      <c r="A23" s="1">
        <v>22</v>
      </c>
      <c r="B23" t="s">
        <v>795</v>
      </c>
      <c r="C23">
        <f xml:space="preserve">  87.02</f>
        <v>87.02</v>
      </c>
      <c r="D23">
        <v>23</v>
      </c>
      <c r="E23">
        <v>12</v>
      </c>
      <c r="F23">
        <v>81.45</v>
      </c>
      <c r="G23">
        <v>3</v>
      </c>
      <c r="H23">
        <v>9</v>
      </c>
      <c r="I23">
        <v>5</v>
      </c>
      <c r="J23">
        <v>10</v>
      </c>
      <c r="K23">
        <v>86.86</v>
      </c>
      <c r="L23">
        <v>87.32</v>
      </c>
      <c r="M23">
        <v>86.96</v>
      </c>
    </row>
    <row r="24" spans="1:13" x14ac:dyDescent="0.2">
      <c r="A24" s="1">
        <v>23</v>
      </c>
      <c r="B24" t="s">
        <v>32</v>
      </c>
      <c r="C24">
        <f xml:space="preserve">  86.83</f>
        <v>86.83</v>
      </c>
      <c r="D24">
        <v>22</v>
      </c>
      <c r="E24">
        <v>11</v>
      </c>
      <c r="F24">
        <v>79.81</v>
      </c>
      <c r="G24">
        <v>5</v>
      </c>
      <c r="H24">
        <v>5</v>
      </c>
      <c r="I24">
        <v>8</v>
      </c>
      <c r="J24">
        <v>7</v>
      </c>
      <c r="K24">
        <v>87.19</v>
      </c>
      <c r="L24">
        <v>87.46</v>
      </c>
      <c r="M24">
        <v>85.23</v>
      </c>
    </row>
    <row r="25" spans="1:13" x14ac:dyDescent="0.2">
      <c r="A25" s="1">
        <v>24</v>
      </c>
      <c r="B25" t="s">
        <v>8</v>
      </c>
      <c r="C25">
        <f xml:space="preserve">  85.79</f>
        <v>85.79</v>
      </c>
      <c r="D25">
        <v>21</v>
      </c>
      <c r="E25">
        <v>12</v>
      </c>
      <c r="F25">
        <v>81.03</v>
      </c>
      <c r="G25">
        <v>2</v>
      </c>
      <c r="H25">
        <v>9</v>
      </c>
      <c r="I25">
        <v>5</v>
      </c>
      <c r="J25">
        <v>10</v>
      </c>
      <c r="K25">
        <v>85.98</v>
      </c>
      <c r="L25">
        <v>85.89</v>
      </c>
      <c r="M25">
        <v>85.15</v>
      </c>
    </row>
    <row r="26" spans="1:13" x14ac:dyDescent="0.2">
      <c r="A26" s="1">
        <v>25</v>
      </c>
      <c r="B26" t="s">
        <v>37</v>
      </c>
      <c r="C26">
        <f xml:space="preserve">  85.76</f>
        <v>85.76</v>
      </c>
      <c r="D26">
        <v>25</v>
      </c>
      <c r="E26">
        <v>11</v>
      </c>
      <c r="F26">
        <v>77.41</v>
      </c>
      <c r="G26">
        <v>1</v>
      </c>
      <c r="H26">
        <v>4</v>
      </c>
      <c r="I26">
        <v>4</v>
      </c>
      <c r="J26">
        <v>7</v>
      </c>
      <c r="K26">
        <v>85.85</v>
      </c>
      <c r="L26">
        <v>85.52</v>
      </c>
      <c r="M26">
        <v>85.92</v>
      </c>
    </row>
    <row r="27" spans="1:13" x14ac:dyDescent="0.2">
      <c r="A27" s="1">
        <v>26</v>
      </c>
      <c r="B27" t="s">
        <v>106</v>
      </c>
      <c r="C27">
        <f xml:space="preserve">  85.67</f>
        <v>85.67</v>
      </c>
      <c r="D27">
        <v>22</v>
      </c>
      <c r="E27">
        <v>11</v>
      </c>
      <c r="F27">
        <v>78.75</v>
      </c>
      <c r="G27">
        <v>1</v>
      </c>
      <c r="H27">
        <v>6</v>
      </c>
      <c r="I27">
        <v>5</v>
      </c>
      <c r="J27">
        <v>10</v>
      </c>
      <c r="K27">
        <v>86.07</v>
      </c>
      <c r="L27">
        <v>85.38</v>
      </c>
      <c r="M27">
        <v>85.15</v>
      </c>
    </row>
    <row r="28" spans="1:13" x14ac:dyDescent="0.2">
      <c r="A28" s="1">
        <v>27</v>
      </c>
      <c r="B28" t="s">
        <v>76</v>
      </c>
      <c r="C28">
        <f xml:space="preserve">  85.64</f>
        <v>85.64</v>
      </c>
      <c r="D28">
        <v>19</v>
      </c>
      <c r="E28">
        <v>14</v>
      </c>
      <c r="F28">
        <v>78.91</v>
      </c>
      <c r="G28">
        <v>2</v>
      </c>
      <c r="H28">
        <v>6</v>
      </c>
      <c r="I28">
        <v>4</v>
      </c>
      <c r="J28">
        <v>7</v>
      </c>
      <c r="K28">
        <v>87.19</v>
      </c>
      <c r="L28">
        <v>85.53</v>
      </c>
      <c r="M28">
        <v>82.93</v>
      </c>
    </row>
    <row r="29" spans="1:13" x14ac:dyDescent="0.2">
      <c r="A29" s="1">
        <v>28</v>
      </c>
      <c r="B29" t="s">
        <v>113</v>
      </c>
      <c r="C29">
        <f xml:space="preserve">  85.58</f>
        <v>85.58</v>
      </c>
      <c r="D29">
        <v>26</v>
      </c>
      <c r="E29">
        <v>9</v>
      </c>
      <c r="F29">
        <v>80.209999999999994</v>
      </c>
      <c r="G29">
        <v>2</v>
      </c>
      <c r="H29">
        <v>6</v>
      </c>
      <c r="I29">
        <v>8</v>
      </c>
      <c r="J29">
        <v>7</v>
      </c>
      <c r="K29">
        <v>85.16</v>
      </c>
      <c r="L29">
        <v>85.81</v>
      </c>
      <c r="M29">
        <v>86.4</v>
      </c>
    </row>
    <row r="30" spans="1:13" x14ac:dyDescent="0.2">
      <c r="A30" s="1">
        <v>29</v>
      </c>
      <c r="B30" t="s">
        <v>48</v>
      </c>
      <c r="C30">
        <f xml:space="preserve">  85.31</f>
        <v>85.31</v>
      </c>
      <c r="D30">
        <v>25</v>
      </c>
      <c r="E30">
        <v>9</v>
      </c>
      <c r="F30">
        <v>79.040000000000006</v>
      </c>
      <c r="G30">
        <v>4</v>
      </c>
      <c r="H30">
        <v>4</v>
      </c>
      <c r="I30">
        <v>8</v>
      </c>
      <c r="J30">
        <v>8</v>
      </c>
      <c r="K30">
        <v>84.71</v>
      </c>
      <c r="L30">
        <v>85.39</v>
      </c>
      <c r="M30">
        <v>87.03</v>
      </c>
    </row>
    <row r="31" spans="1:13" x14ac:dyDescent="0.2">
      <c r="A31" s="1">
        <v>30</v>
      </c>
      <c r="B31" t="s">
        <v>131</v>
      </c>
      <c r="C31">
        <f xml:space="preserve">  85.21</f>
        <v>85.21</v>
      </c>
      <c r="D31">
        <v>23</v>
      </c>
      <c r="E31">
        <v>11</v>
      </c>
      <c r="F31">
        <v>78.58</v>
      </c>
      <c r="G31">
        <v>2</v>
      </c>
      <c r="H31">
        <v>3</v>
      </c>
      <c r="I31">
        <v>5</v>
      </c>
      <c r="J31">
        <v>6</v>
      </c>
      <c r="K31">
        <v>85.24</v>
      </c>
      <c r="L31">
        <v>85.07</v>
      </c>
      <c r="M31">
        <v>85.34</v>
      </c>
    </row>
    <row r="32" spans="1:13" x14ac:dyDescent="0.2">
      <c r="A32" s="1">
        <v>31</v>
      </c>
      <c r="B32" t="s">
        <v>73</v>
      </c>
      <c r="C32">
        <f xml:space="preserve">  85.08</f>
        <v>85.08</v>
      </c>
      <c r="D32">
        <v>23</v>
      </c>
      <c r="E32">
        <v>14</v>
      </c>
      <c r="F32">
        <v>80.209999999999994</v>
      </c>
      <c r="G32">
        <v>5</v>
      </c>
      <c r="H32">
        <v>6</v>
      </c>
      <c r="I32">
        <v>8</v>
      </c>
      <c r="J32">
        <v>11</v>
      </c>
      <c r="K32">
        <v>84.82</v>
      </c>
      <c r="L32">
        <v>84.6</v>
      </c>
      <c r="M32">
        <v>86.78</v>
      </c>
    </row>
    <row r="33" spans="1:13" x14ac:dyDescent="0.2">
      <c r="A33" s="1">
        <v>32</v>
      </c>
      <c r="B33" t="s">
        <v>54</v>
      </c>
      <c r="C33">
        <f xml:space="preserve">  84.88</f>
        <v>84.88</v>
      </c>
      <c r="D33">
        <v>24</v>
      </c>
      <c r="E33">
        <v>12</v>
      </c>
      <c r="F33">
        <v>80.650000000000006</v>
      </c>
      <c r="G33">
        <v>5</v>
      </c>
      <c r="H33">
        <v>6</v>
      </c>
      <c r="I33">
        <v>8</v>
      </c>
      <c r="J33">
        <v>10</v>
      </c>
      <c r="K33">
        <v>84.32</v>
      </c>
      <c r="L33">
        <v>85.21</v>
      </c>
      <c r="M33">
        <v>85.96</v>
      </c>
    </row>
    <row r="34" spans="1:13" x14ac:dyDescent="0.2">
      <c r="A34" s="1">
        <v>33</v>
      </c>
      <c r="B34" t="s">
        <v>38</v>
      </c>
      <c r="C34">
        <f xml:space="preserve">  84.49</f>
        <v>84.49</v>
      </c>
      <c r="D34">
        <v>20</v>
      </c>
      <c r="E34">
        <v>13</v>
      </c>
      <c r="F34">
        <v>82</v>
      </c>
      <c r="G34">
        <v>6</v>
      </c>
      <c r="H34">
        <v>8</v>
      </c>
      <c r="I34">
        <v>7</v>
      </c>
      <c r="J34">
        <v>9</v>
      </c>
      <c r="K34">
        <v>84.47</v>
      </c>
      <c r="L34">
        <v>84.9</v>
      </c>
      <c r="M34">
        <v>83.91</v>
      </c>
    </row>
    <row r="35" spans="1:13" x14ac:dyDescent="0.2">
      <c r="A35" s="1">
        <v>34</v>
      </c>
      <c r="B35" t="s">
        <v>43</v>
      </c>
      <c r="C35">
        <f xml:space="preserve">  84.39</f>
        <v>84.39</v>
      </c>
      <c r="D35">
        <v>22</v>
      </c>
      <c r="E35">
        <v>13</v>
      </c>
      <c r="F35">
        <v>80.040000000000006</v>
      </c>
      <c r="G35">
        <v>5</v>
      </c>
      <c r="H35">
        <v>6</v>
      </c>
      <c r="I35">
        <v>9</v>
      </c>
      <c r="J35">
        <v>7</v>
      </c>
      <c r="K35">
        <v>83.79</v>
      </c>
      <c r="L35">
        <v>84.59</v>
      </c>
      <c r="M35">
        <v>85.89</v>
      </c>
    </row>
    <row r="36" spans="1:13" x14ac:dyDescent="0.2">
      <c r="A36" s="1">
        <v>35</v>
      </c>
      <c r="B36" t="s">
        <v>99</v>
      </c>
      <c r="C36">
        <f xml:space="preserve">  84.36</f>
        <v>84.36</v>
      </c>
      <c r="D36">
        <v>22</v>
      </c>
      <c r="E36">
        <v>11</v>
      </c>
      <c r="F36">
        <v>76.510000000000005</v>
      </c>
      <c r="G36">
        <v>3</v>
      </c>
      <c r="H36">
        <v>4</v>
      </c>
      <c r="I36">
        <v>5</v>
      </c>
      <c r="J36">
        <v>6</v>
      </c>
      <c r="K36">
        <v>85.29</v>
      </c>
      <c r="L36">
        <v>84.4</v>
      </c>
      <c r="M36">
        <v>82.34</v>
      </c>
    </row>
    <row r="37" spans="1:13" x14ac:dyDescent="0.2">
      <c r="A37" s="1">
        <v>36</v>
      </c>
      <c r="B37" t="s">
        <v>60</v>
      </c>
      <c r="C37">
        <f xml:space="preserve">  84.2</f>
        <v>84.2</v>
      </c>
      <c r="D37">
        <v>21</v>
      </c>
      <c r="E37">
        <v>15</v>
      </c>
      <c r="F37">
        <v>79.91</v>
      </c>
      <c r="G37">
        <v>1</v>
      </c>
      <c r="H37">
        <v>7</v>
      </c>
      <c r="I37">
        <v>2</v>
      </c>
      <c r="J37">
        <v>11</v>
      </c>
      <c r="K37">
        <v>85.1</v>
      </c>
      <c r="L37">
        <v>84.33</v>
      </c>
      <c r="M37">
        <v>82.12</v>
      </c>
    </row>
    <row r="38" spans="1:13" x14ac:dyDescent="0.2">
      <c r="A38" s="1">
        <v>37</v>
      </c>
      <c r="B38" t="s">
        <v>153</v>
      </c>
      <c r="C38">
        <f xml:space="preserve">  84.17</f>
        <v>84.17</v>
      </c>
      <c r="D38">
        <v>20</v>
      </c>
      <c r="E38">
        <v>12</v>
      </c>
      <c r="F38">
        <v>79.59</v>
      </c>
      <c r="G38">
        <v>1</v>
      </c>
      <c r="H38">
        <v>7</v>
      </c>
      <c r="I38">
        <v>7</v>
      </c>
      <c r="J38">
        <v>9</v>
      </c>
      <c r="K38">
        <v>84.91</v>
      </c>
      <c r="L38">
        <v>84.21</v>
      </c>
      <c r="M38">
        <v>82.51</v>
      </c>
    </row>
    <row r="39" spans="1:13" x14ac:dyDescent="0.2">
      <c r="A39" s="1">
        <v>38</v>
      </c>
      <c r="B39" t="s">
        <v>875</v>
      </c>
      <c r="C39">
        <f xml:space="preserve">  84.07</f>
        <v>84.07</v>
      </c>
      <c r="D39">
        <v>28</v>
      </c>
      <c r="E39">
        <v>6</v>
      </c>
      <c r="F39">
        <v>71.959999999999994</v>
      </c>
      <c r="G39">
        <v>2</v>
      </c>
      <c r="H39">
        <v>1</v>
      </c>
      <c r="I39">
        <v>3</v>
      </c>
      <c r="J39">
        <v>4</v>
      </c>
      <c r="K39">
        <v>84.55</v>
      </c>
      <c r="L39">
        <v>84.25</v>
      </c>
      <c r="M39">
        <v>82.71</v>
      </c>
    </row>
    <row r="40" spans="1:13" x14ac:dyDescent="0.2">
      <c r="A40" s="1">
        <v>39</v>
      </c>
      <c r="B40" t="s">
        <v>876</v>
      </c>
      <c r="C40">
        <v>83.72</v>
      </c>
      <c r="D40">
        <v>25</v>
      </c>
      <c r="E40">
        <v>11</v>
      </c>
      <c r="F40">
        <v>75.540000000000006</v>
      </c>
      <c r="G40">
        <v>0</v>
      </c>
      <c r="H40">
        <v>2</v>
      </c>
      <c r="I40">
        <v>2</v>
      </c>
      <c r="J40">
        <v>8</v>
      </c>
      <c r="K40">
        <v>84.28</v>
      </c>
      <c r="L40">
        <v>83.5</v>
      </c>
      <c r="M40">
        <v>82.74</v>
      </c>
    </row>
    <row r="41" spans="1:13" x14ac:dyDescent="0.2">
      <c r="A41" s="1">
        <v>40</v>
      </c>
      <c r="B41" t="s">
        <v>39</v>
      </c>
      <c r="C41">
        <f xml:space="preserve">  83.47</f>
        <v>83.47</v>
      </c>
      <c r="D41">
        <v>22</v>
      </c>
      <c r="E41">
        <v>13</v>
      </c>
      <c r="F41">
        <v>79.72</v>
      </c>
      <c r="G41">
        <v>3</v>
      </c>
      <c r="H41">
        <v>0</v>
      </c>
      <c r="I41">
        <v>4</v>
      </c>
      <c r="J41">
        <v>12</v>
      </c>
      <c r="K41">
        <v>84.05</v>
      </c>
      <c r="L41">
        <v>83.57</v>
      </c>
      <c r="M41">
        <v>82</v>
      </c>
    </row>
    <row r="42" spans="1:13" x14ac:dyDescent="0.2">
      <c r="A42" s="1">
        <v>41</v>
      </c>
      <c r="B42" t="s">
        <v>58</v>
      </c>
      <c r="C42">
        <f xml:space="preserve">  83.1</f>
        <v>83.1</v>
      </c>
      <c r="D42">
        <v>25</v>
      </c>
      <c r="E42">
        <v>11</v>
      </c>
      <c r="F42">
        <v>73.59</v>
      </c>
      <c r="G42">
        <v>1</v>
      </c>
      <c r="H42">
        <v>2</v>
      </c>
      <c r="I42">
        <v>3</v>
      </c>
      <c r="J42">
        <v>5</v>
      </c>
      <c r="K42">
        <v>83.51</v>
      </c>
      <c r="L42">
        <v>82.93</v>
      </c>
      <c r="M42">
        <v>82.39</v>
      </c>
    </row>
    <row r="43" spans="1:13" x14ac:dyDescent="0.2">
      <c r="A43" s="1">
        <v>42</v>
      </c>
      <c r="B43" t="s">
        <v>783</v>
      </c>
      <c r="C43">
        <f xml:space="preserve">  83.07</f>
        <v>83.07</v>
      </c>
      <c r="D43">
        <v>28</v>
      </c>
      <c r="E43">
        <v>8</v>
      </c>
      <c r="F43">
        <v>76.25</v>
      </c>
      <c r="G43">
        <v>0</v>
      </c>
      <c r="H43">
        <v>2</v>
      </c>
      <c r="I43">
        <v>4</v>
      </c>
      <c r="J43">
        <v>4</v>
      </c>
      <c r="K43">
        <v>82.69</v>
      </c>
      <c r="L43">
        <v>83.2</v>
      </c>
      <c r="M43">
        <v>83.92</v>
      </c>
    </row>
    <row r="44" spans="1:13" x14ac:dyDescent="0.2">
      <c r="A44" s="1">
        <v>43</v>
      </c>
      <c r="B44" t="s">
        <v>44</v>
      </c>
      <c r="C44">
        <f xml:space="preserve">  82.98</f>
        <v>82.98</v>
      </c>
      <c r="D44">
        <v>24</v>
      </c>
      <c r="E44">
        <v>11</v>
      </c>
      <c r="F44">
        <v>79.3</v>
      </c>
      <c r="G44">
        <v>2</v>
      </c>
      <c r="H44">
        <v>6</v>
      </c>
      <c r="I44">
        <v>8</v>
      </c>
      <c r="J44">
        <v>8</v>
      </c>
      <c r="K44">
        <v>82.22</v>
      </c>
      <c r="L44">
        <v>83.51</v>
      </c>
      <c r="M44">
        <v>84.41</v>
      </c>
    </row>
    <row r="45" spans="1:13" x14ac:dyDescent="0.2">
      <c r="A45" s="1">
        <v>44</v>
      </c>
      <c r="B45" t="s">
        <v>52</v>
      </c>
      <c r="C45">
        <f xml:space="preserve">  82.97</f>
        <v>82.97</v>
      </c>
      <c r="D45">
        <v>20</v>
      </c>
      <c r="E45">
        <v>15</v>
      </c>
      <c r="F45">
        <v>77.28</v>
      </c>
      <c r="G45">
        <v>1</v>
      </c>
      <c r="H45">
        <v>5</v>
      </c>
      <c r="I45">
        <v>3</v>
      </c>
      <c r="J45">
        <v>11</v>
      </c>
      <c r="K45">
        <v>83.68</v>
      </c>
      <c r="L45">
        <v>82.78</v>
      </c>
      <c r="M45">
        <v>81.62</v>
      </c>
    </row>
    <row r="46" spans="1:13" x14ac:dyDescent="0.2">
      <c r="A46" s="1">
        <v>45</v>
      </c>
      <c r="B46" t="s">
        <v>805</v>
      </c>
      <c r="C46">
        <f xml:space="preserve">  82.79</f>
        <v>82.79</v>
      </c>
      <c r="D46">
        <v>26</v>
      </c>
      <c r="E46">
        <v>10</v>
      </c>
      <c r="F46">
        <v>75.040000000000006</v>
      </c>
      <c r="G46">
        <v>0</v>
      </c>
      <c r="H46">
        <v>2</v>
      </c>
      <c r="I46">
        <v>2</v>
      </c>
      <c r="J46">
        <v>4</v>
      </c>
      <c r="K46">
        <v>82.58</v>
      </c>
      <c r="L46">
        <v>82.92</v>
      </c>
      <c r="M46">
        <v>83.13</v>
      </c>
    </row>
    <row r="47" spans="1:13" x14ac:dyDescent="0.2">
      <c r="A47" s="1">
        <v>46</v>
      </c>
      <c r="B47" t="s">
        <v>284</v>
      </c>
      <c r="C47">
        <f xml:space="preserve">  82.75</f>
        <v>82.75</v>
      </c>
      <c r="D47">
        <v>28</v>
      </c>
      <c r="E47">
        <v>7</v>
      </c>
      <c r="F47">
        <v>72.52</v>
      </c>
      <c r="G47">
        <v>0</v>
      </c>
      <c r="H47">
        <v>1</v>
      </c>
      <c r="I47">
        <v>3</v>
      </c>
      <c r="J47">
        <v>2</v>
      </c>
      <c r="K47">
        <v>82.89</v>
      </c>
      <c r="L47">
        <v>82.74</v>
      </c>
      <c r="M47">
        <v>82.42</v>
      </c>
    </row>
    <row r="48" spans="1:13" x14ac:dyDescent="0.2">
      <c r="A48" s="1">
        <v>47</v>
      </c>
      <c r="B48" t="s">
        <v>187</v>
      </c>
      <c r="C48">
        <f xml:space="preserve">  82.64</f>
        <v>82.64</v>
      </c>
      <c r="D48">
        <v>28</v>
      </c>
      <c r="E48">
        <v>10</v>
      </c>
      <c r="F48">
        <v>75.23</v>
      </c>
      <c r="G48">
        <v>1</v>
      </c>
      <c r="H48">
        <v>0</v>
      </c>
      <c r="I48">
        <v>6</v>
      </c>
      <c r="J48">
        <v>4</v>
      </c>
      <c r="K48">
        <v>82.05</v>
      </c>
      <c r="L48">
        <v>82.26</v>
      </c>
      <c r="M48">
        <v>85.35</v>
      </c>
    </row>
    <row r="49" spans="1:13" x14ac:dyDescent="0.2">
      <c r="A49" s="1">
        <v>48</v>
      </c>
      <c r="B49" t="s">
        <v>130</v>
      </c>
      <c r="C49">
        <f xml:space="preserve">  82.47</f>
        <v>82.47</v>
      </c>
      <c r="D49">
        <v>21</v>
      </c>
      <c r="E49">
        <v>15</v>
      </c>
      <c r="F49">
        <v>80.48</v>
      </c>
      <c r="G49">
        <v>1</v>
      </c>
      <c r="H49">
        <v>7</v>
      </c>
      <c r="I49">
        <v>5</v>
      </c>
      <c r="J49">
        <v>11</v>
      </c>
      <c r="K49">
        <v>82.16</v>
      </c>
      <c r="L49">
        <v>82.33</v>
      </c>
      <c r="M49">
        <v>83.62</v>
      </c>
    </row>
    <row r="50" spans="1:13" x14ac:dyDescent="0.2">
      <c r="A50" s="1">
        <v>49</v>
      </c>
      <c r="B50" t="s">
        <v>793</v>
      </c>
      <c r="C50">
        <f xml:space="preserve">  82.45</f>
        <v>82.45</v>
      </c>
      <c r="D50">
        <v>20</v>
      </c>
      <c r="E50">
        <v>14</v>
      </c>
      <c r="F50">
        <v>79.53</v>
      </c>
      <c r="G50">
        <v>1</v>
      </c>
      <c r="H50">
        <v>6</v>
      </c>
      <c r="I50">
        <v>5</v>
      </c>
      <c r="J50">
        <v>10</v>
      </c>
      <c r="K50">
        <v>82.58</v>
      </c>
      <c r="L50">
        <v>82.79</v>
      </c>
      <c r="M50">
        <v>81.61</v>
      </c>
    </row>
    <row r="51" spans="1:13" x14ac:dyDescent="0.2">
      <c r="A51" s="1">
        <v>50</v>
      </c>
      <c r="B51" t="s">
        <v>877</v>
      </c>
      <c r="C51">
        <v>82.4</v>
      </c>
      <c r="D51">
        <v>21</v>
      </c>
      <c r="E51">
        <v>13</v>
      </c>
      <c r="F51">
        <v>78.44</v>
      </c>
      <c r="G51">
        <v>2</v>
      </c>
      <c r="H51">
        <v>4</v>
      </c>
      <c r="I51">
        <v>2</v>
      </c>
      <c r="J51">
        <v>8</v>
      </c>
      <c r="K51">
        <v>83.15</v>
      </c>
      <c r="L51">
        <v>82.25</v>
      </c>
      <c r="M51">
        <v>80.89</v>
      </c>
    </row>
    <row r="52" spans="1:13" x14ac:dyDescent="0.2">
      <c r="A52" s="1">
        <v>51</v>
      </c>
      <c r="B52" t="s">
        <v>139</v>
      </c>
      <c r="C52">
        <f xml:space="preserve">  82.37</f>
        <v>82.37</v>
      </c>
      <c r="D52">
        <v>24</v>
      </c>
      <c r="E52">
        <v>6</v>
      </c>
      <c r="F52">
        <v>67.23</v>
      </c>
      <c r="G52">
        <v>1</v>
      </c>
      <c r="H52">
        <v>1</v>
      </c>
      <c r="I52">
        <v>1</v>
      </c>
      <c r="J52">
        <v>2</v>
      </c>
      <c r="K52">
        <v>82.3</v>
      </c>
      <c r="L52">
        <v>81.739999999999995</v>
      </c>
      <c r="M52">
        <v>83.76</v>
      </c>
    </row>
    <row r="53" spans="1:13" x14ac:dyDescent="0.2">
      <c r="A53" s="1">
        <v>52</v>
      </c>
      <c r="B53" t="s">
        <v>31</v>
      </c>
      <c r="C53">
        <f xml:space="preserve">  81.99</f>
        <v>81.99</v>
      </c>
      <c r="D53">
        <v>19</v>
      </c>
      <c r="E53">
        <v>13</v>
      </c>
      <c r="F53">
        <v>80.489999999999995</v>
      </c>
      <c r="G53">
        <v>3</v>
      </c>
      <c r="H53">
        <v>7</v>
      </c>
      <c r="I53">
        <v>4</v>
      </c>
      <c r="J53">
        <v>10</v>
      </c>
      <c r="K53">
        <v>81.99</v>
      </c>
      <c r="L53">
        <v>82.08</v>
      </c>
      <c r="M53">
        <v>81.83</v>
      </c>
    </row>
    <row r="54" spans="1:13" x14ac:dyDescent="0.2">
      <c r="A54" s="1">
        <v>53</v>
      </c>
      <c r="B54" t="s">
        <v>802</v>
      </c>
      <c r="C54">
        <f xml:space="preserve">  81.91</f>
        <v>81.91</v>
      </c>
      <c r="D54">
        <v>17</v>
      </c>
      <c r="E54">
        <v>16</v>
      </c>
      <c r="F54">
        <v>80.56</v>
      </c>
      <c r="G54">
        <v>1</v>
      </c>
      <c r="H54">
        <v>2</v>
      </c>
      <c r="I54">
        <v>1</v>
      </c>
      <c r="J54">
        <v>14</v>
      </c>
      <c r="K54">
        <v>82.31</v>
      </c>
      <c r="L54">
        <v>81.93</v>
      </c>
      <c r="M54">
        <v>80.91</v>
      </c>
    </row>
    <row r="55" spans="1:13" x14ac:dyDescent="0.2">
      <c r="A55" s="1">
        <v>54</v>
      </c>
      <c r="B55" t="s">
        <v>69</v>
      </c>
      <c r="C55">
        <f xml:space="preserve">  81.9</f>
        <v>81.900000000000006</v>
      </c>
      <c r="D55">
        <v>21</v>
      </c>
      <c r="E55">
        <v>12</v>
      </c>
      <c r="F55">
        <v>78.5</v>
      </c>
      <c r="G55">
        <v>2</v>
      </c>
      <c r="H55">
        <v>5</v>
      </c>
      <c r="I55">
        <v>4</v>
      </c>
      <c r="J55">
        <v>9</v>
      </c>
      <c r="K55">
        <v>81.93</v>
      </c>
      <c r="L55">
        <v>82.07</v>
      </c>
      <c r="M55">
        <v>81.52</v>
      </c>
    </row>
    <row r="56" spans="1:13" x14ac:dyDescent="0.2">
      <c r="A56" s="1">
        <v>55</v>
      </c>
      <c r="B56" t="s">
        <v>62</v>
      </c>
      <c r="C56">
        <f xml:space="preserve">  81.79</f>
        <v>81.790000000000006</v>
      </c>
      <c r="D56">
        <v>25</v>
      </c>
      <c r="E56">
        <v>8</v>
      </c>
      <c r="F56">
        <v>75.38</v>
      </c>
      <c r="G56">
        <v>1</v>
      </c>
      <c r="H56">
        <v>1</v>
      </c>
      <c r="I56">
        <v>4</v>
      </c>
      <c r="J56">
        <v>4</v>
      </c>
      <c r="K56">
        <v>81.94</v>
      </c>
      <c r="L56">
        <v>82.58</v>
      </c>
      <c r="M56">
        <v>80.319999999999993</v>
      </c>
    </row>
    <row r="57" spans="1:13" x14ac:dyDescent="0.2">
      <c r="A57" s="1">
        <v>56</v>
      </c>
      <c r="B57" t="s">
        <v>144</v>
      </c>
      <c r="C57">
        <f xml:space="preserve">  81.77</f>
        <v>81.77</v>
      </c>
      <c r="D57">
        <v>22</v>
      </c>
      <c r="E57">
        <v>7</v>
      </c>
      <c r="F57">
        <v>71.56</v>
      </c>
      <c r="G57">
        <v>1</v>
      </c>
      <c r="H57">
        <v>3</v>
      </c>
      <c r="I57">
        <v>1</v>
      </c>
      <c r="J57">
        <v>4</v>
      </c>
      <c r="K57">
        <v>81.94</v>
      </c>
      <c r="L57">
        <v>81.38</v>
      </c>
      <c r="M57">
        <v>81.95</v>
      </c>
    </row>
    <row r="58" spans="1:13" x14ac:dyDescent="0.2">
      <c r="A58" s="1">
        <v>57</v>
      </c>
      <c r="B58" t="s">
        <v>78</v>
      </c>
      <c r="C58">
        <f xml:space="preserve">  81.6</f>
        <v>81.599999999999994</v>
      </c>
      <c r="D58">
        <v>17</v>
      </c>
      <c r="E58">
        <v>14</v>
      </c>
      <c r="F58">
        <v>78</v>
      </c>
      <c r="G58">
        <v>3</v>
      </c>
      <c r="H58">
        <v>3</v>
      </c>
      <c r="I58">
        <v>7</v>
      </c>
      <c r="J58">
        <v>7</v>
      </c>
      <c r="K58">
        <v>82.28</v>
      </c>
      <c r="L58">
        <v>81.239999999999995</v>
      </c>
      <c r="M58">
        <v>80.540000000000006</v>
      </c>
    </row>
    <row r="59" spans="1:13" x14ac:dyDescent="0.2">
      <c r="A59" s="1">
        <v>58</v>
      </c>
      <c r="B59" t="s">
        <v>96</v>
      </c>
      <c r="C59">
        <f xml:space="preserve">  81.52</f>
        <v>81.52</v>
      </c>
      <c r="D59">
        <v>24</v>
      </c>
      <c r="E59">
        <v>9</v>
      </c>
      <c r="F59">
        <v>76.02</v>
      </c>
      <c r="G59">
        <v>1</v>
      </c>
      <c r="H59">
        <v>1</v>
      </c>
      <c r="I59">
        <v>3</v>
      </c>
      <c r="J59">
        <v>2</v>
      </c>
      <c r="K59">
        <v>81.87</v>
      </c>
      <c r="L59">
        <v>82.15</v>
      </c>
      <c r="M59">
        <v>79.819999999999993</v>
      </c>
    </row>
    <row r="60" spans="1:13" x14ac:dyDescent="0.2">
      <c r="A60" s="1">
        <v>59</v>
      </c>
      <c r="B60" t="s">
        <v>812</v>
      </c>
      <c r="C60">
        <f xml:space="preserve">  80.82</f>
        <v>80.819999999999993</v>
      </c>
      <c r="D60">
        <v>18</v>
      </c>
      <c r="E60">
        <v>13</v>
      </c>
      <c r="F60">
        <v>79.849999999999994</v>
      </c>
      <c r="G60">
        <v>1</v>
      </c>
      <c r="H60">
        <v>3</v>
      </c>
      <c r="I60">
        <v>4</v>
      </c>
      <c r="J60">
        <v>9</v>
      </c>
      <c r="K60">
        <v>80.62</v>
      </c>
      <c r="L60">
        <v>81.099999999999994</v>
      </c>
      <c r="M60">
        <v>80.89</v>
      </c>
    </row>
    <row r="61" spans="1:13" x14ac:dyDescent="0.2">
      <c r="A61" s="1">
        <v>60</v>
      </c>
      <c r="B61" t="s">
        <v>41</v>
      </c>
      <c r="C61">
        <f xml:space="preserve">  80.61</f>
        <v>80.61</v>
      </c>
      <c r="D61">
        <v>20</v>
      </c>
      <c r="E61">
        <v>15</v>
      </c>
      <c r="F61">
        <v>79.53</v>
      </c>
      <c r="G61">
        <v>2</v>
      </c>
      <c r="H61">
        <v>8</v>
      </c>
      <c r="I61">
        <v>6</v>
      </c>
      <c r="J61">
        <v>13</v>
      </c>
      <c r="K61">
        <v>80</v>
      </c>
      <c r="L61">
        <v>80.180000000000007</v>
      </c>
      <c r="M61">
        <v>83.35</v>
      </c>
    </row>
    <row r="62" spans="1:13" x14ac:dyDescent="0.2">
      <c r="A62" s="1">
        <v>61</v>
      </c>
      <c r="B62" t="s">
        <v>111</v>
      </c>
      <c r="C62">
        <f xml:space="preserve">  80.56</f>
        <v>80.56</v>
      </c>
      <c r="D62">
        <v>19</v>
      </c>
      <c r="E62">
        <v>15</v>
      </c>
      <c r="F62">
        <v>78.48</v>
      </c>
      <c r="G62">
        <v>0</v>
      </c>
      <c r="H62">
        <v>5</v>
      </c>
      <c r="I62">
        <v>2</v>
      </c>
      <c r="J62">
        <v>11</v>
      </c>
      <c r="K62">
        <v>80.81</v>
      </c>
      <c r="L62">
        <v>80.209999999999994</v>
      </c>
      <c r="M62">
        <v>80.510000000000005</v>
      </c>
    </row>
    <row r="63" spans="1:13" x14ac:dyDescent="0.2">
      <c r="A63" s="1">
        <v>62</v>
      </c>
      <c r="B63" t="s">
        <v>277</v>
      </c>
      <c r="C63">
        <f xml:space="preserve">  80.56</f>
        <v>80.56</v>
      </c>
      <c r="D63">
        <v>26</v>
      </c>
      <c r="E63">
        <v>6</v>
      </c>
      <c r="F63">
        <v>70.400000000000006</v>
      </c>
      <c r="G63">
        <v>0</v>
      </c>
      <c r="H63">
        <v>2</v>
      </c>
      <c r="I63">
        <v>1</v>
      </c>
      <c r="J63">
        <v>2</v>
      </c>
      <c r="K63">
        <v>80.19</v>
      </c>
      <c r="L63">
        <v>80.48</v>
      </c>
      <c r="M63">
        <v>81.72</v>
      </c>
    </row>
    <row r="64" spans="1:13" x14ac:dyDescent="0.2">
      <c r="A64" s="1">
        <v>63</v>
      </c>
      <c r="B64" t="s">
        <v>147</v>
      </c>
      <c r="C64">
        <f xml:space="preserve">  80.43</f>
        <v>80.430000000000007</v>
      </c>
      <c r="D64">
        <v>15</v>
      </c>
      <c r="E64">
        <v>18</v>
      </c>
      <c r="F64">
        <v>79.599999999999994</v>
      </c>
      <c r="G64">
        <v>1</v>
      </c>
      <c r="H64">
        <v>7</v>
      </c>
      <c r="I64">
        <v>4</v>
      </c>
      <c r="J64">
        <v>14</v>
      </c>
      <c r="K64">
        <v>80.97</v>
      </c>
      <c r="L64">
        <v>80.61</v>
      </c>
      <c r="M64">
        <v>78.900000000000006</v>
      </c>
    </row>
    <row r="65" spans="1:13" x14ac:dyDescent="0.2">
      <c r="A65" s="1">
        <v>64</v>
      </c>
      <c r="B65" t="s">
        <v>286</v>
      </c>
      <c r="C65">
        <f xml:space="preserve">  80.42</f>
        <v>80.42</v>
      </c>
      <c r="D65">
        <v>20</v>
      </c>
      <c r="E65">
        <v>14</v>
      </c>
      <c r="F65">
        <v>78.47</v>
      </c>
      <c r="G65">
        <v>0</v>
      </c>
      <c r="H65">
        <v>4</v>
      </c>
      <c r="I65">
        <v>1</v>
      </c>
      <c r="J65">
        <v>9</v>
      </c>
      <c r="K65">
        <v>79.75</v>
      </c>
      <c r="L65">
        <v>80.84</v>
      </c>
      <c r="M65">
        <v>81.64</v>
      </c>
    </row>
    <row r="66" spans="1:13" x14ac:dyDescent="0.2">
      <c r="A66" s="1">
        <v>65</v>
      </c>
      <c r="B66" t="s">
        <v>809</v>
      </c>
      <c r="C66">
        <f xml:space="preserve">  80.41</f>
        <v>80.41</v>
      </c>
      <c r="D66">
        <v>21</v>
      </c>
      <c r="E66">
        <v>14</v>
      </c>
      <c r="F66">
        <v>77.540000000000006</v>
      </c>
      <c r="G66">
        <v>2</v>
      </c>
      <c r="H66">
        <v>9</v>
      </c>
      <c r="I66">
        <v>3</v>
      </c>
      <c r="J66">
        <v>11</v>
      </c>
      <c r="K66">
        <v>79.89</v>
      </c>
      <c r="L66">
        <v>80.599999999999994</v>
      </c>
      <c r="M66">
        <v>81.55</v>
      </c>
    </row>
    <row r="67" spans="1:13" x14ac:dyDescent="0.2">
      <c r="A67" s="1">
        <v>66</v>
      </c>
      <c r="B67" t="s">
        <v>79</v>
      </c>
      <c r="C67">
        <f xml:space="preserve">  80.37</f>
        <v>80.37</v>
      </c>
      <c r="D67">
        <v>20</v>
      </c>
      <c r="E67">
        <v>12</v>
      </c>
      <c r="F67">
        <v>75.38</v>
      </c>
      <c r="G67">
        <v>0</v>
      </c>
      <c r="H67">
        <v>7</v>
      </c>
      <c r="I67">
        <v>1</v>
      </c>
      <c r="J67">
        <v>9</v>
      </c>
      <c r="K67">
        <v>80.81</v>
      </c>
      <c r="L67">
        <v>80.510000000000005</v>
      </c>
      <c r="M67">
        <v>79.09</v>
      </c>
    </row>
    <row r="68" spans="1:13" x14ac:dyDescent="0.2">
      <c r="A68" s="1">
        <v>67</v>
      </c>
      <c r="B68" t="s">
        <v>102</v>
      </c>
      <c r="C68">
        <f xml:space="preserve">  80.22</f>
        <v>80.22</v>
      </c>
      <c r="D68">
        <v>22</v>
      </c>
      <c r="E68">
        <v>13</v>
      </c>
      <c r="F68">
        <v>75.7</v>
      </c>
      <c r="G68">
        <v>4</v>
      </c>
      <c r="H68">
        <v>2</v>
      </c>
      <c r="I68">
        <v>5</v>
      </c>
      <c r="J68">
        <v>3</v>
      </c>
      <c r="K68">
        <v>80.16</v>
      </c>
      <c r="L68">
        <v>79.56</v>
      </c>
      <c r="M68">
        <v>81.55</v>
      </c>
    </row>
    <row r="69" spans="1:13" x14ac:dyDescent="0.2">
      <c r="A69" s="1">
        <v>68</v>
      </c>
      <c r="B69" t="s">
        <v>239</v>
      </c>
      <c r="C69">
        <f xml:space="preserve">  80.13</f>
        <v>80.13</v>
      </c>
      <c r="D69">
        <v>28</v>
      </c>
      <c r="E69">
        <v>5</v>
      </c>
      <c r="F69">
        <v>70.739999999999995</v>
      </c>
      <c r="G69">
        <v>1</v>
      </c>
      <c r="H69">
        <v>1</v>
      </c>
      <c r="I69">
        <v>2</v>
      </c>
      <c r="J69">
        <v>1</v>
      </c>
      <c r="K69">
        <v>79.72</v>
      </c>
      <c r="L69">
        <v>80.239999999999995</v>
      </c>
      <c r="M69">
        <v>81.08</v>
      </c>
    </row>
    <row r="70" spans="1:13" x14ac:dyDescent="0.2">
      <c r="A70" s="1">
        <v>69</v>
      </c>
      <c r="B70" t="s">
        <v>4</v>
      </c>
      <c r="C70">
        <f xml:space="preserve">  80.12</f>
        <v>80.12</v>
      </c>
      <c r="D70">
        <v>22</v>
      </c>
      <c r="E70">
        <v>10</v>
      </c>
      <c r="F70">
        <v>73.099999999999994</v>
      </c>
      <c r="G70">
        <v>2</v>
      </c>
      <c r="H70">
        <v>2</v>
      </c>
      <c r="I70">
        <v>3</v>
      </c>
      <c r="J70">
        <v>4</v>
      </c>
      <c r="K70">
        <v>80.3</v>
      </c>
      <c r="L70">
        <v>79.89</v>
      </c>
      <c r="M70">
        <v>80.05</v>
      </c>
    </row>
    <row r="71" spans="1:13" x14ac:dyDescent="0.2">
      <c r="A71" s="1">
        <v>70</v>
      </c>
      <c r="B71" t="s">
        <v>30</v>
      </c>
      <c r="C71">
        <f xml:space="preserve">  80.1</f>
        <v>80.099999999999994</v>
      </c>
      <c r="D71">
        <v>15</v>
      </c>
      <c r="E71">
        <v>17</v>
      </c>
      <c r="F71">
        <v>79.790000000000006</v>
      </c>
      <c r="G71">
        <v>3</v>
      </c>
      <c r="H71">
        <v>5</v>
      </c>
      <c r="I71">
        <v>3</v>
      </c>
      <c r="J71">
        <v>10</v>
      </c>
      <c r="K71">
        <v>80.59</v>
      </c>
      <c r="L71">
        <v>80.459999999999994</v>
      </c>
      <c r="M71">
        <v>78.39</v>
      </c>
    </row>
    <row r="72" spans="1:13" x14ac:dyDescent="0.2">
      <c r="A72" s="1">
        <v>71</v>
      </c>
      <c r="B72" t="s">
        <v>149</v>
      </c>
      <c r="C72">
        <f xml:space="preserve">  79.99</f>
        <v>79.989999999999995</v>
      </c>
      <c r="D72">
        <v>20</v>
      </c>
      <c r="E72">
        <v>12</v>
      </c>
      <c r="F72">
        <v>76.62</v>
      </c>
      <c r="G72">
        <v>3</v>
      </c>
      <c r="H72">
        <v>2</v>
      </c>
      <c r="I72">
        <v>4</v>
      </c>
      <c r="J72">
        <v>4</v>
      </c>
      <c r="K72">
        <v>80.2</v>
      </c>
      <c r="L72">
        <v>80.47</v>
      </c>
      <c r="M72">
        <v>78.75</v>
      </c>
    </row>
    <row r="73" spans="1:13" x14ac:dyDescent="0.2">
      <c r="A73" s="1">
        <v>72</v>
      </c>
      <c r="B73" t="s">
        <v>124</v>
      </c>
      <c r="C73">
        <f xml:space="preserve">  79.88</f>
        <v>79.88</v>
      </c>
      <c r="D73">
        <v>21</v>
      </c>
      <c r="E73">
        <v>7</v>
      </c>
      <c r="F73">
        <v>70.81</v>
      </c>
      <c r="G73">
        <v>0</v>
      </c>
      <c r="H73">
        <v>2</v>
      </c>
      <c r="I73">
        <v>0</v>
      </c>
      <c r="J73">
        <v>3</v>
      </c>
      <c r="K73">
        <v>79.91</v>
      </c>
      <c r="L73">
        <v>79.709999999999994</v>
      </c>
      <c r="M73">
        <v>80.09</v>
      </c>
    </row>
    <row r="74" spans="1:13" x14ac:dyDescent="0.2">
      <c r="A74" s="1">
        <v>73</v>
      </c>
      <c r="B74" t="s">
        <v>870</v>
      </c>
      <c r="C74">
        <f xml:space="preserve">  79.88</f>
        <v>79.88</v>
      </c>
      <c r="D74">
        <v>16</v>
      </c>
      <c r="E74">
        <v>17</v>
      </c>
      <c r="F74">
        <v>78.94</v>
      </c>
      <c r="G74">
        <v>1</v>
      </c>
      <c r="H74">
        <v>7</v>
      </c>
      <c r="I74">
        <v>2</v>
      </c>
      <c r="J74">
        <v>13</v>
      </c>
      <c r="K74">
        <v>79.95</v>
      </c>
      <c r="L74">
        <v>80.03</v>
      </c>
      <c r="M74">
        <v>79.45</v>
      </c>
    </row>
    <row r="75" spans="1:13" x14ac:dyDescent="0.2">
      <c r="A75" s="1">
        <v>74</v>
      </c>
      <c r="B75" t="s">
        <v>234</v>
      </c>
      <c r="C75">
        <f xml:space="preserve">  79.48</f>
        <v>79.48</v>
      </c>
      <c r="D75">
        <v>24</v>
      </c>
      <c r="E75">
        <v>9</v>
      </c>
      <c r="F75">
        <v>71.459999999999994</v>
      </c>
      <c r="G75">
        <v>0</v>
      </c>
      <c r="H75">
        <v>2</v>
      </c>
      <c r="I75">
        <v>0</v>
      </c>
      <c r="J75">
        <v>3</v>
      </c>
      <c r="K75">
        <v>79.790000000000006</v>
      </c>
      <c r="L75">
        <v>79.760000000000005</v>
      </c>
      <c r="M75">
        <v>78.290000000000006</v>
      </c>
    </row>
    <row r="76" spans="1:13" x14ac:dyDescent="0.2">
      <c r="A76" s="1">
        <v>75</v>
      </c>
      <c r="B76" t="s">
        <v>40</v>
      </c>
      <c r="C76">
        <f xml:space="preserve">  79.48</f>
        <v>79.48</v>
      </c>
      <c r="D76">
        <v>19</v>
      </c>
      <c r="E76">
        <v>15</v>
      </c>
      <c r="F76">
        <v>73.91</v>
      </c>
      <c r="G76">
        <v>0</v>
      </c>
      <c r="H76">
        <v>6</v>
      </c>
      <c r="I76">
        <v>1</v>
      </c>
      <c r="J76">
        <v>7</v>
      </c>
      <c r="K76">
        <v>79.900000000000006</v>
      </c>
      <c r="L76">
        <v>78.87</v>
      </c>
      <c r="M76">
        <v>79.400000000000006</v>
      </c>
    </row>
    <row r="77" spans="1:13" x14ac:dyDescent="0.2">
      <c r="A77" s="1">
        <v>76</v>
      </c>
      <c r="B77" t="s">
        <v>100</v>
      </c>
      <c r="C77">
        <f xml:space="preserve">  79.36</f>
        <v>79.36</v>
      </c>
      <c r="D77">
        <v>20</v>
      </c>
      <c r="E77">
        <v>12</v>
      </c>
      <c r="F77">
        <v>75.86</v>
      </c>
      <c r="G77">
        <v>0</v>
      </c>
      <c r="H77">
        <v>2</v>
      </c>
      <c r="I77">
        <v>1</v>
      </c>
      <c r="J77">
        <v>5</v>
      </c>
      <c r="K77">
        <v>78.930000000000007</v>
      </c>
      <c r="L77">
        <v>79.67</v>
      </c>
      <c r="M77">
        <v>80.040000000000006</v>
      </c>
    </row>
    <row r="78" spans="1:13" x14ac:dyDescent="0.2">
      <c r="A78" s="1">
        <v>77</v>
      </c>
      <c r="B78" t="s">
        <v>35</v>
      </c>
      <c r="C78">
        <f xml:space="preserve">  79.33</f>
        <v>79.33</v>
      </c>
      <c r="D78">
        <v>16</v>
      </c>
      <c r="E78">
        <v>16</v>
      </c>
      <c r="F78">
        <v>77.38</v>
      </c>
      <c r="G78">
        <v>1</v>
      </c>
      <c r="H78">
        <v>2</v>
      </c>
      <c r="I78">
        <v>2</v>
      </c>
      <c r="J78">
        <v>5</v>
      </c>
      <c r="K78">
        <v>80.239999999999995</v>
      </c>
      <c r="L78">
        <v>79.28</v>
      </c>
      <c r="M78">
        <v>77.3</v>
      </c>
    </row>
    <row r="79" spans="1:13" x14ac:dyDescent="0.2">
      <c r="A79" s="1">
        <v>78</v>
      </c>
      <c r="B79" t="s">
        <v>273</v>
      </c>
      <c r="C79">
        <f xml:space="preserve">  79.28</f>
        <v>79.28</v>
      </c>
      <c r="D79">
        <v>19</v>
      </c>
      <c r="E79">
        <v>14</v>
      </c>
      <c r="F79">
        <v>77.63</v>
      </c>
      <c r="G79">
        <v>2</v>
      </c>
      <c r="H79">
        <v>4</v>
      </c>
      <c r="I79">
        <v>4</v>
      </c>
      <c r="J79">
        <v>5</v>
      </c>
      <c r="K79">
        <v>79.06</v>
      </c>
      <c r="L79">
        <v>79.83</v>
      </c>
      <c r="M79">
        <v>79.02</v>
      </c>
    </row>
    <row r="80" spans="1:13" x14ac:dyDescent="0.2">
      <c r="A80" s="1">
        <v>79</v>
      </c>
      <c r="B80" t="s">
        <v>120</v>
      </c>
      <c r="C80">
        <f xml:space="preserve">  78.82</f>
        <v>78.819999999999993</v>
      </c>
      <c r="D80">
        <v>16</v>
      </c>
      <c r="E80">
        <v>18</v>
      </c>
      <c r="F80">
        <v>77.55</v>
      </c>
      <c r="G80">
        <v>1</v>
      </c>
      <c r="H80">
        <v>9</v>
      </c>
      <c r="I80">
        <v>2</v>
      </c>
      <c r="J80">
        <v>13</v>
      </c>
      <c r="K80">
        <v>79.400000000000006</v>
      </c>
      <c r="L80">
        <v>78.27</v>
      </c>
      <c r="M80">
        <v>78.27</v>
      </c>
    </row>
    <row r="81" spans="1:13" x14ac:dyDescent="0.2">
      <c r="A81" s="1">
        <v>80</v>
      </c>
      <c r="B81" t="s">
        <v>112</v>
      </c>
      <c r="C81">
        <f xml:space="preserve">  78.64</f>
        <v>78.64</v>
      </c>
      <c r="D81">
        <v>21</v>
      </c>
      <c r="E81">
        <v>12</v>
      </c>
      <c r="F81">
        <v>77.2</v>
      </c>
      <c r="G81">
        <v>3</v>
      </c>
      <c r="H81">
        <v>4</v>
      </c>
      <c r="I81">
        <v>5</v>
      </c>
      <c r="J81">
        <v>8</v>
      </c>
      <c r="K81">
        <v>77.88</v>
      </c>
      <c r="L81">
        <v>78.98</v>
      </c>
      <c r="M81">
        <v>80.27</v>
      </c>
    </row>
    <row r="82" spans="1:13" x14ac:dyDescent="0.2">
      <c r="A82" s="1">
        <v>81</v>
      </c>
      <c r="B82" t="s">
        <v>65</v>
      </c>
      <c r="C82">
        <f xml:space="preserve">  78.62</f>
        <v>78.62</v>
      </c>
      <c r="D82">
        <v>20</v>
      </c>
      <c r="E82">
        <v>13</v>
      </c>
      <c r="F82">
        <v>76.81</v>
      </c>
      <c r="G82">
        <v>0</v>
      </c>
      <c r="H82">
        <v>6</v>
      </c>
      <c r="I82">
        <v>5</v>
      </c>
      <c r="J82">
        <v>10</v>
      </c>
      <c r="K82">
        <v>77.94</v>
      </c>
      <c r="L82">
        <v>78.8</v>
      </c>
      <c r="M82">
        <v>80.290000000000006</v>
      </c>
    </row>
    <row r="83" spans="1:13" x14ac:dyDescent="0.2">
      <c r="A83" s="1">
        <v>82</v>
      </c>
      <c r="B83" t="s">
        <v>878</v>
      </c>
      <c r="C83">
        <f xml:space="preserve">  78.56</f>
        <v>78.56</v>
      </c>
      <c r="D83">
        <v>23</v>
      </c>
      <c r="E83">
        <v>12</v>
      </c>
      <c r="F83">
        <v>71.150000000000006</v>
      </c>
      <c r="G83">
        <v>0</v>
      </c>
      <c r="H83">
        <v>2</v>
      </c>
      <c r="I83">
        <v>0</v>
      </c>
      <c r="J83">
        <v>4</v>
      </c>
      <c r="K83">
        <v>78.650000000000006</v>
      </c>
      <c r="L83">
        <v>78.06</v>
      </c>
      <c r="M83">
        <v>79.150000000000006</v>
      </c>
    </row>
    <row r="84" spans="1:13" x14ac:dyDescent="0.2">
      <c r="A84" s="1">
        <v>83</v>
      </c>
      <c r="B84" t="s">
        <v>68</v>
      </c>
      <c r="C84">
        <f xml:space="preserve">  78.44</f>
        <v>78.44</v>
      </c>
      <c r="D84">
        <v>22</v>
      </c>
      <c r="E84">
        <v>9</v>
      </c>
      <c r="F84">
        <v>73.37</v>
      </c>
      <c r="G84">
        <v>0</v>
      </c>
      <c r="H84">
        <v>0</v>
      </c>
      <c r="I84">
        <v>3</v>
      </c>
      <c r="J84">
        <v>2</v>
      </c>
      <c r="K84">
        <v>77.75</v>
      </c>
      <c r="L84">
        <v>78.760000000000005</v>
      </c>
      <c r="M84">
        <v>79.900000000000006</v>
      </c>
    </row>
    <row r="85" spans="1:13" x14ac:dyDescent="0.2">
      <c r="A85" s="1">
        <v>84</v>
      </c>
      <c r="B85" t="s">
        <v>811</v>
      </c>
      <c r="C85">
        <f xml:space="preserve">  78.41</f>
        <v>78.41</v>
      </c>
      <c r="D85">
        <v>15</v>
      </c>
      <c r="E85">
        <v>17</v>
      </c>
      <c r="F85">
        <v>79.459999999999994</v>
      </c>
      <c r="G85">
        <v>1</v>
      </c>
      <c r="H85">
        <v>4</v>
      </c>
      <c r="I85">
        <v>3</v>
      </c>
      <c r="J85">
        <v>8</v>
      </c>
      <c r="K85">
        <v>78.430000000000007</v>
      </c>
      <c r="L85">
        <v>78.680000000000007</v>
      </c>
      <c r="M85">
        <v>77.92</v>
      </c>
    </row>
    <row r="86" spans="1:13" x14ac:dyDescent="0.2">
      <c r="A86" s="1">
        <v>85</v>
      </c>
      <c r="B86" t="s">
        <v>791</v>
      </c>
      <c r="C86">
        <f xml:space="preserve">  78.4</f>
        <v>78.400000000000006</v>
      </c>
      <c r="D86">
        <v>14</v>
      </c>
      <c r="E86">
        <v>17</v>
      </c>
      <c r="F86">
        <v>76.78</v>
      </c>
      <c r="G86">
        <v>0</v>
      </c>
      <c r="H86">
        <v>4</v>
      </c>
      <c r="I86">
        <v>1</v>
      </c>
      <c r="J86">
        <v>6</v>
      </c>
      <c r="K86">
        <v>78.849999999999994</v>
      </c>
      <c r="L86">
        <v>77.760000000000005</v>
      </c>
      <c r="M86">
        <v>78.3</v>
      </c>
    </row>
    <row r="87" spans="1:13" x14ac:dyDescent="0.2">
      <c r="A87" s="1">
        <v>86</v>
      </c>
      <c r="B87" t="s">
        <v>859</v>
      </c>
      <c r="C87">
        <f xml:space="preserve">  78.38</f>
        <v>78.38</v>
      </c>
      <c r="D87">
        <v>24</v>
      </c>
      <c r="E87">
        <v>8</v>
      </c>
      <c r="F87">
        <v>71.58</v>
      </c>
      <c r="G87">
        <v>0</v>
      </c>
      <c r="H87">
        <v>1</v>
      </c>
      <c r="I87">
        <v>0</v>
      </c>
      <c r="J87">
        <v>1</v>
      </c>
      <c r="K87">
        <v>78.14</v>
      </c>
      <c r="L87">
        <v>78.52</v>
      </c>
      <c r="M87">
        <v>78.760000000000005</v>
      </c>
    </row>
    <row r="88" spans="1:13" x14ac:dyDescent="0.2">
      <c r="A88" s="1">
        <v>87</v>
      </c>
      <c r="B88" t="s">
        <v>129</v>
      </c>
      <c r="C88">
        <f xml:space="preserve">  78.36</f>
        <v>78.36</v>
      </c>
      <c r="D88">
        <v>17</v>
      </c>
      <c r="E88">
        <v>15</v>
      </c>
      <c r="F88">
        <v>74.599999999999994</v>
      </c>
      <c r="G88">
        <v>0</v>
      </c>
      <c r="H88">
        <v>1</v>
      </c>
      <c r="I88">
        <v>0</v>
      </c>
      <c r="J88">
        <v>7</v>
      </c>
      <c r="K88">
        <v>79.05</v>
      </c>
      <c r="L88">
        <v>78.41</v>
      </c>
      <c r="M88">
        <v>76.63</v>
      </c>
    </row>
    <row r="89" spans="1:13" x14ac:dyDescent="0.2">
      <c r="A89" s="1">
        <v>88</v>
      </c>
      <c r="B89" t="s">
        <v>134</v>
      </c>
      <c r="C89">
        <f xml:space="preserve">  78.28</f>
        <v>78.28</v>
      </c>
      <c r="D89">
        <v>26</v>
      </c>
      <c r="E89">
        <v>10</v>
      </c>
      <c r="F89">
        <v>72.8</v>
      </c>
      <c r="G89">
        <v>0</v>
      </c>
      <c r="H89">
        <v>2</v>
      </c>
      <c r="I89">
        <v>0</v>
      </c>
      <c r="J89">
        <v>3</v>
      </c>
      <c r="K89">
        <v>77.89</v>
      </c>
      <c r="L89">
        <v>78.400000000000006</v>
      </c>
      <c r="M89">
        <v>79.16</v>
      </c>
    </row>
    <row r="90" spans="1:13" x14ac:dyDescent="0.2">
      <c r="A90" s="1">
        <v>89</v>
      </c>
      <c r="B90" t="s">
        <v>42</v>
      </c>
      <c r="C90">
        <f xml:space="preserve">  78.16</f>
        <v>78.16</v>
      </c>
      <c r="D90">
        <v>18</v>
      </c>
      <c r="E90">
        <v>15</v>
      </c>
      <c r="F90">
        <v>79.75</v>
      </c>
      <c r="G90">
        <v>2</v>
      </c>
      <c r="H90">
        <v>5</v>
      </c>
      <c r="I90">
        <v>4</v>
      </c>
      <c r="J90">
        <v>7</v>
      </c>
      <c r="K90">
        <v>77.680000000000007</v>
      </c>
      <c r="L90">
        <v>78.58</v>
      </c>
      <c r="M90">
        <v>78.78</v>
      </c>
    </row>
    <row r="91" spans="1:13" x14ac:dyDescent="0.2">
      <c r="A91" s="1">
        <v>90</v>
      </c>
      <c r="B91" t="s">
        <v>154</v>
      </c>
      <c r="C91">
        <f xml:space="preserve">  78.1</f>
        <v>78.099999999999994</v>
      </c>
      <c r="D91">
        <v>23</v>
      </c>
      <c r="E91">
        <v>8</v>
      </c>
      <c r="F91">
        <v>72.150000000000006</v>
      </c>
      <c r="G91">
        <v>0</v>
      </c>
      <c r="H91">
        <v>1</v>
      </c>
      <c r="I91">
        <v>0</v>
      </c>
      <c r="J91">
        <v>1</v>
      </c>
      <c r="K91">
        <v>77.5</v>
      </c>
      <c r="L91">
        <v>77.81</v>
      </c>
      <c r="M91">
        <v>80.41</v>
      </c>
    </row>
    <row r="92" spans="1:13" x14ac:dyDescent="0.2">
      <c r="A92" s="1">
        <v>91</v>
      </c>
      <c r="B92" t="s">
        <v>98</v>
      </c>
      <c r="C92">
        <f xml:space="preserve">  78.09</f>
        <v>78.09</v>
      </c>
      <c r="D92">
        <v>14</v>
      </c>
      <c r="E92">
        <v>15</v>
      </c>
      <c r="F92">
        <v>80.680000000000007</v>
      </c>
      <c r="G92">
        <v>1</v>
      </c>
      <c r="H92">
        <v>5</v>
      </c>
      <c r="I92">
        <v>4</v>
      </c>
      <c r="J92">
        <v>9</v>
      </c>
      <c r="K92">
        <v>77.849999999999994</v>
      </c>
      <c r="L92">
        <v>78.540000000000006</v>
      </c>
      <c r="M92">
        <v>78.02</v>
      </c>
    </row>
    <row r="93" spans="1:13" x14ac:dyDescent="0.2">
      <c r="A93" s="1">
        <v>92</v>
      </c>
      <c r="B93" t="s">
        <v>797</v>
      </c>
      <c r="C93">
        <f xml:space="preserve">  78.08</f>
        <v>78.08</v>
      </c>
      <c r="D93">
        <v>18</v>
      </c>
      <c r="E93">
        <v>12</v>
      </c>
      <c r="F93">
        <v>74.260000000000005</v>
      </c>
      <c r="G93">
        <v>1</v>
      </c>
      <c r="H93">
        <v>3</v>
      </c>
      <c r="I93">
        <v>2</v>
      </c>
      <c r="J93">
        <v>4</v>
      </c>
      <c r="K93">
        <v>78.58</v>
      </c>
      <c r="L93">
        <v>78.73</v>
      </c>
      <c r="M93">
        <v>75.95</v>
      </c>
    </row>
    <row r="94" spans="1:13" x14ac:dyDescent="0.2">
      <c r="A94" s="1">
        <v>93</v>
      </c>
      <c r="B94" t="s">
        <v>161</v>
      </c>
      <c r="C94">
        <f xml:space="preserve">  77.99</f>
        <v>77.989999999999995</v>
      </c>
      <c r="D94">
        <v>28</v>
      </c>
      <c r="E94">
        <v>8</v>
      </c>
      <c r="F94">
        <v>70.709999999999994</v>
      </c>
      <c r="G94">
        <v>0</v>
      </c>
      <c r="H94">
        <v>0</v>
      </c>
      <c r="I94">
        <v>2</v>
      </c>
      <c r="J94">
        <v>2</v>
      </c>
      <c r="K94">
        <v>78.099999999999994</v>
      </c>
      <c r="L94">
        <v>78.36</v>
      </c>
      <c r="M94">
        <v>77.13</v>
      </c>
    </row>
    <row r="95" spans="1:13" x14ac:dyDescent="0.2">
      <c r="A95" s="1">
        <v>94</v>
      </c>
      <c r="B95" t="s">
        <v>790</v>
      </c>
      <c r="C95">
        <f xml:space="preserve">  77.9</f>
        <v>77.900000000000006</v>
      </c>
      <c r="D95">
        <v>12</v>
      </c>
      <c r="E95">
        <v>20</v>
      </c>
      <c r="F95">
        <v>79.48</v>
      </c>
      <c r="G95">
        <v>1</v>
      </c>
      <c r="H95">
        <v>9</v>
      </c>
      <c r="I95">
        <v>1</v>
      </c>
      <c r="J95">
        <v>12</v>
      </c>
      <c r="K95">
        <v>78.48</v>
      </c>
      <c r="L95">
        <v>78.16</v>
      </c>
      <c r="M95">
        <v>76.13</v>
      </c>
    </row>
    <row r="96" spans="1:13" x14ac:dyDescent="0.2">
      <c r="A96" s="1">
        <v>95</v>
      </c>
      <c r="B96" t="s">
        <v>133</v>
      </c>
      <c r="C96">
        <f xml:space="preserve">  77.8</f>
        <v>77.8</v>
      </c>
      <c r="D96">
        <v>25</v>
      </c>
      <c r="E96">
        <v>9</v>
      </c>
      <c r="F96">
        <v>71.14</v>
      </c>
      <c r="G96">
        <v>0</v>
      </c>
      <c r="H96">
        <v>1</v>
      </c>
      <c r="I96">
        <v>0</v>
      </c>
      <c r="J96">
        <v>1</v>
      </c>
      <c r="K96">
        <v>77.84</v>
      </c>
      <c r="L96">
        <v>78.34</v>
      </c>
      <c r="M96">
        <v>76.849999999999994</v>
      </c>
    </row>
    <row r="97" spans="1:13" x14ac:dyDescent="0.2">
      <c r="A97" s="1">
        <v>96</v>
      </c>
      <c r="B97" t="s">
        <v>142</v>
      </c>
      <c r="C97">
        <f xml:space="preserve">  77.49</f>
        <v>77.489999999999995</v>
      </c>
      <c r="D97">
        <v>23</v>
      </c>
      <c r="E97">
        <v>10</v>
      </c>
      <c r="F97">
        <v>72.959999999999994</v>
      </c>
      <c r="G97">
        <v>0</v>
      </c>
      <c r="H97">
        <v>0</v>
      </c>
      <c r="I97">
        <v>1</v>
      </c>
      <c r="J97">
        <v>1</v>
      </c>
      <c r="K97">
        <v>76.67</v>
      </c>
      <c r="L97">
        <v>77.55</v>
      </c>
      <c r="M97">
        <v>79.819999999999993</v>
      </c>
    </row>
    <row r="98" spans="1:13" x14ac:dyDescent="0.2">
      <c r="A98" s="1">
        <v>97</v>
      </c>
      <c r="B98" t="s">
        <v>13</v>
      </c>
      <c r="C98">
        <f xml:space="preserve">  77.48</f>
        <v>77.48</v>
      </c>
      <c r="D98">
        <v>15</v>
      </c>
      <c r="E98">
        <v>19</v>
      </c>
      <c r="F98">
        <v>78.459999999999994</v>
      </c>
      <c r="G98">
        <v>1</v>
      </c>
      <c r="H98">
        <v>3</v>
      </c>
      <c r="I98">
        <v>3</v>
      </c>
      <c r="J98">
        <v>8</v>
      </c>
      <c r="K98">
        <v>78.260000000000005</v>
      </c>
      <c r="L98">
        <v>77.41</v>
      </c>
      <c r="M98">
        <v>75.709999999999994</v>
      </c>
    </row>
    <row r="99" spans="1:13" x14ac:dyDescent="0.2">
      <c r="A99" s="1">
        <v>98</v>
      </c>
      <c r="B99" t="s">
        <v>907</v>
      </c>
      <c r="C99">
        <f xml:space="preserve">  77.41</f>
        <v>77.41</v>
      </c>
      <c r="D99">
        <v>24</v>
      </c>
      <c r="E99">
        <v>7</v>
      </c>
      <c r="F99">
        <v>68.2</v>
      </c>
      <c r="G99">
        <v>0</v>
      </c>
      <c r="H99">
        <v>1</v>
      </c>
      <c r="I99">
        <v>0</v>
      </c>
      <c r="J99">
        <v>3</v>
      </c>
      <c r="K99">
        <v>77.33</v>
      </c>
      <c r="L99">
        <v>77.67</v>
      </c>
      <c r="M99">
        <v>77.2</v>
      </c>
    </row>
    <row r="100" spans="1:13" x14ac:dyDescent="0.2">
      <c r="A100" s="1">
        <v>99</v>
      </c>
      <c r="B100" t="s">
        <v>64</v>
      </c>
      <c r="C100">
        <f xml:space="preserve">  77.36</f>
        <v>77.36</v>
      </c>
      <c r="D100">
        <v>19</v>
      </c>
      <c r="E100">
        <v>13</v>
      </c>
      <c r="F100">
        <v>75.78</v>
      </c>
      <c r="G100">
        <v>0</v>
      </c>
      <c r="H100">
        <v>1</v>
      </c>
      <c r="I100">
        <v>2</v>
      </c>
      <c r="J100">
        <v>8</v>
      </c>
      <c r="K100">
        <v>76.75</v>
      </c>
      <c r="L100">
        <v>77.819999999999993</v>
      </c>
      <c r="M100">
        <v>78.28</v>
      </c>
    </row>
    <row r="101" spans="1:13" x14ac:dyDescent="0.2">
      <c r="A101" s="1">
        <v>100</v>
      </c>
      <c r="B101" t="s">
        <v>280</v>
      </c>
      <c r="C101">
        <f xml:space="preserve">  77.34</f>
        <v>77.34</v>
      </c>
      <c r="D101">
        <v>25</v>
      </c>
      <c r="E101">
        <v>13</v>
      </c>
      <c r="F101">
        <v>70.099999999999994</v>
      </c>
      <c r="G101">
        <v>0</v>
      </c>
      <c r="H101">
        <v>1</v>
      </c>
      <c r="I101">
        <v>0</v>
      </c>
      <c r="J101">
        <v>3</v>
      </c>
      <c r="K101">
        <v>77.17</v>
      </c>
      <c r="L101">
        <v>76.680000000000007</v>
      </c>
      <c r="M101">
        <v>78.959999999999994</v>
      </c>
    </row>
    <row r="102" spans="1:13" x14ac:dyDescent="0.2">
      <c r="A102" s="1">
        <v>101</v>
      </c>
      <c r="B102" t="s">
        <v>804</v>
      </c>
      <c r="C102">
        <f xml:space="preserve">  77.31</f>
        <v>77.31</v>
      </c>
      <c r="D102">
        <v>23</v>
      </c>
      <c r="E102">
        <v>10</v>
      </c>
      <c r="F102">
        <v>73.47</v>
      </c>
      <c r="G102">
        <v>0</v>
      </c>
      <c r="H102">
        <v>2</v>
      </c>
      <c r="I102">
        <v>2</v>
      </c>
      <c r="J102">
        <v>4</v>
      </c>
      <c r="K102">
        <v>76.56</v>
      </c>
      <c r="L102">
        <v>77.19</v>
      </c>
      <c r="M102">
        <v>79.75</v>
      </c>
    </row>
    <row r="103" spans="1:13" x14ac:dyDescent="0.2">
      <c r="A103" s="1">
        <v>102</v>
      </c>
      <c r="B103" t="s">
        <v>80</v>
      </c>
      <c r="C103">
        <f xml:space="preserve">  77.28</f>
        <v>77.28</v>
      </c>
      <c r="D103">
        <v>16</v>
      </c>
      <c r="E103">
        <v>16</v>
      </c>
      <c r="F103">
        <v>75.86</v>
      </c>
      <c r="G103">
        <v>0</v>
      </c>
      <c r="H103">
        <v>1</v>
      </c>
      <c r="I103">
        <v>2</v>
      </c>
      <c r="J103">
        <v>6</v>
      </c>
      <c r="K103">
        <v>77.98</v>
      </c>
      <c r="L103">
        <v>77.41</v>
      </c>
      <c r="M103">
        <v>75.39</v>
      </c>
    </row>
    <row r="104" spans="1:13" x14ac:dyDescent="0.2">
      <c r="A104" s="1">
        <v>103</v>
      </c>
      <c r="B104" t="s">
        <v>548</v>
      </c>
      <c r="C104">
        <f xml:space="preserve">  77.22</f>
        <v>77.22</v>
      </c>
      <c r="D104">
        <v>22</v>
      </c>
      <c r="E104">
        <v>11</v>
      </c>
      <c r="F104">
        <v>70.7</v>
      </c>
      <c r="G104">
        <v>0</v>
      </c>
      <c r="H104">
        <v>1</v>
      </c>
      <c r="I104">
        <v>0</v>
      </c>
      <c r="J104">
        <v>2</v>
      </c>
      <c r="K104">
        <v>76.510000000000005</v>
      </c>
      <c r="L104">
        <v>76.900000000000006</v>
      </c>
      <c r="M104">
        <v>79.92</v>
      </c>
    </row>
    <row r="105" spans="1:13" x14ac:dyDescent="0.2">
      <c r="A105" s="1">
        <v>104</v>
      </c>
      <c r="B105" t="s">
        <v>258</v>
      </c>
      <c r="C105">
        <f xml:space="preserve">  76.98</f>
        <v>76.98</v>
      </c>
      <c r="D105">
        <v>18</v>
      </c>
      <c r="E105">
        <v>11</v>
      </c>
      <c r="F105">
        <v>73</v>
      </c>
      <c r="G105">
        <v>0</v>
      </c>
      <c r="H105">
        <v>1</v>
      </c>
      <c r="I105">
        <v>0</v>
      </c>
      <c r="J105">
        <v>1</v>
      </c>
      <c r="K105">
        <v>77.040000000000006</v>
      </c>
      <c r="L105">
        <v>76.819999999999993</v>
      </c>
      <c r="M105">
        <v>77.099999999999994</v>
      </c>
    </row>
    <row r="106" spans="1:13" x14ac:dyDescent="0.2">
      <c r="A106" s="1">
        <v>105</v>
      </c>
      <c r="B106" t="s">
        <v>174</v>
      </c>
      <c r="C106">
        <f xml:space="preserve">  76.88</f>
        <v>76.88</v>
      </c>
      <c r="D106">
        <v>20</v>
      </c>
      <c r="E106">
        <v>11</v>
      </c>
      <c r="F106">
        <v>71.58</v>
      </c>
      <c r="G106">
        <v>0</v>
      </c>
      <c r="H106">
        <v>1</v>
      </c>
      <c r="I106">
        <v>0</v>
      </c>
      <c r="J106">
        <v>1</v>
      </c>
      <c r="K106">
        <v>77.27</v>
      </c>
      <c r="L106">
        <v>76.73</v>
      </c>
      <c r="M106">
        <v>76.14</v>
      </c>
    </row>
    <row r="107" spans="1:13" x14ac:dyDescent="0.2">
      <c r="A107" s="1">
        <v>106</v>
      </c>
      <c r="B107" t="s">
        <v>839</v>
      </c>
      <c r="C107">
        <f xml:space="preserve">  76.75</f>
        <v>76.75</v>
      </c>
      <c r="D107">
        <v>18</v>
      </c>
      <c r="E107">
        <v>15</v>
      </c>
      <c r="F107">
        <v>76.58</v>
      </c>
      <c r="G107">
        <v>0</v>
      </c>
      <c r="H107">
        <v>4</v>
      </c>
      <c r="I107">
        <v>2</v>
      </c>
      <c r="J107">
        <v>5</v>
      </c>
      <c r="K107">
        <v>76.260000000000005</v>
      </c>
      <c r="L107">
        <v>76.87</v>
      </c>
      <c r="M107">
        <v>77.89</v>
      </c>
    </row>
    <row r="108" spans="1:13" x14ac:dyDescent="0.2">
      <c r="A108" s="1">
        <v>107</v>
      </c>
      <c r="B108" t="s">
        <v>66</v>
      </c>
      <c r="C108">
        <f xml:space="preserve">  76.34</f>
        <v>76.34</v>
      </c>
      <c r="D108">
        <v>25</v>
      </c>
      <c r="E108">
        <v>7</v>
      </c>
      <c r="F108">
        <v>69.34</v>
      </c>
      <c r="G108">
        <v>0</v>
      </c>
      <c r="H108">
        <v>0</v>
      </c>
      <c r="I108">
        <v>0</v>
      </c>
      <c r="J108">
        <v>1</v>
      </c>
      <c r="K108">
        <v>75.819999999999993</v>
      </c>
      <c r="L108">
        <v>76.97</v>
      </c>
      <c r="M108">
        <v>76.73</v>
      </c>
    </row>
    <row r="109" spans="1:13" x14ac:dyDescent="0.2">
      <c r="A109" s="1">
        <v>108</v>
      </c>
      <c r="B109" t="s">
        <v>191</v>
      </c>
      <c r="C109">
        <f xml:space="preserve">  76.2</f>
        <v>76.2</v>
      </c>
      <c r="D109">
        <v>23</v>
      </c>
      <c r="E109">
        <v>11</v>
      </c>
      <c r="F109">
        <v>69.48</v>
      </c>
      <c r="G109">
        <v>0</v>
      </c>
      <c r="H109">
        <v>0</v>
      </c>
      <c r="I109">
        <v>0</v>
      </c>
      <c r="J109">
        <v>1</v>
      </c>
      <c r="K109">
        <v>77.459999999999994</v>
      </c>
      <c r="L109">
        <v>75.94</v>
      </c>
      <c r="M109">
        <v>73.58</v>
      </c>
    </row>
    <row r="110" spans="1:13" x14ac:dyDescent="0.2">
      <c r="A110" s="1">
        <v>109</v>
      </c>
      <c r="B110" t="s">
        <v>264</v>
      </c>
      <c r="C110">
        <f xml:space="preserve">  76.2</f>
        <v>76.2</v>
      </c>
      <c r="D110">
        <v>23</v>
      </c>
      <c r="E110">
        <v>10</v>
      </c>
      <c r="F110">
        <v>69.290000000000006</v>
      </c>
      <c r="G110">
        <v>0</v>
      </c>
      <c r="H110">
        <v>0</v>
      </c>
      <c r="I110">
        <v>0</v>
      </c>
      <c r="J110">
        <v>1</v>
      </c>
      <c r="K110">
        <v>75.7</v>
      </c>
      <c r="L110">
        <v>76.2</v>
      </c>
      <c r="M110">
        <v>77.55</v>
      </c>
    </row>
    <row r="111" spans="1:13" x14ac:dyDescent="0.2">
      <c r="A111" s="1">
        <v>110</v>
      </c>
      <c r="B111" t="s">
        <v>143</v>
      </c>
      <c r="C111">
        <f xml:space="preserve">  76.14</f>
        <v>76.14</v>
      </c>
      <c r="D111">
        <v>18</v>
      </c>
      <c r="E111">
        <v>14</v>
      </c>
      <c r="F111">
        <v>74.19</v>
      </c>
      <c r="G111">
        <v>0</v>
      </c>
      <c r="H111">
        <v>0</v>
      </c>
      <c r="I111">
        <v>0</v>
      </c>
      <c r="J111">
        <v>2</v>
      </c>
      <c r="K111">
        <v>76.400000000000006</v>
      </c>
      <c r="L111">
        <v>75.97</v>
      </c>
      <c r="M111">
        <v>75.75</v>
      </c>
    </row>
    <row r="112" spans="1:13" x14ac:dyDescent="0.2">
      <c r="A112" s="1">
        <v>111</v>
      </c>
      <c r="B112" t="s">
        <v>115</v>
      </c>
      <c r="C112">
        <f xml:space="preserve">  76.09</f>
        <v>76.09</v>
      </c>
      <c r="D112">
        <v>16</v>
      </c>
      <c r="E112">
        <v>15</v>
      </c>
      <c r="F112">
        <v>74.38</v>
      </c>
      <c r="G112">
        <v>2</v>
      </c>
      <c r="H112">
        <v>2</v>
      </c>
      <c r="I112">
        <v>2</v>
      </c>
      <c r="J112">
        <v>4</v>
      </c>
      <c r="K112">
        <v>76.540000000000006</v>
      </c>
      <c r="L112">
        <v>76.540000000000006</v>
      </c>
      <c r="M112">
        <v>74.25</v>
      </c>
    </row>
    <row r="113" spans="1:13" x14ac:dyDescent="0.2">
      <c r="A113" s="1">
        <v>112</v>
      </c>
      <c r="B113" t="s">
        <v>819</v>
      </c>
      <c r="C113">
        <f xml:space="preserve">  76.04</f>
        <v>76.040000000000006</v>
      </c>
      <c r="D113">
        <v>21</v>
      </c>
      <c r="E113">
        <v>11</v>
      </c>
      <c r="F113">
        <v>68.47</v>
      </c>
      <c r="G113">
        <v>0</v>
      </c>
      <c r="H113">
        <v>2</v>
      </c>
      <c r="I113">
        <v>0</v>
      </c>
      <c r="J113">
        <v>3</v>
      </c>
      <c r="K113">
        <v>75.92</v>
      </c>
      <c r="L113">
        <v>75.64</v>
      </c>
      <c r="M113">
        <v>77.040000000000006</v>
      </c>
    </row>
    <row r="114" spans="1:13" x14ac:dyDescent="0.2">
      <c r="A114" s="1">
        <v>113</v>
      </c>
      <c r="B114" t="s">
        <v>85</v>
      </c>
      <c r="C114">
        <f xml:space="preserve">  76</f>
        <v>76</v>
      </c>
      <c r="D114">
        <v>27</v>
      </c>
      <c r="E114">
        <v>6</v>
      </c>
      <c r="F114">
        <v>68.760000000000005</v>
      </c>
      <c r="G114">
        <v>0</v>
      </c>
      <c r="H114">
        <v>2</v>
      </c>
      <c r="I114">
        <v>0</v>
      </c>
      <c r="J114">
        <v>2</v>
      </c>
      <c r="K114">
        <v>75.709999999999994</v>
      </c>
      <c r="L114">
        <v>76.28</v>
      </c>
      <c r="M114">
        <v>76.3</v>
      </c>
    </row>
    <row r="115" spans="1:13" x14ac:dyDescent="0.2">
      <c r="A115" s="1">
        <v>114</v>
      </c>
      <c r="B115" t="s">
        <v>34</v>
      </c>
      <c r="C115">
        <f xml:space="preserve">  75.92</f>
        <v>75.92</v>
      </c>
      <c r="D115">
        <v>15</v>
      </c>
      <c r="E115">
        <v>19</v>
      </c>
      <c r="F115">
        <v>77.989999999999995</v>
      </c>
      <c r="G115">
        <v>2</v>
      </c>
      <c r="H115">
        <v>7</v>
      </c>
      <c r="I115">
        <v>2</v>
      </c>
      <c r="J115">
        <v>12</v>
      </c>
      <c r="K115">
        <v>75.39</v>
      </c>
      <c r="L115">
        <v>76.349999999999994</v>
      </c>
      <c r="M115">
        <v>76.62</v>
      </c>
    </row>
    <row r="116" spans="1:13" x14ac:dyDescent="0.2">
      <c r="A116" s="1">
        <v>115</v>
      </c>
      <c r="B116" t="s">
        <v>128</v>
      </c>
      <c r="C116">
        <f xml:space="preserve">  75.86</f>
        <v>75.86</v>
      </c>
      <c r="D116">
        <v>23</v>
      </c>
      <c r="E116">
        <v>10</v>
      </c>
      <c r="F116">
        <v>71.67</v>
      </c>
      <c r="G116">
        <v>1</v>
      </c>
      <c r="H116">
        <v>0</v>
      </c>
      <c r="I116">
        <v>1</v>
      </c>
      <c r="J116">
        <v>2</v>
      </c>
      <c r="K116">
        <v>75.010000000000005</v>
      </c>
      <c r="L116">
        <v>75.87</v>
      </c>
      <c r="M116">
        <v>78.28</v>
      </c>
    </row>
    <row r="117" spans="1:13" x14ac:dyDescent="0.2">
      <c r="A117" s="1">
        <v>116</v>
      </c>
      <c r="B117" t="s">
        <v>276</v>
      </c>
      <c r="C117">
        <f xml:space="preserve">  75.48</f>
        <v>75.48</v>
      </c>
      <c r="D117">
        <v>17</v>
      </c>
      <c r="E117">
        <v>15</v>
      </c>
      <c r="F117">
        <v>73.709999999999994</v>
      </c>
      <c r="G117">
        <v>0</v>
      </c>
      <c r="H117">
        <v>1</v>
      </c>
      <c r="I117">
        <v>0</v>
      </c>
      <c r="J117">
        <v>5</v>
      </c>
      <c r="K117">
        <v>76.430000000000007</v>
      </c>
      <c r="L117">
        <v>75.98</v>
      </c>
      <c r="M117">
        <v>72.400000000000006</v>
      </c>
    </row>
    <row r="118" spans="1:13" x14ac:dyDescent="0.2">
      <c r="A118" s="1">
        <v>117</v>
      </c>
      <c r="B118" t="s">
        <v>210</v>
      </c>
      <c r="C118">
        <f xml:space="preserve">  75.27</f>
        <v>75.27</v>
      </c>
      <c r="D118">
        <v>21</v>
      </c>
      <c r="E118">
        <v>9</v>
      </c>
      <c r="F118">
        <v>67.180000000000007</v>
      </c>
      <c r="G118">
        <v>0</v>
      </c>
      <c r="H118">
        <v>1</v>
      </c>
      <c r="I118">
        <v>0</v>
      </c>
      <c r="J118">
        <v>2</v>
      </c>
      <c r="K118">
        <v>75.05</v>
      </c>
      <c r="L118">
        <v>74.72</v>
      </c>
      <c r="M118">
        <v>76.83</v>
      </c>
    </row>
    <row r="119" spans="1:13" x14ac:dyDescent="0.2">
      <c r="A119" s="1">
        <v>118</v>
      </c>
      <c r="B119" t="s">
        <v>53</v>
      </c>
      <c r="C119">
        <f xml:space="preserve">  75.21</f>
        <v>75.209999999999994</v>
      </c>
      <c r="D119">
        <v>11</v>
      </c>
      <c r="E119">
        <v>20</v>
      </c>
      <c r="F119">
        <v>81.150000000000006</v>
      </c>
      <c r="G119">
        <v>1</v>
      </c>
      <c r="H119">
        <v>7</v>
      </c>
      <c r="I119">
        <v>1</v>
      </c>
      <c r="J119">
        <v>14</v>
      </c>
      <c r="K119">
        <v>75.94</v>
      </c>
      <c r="L119">
        <v>75.7</v>
      </c>
      <c r="M119">
        <v>72.64</v>
      </c>
    </row>
    <row r="120" spans="1:13" x14ac:dyDescent="0.2">
      <c r="A120" s="1">
        <v>119</v>
      </c>
      <c r="B120" t="s">
        <v>818</v>
      </c>
      <c r="C120">
        <f xml:space="preserve">  75.19</f>
        <v>75.19</v>
      </c>
      <c r="D120">
        <v>17</v>
      </c>
      <c r="E120">
        <v>14</v>
      </c>
      <c r="F120">
        <v>73.55</v>
      </c>
      <c r="G120">
        <v>1</v>
      </c>
      <c r="H120">
        <v>3</v>
      </c>
      <c r="I120">
        <v>1</v>
      </c>
      <c r="J120">
        <v>5</v>
      </c>
      <c r="K120">
        <v>74.98</v>
      </c>
      <c r="L120">
        <v>75.19</v>
      </c>
      <c r="M120">
        <v>75.75</v>
      </c>
    </row>
    <row r="121" spans="1:13" x14ac:dyDescent="0.2">
      <c r="A121" s="1">
        <v>120</v>
      </c>
      <c r="B121" t="s">
        <v>551</v>
      </c>
      <c r="C121">
        <v>75.09</v>
      </c>
      <c r="D121">
        <v>17</v>
      </c>
      <c r="E121">
        <v>15</v>
      </c>
      <c r="F121">
        <v>70.8</v>
      </c>
      <c r="G121">
        <v>0</v>
      </c>
      <c r="H121">
        <v>1</v>
      </c>
      <c r="I121">
        <v>0</v>
      </c>
      <c r="J121">
        <v>1</v>
      </c>
      <c r="K121">
        <v>75.39</v>
      </c>
      <c r="L121">
        <v>74.59</v>
      </c>
      <c r="M121">
        <v>75.11</v>
      </c>
    </row>
    <row r="122" spans="1:13" x14ac:dyDescent="0.2">
      <c r="A122" s="1">
        <v>121</v>
      </c>
      <c r="B122" t="s">
        <v>817</v>
      </c>
      <c r="C122">
        <f xml:space="preserve">  75.08</f>
        <v>75.08</v>
      </c>
      <c r="D122">
        <v>16</v>
      </c>
      <c r="E122">
        <v>16</v>
      </c>
      <c r="F122">
        <v>77.73</v>
      </c>
      <c r="G122">
        <v>2</v>
      </c>
      <c r="H122">
        <v>5</v>
      </c>
      <c r="I122">
        <v>2</v>
      </c>
      <c r="J122">
        <v>9</v>
      </c>
      <c r="K122">
        <v>74.260000000000005</v>
      </c>
      <c r="L122">
        <v>75.37</v>
      </c>
      <c r="M122">
        <v>76.88</v>
      </c>
    </row>
    <row r="123" spans="1:13" x14ac:dyDescent="0.2">
      <c r="A123" s="1">
        <v>122</v>
      </c>
      <c r="B123" t="s">
        <v>119</v>
      </c>
      <c r="C123">
        <f xml:space="preserve">  74.7</f>
        <v>74.7</v>
      </c>
      <c r="D123">
        <v>22</v>
      </c>
      <c r="E123">
        <v>14</v>
      </c>
      <c r="F123">
        <v>73.06</v>
      </c>
      <c r="G123">
        <v>0</v>
      </c>
      <c r="H123">
        <v>1</v>
      </c>
      <c r="I123">
        <v>0</v>
      </c>
      <c r="J123">
        <v>3</v>
      </c>
      <c r="K123">
        <v>74.319999999999993</v>
      </c>
      <c r="L123">
        <v>74.58</v>
      </c>
      <c r="M123">
        <v>75.92</v>
      </c>
    </row>
    <row r="124" spans="1:13" x14ac:dyDescent="0.2">
      <c r="A124" s="1">
        <v>123</v>
      </c>
      <c r="B124" t="s">
        <v>249</v>
      </c>
      <c r="C124">
        <f xml:space="preserve">  74.7</f>
        <v>74.7</v>
      </c>
      <c r="D124">
        <v>18</v>
      </c>
      <c r="E124">
        <v>13</v>
      </c>
      <c r="F124">
        <v>70.459999999999994</v>
      </c>
      <c r="G124">
        <v>0</v>
      </c>
      <c r="H124">
        <v>0</v>
      </c>
      <c r="I124">
        <v>1</v>
      </c>
      <c r="J124">
        <v>3</v>
      </c>
      <c r="K124">
        <v>75.430000000000007</v>
      </c>
      <c r="L124">
        <v>74.73</v>
      </c>
      <c r="M124">
        <v>72.81</v>
      </c>
    </row>
    <row r="125" spans="1:13" x14ac:dyDescent="0.2">
      <c r="A125" s="1">
        <v>124</v>
      </c>
      <c r="B125" t="s">
        <v>259</v>
      </c>
      <c r="C125">
        <f xml:space="preserve">  74.62</f>
        <v>74.62</v>
      </c>
      <c r="D125">
        <v>21</v>
      </c>
      <c r="E125">
        <v>13</v>
      </c>
      <c r="F125">
        <v>72.02</v>
      </c>
      <c r="G125">
        <v>0</v>
      </c>
      <c r="H125">
        <v>1</v>
      </c>
      <c r="I125">
        <v>1</v>
      </c>
      <c r="J125">
        <v>5</v>
      </c>
      <c r="K125">
        <v>73.98</v>
      </c>
      <c r="L125">
        <v>74.430000000000007</v>
      </c>
      <c r="M125">
        <v>76.72</v>
      </c>
    </row>
    <row r="126" spans="1:13" x14ac:dyDescent="0.2">
      <c r="A126" s="1">
        <v>125</v>
      </c>
      <c r="B126" t="s">
        <v>903</v>
      </c>
      <c r="C126">
        <f xml:space="preserve">  74.6</f>
        <v>74.599999999999994</v>
      </c>
      <c r="D126">
        <v>23</v>
      </c>
      <c r="E126">
        <v>9</v>
      </c>
      <c r="F126">
        <v>65.959999999999994</v>
      </c>
      <c r="G126">
        <v>0</v>
      </c>
      <c r="H126">
        <v>1</v>
      </c>
      <c r="I126">
        <v>0</v>
      </c>
      <c r="J126">
        <v>1</v>
      </c>
      <c r="K126">
        <v>74.64</v>
      </c>
      <c r="L126">
        <v>74.72</v>
      </c>
      <c r="M126">
        <v>74.3</v>
      </c>
    </row>
    <row r="127" spans="1:13" x14ac:dyDescent="0.2">
      <c r="A127" s="1">
        <v>126</v>
      </c>
      <c r="B127" t="s">
        <v>49</v>
      </c>
      <c r="C127">
        <f xml:space="preserve">  74.56</f>
        <v>74.56</v>
      </c>
      <c r="D127">
        <v>12</v>
      </c>
      <c r="E127">
        <v>21</v>
      </c>
      <c r="F127">
        <v>80.23</v>
      </c>
      <c r="G127">
        <v>0</v>
      </c>
      <c r="H127">
        <v>2</v>
      </c>
      <c r="I127">
        <v>1</v>
      </c>
      <c r="J127">
        <v>13</v>
      </c>
      <c r="K127">
        <v>74.39</v>
      </c>
      <c r="L127">
        <v>74.59</v>
      </c>
      <c r="M127">
        <v>74.97</v>
      </c>
    </row>
    <row r="128" spans="1:13" x14ac:dyDescent="0.2">
      <c r="A128" s="1">
        <v>127</v>
      </c>
      <c r="B128" t="s">
        <v>201</v>
      </c>
      <c r="C128">
        <f xml:space="preserve">  74.48</f>
        <v>74.48</v>
      </c>
      <c r="D128">
        <v>17</v>
      </c>
      <c r="E128">
        <v>14</v>
      </c>
      <c r="F128">
        <v>73.2</v>
      </c>
      <c r="G128">
        <v>0</v>
      </c>
      <c r="H128">
        <v>2</v>
      </c>
      <c r="I128">
        <v>3</v>
      </c>
      <c r="J128">
        <v>4</v>
      </c>
      <c r="K128">
        <v>74.72</v>
      </c>
      <c r="L128">
        <v>74.97</v>
      </c>
      <c r="M128">
        <v>73.09</v>
      </c>
    </row>
    <row r="129" spans="1:13" x14ac:dyDescent="0.2">
      <c r="A129" s="1">
        <v>128</v>
      </c>
      <c r="B129" t="s">
        <v>796</v>
      </c>
      <c r="C129">
        <f xml:space="preserve">  74.3</f>
        <v>74.3</v>
      </c>
      <c r="D129">
        <v>14</v>
      </c>
      <c r="E129">
        <v>15</v>
      </c>
      <c r="F129">
        <v>73.72</v>
      </c>
      <c r="G129">
        <v>0</v>
      </c>
      <c r="H129">
        <v>1</v>
      </c>
      <c r="I129">
        <v>0</v>
      </c>
      <c r="J129">
        <v>5</v>
      </c>
      <c r="K129">
        <v>74.349999999999994</v>
      </c>
      <c r="L129">
        <v>74.27</v>
      </c>
      <c r="M129">
        <v>74.2</v>
      </c>
    </row>
    <row r="130" spans="1:13" x14ac:dyDescent="0.2">
      <c r="A130" s="1">
        <v>129</v>
      </c>
      <c r="B130" t="s">
        <v>196</v>
      </c>
      <c r="C130">
        <f xml:space="preserve">  74.15</f>
        <v>74.150000000000006</v>
      </c>
      <c r="D130">
        <v>21</v>
      </c>
      <c r="E130">
        <v>13</v>
      </c>
      <c r="F130">
        <v>69.680000000000007</v>
      </c>
      <c r="G130">
        <v>0</v>
      </c>
      <c r="H130">
        <v>1</v>
      </c>
      <c r="I130">
        <v>0</v>
      </c>
      <c r="J130">
        <v>2</v>
      </c>
      <c r="K130">
        <v>74.73</v>
      </c>
      <c r="L130">
        <v>74.17</v>
      </c>
      <c r="M130">
        <v>72.650000000000006</v>
      </c>
    </row>
    <row r="131" spans="1:13" x14ac:dyDescent="0.2">
      <c r="A131" s="1">
        <v>130</v>
      </c>
      <c r="B131" t="s">
        <v>87</v>
      </c>
      <c r="C131">
        <f xml:space="preserve">  74.1</f>
        <v>74.099999999999994</v>
      </c>
      <c r="D131">
        <v>19</v>
      </c>
      <c r="E131">
        <v>12</v>
      </c>
      <c r="F131">
        <v>70.569999999999993</v>
      </c>
      <c r="G131">
        <v>0</v>
      </c>
      <c r="H131">
        <v>0</v>
      </c>
      <c r="I131">
        <v>1</v>
      </c>
      <c r="J131">
        <v>2</v>
      </c>
      <c r="K131">
        <v>74.27</v>
      </c>
      <c r="L131">
        <v>74.56</v>
      </c>
      <c r="M131">
        <v>72.92</v>
      </c>
    </row>
    <row r="132" spans="1:13" x14ac:dyDescent="0.2">
      <c r="A132" s="1">
        <v>131</v>
      </c>
      <c r="B132" t="s">
        <v>820</v>
      </c>
      <c r="C132">
        <f xml:space="preserve">  74.09</f>
        <v>74.09</v>
      </c>
      <c r="D132">
        <v>21</v>
      </c>
      <c r="E132">
        <v>14</v>
      </c>
      <c r="F132">
        <v>70.95</v>
      </c>
      <c r="G132">
        <v>0</v>
      </c>
      <c r="H132">
        <v>1</v>
      </c>
      <c r="I132">
        <v>0</v>
      </c>
      <c r="J132">
        <v>2</v>
      </c>
      <c r="K132">
        <v>73.81</v>
      </c>
      <c r="L132">
        <v>74.02</v>
      </c>
      <c r="M132">
        <v>74.94</v>
      </c>
    </row>
    <row r="133" spans="1:13" x14ac:dyDescent="0.2">
      <c r="A133" s="1">
        <v>132</v>
      </c>
      <c r="B133" t="s">
        <v>116</v>
      </c>
      <c r="C133">
        <f xml:space="preserve">  74.04</f>
        <v>74.040000000000006</v>
      </c>
      <c r="D133">
        <v>19</v>
      </c>
      <c r="E133">
        <v>15</v>
      </c>
      <c r="F133">
        <v>72.8</v>
      </c>
      <c r="G133">
        <v>0</v>
      </c>
      <c r="H133">
        <v>3</v>
      </c>
      <c r="I133">
        <v>0</v>
      </c>
      <c r="J133">
        <v>5</v>
      </c>
      <c r="K133">
        <v>73.44</v>
      </c>
      <c r="L133">
        <v>73.900000000000006</v>
      </c>
      <c r="M133">
        <v>75.900000000000006</v>
      </c>
    </row>
    <row r="134" spans="1:13" x14ac:dyDescent="0.2">
      <c r="A134" s="1">
        <v>133</v>
      </c>
      <c r="B134" t="s">
        <v>136</v>
      </c>
      <c r="C134">
        <f xml:space="preserve">  74.02</f>
        <v>74.02</v>
      </c>
      <c r="D134">
        <v>22</v>
      </c>
      <c r="E134">
        <v>10</v>
      </c>
      <c r="F134">
        <v>70.37</v>
      </c>
      <c r="G134">
        <v>0</v>
      </c>
      <c r="H134">
        <v>2</v>
      </c>
      <c r="I134">
        <v>0</v>
      </c>
      <c r="J134">
        <v>2</v>
      </c>
      <c r="K134">
        <v>74.23</v>
      </c>
      <c r="L134">
        <v>74.48</v>
      </c>
      <c r="M134">
        <v>72.760000000000005</v>
      </c>
    </row>
    <row r="135" spans="1:13" x14ac:dyDescent="0.2">
      <c r="A135" s="1">
        <v>134</v>
      </c>
      <c r="B135" t="s">
        <v>105</v>
      </c>
      <c r="C135">
        <f xml:space="preserve">  73.99</f>
        <v>73.989999999999995</v>
      </c>
      <c r="D135">
        <v>25</v>
      </c>
      <c r="E135">
        <v>7</v>
      </c>
      <c r="F135">
        <v>65.7</v>
      </c>
      <c r="G135">
        <v>0</v>
      </c>
      <c r="H135">
        <v>1</v>
      </c>
      <c r="I135">
        <v>1</v>
      </c>
      <c r="J135">
        <v>2</v>
      </c>
      <c r="K135">
        <v>73.37</v>
      </c>
      <c r="L135">
        <v>74.38</v>
      </c>
      <c r="M135">
        <v>75.010000000000005</v>
      </c>
    </row>
    <row r="136" spans="1:13" x14ac:dyDescent="0.2">
      <c r="A136" s="1">
        <v>135</v>
      </c>
      <c r="B136" t="s">
        <v>93</v>
      </c>
      <c r="C136">
        <f xml:space="preserve">  73.92</f>
        <v>73.92</v>
      </c>
      <c r="D136">
        <v>16</v>
      </c>
      <c r="E136">
        <v>15</v>
      </c>
      <c r="F136">
        <v>70.62</v>
      </c>
      <c r="G136">
        <v>0</v>
      </c>
      <c r="H136">
        <v>0</v>
      </c>
      <c r="I136">
        <v>0</v>
      </c>
      <c r="J136">
        <v>0</v>
      </c>
      <c r="K136">
        <v>75.099999999999994</v>
      </c>
      <c r="L136">
        <v>73.650000000000006</v>
      </c>
      <c r="M136">
        <v>71.38</v>
      </c>
    </row>
    <row r="137" spans="1:13" x14ac:dyDescent="0.2">
      <c r="A137" s="1">
        <v>136</v>
      </c>
      <c r="B137" t="s">
        <v>816</v>
      </c>
      <c r="C137">
        <f xml:space="preserve">  73.83</f>
        <v>73.83</v>
      </c>
      <c r="D137">
        <v>23</v>
      </c>
      <c r="E137">
        <v>9</v>
      </c>
      <c r="F137">
        <v>67.72</v>
      </c>
      <c r="G137">
        <v>0</v>
      </c>
      <c r="H137">
        <v>1</v>
      </c>
      <c r="I137">
        <v>0</v>
      </c>
      <c r="J137">
        <v>2</v>
      </c>
      <c r="K137">
        <v>73.19</v>
      </c>
      <c r="L137">
        <v>73.91</v>
      </c>
      <c r="M137">
        <v>75.400000000000006</v>
      </c>
    </row>
    <row r="138" spans="1:13" x14ac:dyDescent="0.2">
      <c r="A138" s="1">
        <v>137</v>
      </c>
      <c r="B138" t="s">
        <v>126</v>
      </c>
      <c r="C138">
        <f xml:space="preserve">  73.79</f>
        <v>73.790000000000006</v>
      </c>
      <c r="D138">
        <v>22</v>
      </c>
      <c r="E138">
        <v>12</v>
      </c>
      <c r="F138">
        <v>70.64</v>
      </c>
      <c r="G138">
        <v>0</v>
      </c>
      <c r="H138">
        <v>0</v>
      </c>
      <c r="I138">
        <v>0</v>
      </c>
      <c r="J138">
        <v>1</v>
      </c>
      <c r="K138">
        <v>73.540000000000006</v>
      </c>
      <c r="L138">
        <v>73.92</v>
      </c>
      <c r="M138">
        <v>74.260000000000005</v>
      </c>
    </row>
    <row r="139" spans="1:13" x14ac:dyDescent="0.2">
      <c r="A139" s="1">
        <v>138</v>
      </c>
      <c r="B139" t="s">
        <v>194</v>
      </c>
      <c r="C139">
        <f xml:space="preserve">  73.65</f>
        <v>73.650000000000006</v>
      </c>
      <c r="D139">
        <v>17</v>
      </c>
      <c r="E139">
        <v>15</v>
      </c>
      <c r="F139">
        <v>73.349999999999994</v>
      </c>
      <c r="G139">
        <v>1</v>
      </c>
      <c r="H139">
        <v>1</v>
      </c>
      <c r="I139">
        <v>1</v>
      </c>
      <c r="J139">
        <v>1</v>
      </c>
      <c r="K139">
        <v>73.59</v>
      </c>
      <c r="L139">
        <v>73.39</v>
      </c>
      <c r="M139">
        <v>74.209999999999994</v>
      </c>
    </row>
    <row r="140" spans="1:13" x14ac:dyDescent="0.2">
      <c r="A140" s="1">
        <v>139</v>
      </c>
      <c r="B140" t="s">
        <v>557</v>
      </c>
      <c r="C140">
        <f xml:space="preserve">  73.62</f>
        <v>73.62</v>
      </c>
      <c r="D140">
        <v>22</v>
      </c>
      <c r="E140">
        <v>10</v>
      </c>
      <c r="F140">
        <v>71.040000000000006</v>
      </c>
      <c r="G140">
        <v>0</v>
      </c>
      <c r="H140">
        <v>1</v>
      </c>
      <c r="I140">
        <v>0</v>
      </c>
      <c r="J140">
        <v>4</v>
      </c>
      <c r="K140">
        <v>72.89</v>
      </c>
      <c r="L140">
        <v>73.94</v>
      </c>
      <c r="M140">
        <v>75.040000000000006</v>
      </c>
    </row>
    <row r="141" spans="1:13" x14ac:dyDescent="0.2">
      <c r="A141" s="1">
        <v>140</v>
      </c>
      <c r="B141" t="s">
        <v>157</v>
      </c>
      <c r="C141">
        <v>73.58</v>
      </c>
      <c r="D141">
        <v>16</v>
      </c>
      <c r="E141">
        <v>14</v>
      </c>
      <c r="F141">
        <v>71.81</v>
      </c>
      <c r="G141">
        <v>0</v>
      </c>
      <c r="H141">
        <v>1</v>
      </c>
      <c r="I141">
        <v>0</v>
      </c>
      <c r="J141">
        <v>1</v>
      </c>
      <c r="K141">
        <v>73.91</v>
      </c>
      <c r="L141">
        <v>73.510000000000005</v>
      </c>
      <c r="M141">
        <v>72.84</v>
      </c>
    </row>
    <row r="142" spans="1:13" x14ac:dyDescent="0.2">
      <c r="A142" s="1">
        <v>141</v>
      </c>
      <c r="B142" t="s">
        <v>810</v>
      </c>
      <c r="C142">
        <f xml:space="preserve">  73.28</f>
        <v>73.28</v>
      </c>
      <c r="D142">
        <v>16</v>
      </c>
      <c r="E142">
        <v>16</v>
      </c>
      <c r="F142">
        <v>72.930000000000007</v>
      </c>
      <c r="G142">
        <v>0</v>
      </c>
      <c r="H142">
        <v>0</v>
      </c>
      <c r="I142">
        <v>0</v>
      </c>
      <c r="J142">
        <v>2</v>
      </c>
      <c r="K142">
        <v>73.540000000000006</v>
      </c>
      <c r="L142">
        <v>73.150000000000006</v>
      </c>
      <c r="M142">
        <v>72.819999999999993</v>
      </c>
    </row>
    <row r="143" spans="1:13" x14ac:dyDescent="0.2">
      <c r="A143" s="1">
        <v>142</v>
      </c>
      <c r="B143" t="s">
        <v>890</v>
      </c>
      <c r="C143">
        <f xml:space="preserve">  73.27</f>
        <v>73.27</v>
      </c>
      <c r="D143">
        <v>18</v>
      </c>
      <c r="E143">
        <v>14</v>
      </c>
      <c r="F143">
        <v>71.349999999999994</v>
      </c>
      <c r="G143">
        <v>0</v>
      </c>
      <c r="H143">
        <v>1</v>
      </c>
      <c r="I143">
        <v>0</v>
      </c>
      <c r="J143">
        <v>1</v>
      </c>
      <c r="K143">
        <v>72.81</v>
      </c>
      <c r="L143">
        <v>72.790000000000006</v>
      </c>
      <c r="M143">
        <v>75.3</v>
      </c>
    </row>
    <row r="144" spans="1:13" x14ac:dyDescent="0.2">
      <c r="A144" s="1">
        <v>143</v>
      </c>
      <c r="B144" t="s">
        <v>182</v>
      </c>
      <c r="C144">
        <f xml:space="preserve">  73.26</f>
        <v>73.260000000000005</v>
      </c>
      <c r="D144">
        <v>20</v>
      </c>
      <c r="E144">
        <v>12</v>
      </c>
      <c r="F144">
        <v>68.39</v>
      </c>
      <c r="G144">
        <v>0</v>
      </c>
      <c r="H144">
        <v>2</v>
      </c>
      <c r="I144">
        <v>0</v>
      </c>
      <c r="J144">
        <v>2</v>
      </c>
      <c r="K144">
        <v>73.08</v>
      </c>
      <c r="L144">
        <v>72.930000000000007</v>
      </c>
      <c r="M144">
        <v>74.290000000000006</v>
      </c>
    </row>
    <row r="145" spans="1:13" x14ac:dyDescent="0.2">
      <c r="A145" s="1">
        <v>144</v>
      </c>
      <c r="B145" t="s">
        <v>814</v>
      </c>
      <c r="C145">
        <f xml:space="preserve">  73.17</f>
        <v>73.17</v>
      </c>
      <c r="D145">
        <v>20</v>
      </c>
      <c r="E145">
        <v>13</v>
      </c>
      <c r="F145">
        <v>70.48</v>
      </c>
      <c r="G145">
        <v>0</v>
      </c>
      <c r="H145">
        <v>2</v>
      </c>
      <c r="I145">
        <v>2</v>
      </c>
      <c r="J145">
        <v>2</v>
      </c>
      <c r="K145">
        <v>72.87</v>
      </c>
      <c r="L145">
        <v>72.72</v>
      </c>
      <c r="M145">
        <v>74.67</v>
      </c>
    </row>
    <row r="146" spans="1:13" x14ac:dyDescent="0.2">
      <c r="A146" s="1">
        <v>145</v>
      </c>
      <c r="B146" t="s">
        <v>101</v>
      </c>
      <c r="C146">
        <f xml:space="preserve">  72.74</f>
        <v>72.739999999999995</v>
      </c>
      <c r="D146">
        <v>21</v>
      </c>
      <c r="E146">
        <v>10</v>
      </c>
      <c r="F146">
        <v>68.23</v>
      </c>
      <c r="G146">
        <v>0</v>
      </c>
      <c r="H146">
        <v>0</v>
      </c>
      <c r="I146">
        <v>0</v>
      </c>
      <c r="J146">
        <v>0</v>
      </c>
      <c r="K146">
        <v>72.64</v>
      </c>
      <c r="L146">
        <v>73.36</v>
      </c>
      <c r="M146">
        <v>72</v>
      </c>
    </row>
    <row r="147" spans="1:13" x14ac:dyDescent="0.2">
      <c r="A147" s="1">
        <v>146</v>
      </c>
      <c r="B147" t="s">
        <v>181</v>
      </c>
      <c r="C147">
        <f xml:space="preserve">  72.69</f>
        <v>72.69</v>
      </c>
      <c r="D147">
        <v>17</v>
      </c>
      <c r="E147">
        <v>16</v>
      </c>
      <c r="F147">
        <v>72</v>
      </c>
      <c r="G147">
        <v>0</v>
      </c>
      <c r="H147">
        <v>2</v>
      </c>
      <c r="I147">
        <v>0</v>
      </c>
      <c r="J147">
        <v>2</v>
      </c>
      <c r="K147">
        <v>72.89</v>
      </c>
      <c r="L147">
        <v>72.510000000000005</v>
      </c>
      <c r="M147">
        <v>72.48</v>
      </c>
    </row>
    <row r="148" spans="1:13" x14ac:dyDescent="0.2">
      <c r="A148" s="1">
        <v>147</v>
      </c>
      <c r="B148" t="s">
        <v>238</v>
      </c>
      <c r="C148">
        <f xml:space="preserve">  72.58</f>
        <v>72.58</v>
      </c>
      <c r="D148">
        <v>14</v>
      </c>
      <c r="E148">
        <v>15</v>
      </c>
      <c r="F148">
        <v>73.02</v>
      </c>
      <c r="G148">
        <v>0</v>
      </c>
      <c r="H148">
        <v>2</v>
      </c>
      <c r="I148">
        <v>0</v>
      </c>
      <c r="J148">
        <v>2</v>
      </c>
      <c r="K148">
        <v>72.290000000000006</v>
      </c>
      <c r="L148">
        <v>72.430000000000007</v>
      </c>
      <c r="M148">
        <v>73.599999999999994</v>
      </c>
    </row>
    <row r="149" spans="1:13" x14ac:dyDescent="0.2">
      <c r="A149" s="1">
        <v>148</v>
      </c>
      <c r="B149" t="s">
        <v>89</v>
      </c>
      <c r="C149">
        <f xml:space="preserve">  72.53</f>
        <v>72.53</v>
      </c>
      <c r="D149">
        <v>22</v>
      </c>
      <c r="E149">
        <v>14</v>
      </c>
      <c r="F149">
        <v>68.7</v>
      </c>
      <c r="G149">
        <v>0</v>
      </c>
      <c r="H149">
        <v>1</v>
      </c>
      <c r="I149">
        <v>0</v>
      </c>
      <c r="J149">
        <v>2</v>
      </c>
      <c r="K149">
        <v>72.08</v>
      </c>
      <c r="L149">
        <v>72.22</v>
      </c>
      <c r="M149">
        <v>74.239999999999995</v>
      </c>
    </row>
    <row r="150" spans="1:13" x14ac:dyDescent="0.2">
      <c r="A150" s="1">
        <v>149</v>
      </c>
      <c r="B150" t="s">
        <v>862</v>
      </c>
      <c r="C150">
        <f xml:space="preserve">  72.48</f>
        <v>72.48</v>
      </c>
      <c r="D150">
        <v>18</v>
      </c>
      <c r="E150">
        <v>13</v>
      </c>
      <c r="F150">
        <v>70.08</v>
      </c>
      <c r="G150">
        <v>0</v>
      </c>
      <c r="H150">
        <v>1</v>
      </c>
      <c r="I150">
        <v>0</v>
      </c>
      <c r="J150">
        <v>1</v>
      </c>
      <c r="K150">
        <v>72.39</v>
      </c>
      <c r="L150">
        <v>72.53</v>
      </c>
      <c r="M150">
        <v>72.62</v>
      </c>
    </row>
    <row r="151" spans="1:13" x14ac:dyDescent="0.2">
      <c r="A151" s="1">
        <v>150</v>
      </c>
      <c r="B151" t="s">
        <v>165</v>
      </c>
      <c r="C151">
        <f xml:space="preserve">  72.36</f>
        <v>72.36</v>
      </c>
      <c r="D151">
        <v>14</v>
      </c>
      <c r="E151">
        <v>18</v>
      </c>
      <c r="F151">
        <v>74.88</v>
      </c>
      <c r="G151">
        <v>0</v>
      </c>
      <c r="H151">
        <v>0</v>
      </c>
      <c r="I151">
        <v>1</v>
      </c>
      <c r="J151">
        <v>6</v>
      </c>
      <c r="K151">
        <v>71.92</v>
      </c>
      <c r="L151">
        <v>72.569999999999993</v>
      </c>
      <c r="M151">
        <v>73.2</v>
      </c>
    </row>
    <row r="152" spans="1:13" x14ac:dyDescent="0.2">
      <c r="A152" s="1">
        <v>151</v>
      </c>
      <c r="B152" t="s">
        <v>288</v>
      </c>
      <c r="C152">
        <f xml:space="preserve">  72.31</f>
        <v>72.31</v>
      </c>
      <c r="D152">
        <v>16</v>
      </c>
      <c r="E152">
        <v>14</v>
      </c>
      <c r="F152">
        <v>71.22</v>
      </c>
      <c r="G152">
        <v>0</v>
      </c>
      <c r="H152">
        <v>0</v>
      </c>
      <c r="I152">
        <v>0</v>
      </c>
      <c r="J152">
        <v>4</v>
      </c>
      <c r="K152">
        <v>72.62</v>
      </c>
      <c r="L152">
        <v>72.14</v>
      </c>
      <c r="M152">
        <v>71.78</v>
      </c>
    </row>
    <row r="153" spans="1:13" x14ac:dyDescent="0.2">
      <c r="A153" s="1">
        <v>152</v>
      </c>
      <c r="B153" t="s">
        <v>117</v>
      </c>
      <c r="C153">
        <f xml:space="preserve">  72.3</f>
        <v>72.3</v>
      </c>
      <c r="D153">
        <v>10</v>
      </c>
      <c r="E153">
        <v>21</v>
      </c>
      <c r="F153">
        <v>77.87</v>
      </c>
      <c r="G153">
        <v>0</v>
      </c>
      <c r="H153">
        <v>5</v>
      </c>
      <c r="I153">
        <v>0</v>
      </c>
      <c r="J153">
        <v>7</v>
      </c>
      <c r="K153">
        <v>72.989999999999995</v>
      </c>
      <c r="L153">
        <v>72.28</v>
      </c>
      <c r="M153">
        <v>70.55</v>
      </c>
    </row>
    <row r="154" spans="1:13" x14ac:dyDescent="0.2">
      <c r="A154" s="1">
        <v>153</v>
      </c>
      <c r="B154" t="s">
        <v>205</v>
      </c>
      <c r="C154">
        <f xml:space="preserve">  72.27</f>
        <v>72.27</v>
      </c>
      <c r="D154">
        <v>16</v>
      </c>
      <c r="E154">
        <v>17</v>
      </c>
      <c r="F154">
        <v>73.2</v>
      </c>
      <c r="G154">
        <v>0</v>
      </c>
      <c r="H154">
        <v>0</v>
      </c>
      <c r="I154">
        <v>1</v>
      </c>
      <c r="J154">
        <v>5</v>
      </c>
      <c r="K154">
        <v>72.78</v>
      </c>
      <c r="L154">
        <v>72.62</v>
      </c>
      <c r="M154">
        <v>70.39</v>
      </c>
    </row>
    <row r="155" spans="1:13" x14ac:dyDescent="0.2">
      <c r="A155" s="1">
        <v>154</v>
      </c>
      <c r="B155" t="s">
        <v>192</v>
      </c>
      <c r="C155">
        <f xml:space="preserve">  72.24</f>
        <v>72.239999999999995</v>
      </c>
      <c r="D155">
        <v>18</v>
      </c>
      <c r="E155">
        <v>12</v>
      </c>
      <c r="F155">
        <v>68.19</v>
      </c>
      <c r="G155">
        <v>0</v>
      </c>
      <c r="H155">
        <v>2</v>
      </c>
      <c r="I155">
        <v>0</v>
      </c>
      <c r="J155">
        <v>2</v>
      </c>
      <c r="K155">
        <v>72.45</v>
      </c>
      <c r="L155">
        <v>72.19</v>
      </c>
      <c r="M155">
        <v>71.77</v>
      </c>
    </row>
    <row r="156" spans="1:13" x14ac:dyDescent="0.2">
      <c r="A156" s="1">
        <v>155</v>
      </c>
      <c r="B156" t="s">
        <v>108</v>
      </c>
      <c r="C156">
        <f xml:space="preserve">  72.02</f>
        <v>72.02</v>
      </c>
      <c r="D156">
        <v>18</v>
      </c>
      <c r="E156">
        <v>13</v>
      </c>
      <c r="F156">
        <v>70.72</v>
      </c>
      <c r="G156">
        <v>0</v>
      </c>
      <c r="H156">
        <v>0</v>
      </c>
      <c r="I156">
        <v>0</v>
      </c>
      <c r="J156">
        <v>0</v>
      </c>
      <c r="K156">
        <v>71.7</v>
      </c>
      <c r="L156">
        <v>72.22</v>
      </c>
      <c r="M156">
        <v>72.52</v>
      </c>
    </row>
    <row r="157" spans="1:13" x14ac:dyDescent="0.2">
      <c r="A157" s="1">
        <v>156</v>
      </c>
      <c r="B157" t="s">
        <v>813</v>
      </c>
      <c r="C157">
        <f xml:space="preserve">  71.99</f>
        <v>71.989999999999995</v>
      </c>
      <c r="D157">
        <v>20</v>
      </c>
      <c r="E157">
        <v>14</v>
      </c>
      <c r="F157">
        <v>69.45</v>
      </c>
      <c r="G157">
        <v>0</v>
      </c>
      <c r="H157">
        <v>0</v>
      </c>
      <c r="I157">
        <v>1</v>
      </c>
      <c r="J157">
        <v>0</v>
      </c>
      <c r="K157">
        <v>72</v>
      </c>
      <c r="L157">
        <v>71.83</v>
      </c>
      <c r="M157">
        <v>72.23</v>
      </c>
    </row>
    <row r="158" spans="1:13" x14ac:dyDescent="0.2">
      <c r="A158" s="1">
        <v>157</v>
      </c>
      <c r="B158" t="s">
        <v>553</v>
      </c>
      <c r="C158">
        <v>71.91</v>
      </c>
      <c r="D158">
        <v>22</v>
      </c>
      <c r="E158">
        <v>12</v>
      </c>
      <c r="F158">
        <v>70.2</v>
      </c>
      <c r="G158">
        <v>0</v>
      </c>
      <c r="H158">
        <v>1</v>
      </c>
      <c r="I158">
        <v>1</v>
      </c>
      <c r="J158">
        <v>1</v>
      </c>
      <c r="K158">
        <v>71.17</v>
      </c>
      <c r="L158">
        <v>72.010000000000005</v>
      </c>
      <c r="M158">
        <v>73.72</v>
      </c>
    </row>
    <row r="159" spans="1:13" x14ac:dyDescent="0.2">
      <c r="A159" s="1">
        <v>158</v>
      </c>
      <c r="B159" t="s">
        <v>904</v>
      </c>
      <c r="C159">
        <f xml:space="preserve">  71.87</f>
        <v>71.87</v>
      </c>
      <c r="D159">
        <v>16</v>
      </c>
      <c r="E159">
        <v>14</v>
      </c>
      <c r="F159">
        <v>70.92</v>
      </c>
      <c r="G159">
        <v>0</v>
      </c>
      <c r="H159">
        <v>0</v>
      </c>
      <c r="I159">
        <v>0</v>
      </c>
      <c r="J159">
        <v>0</v>
      </c>
      <c r="K159">
        <v>72.47</v>
      </c>
      <c r="L159">
        <v>71.930000000000007</v>
      </c>
      <c r="M159">
        <v>70.17</v>
      </c>
    </row>
    <row r="160" spans="1:13" x14ac:dyDescent="0.2">
      <c r="A160" s="1">
        <v>159</v>
      </c>
      <c r="B160" t="s">
        <v>211</v>
      </c>
      <c r="C160">
        <f xml:space="preserve">  71.78</f>
        <v>71.78</v>
      </c>
      <c r="D160">
        <v>18</v>
      </c>
      <c r="E160">
        <v>11</v>
      </c>
      <c r="F160">
        <v>67.819999999999993</v>
      </c>
      <c r="G160">
        <v>0</v>
      </c>
      <c r="H160">
        <v>0</v>
      </c>
      <c r="I160">
        <v>0</v>
      </c>
      <c r="J160">
        <v>0</v>
      </c>
      <c r="K160">
        <v>72.010000000000005</v>
      </c>
      <c r="L160">
        <v>71.900000000000006</v>
      </c>
      <c r="M160">
        <v>70.959999999999994</v>
      </c>
    </row>
    <row r="161" spans="1:13" x14ac:dyDescent="0.2">
      <c r="A161" s="1">
        <v>160</v>
      </c>
      <c r="B161" t="s">
        <v>821</v>
      </c>
      <c r="C161">
        <f xml:space="preserve">  71.78</f>
        <v>71.78</v>
      </c>
      <c r="D161">
        <v>14</v>
      </c>
      <c r="E161">
        <v>17</v>
      </c>
      <c r="F161">
        <v>73.63</v>
      </c>
      <c r="G161">
        <v>0</v>
      </c>
      <c r="H161">
        <v>2</v>
      </c>
      <c r="I161">
        <v>0</v>
      </c>
      <c r="J161">
        <v>4</v>
      </c>
      <c r="K161">
        <v>71.650000000000006</v>
      </c>
      <c r="L161">
        <v>72.25</v>
      </c>
      <c r="M161">
        <v>71.33</v>
      </c>
    </row>
    <row r="162" spans="1:13" x14ac:dyDescent="0.2">
      <c r="A162" s="1">
        <v>161</v>
      </c>
      <c r="B162" t="s">
        <v>97</v>
      </c>
      <c r="C162">
        <f xml:space="preserve">  71.62</f>
        <v>71.62</v>
      </c>
      <c r="D162">
        <v>9</v>
      </c>
      <c r="E162">
        <v>22</v>
      </c>
      <c r="F162">
        <v>79.62</v>
      </c>
      <c r="G162">
        <v>0</v>
      </c>
      <c r="H162">
        <v>4</v>
      </c>
      <c r="I162">
        <v>2</v>
      </c>
      <c r="J162">
        <v>12</v>
      </c>
      <c r="K162">
        <v>71.69</v>
      </c>
      <c r="L162">
        <v>71.959999999999994</v>
      </c>
      <c r="M162">
        <v>70.89</v>
      </c>
    </row>
    <row r="163" spans="1:13" x14ac:dyDescent="0.2">
      <c r="A163" s="1">
        <v>162</v>
      </c>
      <c r="B163" t="s">
        <v>243</v>
      </c>
      <c r="C163">
        <f xml:space="preserve">  71.61</f>
        <v>71.61</v>
      </c>
      <c r="D163">
        <v>14</v>
      </c>
      <c r="E163">
        <v>16</v>
      </c>
      <c r="F163">
        <v>71.13</v>
      </c>
      <c r="G163">
        <v>0</v>
      </c>
      <c r="H163">
        <v>0</v>
      </c>
      <c r="I163">
        <v>0</v>
      </c>
      <c r="J163">
        <v>1</v>
      </c>
      <c r="K163">
        <v>71.819999999999993</v>
      </c>
      <c r="L163">
        <v>71.61</v>
      </c>
      <c r="M163">
        <v>71.02</v>
      </c>
    </row>
    <row r="164" spans="1:13" x14ac:dyDescent="0.2">
      <c r="A164" s="1">
        <v>163</v>
      </c>
      <c r="B164" t="s">
        <v>155</v>
      </c>
      <c r="C164">
        <f xml:space="preserve">  71.58</f>
        <v>71.58</v>
      </c>
      <c r="D164">
        <v>20</v>
      </c>
      <c r="E164">
        <v>9</v>
      </c>
      <c r="F164">
        <v>66.75</v>
      </c>
      <c r="G164">
        <v>0</v>
      </c>
      <c r="H164">
        <v>0</v>
      </c>
      <c r="I164">
        <v>0</v>
      </c>
      <c r="J164">
        <v>0</v>
      </c>
      <c r="K164">
        <v>71.09</v>
      </c>
      <c r="L164">
        <v>71.47</v>
      </c>
      <c r="M164">
        <v>73.02</v>
      </c>
    </row>
    <row r="165" spans="1:13" x14ac:dyDescent="0.2">
      <c r="A165" s="1">
        <v>164</v>
      </c>
      <c r="B165" t="s">
        <v>121</v>
      </c>
      <c r="C165">
        <f xml:space="preserve">  71.53</f>
        <v>71.53</v>
      </c>
      <c r="D165">
        <v>16</v>
      </c>
      <c r="E165">
        <v>16</v>
      </c>
      <c r="F165">
        <v>70.989999999999995</v>
      </c>
      <c r="G165">
        <v>0</v>
      </c>
      <c r="H165">
        <v>2</v>
      </c>
      <c r="I165">
        <v>0</v>
      </c>
      <c r="J165">
        <v>2</v>
      </c>
      <c r="K165">
        <v>71.040000000000006</v>
      </c>
      <c r="L165">
        <v>71.38</v>
      </c>
      <c r="M165">
        <v>73.02</v>
      </c>
    </row>
    <row r="166" spans="1:13" x14ac:dyDescent="0.2">
      <c r="A166" s="1">
        <v>165</v>
      </c>
      <c r="B166" t="s">
        <v>297</v>
      </c>
      <c r="C166">
        <f xml:space="preserve">  71.53</f>
        <v>71.53</v>
      </c>
      <c r="D166">
        <v>12</v>
      </c>
      <c r="E166">
        <v>16</v>
      </c>
      <c r="F166">
        <v>72.069999999999993</v>
      </c>
      <c r="G166">
        <v>0</v>
      </c>
      <c r="H166">
        <v>2</v>
      </c>
      <c r="I166">
        <v>1</v>
      </c>
      <c r="J166">
        <v>3</v>
      </c>
      <c r="K166">
        <v>72.08</v>
      </c>
      <c r="L166">
        <v>71.13</v>
      </c>
      <c r="M166">
        <v>70.72</v>
      </c>
    </row>
    <row r="167" spans="1:13" x14ac:dyDescent="0.2">
      <c r="A167" s="1">
        <v>166</v>
      </c>
      <c r="B167" t="s">
        <v>887</v>
      </c>
      <c r="C167">
        <v>71.38</v>
      </c>
      <c r="D167">
        <v>23</v>
      </c>
      <c r="E167">
        <v>8</v>
      </c>
      <c r="F167">
        <v>67.2</v>
      </c>
      <c r="G167">
        <v>0</v>
      </c>
      <c r="H167">
        <v>1</v>
      </c>
      <c r="I167">
        <v>0</v>
      </c>
      <c r="J167">
        <v>3</v>
      </c>
      <c r="K167">
        <v>70.37</v>
      </c>
      <c r="L167">
        <v>71.97</v>
      </c>
      <c r="M167">
        <v>73.08</v>
      </c>
    </row>
    <row r="168" spans="1:13" x14ac:dyDescent="0.2">
      <c r="A168" s="1">
        <v>167</v>
      </c>
      <c r="B168" t="s">
        <v>236</v>
      </c>
      <c r="C168">
        <f xml:space="preserve">  71.34</f>
        <v>71.34</v>
      </c>
      <c r="D168">
        <v>17</v>
      </c>
      <c r="E168">
        <v>13</v>
      </c>
      <c r="F168">
        <v>71.06</v>
      </c>
      <c r="G168">
        <v>0</v>
      </c>
      <c r="H168">
        <v>0</v>
      </c>
      <c r="I168">
        <v>0</v>
      </c>
      <c r="J168">
        <v>0</v>
      </c>
      <c r="K168">
        <v>71.5</v>
      </c>
      <c r="L168">
        <v>71.61</v>
      </c>
      <c r="M168">
        <v>70.459999999999994</v>
      </c>
    </row>
    <row r="169" spans="1:13" x14ac:dyDescent="0.2">
      <c r="A169" s="1">
        <v>168</v>
      </c>
      <c r="B169" t="s">
        <v>176</v>
      </c>
      <c r="C169">
        <f xml:space="preserve">  71.32</f>
        <v>71.319999999999993</v>
      </c>
      <c r="D169">
        <v>17</v>
      </c>
      <c r="E169">
        <v>14</v>
      </c>
      <c r="F169">
        <v>67.39</v>
      </c>
      <c r="G169">
        <v>0</v>
      </c>
      <c r="H169">
        <v>2</v>
      </c>
      <c r="I169">
        <v>0</v>
      </c>
      <c r="J169">
        <v>3</v>
      </c>
      <c r="K169">
        <v>71.22</v>
      </c>
      <c r="L169">
        <v>70.510000000000005</v>
      </c>
      <c r="M169">
        <v>72.89</v>
      </c>
    </row>
    <row r="170" spans="1:13" x14ac:dyDescent="0.2">
      <c r="A170" s="1">
        <v>169</v>
      </c>
      <c r="B170" t="s">
        <v>798</v>
      </c>
      <c r="C170">
        <f xml:space="preserve">  71.21</f>
        <v>71.209999999999994</v>
      </c>
      <c r="D170">
        <v>15</v>
      </c>
      <c r="E170">
        <v>14</v>
      </c>
      <c r="F170">
        <v>69.790000000000006</v>
      </c>
      <c r="G170">
        <v>0</v>
      </c>
      <c r="H170">
        <v>0</v>
      </c>
      <c r="I170">
        <v>0</v>
      </c>
      <c r="J170">
        <v>0</v>
      </c>
      <c r="K170">
        <v>71.28</v>
      </c>
      <c r="L170">
        <v>71.33</v>
      </c>
      <c r="M170">
        <v>70.84</v>
      </c>
    </row>
    <row r="171" spans="1:13" x14ac:dyDescent="0.2">
      <c r="A171" s="1">
        <v>170</v>
      </c>
      <c r="B171" t="s">
        <v>803</v>
      </c>
      <c r="C171">
        <f xml:space="preserve">  71.18</f>
        <v>71.180000000000007</v>
      </c>
      <c r="D171">
        <v>18</v>
      </c>
      <c r="E171">
        <v>13</v>
      </c>
      <c r="F171">
        <v>70.77</v>
      </c>
      <c r="G171">
        <v>0</v>
      </c>
      <c r="H171">
        <v>1</v>
      </c>
      <c r="I171">
        <v>0</v>
      </c>
      <c r="J171">
        <v>2</v>
      </c>
      <c r="K171">
        <v>70.930000000000007</v>
      </c>
      <c r="L171">
        <v>71.95</v>
      </c>
      <c r="M171">
        <v>70.56</v>
      </c>
    </row>
    <row r="172" spans="1:13" x14ac:dyDescent="0.2">
      <c r="A172" s="1">
        <v>171</v>
      </c>
      <c r="B172" t="s">
        <v>92</v>
      </c>
      <c r="C172">
        <f xml:space="preserve">  71.18</f>
        <v>71.180000000000007</v>
      </c>
      <c r="D172">
        <v>12</v>
      </c>
      <c r="E172">
        <v>18</v>
      </c>
      <c r="F172">
        <v>73.680000000000007</v>
      </c>
      <c r="G172">
        <v>0</v>
      </c>
      <c r="H172">
        <v>0</v>
      </c>
      <c r="I172">
        <v>0</v>
      </c>
      <c r="J172">
        <v>3</v>
      </c>
      <c r="K172">
        <v>71.62</v>
      </c>
      <c r="L172">
        <v>71.3</v>
      </c>
      <c r="M172">
        <v>69.81</v>
      </c>
    </row>
    <row r="173" spans="1:13" x14ac:dyDescent="0.2">
      <c r="A173" s="1">
        <v>172</v>
      </c>
      <c r="B173" t="s">
        <v>33</v>
      </c>
      <c r="C173">
        <f xml:space="preserve">  71.07</f>
        <v>71.069999999999993</v>
      </c>
      <c r="D173">
        <v>11</v>
      </c>
      <c r="E173">
        <v>20</v>
      </c>
      <c r="F173">
        <v>78.239999999999995</v>
      </c>
      <c r="G173">
        <v>1</v>
      </c>
      <c r="H173">
        <v>2</v>
      </c>
      <c r="I173">
        <v>1</v>
      </c>
      <c r="J173">
        <v>5</v>
      </c>
      <c r="K173">
        <v>70.94</v>
      </c>
      <c r="L173">
        <v>71.790000000000006</v>
      </c>
      <c r="M173">
        <v>70.23</v>
      </c>
    </row>
    <row r="174" spans="1:13" x14ac:dyDescent="0.2">
      <c r="A174" s="1">
        <v>173</v>
      </c>
      <c r="B174" t="s">
        <v>50</v>
      </c>
      <c r="C174">
        <f xml:space="preserve">  71.03</f>
        <v>71.03</v>
      </c>
      <c r="D174">
        <v>14</v>
      </c>
      <c r="E174">
        <v>17</v>
      </c>
      <c r="F174">
        <v>72.11</v>
      </c>
      <c r="G174">
        <v>0</v>
      </c>
      <c r="H174">
        <v>3</v>
      </c>
      <c r="I174">
        <v>1</v>
      </c>
      <c r="J174">
        <v>4</v>
      </c>
      <c r="K174">
        <v>70.680000000000007</v>
      </c>
      <c r="L174">
        <v>71.19</v>
      </c>
      <c r="M174">
        <v>71.67</v>
      </c>
    </row>
    <row r="175" spans="1:13" x14ac:dyDescent="0.2">
      <c r="A175" s="1">
        <v>174</v>
      </c>
      <c r="B175" t="s">
        <v>252</v>
      </c>
      <c r="C175">
        <f xml:space="preserve">  70.95</f>
        <v>70.95</v>
      </c>
      <c r="D175">
        <v>16</v>
      </c>
      <c r="E175">
        <v>14</v>
      </c>
      <c r="F175">
        <v>67.98</v>
      </c>
      <c r="G175">
        <v>0</v>
      </c>
      <c r="H175">
        <v>0</v>
      </c>
      <c r="I175">
        <v>0</v>
      </c>
      <c r="J175">
        <v>0</v>
      </c>
      <c r="K175">
        <v>71.92</v>
      </c>
      <c r="L175">
        <v>70.489999999999995</v>
      </c>
      <c r="M175">
        <v>69.13</v>
      </c>
    </row>
    <row r="176" spans="1:13" x14ac:dyDescent="0.2">
      <c r="A176" s="1">
        <v>175</v>
      </c>
      <c r="B176" t="s">
        <v>202</v>
      </c>
      <c r="C176">
        <f xml:space="preserve">  70.77</f>
        <v>70.77</v>
      </c>
      <c r="D176">
        <v>14</v>
      </c>
      <c r="E176">
        <v>16</v>
      </c>
      <c r="F176">
        <v>72.5</v>
      </c>
      <c r="G176">
        <v>0</v>
      </c>
      <c r="H176">
        <v>1</v>
      </c>
      <c r="I176">
        <v>0</v>
      </c>
      <c r="J176">
        <v>3</v>
      </c>
      <c r="K176">
        <v>71.03</v>
      </c>
      <c r="L176">
        <v>70.849999999999994</v>
      </c>
      <c r="M176">
        <v>69.97</v>
      </c>
    </row>
    <row r="177" spans="1:13" x14ac:dyDescent="0.2">
      <c r="A177" s="1">
        <v>176</v>
      </c>
      <c r="B177" t="s">
        <v>550</v>
      </c>
      <c r="C177">
        <f xml:space="preserve">  70.71</f>
        <v>70.709999999999994</v>
      </c>
      <c r="D177">
        <v>14</v>
      </c>
      <c r="E177">
        <v>15</v>
      </c>
      <c r="F177">
        <v>71.48</v>
      </c>
      <c r="G177">
        <v>0</v>
      </c>
      <c r="H177">
        <v>0</v>
      </c>
      <c r="I177">
        <v>0</v>
      </c>
      <c r="J177">
        <v>4</v>
      </c>
      <c r="K177">
        <v>70.25</v>
      </c>
      <c r="L177">
        <v>70.73</v>
      </c>
      <c r="M177">
        <v>71.87</v>
      </c>
    </row>
    <row r="178" spans="1:13" x14ac:dyDescent="0.2">
      <c r="A178" s="1">
        <v>177</v>
      </c>
      <c r="B178" t="s">
        <v>159</v>
      </c>
      <c r="C178">
        <f xml:space="preserve">  70.71</f>
        <v>70.709999999999994</v>
      </c>
      <c r="D178">
        <v>18</v>
      </c>
      <c r="E178">
        <v>12</v>
      </c>
      <c r="F178">
        <v>68.040000000000006</v>
      </c>
      <c r="G178">
        <v>0</v>
      </c>
      <c r="H178">
        <v>0</v>
      </c>
      <c r="I178">
        <v>0</v>
      </c>
      <c r="J178">
        <v>0</v>
      </c>
      <c r="K178">
        <v>70.34</v>
      </c>
      <c r="L178">
        <v>70.7</v>
      </c>
      <c r="M178">
        <v>71.66</v>
      </c>
    </row>
    <row r="179" spans="1:13" x14ac:dyDescent="0.2">
      <c r="A179" s="1">
        <v>178</v>
      </c>
      <c r="B179" t="s">
        <v>237</v>
      </c>
      <c r="C179">
        <f xml:space="preserve">  70.48</f>
        <v>70.48</v>
      </c>
      <c r="D179">
        <v>16</v>
      </c>
      <c r="E179">
        <v>15</v>
      </c>
      <c r="F179">
        <v>67.66</v>
      </c>
      <c r="G179">
        <v>0</v>
      </c>
      <c r="H179">
        <v>2</v>
      </c>
      <c r="I179">
        <v>0</v>
      </c>
      <c r="J179">
        <v>3</v>
      </c>
      <c r="K179">
        <v>69.69</v>
      </c>
      <c r="L179">
        <v>69.81</v>
      </c>
      <c r="M179">
        <v>73.61</v>
      </c>
    </row>
    <row r="180" spans="1:13" x14ac:dyDescent="0.2">
      <c r="A180" s="1">
        <v>179</v>
      </c>
      <c r="B180" t="s">
        <v>807</v>
      </c>
      <c r="C180">
        <f xml:space="preserve">  70.46</f>
        <v>70.459999999999994</v>
      </c>
      <c r="D180">
        <v>8</v>
      </c>
      <c r="E180">
        <v>22</v>
      </c>
      <c r="F180">
        <v>78.959999999999994</v>
      </c>
      <c r="G180">
        <v>0</v>
      </c>
      <c r="H180">
        <v>5</v>
      </c>
      <c r="I180">
        <v>0</v>
      </c>
      <c r="J180">
        <v>10</v>
      </c>
      <c r="K180">
        <v>70.67</v>
      </c>
      <c r="L180">
        <v>70.78</v>
      </c>
      <c r="M180">
        <v>69.349999999999994</v>
      </c>
    </row>
    <row r="181" spans="1:13" x14ac:dyDescent="0.2">
      <c r="A181" s="1">
        <v>180</v>
      </c>
      <c r="B181" t="s">
        <v>880</v>
      </c>
      <c r="C181">
        <f xml:space="preserve">  70.46</f>
        <v>70.459999999999994</v>
      </c>
      <c r="D181">
        <v>19</v>
      </c>
      <c r="E181">
        <v>12</v>
      </c>
      <c r="F181">
        <v>67.88</v>
      </c>
      <c r="G181">
        <v>0</v>
      </c>
      <c r="H181">
        <v>1</v>
      </c>
      <c r="I181">
        <v>0</v>
      </c>
      <c r="J181">
        <v>3</v>
      </c>
      <c r="K181">
        <v>70.97</v>
      </c>
      <c r="L181">
        <v>71.28</v>
      </c>
      <c r="M181">
        <v>67.67</v>
      </c>
    </row>
    <row r="182" spans="1:13" x14ac:dyDescent="0.2">
      <c r="A182" s="1">
        <v>181</v>
      </c>
      <c r="B182" t="s">
        <v>874</v>
      </c>
      <c r="C182">
        <v>70.44</v>
      </c>
      <c r="D182">
        <v>12</v>
      </c>
      <c r="E182">
        <v>18</v>
      </c>
      <c r="F182">
        <v>73.930000000000007</v>
      </c>
      <c r="G182">
        <v>0</v>
      </c>
      <c r="H182">
        <v>3</v>
      </c>
      <c r="I182">
        <v>0</v>
      </c>
      <c r="J182">
        <v>5</v>
      </c>
      <c r="K182">
        <v>70.739999999999995</v>
      </c>
      <c r="L182">
        <v>70.8</v>
      </c>
      <c r="M182">
        <v>69.040000000000006</v>
      </c>
    </row>
    <row r="183" spans="1:13" x14ac:dyDescent="0.2">
      <c r="A183" s="1">
        <v>182</v>
      </c>
      <c r="B183" t="s">
        <v>103</v>
      </c>
      <c r="C183">
        <f xml:space="preserve">  70.39</f>
        <v>70.39</v>
      </c>
      <c r="D183">
        <v>8</v>
      </c>
      <c r="E183">
        <v>23</v>
      </c>
      <c r="F183">
        <v>77.55</v>
      </c>
      <c r="G183">
        <v>1</v>
      </c>
      <c r="H183">
        <v>5</v>
      </c>
      <c r="I183">
        <v>1</v>
      </c>
      <c r="J183">
        <v>8</v>
      </c>
      <c r="K183">
        <v>71.430000000000007</v>
      </c>
      <c r="L183">
        <v>70.69</v>
      </c>
      <c r="M183">
        <v>67</v>
      </c>
    </row>
    <row r="184" spans="1:13" x14ac:dyDescent="0.2">
      <c r="A184" s="1">
        <v>183</v>
      </c>
      <c r="B184" t="s">
        <v>245</v>
      </c>
      <c r="C184">
        <f xml:space="preserve">  70.36</f>
        <v>70.36</v>
      </c>
      <c r="D184">
        <v>11</v>
      </c>
      <c r="E184">
        <v>19</v>
      </c>
      <c r="F184">
        <v>72.2</v>
      </c>
      <c r="G184">
        <v>0</v>
      </c>
      <c r="H184">
        <v>0</v>
      </c>
      <c r="I184">
        <v>0</v>
      </c>
      <c r="J184">
        <v>1</v>
      </c>
      <c r="K184">
        <v>70.17</v>
      </c>
      <c r="L184">
        <v>70.06</v>
      </c>
      <c r="M184">
        <v>71.33</v>
      </c>
    </row>
    <row r="185" spans="1:13" x14ac:dyDescent="0.2">
      <c r="A185" s="1">
        <v>184</v>
      </c>
      <c r="B185" t="s">
        <v>836</v>
      </c>
      <c r="C185">
        <f xml:space="preserve">  70.3</f>
        <v>70.3</v>
      </c>
      <c r="D185">
        <v>18</v>
      </c>
      <c r="E185">
        <v>11</v>
      </c>
      <c r="F185">
        <v>67.72</v>
      </c>
      <c r="G185">
        <v>0</v>
      </c>
      <c r="H185">
        <v>0</v>
      </c>
      <c r="I185">
        <v>0</v>
      </c>
      <c r="J185">
        <v>0</v>
      </c>
      <c r="K185">
        <v>70.73</v>
      </c>
      <c r="L185">
        <v>70.09</v>
      </c>
      <c r="M185">
        <v>69.53</v>
      </c>
    </row>
    <row r="186" spans="1:13" x14ac:dyDescent="0.2">
      <c r="A186" s="1">
        <v>185</v>
      </c>
      <c r="B186" t="s">
        <v>160</v>
      </c>
      <c r="C186">
        <f xml:space="preserve">  70.24</f>
        <v>70.239999999999995</v>
      </c>
      <c r="D186">
        <v>12</v>
      </c>
      <c r="E186">
        <v>17</v>
      </c>
      <c r="F186">
        <v>73.25</v>
      </c>
      <c r="G186">
        <v>0</v>
      </c>
      <c r="H186">
        <v>1</v>
      </c>
      <c r="I186">
        <v>0</v>
      </c>
      <c r="J186">
        <v>1</v>
      </c>
      <c r="K186">
        <v>70.42</v>
      </c>
      <c r="L186">
        <v>70.41</v>
      </c>
      <c r="M186">
        <v>69.48</v>
      </c>
    </row>
    <row r="187" spans="1:13" x14ac:dyDescent="0.2">
      <c r="A187" s="1">
        <v>186</v>
      </c>
      <c r="B187" t="s">
        <v>808</v>
      </c>
      <c r="C187">
        <f xml:space="preserve">  70.22</f>
        <v>70.22</v>
      </c>
      <c r="D187">
        <v>14</v>
      </c>
      <c r="E187">
        <v>14</v>
      </c>
      <c r="F187">
        <v>70.56</v>
      </c>
      <c r="G187">
        <v>0</v>
      </c>
      <c r="H187">
        <v>0</v>
      </c>
      <c r="I187">
        <v>0</v>
      </c>
      <c r="J187">
        <v>0</v>
      </c>
      <c r="K187">
        <v>70.37</v>
      </c>
      <c r="L187">
        <v>70.98</v>
      </c>
      <c r="M187">
        <v>68.569999999999993</v>
      </c>
    </row>
    <row r="188" spans="1:13" x14ac:dyDescent="0.2">
      <c r="A188" s="1">
        <v>187</v>
      </c>
      <c r="B188" t="s">
        <v>275</v>
      </c>
      <c r="C188">
        <f xml:space="preserve">  69.72</f>
        <v>69.72</v>
      </c>
      <c r="D188">
        <v>12</v>
      </c>
      <c r="E188">
        <v>20</v>
      </c>
      <c r="F188">
        <v>74.48</v>
      </c>
      <c r="G188">
        <v>0</v>
      </c>
      <c r="H188">
        <v>3</v>
      </c>
      <c r="I188">
        <v>0</v>
      </c>
      <c r="J188">
        <v>7</v>
      </c>
      <c r="K188">
        <v>70.3</v>
      </c>
      <c r="L188">
        <v>69.83</v>
      </c>
      <c r="M188">
        <v>67.97</v>
      </c>
    </row>
    <row r="189" spans="1:13" x14ac:dyDescent="0.2">
      <c r="A189" s="1">
        <v>188</v>
      </c>
      <c r="B189" t="s">
        <v>118</v>
      </c>
      <c r="C189">
        <f xml:space="preserve">  69.7</f>
        <v>69.7</v>
      </c>
      <c r="D189">
        <v>11</v>
      </c>
      <c r="E189">
        <v>21</v>
      </c>
      <c r="F189">
        <v>74.98</v>
      </c>
      <c r="G189">
        <v>0</v>
      </c>
      <c r="H189">
        <v>1</v>
      </c>
      <c r="I189">
        <v>1</v>
      </c>
      <c r="J189">
        <v>5</v>
      </c>
      <c r="K189">
        <v>69.56</v>
      </c>
      <c r="L189">
        <v>69.819999999999993</v>
      </c>
      <c r="M189">
        <v>69.86</v>
      </c>
    </row>
    <row r="190" spans="1:13" x14ac:dyDescent="0.2">
      <c r="A190" s="1">
        <v>189</v>
      </c>
      <c r="B190" t="s">
        <v>47</v>
      </c>
      <c r="C190">
        <f xml:space="preserve">  69.63</f>
        <v>69.63</v>
      </c>
      <c r="D190">
        <v>14</v>
      </c>
      <c r="E190">
        <v>15</v>
      </c>
      <c r="F190">
        <v>70.790000000000006</v>
      </c>
      <c r="G190">
        <v>0</v>
      </c>
      <c r="H190">
        <v>2</v>
      </c>
      <c r="I190">
        <v>0</v>
      </c>
      <c r="J190">
        <v>6</v>
      </c>
      <c r="K190">
        <v>69.33</v>
      </c>
      <c r="L190">
        <v>70.069999999999993</v>
      </c>
      <c r="M190">
        <v>69.66</v>
      </c>
    </row>
    <row r="191" spans="1:13" x14ac:dyDescent="0.2">
      <c r="A191" s="1">
        <v>190</v>
      </c>
      <c r="B191" t="s">
        <v>95</v>
      </c>
      <c r="C191">
        <f xml:space="preserve">  69.61</f>
        <v>69.61</v>
      </c>
      <c r="D191">
        <v>17</v>
      </c>
      <c r="E191">
        <v>16</v>
      </c>
      <c r="F191">
        <v>68.67</v>
      </c>
      <c r="G191">
        <v>0</v>
      </c>
      <c r="H191">
        <v>1</v>
      </c>
      <c r="I191">
        <v>0</v>
      </c>
      <c r="J191">
        <v>1</v>
      </c>
      <c r="K191">
        <v>69.72</v>
      </c>
      <c r="L191">
        <v>69.08</v>
      </c>
      <c r="M191">
        <v>70.17</v>
      </c>
    </row>
    <row r="192" spans="1:13" x14ac:dyDescent="0.2">
      <c r="A192" s="1">
        <v>191</v>
      </c>
      <c r="B192" t="s">
        <v>241</v>
      </c>
      <c r="C192">
        <f xml:space="preserve">  69.44</f>
        <v>69.44</v>
      </c>
      <c r="D192">
        <v>16</v>
      </c>
      <c r="E192">
        <v>15</v>
      </c>
      <c r="F192">
        <v>69.27</v>
      </c>
      <c r="G192">
        <v>0</v>
      </c>
      <c r="H192">
        <v>0</v>
      </c>
      <c r="I192">
        <v>0</v>
      </c>
      <c r="J192">
        <v>0</v>
      </c>
      <c r="K192">
        <v>69.09</v>
      </c>
      <c r="L192">
        <v>69.040000000000006</v>
      </c>
      <c r="M192">
        <v>70.97</v>
      </c>
    </row>
    <row r="193" spans="1:13" x14ac:dyDescent="0.2">
      <c r="A193" s="1">
        <v>192</v>
      </c>
      <c r="B193" t="s">
        <v>166</v>
      </c>
      <c r="C193">
        <f xml:space="preserve">  69.33</f>
        <v>69.33</v>
      </c>
      <c r="D193">
        <v>22</v>
      </c>
      <c r="E193">
        <v>11</v>
      </c>
      <c r="F193">
        <v>63.75</v>
      </c>
      <c r="G193">
        <v>0</v>
      </c>
      <c r="H193">
        <v>0</v>
      </c>
      <c r="I193">
        <v>0</v>
      </c>
      <c r="J193">
        <v>2</v>
      </c>
      <c r="K193">
        <v>69.150000000000006</v>
      </c>
      <c r="L193">
        <v>69.099999999999994</v>
      </c>
      <c r="M193">
        <v>70.19</v>
      </c>
    </row>
    <row r="194" spans="1:13" x14ac:dyDescent="0.2">
      <c r="A194" s="1">
        <v>193</v>
      </c>
      <c r="B194" t="s">
        <v>123</v>
      </c>
      <c r="C194">
        <f xml:space="preserve">  69.33</f>
        <v>69.33</v>
      </c>
      <c r="D194">
        <v>13</v>
      </c>
      <c r="E194">
        <v>17</v>
      </c>
      <c r="F194">
        <v>70.27</v>
      </c>
      <c r="G194">
        <v>0</v>
      </c>
      <c r="H194">
        <v>1</v>
      </c>
      <c r="I194">
        <v>0</v>
      </c>
      <c r="J194">
        <v>3</v>
      </c>
      <c r="K194">
        <v>69.3</v>
      </c>
      <c r="L194">
        <v>69.16</v>
      </c>
      <c r="M194">
        <v>69.69</v>
      </c>
    </row>
    <row r="195" spans="1:13" x14ac:dyDescent="0.2">
      <c r="A195" s="1">
        <v>194</v>
      </c>
      <c r="B195" t="s">
        <v>177</v>
      </c>
      <c r="C195">
        <f xml:space="preserve">  69.33</f>
        <v>69.33</v>
      </c>
      <c r="D195">
        <v>11</v>
      </c>
      <c r="E195">
        <v>20</v>
      </c>
      <c r="F195">
        <v>71.760000000000005</v>
      </c>
      <c r="G195">
        <v>0</v>
      </c>
      <c r="H195">
        <v>3</v>
      </c>
      <c r="I195">
        <v>1</v>
      </c>
      <c r="J195">
        <v>6</v>
      </c>
      <c r="K195">
        <v>69.87</v>
      </c>
      <c r="L195">
        <v>69.19</v>
      </c>
      <c r="M195">
        <v>68.069999999999993</v>
      </c>
    </row>
    <row r="196" spans="1:13" x14ac:dyDescent="0.2">
      <c r="A196" s="1">
        <v>195</v>
      </c>
      <c r="B196" t="s">
        <v>188</v>
      </c>
      <c r="C196">
        <f xml:space="preserve">  69.31</f>
        <v>69.31</v>
      </c>
      <c r="D196">
        <v>19</v>
      </c>
      <c r="E196">
        <v>14</v>
      </c>
      <c r="F196">
        <v>69.22</v>
      </c>
      <c r="G196">
        <v>0</v>
      </c>
      <c r="H196">
        <v>1</v>
      </c>
      <c r="I196">
        <v>0</v>
      </c>
      <c r="J196">
        <v>1</v>
      </c>
      <c r="K196">
        <v>69.040000000000006</v>
      </c>
      <c r="L196">
        <v>69.52</v>
      </c>
      <c r="M196">
        <v>69.680000000000007</v>
      </c>
    </row>
    <row r="197" spans="1:13" x14ac:dyDescent="0.2">
      <c r="A197" s="1">
        <v>196</v>
      </c>
      <c r="B197" t="s">
        <v>220</v>
      </c>
      <c r="C197">
        <f xml:space="preserve">  69.2</f>
        <v>69.2</v>
      </c>
      <c r="D197">
        <v>17</v>
      </c>
      <c r="E197">
        <v>12</v>
      </c>
      <c r="F197">
        <v>69.23</v>
      </c>
      <c r="G197">
        <v>0</v>
      </c>
      <c r="H197">
        <v>1</v>
      </c>
      <c r="I197">
        <v>0</v>
      </c>
      <c r="J197">
        <v>1</v>
      </c>
      <c r="K197">
        <v>69.41</v>
      </c>
      <c r="L197">
        <v>69.64</v>
      </c>
      <c r="M197">
        <v>67.930000000000007</v>
      </c>
    </row>
    <row r="198" spans="1:13" x14ac:dyDescent="0.2">
      <c r="A198" s="1">
        <v>197</v>
      </c>
      <c r="B198" t="s">
        <v>110</v>
      </c>
      <c r="C198">
        <f xml:space="preserve">  69.18</f>
        <v>69.180000000000007</v>
      </c>
      <c r="D198">
        <v>12</v>
      </c>
      <c r="E198">
        <v>22</v>
      </c>
      <c r="F198">
        <v>74.55</v>
      </c>
      <c r="G198">
        <v>0</v>
      </c>
      <c r="H198">
        <v>5</v>
      </c>
      <c r="I198">
        <v>0</v>
      </c>
      <c r="J198">
        <v>7</v>
      </c>
      <c r="K198">
        <v>69.64</v>
      </c>
      <c r="L198">
        <v>68.86</v>
      </c>
      <c r="M198">
        <v>68.5</v>
      </c>
    </row>
    <row r="199" spans="1:13" x14ac:dyDescent="0.2">
      <c r="A199" s="1">
        <v>198</v>
      </c>
      <c r="B199" t="s">
        <v>299</v>
      </c>
      <c r="C199">
        <f xml:space="preserve">  69.12</f>
        <v>69.12</v>
      </c>
      <c r="D199">
        <v>18</v>
      </c>
      <c r="E199">
        <v>15</v>
      </c>
      <c r="F199">
        <v>65.86</v>
      </c>
      <c r="G199">
        <v>0</v>
      </c>
      <c r="H199">
        <v>1</v>
      </c>
      <c r="I199">
        <v>0</v>
      </c>
      <c r="J199">
        <v>4</v>
      </c>
      <c r="K199">
        <v>69.48</v>
      </c>
      <c r="L199">
        <v>68.94</v>
      </c>
      <c r="M199">
        <v>68.48</v>
      </c>
    </row>
    <row r="200" spans="1:13" x14ac:dyDescent="0.2">
      <c r="A200" s="1">
        <v>199</v>
      </c>
      <c r="B200" t="s">
        <v>199</v>
      </c>
      <c r="C200">
        <f xml:space="preserve">  69.07</f>
        <v>69.069999999999993</v>
      </c>
      <c r="D200">
        <v>14</v>
      </c>
      <c r="E200">
        <v>16</v>
      </c>
      <c r="F200">
        <v>68.319999999999993</v>
      </c>
      <c r="G200">
        <v>0</v>
      </c>
      <c r="H200">
        <v>2</v>
      </c>
      <c r="I200">
        <v>0</v>
      </c>
      <c r="J200">
        <v>2</v>
      </c>
      <c r="K200">
        <v>69.08</v>
      </c>
      <c r="L200">
        <v>69.12</v>
      </c>
      <c r="M200">
        <v>68.930000000000007</v>
      </c>
    </row>
    <row r="201" spans="1:13" x14ac:dyDescent="0.2">
      <c r="A201" s="1">
        <v>200</v>
      </c>
      <c r="B201" t="s">
        <v>282</v>
      </c>
      <c r="C201">
        <f xml:space="preserve">  69.04</f>
        <v>69.040000000000006</v>
      </c>
      <c r="D201">
        <v>17</v>
      </c>
      <c r="E201">
        <v>15</v>
      </c>
      <c r="F201">
        <v>68.47</v>
      </c>
      <c r="G201">
        <v>0</v>
      </c>
      <c r="H201">
        <v>0</v>
      </c>
      <c r="I201">
        <v>0</v>
      </c>
      <c r="J201">
        <v>0</v>
      </c>
      <c r="K201">
        <v>69.72</v>
      </c>
      <c r="L201">
        <v>69.55</v>
      </c>
      <c r="M201">
        <v>66.22</v>
      </c>
    </row>
    <row r="202" spans="1:13" x14ac:dyDescent="0.2">
      <c r="A202" s="1">
        <v>201</v>
      </c>
      <c r="B202" t="s">
        <v>285</v>
      </c>
      <c r="C202">
        <f xml:space="preserve">  69.02</f>
        <v>69.02</v>
      </c>
      <c r="D202">
        <v>14</v>
      </c>
      <c r="E202">
        <v>19</v>
      </c>
      <c r="F202">
        <v>70.239999999999995</v>
      </c>
      <c r="G202">
        <v>0</v>
      </c>
      <c r="H202">
        <v>1</v>
      </c>
      <c r="I202">
        <v>0</v>
      </c>
      <c r="J202">
        <v>3</v>
      </c>
      <c r="K202">
        <v>68.84</v>
      </c>
      <c r="L202">
        <v>68.77</v>
      </c>
      <c r="M202">
        <v>69.88</v>
      </c>
    </row>
    <row r="203" spans="1:13" x14ac:dyDescent="0.2">
      <c r="A203" s="1">
        <v>202</v>
      </c>
      <c r="B203" t="s">
        <v>163</v>
      </c>
      <c r="C203">
        <f xml:space="preserve">  68.97</f>
        <v>68.97</v>
      </c>
      <c r="D203">
        <v>18</v>
      </c>
      <c r="E203">
        <v>14</v>
      </c>
      <c r="F203">
        <v>67.319999999999993</v>
      </c>
      <c r="G203">
        <v>0</v>
      </c>
      <c r="H203">
        <v>0</v>
      </c>
      <c r="I203">
        <v>0</v>
      </c>
      <c r="J203">
        <v>0</v>
      </c>
      <c r="K203">
        <v>68.5</v>
      </c>
      <c r="L203">
        <v>69.17</v>
      </c>
      <c r="M203">
        <v>69.83</v>
      </c>
    </row>
    <row r="204" spans="1:13" x14ac:dyDescent="0.2">
      <c r="A204" s="1">
        <v>203</v>
      </c>
      <c r="B204" t="s">
        <v>172</v>
      </c>
      <c r="C204">
        <f xml:space="preserve">  68.81</f>
        <v>68.81</v>
      </c>
      <c r="D204">
        <v>13</v>
      </c>
      <c r="E204">
        <v>17</v>
      </c>
      <c r="F204">
        <v>72.540000000000006</v>
      </c>
      <c r="G204">
        <v>0</v>
      </c>
      <c r="H204">
        <v>2</v>
      </c>
      <c r="I204">
        <v>0</v>
      </c>
      <c r="J204">
        <v>7</v>
      </c>
      <c r="K204">
        <v>68.540000000000006</v>
      </c>
      <c r="L204">
        <v>68.650000000000006</v>
      </c>
      <c r="M204">
        <v>69.760000000000005</v>
      </c>
    </row>
    <row r="205" spans="1:13" x14ac:dyDescent="0.2">
      <c r="A205" s="1">
        <v>204</v>
      </c>
      <c r="B205" t="s">
        <v>882</v>
      </c>
      <c r="C205">
        <v>68.72</v>
      </c>
      <c r="D205">
        <v>19</v>
      </c>
      <c r="E205">
        <v>15</v>
      </c>
      <c r="F205">
        <v>67.7</v>
      </c>
      <c r="G205">
        <v>0</v>
      </c>
      <c r="H205">
        <v>1</v>
      </c>
      <c r="I205">
        <v>0</v>
      </c>
      <c r="J205">
        <v>2</v>
      </c>
      <c r="K205">
        <v>68.66</v>
      </c>
      <c r="L205">
        <v>68.88</v>
      </c>
      <c r="M205">
        <v>68.61</v>
      </c>
    </row>
    <row r="206" spans="1:13" x14ac:dyDescent="0.2">
      <c r="A206" s="1">
        <v>205</v>
      </c>
      <c r="B206" t="s">
        <v>850</v>
      </c>
      <c r="C206">
        <f xml:space="preserve">  68.66</f>
        <v>68.66</v>
      </c>
      <c r="D206">
        <v>8</v>
      </c>
      <c r="E206">
        <v>20</v>
      </c>
      <c r="F206">
        <v>73.67</v>
      </c>
      <c r="G206">
        <v>0</v>
      </c>
      <c r="H206">
        <v>1</v>
      </c>
      <c r="I206">
        <v>0</v>
      </c>
      <c r="J206">
        <v>3</v>
      </c>
      <c r="K206">
        <v>69.34</v>
      </c>
      <c r="L206">
        <v>68.819999999999993</v>
      </c>
      <c r="M206">
        <v>66.47</v>
      </c>
    </row>
    <row r="207" spans="1:13" x14ac:dyDescent="0.2">
      <c r="A207" s="1">
        <v>206</v>
      </c>
      <c r="B207" t="s">
        <v>55</v>
      </c>
      <c r="C207">
        <f xml:space="preserve">  68.64</f>
        <v>68.64</v>
      </c>
      <c r="D207">
        <v>7</v>
      </c>
      <c r="E207">
        <v>24</v>
      </c>
      <c r="F207">
        <v>79.13</v>
      </c>
      <c r="G207">
        <v>0</v>
      </c>
      <c r="H207">
        <v>5</v>
      </c>
      <c r="I207">
        <v>1</v>
      </c>
      <c r="J207">
        <v>14</v>
      </c>
      <c r="K207">
        <v>68.87</v>
      </c>
      <c r="L207">
        <v>68.819999999999993</v>
      </c>
      <c r="M207">
        <v>67.709999999999994</v>
      </c>
    </row>
    <row r="208" spans="1:13" x14ac:dyDescent="0.2">
      <c r="A208" s="1">
        <v>207</v>
      </c>
      <c r="B208" t="s">
        <v>265</v>
      </c>
      <c r="C208">
        <f xml:space="preserve">  68.61</f>
        <v>68.61</v>
      </c>
      <c r="D208">
        <v>14</v>
      </c>
      <c r="E208">
        <v>16</v>
      </c>
      <c r="F208">
        <v>67.790000000000006</v>
      </c>
      <c r="G208">
        <v>0</v>
      </c>
      <c r="H208">
        <v>0</v>
      </c>
      <c r="I208">
        <v>0</v>
      </c>
      <c r="J208">
        <v>1</v>
      </c>
      <c r="K208">
        <v>68.95</v>
      </c>
      <c r="L208">
        <v>68.099999999999994</v>
      </c>
      <c r="M208">
        <v>68.510000000000005</v>
      </c>
    </row>
    <row r="209" spans="1:13" x14ac:dyDescent="0.2">
      <c r="A209" s="1">
        <v>208</v>
      </c>
      <c r="B209" t="s">
        <v>184</v>
      </c>
      <c r="C209">
        <f xml:space="preserve">  68.57</f>
        <v>68.569999999999993</v>
      </c>
      <c r="D209">
        <v>16</v>
      </c>
      <c r="E209">
        <v>16</v>
      </c>
      <c r="F209">
        <v>67.33</v>
      </c>
      <c r="G209">
        <v>0</v>
      </c>
      <c r="H209">
        <v>0</v>
      </c>
      <c r="I209">
        <v>0</v>
      </c>
      <c r="J209">
        <v>1</v>
      </c>
      <c r="K209">
        <v>68.91</v>
      </c>
      <c r="L209">
        <v>68.55</v>
      </c>
      <c r="M209">
        <v>67.67</v>
      </c>
    </row>
    <row r="210" spans="1:13" x14ac:dyDescent="0.2">
      <c r="A210" s="1">
        <v>209</v>
      </c>
      <c r="B210" t="s">
        <v>127</v>
      </c>
      <c r="C210">
        <f xml:space="preserve">  68.56</f>
        <v>68.56</v>
      </c>
      <c r="D210">
        <v>14</v>
      </c>
      <c r="E210">
        <v>16</v>
      </c>
      <c r="F210">
        <v>68.430000000000007</v>
      </c>
      <c r="G210">
        <v>0</v>
      </c>
      <c r="H210">
        <v>0</v>
      </c>
      <c r="I210">
        <v>0</v>
      </c>
      <c r="J210">
        <v>2</v>
      </c>
      <c r="K210">
        <v>68.3</v>
      </c>
      <c r="L210">
        <v>68.239999999999995</v>
      </c>
      <c r="M210">
        <v>69.72</v>
      </c>
    </row>
    <row r="211" spans="1:13" x14ac:dyDescent="0.2">
      <c r="A211" s="1">
        <v>210</v>
      </c>
      <c r="B211" t="s">
        <v>226</v>
      </c>
      <c r="C211">
        <f xml:space="preserve">  68.51</f>
        <v>68.510000000000005</v>
      </c>
      <c r="D211">
        <v>13</v>
      </c>
      <c r="E211">
        <v>18</v>
      </c>
      <c r="F211">
        <v>71.59</v>
      </c>
      <c r="G211">
        <v>0</v>
      </c>
      <c r="H211">
        <v>0</v>
      </c>
      <c r="I211">
        <v>0</v>
      </c>
      <c r="J211">
        <v>2</v>
      </c>
      <c r="K211">
        <v>67.930000000000007</v>
      </c>
      <c r="L211">
        <v>67.989999999999995</v>
      </c>
      <c r="M211">
        <v>70.78</v>
      </c>
    </row>
    <row r="212" spans="1:13" x14ac:dyDescent="0.2">
      <c r="A212" s="1">
        <v>211</v>
      </c>
      <c r="B212" t="s">
        <v>891</v>
      </c>
      <c r="C212">
        <f xml:space="preserve">  68.49</f>
        <v>68.489999999999995</v>
      </c>
      <c r="D212">
        <v>18</v>
      </c>
      <c r="E212">
        <v>15</v>
      </c>
      <c r="F212">
        <v>68.42</v>
      </c>
      <c r="G212">
        <v>0</v>
      </c>
      <c r="H212">
        <v>0</v>
      </c>
      <c r="I212">
        <v>0</v>
      </c>
      <c r="J212">
        <v>0</v>
      </c>
      <c r="K212">
        <v>67.790000000000006</v>
      </c>
      <c r="L212">
        <v>68.37</v>
      </c>
      <c r="M212">
        <v>70.42</v>
      </c>
    </row>
    <row r="213" spans="1:13" x14ac:dyDescent="0.2">
      <c r="A213" s="1">
        <v>212</v>
      </c>
      <c r="B213" t="s">
        <v>74</v>
      </c>
      <c r="C213">
        <f xml:space="preserve">  68.42</f>
        <v>68.42</v>
      </c>
      <c r="D213">
        <v>11</v>
      </c>
      <c r="E213">
        <v>21</v>
      </c>
      <c r="F213">
        <v>74.239999999999995</v>
      </c>
      <c r="G213">
        <v>0</v>
      </c>
      <c r="H213">
        <v>2</v>
      </c>
      <c r="I213">
        <v>1</v>
      </c>
      <c r="J213">
        <v>6</v>
      </c>
      <c r="K213">
        <v>68.02</v>
      </c>
      <c r="L213">
        <v>68.489999999999995</v>
      </c>
      <c r="M213">
        <v>69.349999999999994</v>
      </c>
    </row>
    <row r="214" spans="1:13" x14ac:dyDescent="0.2">
      <c r="A214" s="1">
        <v>213</v>
      </c>
      <c r="B214" t="s">
        <v>122</v>
      </c>
      <c r="C214">
        <f xml:space="preserve">  68.32</f>
        <v>68.319999999999993</v>
      </c>
      <c r="D214">
        <v>7</v>
      </c>
      <c r="E214">
        <v>25</v>
      </c>
      <c r="F214">
        <v>79.510000000000005</v>
      </c>
      <c r="G214">
        <v>0</v>
      </c>
      <c r="H214">
        <v>7</v>
      </c>
      <c r="I214">
        <v>0</v>
      </c>
      <c r="J214">
        <v>16</v>
      </c>
      <c r="K214">
        <v>68.87</v>
      </c>
      <c r="L214">
        <v>68.47</v>
      </c>
      <c r="M214">
        <v>66.53</v>
      </c>
    </row>
    <row r="215" spans="1:13" x14ac:dyDescent="0.2">
      <c r="A215" s="1">
        <v>214</v>
      </c>
      <c r="B215" t="s">
        <v>860</v>
      </c>
      <c r="C215">
        <f xml:space="preserve">  68.19</f>
        <v>68.19</v>
      </c>
      <c r="D215">
        <v>12</v>
      </c>
      <c r="E215">
        <v>19</v>
      </c>
      <c r="F215">
        <v>73.819999999999993</v>
      </c>
      <c r="G215">
        <v>0</v>
      </c>
      <c r="H215">
        <v>2</v>
      </c>
      <c r="I215">
        <v>0</v>
      </c>
      <c r="J215">
        <v>4</v>
      </c>
      <c r="K215">
        <v>67.98</v>
      </c>
      <c r="L215">
        <v>68.33</v>
      </c>
      <c r="M215">
        <v>68.5</v>
      </c>
    </row>
    <row r="216" spans="1:13" x14ac:dyDescent="0.2">
      <c r="A216" s="1">
        <v>215</v>
      </c>
      <c r="B216" t="s">
        <v>283</v>
      </c>
      <c r="C216">
        <f xml:space="preserve">  68.11</f>
        <v>68.11</v>
      </c>
      <c r="D216">
        <v>18</v>
      </c>
      <c r="E216">
        <v>14</v>
      </c>
      <c r="F216">
        <v>66.569999999999993</v>
      </c>
      <c r="G216">
        <v>0</v>
      </c>
      <c r="H216">
        <v>1</v>
      </c>
      <c r="I216">
        <v>0</v>
      </c>
      <c r="J216">
        <v>2</v>
      </c>
      <c r="K216">
        <v>68.67</v>
      </c>
      <c r="L216">
        <v>68.5</v>
      </c>
      <c r="M216">
        <v>65.819999999999993</v>
      </c>
    </row>
    <row r="217" spans="1:13" x14ac:dyDescent="0.2">
      <c r="A217" s="1">
        <v>216</v>
      </c>
      <c r="B217" t="s">
        <v>218</v>
      </c>
      <c r="C217">
        <f xml:space="preserve">  68.08</f>
        <v>68.08</v>
      </c>
      <c r="D217">
        <v>6</v>
      </c>
      <c r="E217">
        <v>20</v>
      </c>
      <c r="F217">
        <v>73.91</v>
      </c>
      <c r="G217">
        <v>0</v>
      </c>
      <c r="H217">
        <v>3</v>
      </c>
      <c r="I217">
        <v>1</v>
      </c>
      <c r="J217">
        <v>6</v>
      </c>
      <c r="K217">
        <v>68.7</v>
      </c>
      <c r="L217">
        <v>67.66</v>
      </c>
      <c r="M217">
        <v>67.069999999999993</v>
      </c>
    </row>
    <row r="218" spans="1:13" x14ac:dyDescent="0.2">
      <c r="A218" s="1">
        <v>217</v>
      </c>
      <c r="B218" t="s">
        <v>257</v>
      </c>
      <c r="C218">
        <f xml:space="preserve">  68.07</f>
        <v>68.069999999999993</v>
      </c>
      <c r="D218">
        <v>19</v>
      </c>
      <c r="E218">
        <v>13</v>
      </c>
      <c r="F218">
        <v>67.069999999999993</v>
      </c>
      <c r="G218">
        <v>0</v>
      </c>
      <c r="H218">
        <v>0</v>
      </c>
      <c r="I218">
        <v>0</v>
      </c>
      <c r="J218">
        <v>1</v>
      </c>
      <c r="K218">
        <v>67.62</v>
      </c>
      <c r="L218">
        <v>68.39</v>
      </c>
      <c r="M218">
        <v>68.709999999999994</v>
      </c>
    </row>
    <row r="219" spans="1:13" x14ac:dyDescent="0.2">
      <c r="A219" s="1">
        <v>218</v>
      </c>
      <c r="B219" t="s">
        <v>195</v>
      </c>
      <c r="C219">
        <f xml:space="preserve">  68.02</f>
        <v>68.02</v>
      </c>
      <c r="D219">
        <v>13</v>
      </c>
      <c r="E219">
        <v>20</v>
      </c>
      <c r="F219">
        <v>69.19</v>
      </c>
      <c r="G219">
        <v>0</v>
      </c>
      <c r="H219">
        <v>1</v>
      </c>
      <c r="I219">
        <v>0</v>
      </c>
      <c r="J219">
        <v>2</v>
      </c>
      <c r="K219">
        <v>68.42</v>
      </c>
      <c r="L219">
        <v>67.87</v>
      </c>
      <c r="M219">
        <v>67.17</v>
      </c>
    </row>
    <row r="220" spans="1:13" x14ac:dyDescent="0.2">
      <c r="A220" s="1">
        <v>219</v>
      </c>
      <c r="B220" t="s">
        <v>894</v>
      </c>
      <c r="C220">
        <f xml:space="preserve">  67.76</f>
        <v>67.760000000000005</v>
      </c>
      <c r="D220">
        <v>18</v>
      </c>
      <c r="E220">
        <v>15</v>
      </c>
      <c r="F220">
        <v>67.58</v>
      </c>
      <c r="G220">
        <v>0</v>
      </c>
      <c r="H220">
        <v>1</v>
      </c>
      <c r="I220">
        <v>0</v>
      </c>
      <c r="J220">
        <v>1</v>
      </c>
      <c r="K220">
        <v>67.61</v>
      </c>
      <c r="L220">
        <v>68.069999999999993</v>
      </c>
      <c r="M220">
        <v>67.62</v>
      </c>
    </row>
    <row r="221" spans="1:13" x14ac:dyDescent="0.2">
      <c r="A221" s="1">
        <v>220</v>
      </c>
      <c r="B221" t="s">
        <v>837</v>
      </c>
      <c r="C221">
        <f xml:space="preserve">  67.71</f>
        <v>67.709999999999994</v>
      </c>
      <c r="D221">
        <v>15</v>
      </c>
      <c r="E221">
        <v>15</v>
      </c>
      <c r="F221">
        <v>66.36</v>
      </c>
      <c r="G221">
        <v>0</v>
      </c>
      <c r="H221">
        <v>1</v>
      </c>
      <c r="I221">
        <v>0</v>
      </c>
      <c r="J221">
        <v>2</v>
      </c>
      <c r="K221">
        <v>67.7</v>
      </c>
      <c r="L221">
        <v>67.75</v>
      </c>
      <c r="M221">
        <v>67.66</v>
      </c>
    </row>
    <row r="222" spans="1:13" x14ac:dyDescent="0.2">
      <c r="A222" s="1">
        <v>221</v>
      </c>
      <c r="B222" t="s">
        <v>88</v>
      </c>
      <c r="C222">
        <f xml:space="preserve">  67.68</f>
        <v>67.680000000000007</v>
      </c>
      <c r="D222">
        <v>10</v>
      </c>
      <c r="E222">
        <v>20</v>
      </c>
      <c r="F222">
        <v>73.239999999999995</v>
      </c>
      <c r="G222">
        <v>0</v>
      </c>
      <c r="H222">
        <v>3</v>
      </c>
      <c r="I222">
        <v>0</v>
      </c>
      <c r="J222">
        <v>8</v>
      </c>
      <c r="K222">
        <v>67.39</v>
      </c>
      <c r="L222">
        <v>67.67</v>
      </c>
      <c r="M222">
        <v>68.459999999999994</v>
      </c>
    </row>
    <row r="223" spans="1:13" x14ac:dyDescent="0.2">
      <c r="A223" s="1">
        <v>222</v>
      </c>
      <c r="B223" t="s">
        <v>861</v>
      </c>
      <c r="C223">
        <f xml:space="preserve">  67.67</f>
        <v>67.67</v>
      </c>
      <c r="D223">
        <v>13</v>
      </c>
      <c r="E223">
        <v>16</v>
      </c>
      <c r="F223">
        <v>69.099999999999994</v>
      </c>
      <c r="G223">
        <v>0</v>
      </c>
      <c r="H223">
        <v>0</v>
      </c>
      <c r="I223">
        <v>0</v>
      </c>
      <c r="J223">
        <v>0</v>
      </c>
      <c r="K223">
        <v>67.75</v>
      </c>
      <c r="L223">
        <v>67.23</v>
      </c>
      <c r="M223">
        <v>68.180000000000007</v>
      </c>
    </row>
    <row r="224" spans="1:13" x14ac:dyDescent="0.2">
      <c r="A224" s="1">
        <v>223</v>
      </c>
      <c r="B224" t="s">
        <v>228</v>
      </c>
      <c r="C224">
        <f xml:space="preserve">  67.67</f>
        <v>67.67</v>
      </c>
      <c r="D224">
        <v>16</v>
      </c>
      <c r="E224">
        <v>18</v>
      </c>
      <c r="F224">
        <v>69.47</v>
      </c>
      <c r="G224">
        <v>0</v>
      </c>
      <c r="H224">
        <v>2</v>
      </c>
      <c r="I224">
        <v>0</v>
      </c>
      <c r="J224">
        <v>3</v>
      </c>
      <c r="K224">
        <v>66.81</v>
      </c>
      <c r="L224">
        <v>66.98</v>
      </c>
      <c r="M224">
        <v>70.8</v>
      </c>
    </row>
    <row r="225" spans="1:13" x14ac:dyDescent="0.2">
      <c r="A225" s="1">
        <v>224</v>
      </c>
      <c r="B225" t="s">
        <v>183</v>
      </c>
      <c r="C225">
        <f xml:space="preserve">  67.64</f>
        <v>67.64</v>
      </c>
      <c r="D225">
        <v>8</v>
      </c>
      <c r="E225">
        <v>25</v>
      </c>
      <c r="F225">
        <v>75.67</v>
      </c>
      <c r="G225">
        <v>0</v>
      </c>
      <c r="H225">
        <v>4</v>
      </c>
      <c r="I225">
        <v>0</v>
      </c>
      <c r="J225">
        <v>8</v>
      </c>
      <c r="K225">
        <v>67.42</v>
      </c>
      <c r="L225">
        <v>67.22</v>
      </c>
      <c r="M225">
        <v>68.84</v>
      </c>
    </row>
    <row r="226" spans="1:13" x14ac:dyDescent="0.2">
      <c r="A226" s="1">
        <v>225</v>
      </c>
      <c r="B226" t="s">
        <v>272</v>
      </c>
      <c r="C226">
        <f xml:space="preserve">  67.61</f>
        <v>67.61</v>
      </c>
      <c r="D226">
        <v>12</v>
      </c>
      <c r="E226">
        <v>19</v>
      </c>
      <c r="F226">
        <v>73.09</v>
      </c>
      <c r="G226">
        <v>0</v>
      </c>
      <c r="H226">
        <v>1</v>
      </c>
      <c r="I226">
        <v>0</v>
      </c>
      <c r="J226">
        <v>3</v>
      </c>
      <c r="K226">
        <v>67.180000000000007</v>
      </c>
      <c r="L226">
        <v>67.709999999999994</v>
      </c>
      <c r="M226">
        <v>68.510000000000005</v>
      </c>
    </row>
    <row r="227" spans="1:13" x14ac:dyDescent="0.2">
      <c r="A227" s="1">
        <v>226</v>
      </c>
      <c r="B227" t="s">
        <v>303</v>
      </c>
      <c r="C227">
        <f xml:space="preserve">  67.59</f>
        <v>67.59</v>
      </c>
      <c r="D227">
        <v>12</v>
      </c>
      <c r="E227">
        <v>18</v>
      </c>
      <c r="F227">
        <v>72.010000000000005</v>
      </c>
      <c r="G227">
        <v>0</v>
      </c>
      <c r="H227">
        <v>0</v>
      </c>
      <c r="I227">
        <v>0</v>
      </c>
      <c r="J227">
        <v>0</v>
      </c>
      <c r="K227">
        <v>67.52</v>
      </c>
      <c r="L227">
        <v>67.930000000000007</v>
      </c>
      <c r="M227">
        <v>67.22</v>
      </c>
    </row>
    <row r="228" spans="1:13" x14ac:dyDescent="0.2">
      <c r="A228" s="1">
        <v>227</v>
      </c>
      <c r="B228" t="s">
        <v>212</v>
      </c>
      <c r="C228">
        <f xml:space="preserve">  67.55</f>
        <v>67.55</v>
      </c>
      <c r="D228">
        <v>14</v>
      </c>
      <c r="E228">
        <v>19</v>
      </c>
      <c r="F228">
        <v>69.569999999999993</v>
      </c>
      <c r="G228">
        <v>0</v>
      </c>
      <c r="H228">
        <v>0</v>
      </c>
      <c r="I228">
        <v>0</v>
      </c>
      <c r="J228">
        <v>0</v>
      </c>
      <c r="K228">
        <v>67.73</v>
      </c>
      <c r="L228">
        <v>67.81</v>
      </c>
      <c r="M228">
        <v>66.61</v>
      </c>
    </row>
    <row r="229" spans="1:13" x14ac:dyDescent="0.2">
      <c r="A229" s="1">
        <v>228</v>
      </c>
      <c r="B229" t="s">
        <v>207</v>
      </c>
      <c r="C229">
        <f xml:space="preserve">  67.31</f>
        <v>67.31</v>
      </c>
      <c r="D229">
        <v>14</v>
      </c>
      <c r="E229">
        <v>18</v>
      </c>
      <c r="F229">
        <v>71.09</v>
      </c>
      <c r="G229">
        <v>0</v>
      </c>
      <c r="H229">
        <v>0</v>
      </c>
      <c r="I229">
        <v>0</v>
      </c>
      <c r="J229">
        <v>1</v>
      </c>
      <c r="K229">
        <v>66.91</v>
      </c>
      <c r="L229">
        <v>67.81</v>
      </c>
      <c r="M229">
        <v>67.540000000000006</v>
      </c>
    </row>
    <row r="230" spans="1:13" x14ac:dyDescent="0.2">
      <c r="A230" s="1">
        <v>229</v>
      </c>
      <c r="B230" t="s">
        <v>200</v>
      </c>
      <c r="C230">
        <f xml:space="preserve">  67.28</f>
        <v>67.28</v>
      </c>
      <c r="D230">
        <v>12</v>
      </c>
      <c r="E230">
        <v>17</v>
      </c>
      <c r="F230">
        <v>69.489999999999995</v>
      </c>
      <c r="G230">
        <v>0</v>
      </c>
      <c r="H230">
        <v>1</v>
      </c>
      <c r="I230">
        <v>0</v>
      </c>
      <c r="J230">
        <v>1</v>
      </c>
      <c r="K230">
        <v>67.38</v>
      </c>
      <c r="L230">
        <v>66.89</v>
      </c>
      <c r="M230">
        <v>67.650000000000006</v>
      </c>
    </row>
    <row r="231" spans="1:13" x14ac:dyDescent="0.2">
      <c r="A231" s="1">
        <v>230</v>
      </c>
      <c r="B231" t="s">
        <v>197</v>
      </c>
      <c r="C231">
        <f xml:space="preserve">  67.24</f>
        <v>67.239999999999995</v>
      </c>
      <c r="D231">
        <v>18</v>
      </c>
      <c r="E231">
        <v>13</v>
      </c>
      <c r="F231">
        <v>66.8</v>
      </c>
      <c r="G231">
        <v>0</v>
      </c>
      <c r="H231">
        <v>2</v>
      </c>
      <c r="I231">
        <v>0</v>
      </c>
      <c r="J231">
        <v>2</v>
      </c>
      <c r="K231">
        <v>66.2</v>
      </c>
      <c r="L231">
        <v>67.11</v>
      </c>
      <c r="M231">
        <v>69.91</v>
      </c>
    </row>
    <row r="232" spans="1:13" x14ac:dyDescent="0.2">
      <c r="A232" s="1">
        <v>231</v>
      </c>
      <c r="B232" t="s">
        <v>173</v>
      </c>
      <c r="C232">
        <f xml:space="preserve">  67.23</f>
        <v>67.23</v>
      </c>
      <c r="D232">
        <v>9</v>
      </c>
      <c r="E232">
        <v>18</v>
      </c>
      <c r="F232">
        <v>69.69</v>
      </c>
      <c r="G232">
        <v>0</v>
      </c>
      <c r="H232">
        <v>0</v>
      </c>
      <c r="I232">
        <v>0</v>
      </c>
      <c r="J232">
        <v>1</v>
      </c>
      <c r="K232">
        <v>67.61</v>
      </c>
      <c r="L232">
        <v>66.73</v>
      </c>
      <c r="M232">
        <v>67.010000000000005</v>
      </c>
    </row>
    <row r="233" spans="1:13" x14ac:dyDescent="0.2">
      <c r="A233" s="1">
        <v>232</v>
      </c>
      <c r="B233" t="s">
        <v>873</v>
      </c>
      <c r="C233">
        <f xml:space="preserve">  67.21</f>
        <v>67.209999999999994</v>
      </c>
      <c r="D233">
        <v>12</v>
      </c>
      <c r="E233">
        <v>20</v>
      </c>
      <c r="F233">
        <v>71.58</v>
      </c>
      <c r="G233">
        <v>0</v>
      </c>
      <c r="H233">
        <v>1</v>
      </c>
      <c r="I233">
        <v>0</v>
      </c>
      <c r="J233">
        <v>1</v>
      </c>
      <c r="K233">
        <v>66.22</v>
      </c>
      <c r="L233">
        <v>66.86</v>
      </c>
      <c r="M233">
        <v>70.13</v>
      </c>
    </row>
    <row r="234" spans="1:13" x14ac:dyDescent="0.2">
      <c r="A234" s="1">
        <v>233</v>
      </c>
      <c r="B234" t="s">
        <v>168</v>
      </c>
      <c r="C234">
        <f xml:space="preserve">  67.13</f>
        <v>67.13</v>
      </c>
      <c r="D234">
        <v>12</v>
      </c>
      <c r="E234">
        <v>19</v>
      </c>
      <c r="F234">
        <v>69.86</v>
      </c>
      <c r="G234">
        <v>0</v>
      </c>
      <c r="H234">
        <v>0</v>
      </c>
      <c r="I234">
        <v>0</v>
      </c>
      <c r="J234">
        <v>0</v>
      </c>
      <c r="K234">
        <v>67.23</v>
      </c>
      <c r="L234">
        <v>67.19</v>
      </c>
      <c r="M234">
        <v>66.760000000000005</v>
      </c>
    </row>
    <row r="235" spans="1:13" x14ac:dyDescent="0.2">
      <c r="A235" s="1">
        <v>234</v>
      </c>
      <c r="B235" t="s">
        <v>223</v>
      </c>
      <c r="C235">
        <f xml:space="preserve">  67.11</f>
        <v>67.11</v>
      </c>
      <c r="D235">
        <v>14</v>
      </c>
      <c r="E235">
        <v>15</v>
      </c>
      <c r="F235">
        <v>69.06</v>
      </c>
      <c r="G235">
        <v>0</v>
      </c>
      <c r="H235">
        <v>0</v>
      </c>
      <c r="I235">
        <v>0</v>
      </c>
      <c r="J235">
        <v>1</v>
      </c>
      <c r="K235">
        <v>67.349999999999994</v>
      </c>
      <c r="L235">
        <v>67.53</v>
      </c>
      <c r="M235">
        <v>65.7</v>
      </c>
    </row>
    <row r="236" spans="1:13" x14ac:dyDescent="0.2">
      <c r="A236" s="1">
        <v>235</v>
      </c>
      <c r="B236" t="s">
        <v>278</v>
      </c>
      <c r="C236">
        <f xml:space="preserve">  66.95</f>
        <v>66.95</v>
      </c>
      <c r="D236">
        <v>12</v>
      </c>
      <c r="E236">
        <v>19</v>
      </c>
      <c r="F236">
        <v>69.45</v>
      </c>
      <c r="G236">
        <v>0</v>
      </c>
      <c r="H236">
        <v>1</v>
      </c>
      <c r="I236">
        <v>0</v>
      </c>
      <c r="J236">
        <v>1</v>
      </c>
      <c r="K236">
        <v>66.81</v>
      </c>
      <c r="L236">
        <v>66.23</v>
      </c>
      <c r="M236">
        <v>68.41</v>
      </c>
    </row>
    <row r="237" spans="1:13" x14ac:dyDescent="0.2">
      <c r="A237" s="1">
        <v>236</v>
      </c>
      <c r="B237" t="s">
        <v>881</v>
      </c>
      <c r="C237">
        <f xml:space="preserve">  66.79</f>
        <v>66.790000000000006</v>
      </c>
      <c r="D237">
        <v>11</v>
      </c>
      <c r="E237">
        <v>19</v>
      </c>
      <c r="F237">
        <v>68.23</v>
      </c>
      <c r="G237">
        <v>0</v>
      </c>
      <c r="H237">
        <v>0</v>
      </c>
      <c r="I237">
        <v>0</v>
      </c>
      <c r="J237">
        <v>0</v>
      </c>
      <c r="K237">
        <v>67.62</v>
      </c>
      <c r="L237">
        <v>66.53</v>
      </c>
      <c r="M237">
        <v>64.83</v>
      </c>
    </row>
    <row r="238" spans="1:13" x14ac:dyDescent="0.2">
      <c r="A238" s="1">
        <v>237</v>
      </c>
      <c r="B238" t="s">
        <v>253</v>
      </c>
      <c r="C238">
        <f xml:space="preserve">  66.77</f>
        <v>66.77</v>
      </c>
      <c r="D238">
        <v>20</v>
      </c>
      <c r="E238">
        <v>11</v>
      </c>
      <c r="F238">
        <v>64.290000000000006</v>
      </c>
      <c r="G238">
        <v>0</v>
      </c>
      <c r="H238">
        <v>2</v>
      </c>
      <c r="I238">
        <v>0</v>
      </c>
      <c r="J238">
        <v>2</v>
      </c>
      <c r="K238">
        <v>65.3</v>
      </c>
      <c r="L238">
        <v>67.040000000000006</v>
      </c>
      <c r="M238">
        <v>69.78</v>
      </c>
    </row>
    <row r="239" spans="1:13" x14ac:dyDescent="0.2">
      <c r="A239" s="1">
        <v>238</v>
      </c>
      <c r="B239" t="s">
        <v>216</v>
      </c>
      <c r="C239">
        <f xml:space="preserve">  66.73</f>
        <v>66.73</v>
      </c>
      <c r="D239">
        <v>12</v>
      </c>
      <c r="E239">
        <v>18</v>
      </c>
      <c r="F239">
        <v>72.73</v>
      </c>
      <c r="G239">
        <v>0</v>
      </c>
      <c r="H239">
        <v>0</v>
      </c>
      <c r="I239">
        <v>0</v>
      </c>
      <c r="J239">
        <v>1</v>
      </c>
      <c r="K239">
        <v>66.36</v>
      </c>
      <c r="L239">
        <v>67.19</v>
      </c>
      <c r="M239">
        <v>66.930000000000007</v>
      </c>
    </row>
    <row r="240" spans="1:13" x14ac:dyDescent="0.2">
      <c r="A240" s="1">
        <v>239</v>
      </c>
      <c r="B240" t="s">
        <v>291</v>
      </c>
      <c r="C240">
        <f xml:space="preserve">  66.62</f>
        <v>66.62</v>
      </c>
      <c r="D240">
        <v>14</v>
      </c>
      <c r="E240">
        <v>16</v>
      </c>
      <c r="F240">
        <v>68.3</v>
      </c>
      <c r="G240">
        <v>0</v>
      </c>
      <c r="H240">
        <v>1</v>
      </c>
      <c r="I240">
        <v>0</v>
      </c>
      <c r="J240">
        <v>3</v>
      </c>
      <c r="K240">
        <v>66.180000000000007</v>
      </c>
      <c r="L240">
        <v>66.790000000000006</v>
      </c>
      <c r="M240">
        <v>67.47</v>
      </c>
    </row>
    <row r="241" spans="1:13" x14ac:dyDescent="0.2">
      <c r="A241" s="1">
        <v>240</v>
      </c>
      <c r="B241" t="s">
        <v>549</v>
      </c>
      <c r="C241">
        <f xml:space="preserve">  66.58</f>
        <v>66.58</v>
      </c>
      <c r="D241">
        <v>18</v>
      </c>
      <c r="E241">
        <v>14</v>
      </c>
      <c r="F241">
        <v>65.87</v>
      </c>
      <c r="G241">
        <v>0</v>
      </c>
      <c r="H241">
        <v>0</v>
      </c>
      <c r="I241">
        <v>0</v>
      </c>
      <c r="J241">
        <v>1</v>
      </c>
      <c r="K241">
        <v>66.849999999999994</v>
      </c>
      <c r="L241">
        <v>67.14</v>
      </c>
      <c r="M241">
        <v>64.83</v>
      </c>
    </row>
    <row r="242" spans="1:13" x14ac:dyDescent="0.2">
      <c r="A242" s="1">
        <v>241</v>
      </c>
      <c r="B242" t="s">
        <v>301</v>
      </c>
      <c r="C242">
        <f xml:space="preserve">  66.52</f>
        <v>66.52</v>
      </c>
      <c r="D242">
        <v>9</v>
      </c>
      <c r="E242">
        <v>19</v>
      </c>
      <c r="F242">
        <v>70.89</v>
      </c>
      <c r="G242">
        <v>0</v>
      </c>
      <c r="H242">
        <v>0</v>
      </c>
      <c r="I242">
        <v>0</v>
      </c>
      <c r="J242">
        <v>1</v>
      </c>
      <c r="K242">
        <v>66.930000000000007</v>
      </c>
      <c r="L242">
        <v>66.209999999999994</v>
      </c>
      <c r="M242">
        <v>65.92</v>
      </c>
    </row>
    <row r="243" spans="1:13" x14ac:dyDescent="0.2">
      <c r="A243" s="1">
        <v>242</v>
      </c>
      <c r="B243" t="s">
        <v>214</v>
      </c>
      <c r="C243">
        <f xml:space="preserve">  66.51</f>
        <v>66.510000000000005</v>
      </c>
      <c r="D243">
        <v>13</v>
      </c>
      <c r="E243">
        <v>18</v>
      </c>
      <c r="F243">
        <v>69.64</v>
      </c>
      <c r="G243">
        <v>0</v>
      </c>
      <c r="H243">
        <v>0</v>
      </c>
      <c r="I243">
        <v>0</v>
      </c>
      <c r="J243">
        <v>1</v>
      </c>
      <c r="K243">
        <v>65.92</v>
      </c>
      <c r="L243">
        <v>66.88</v>
      </c>
      <c r="M243">
        <v>67.41</v>
      </c>
    </row>
    <row r="244" spans="1:13" x14ac:dyDescent="0.2">
      <c r="A244" s="1">
        <v>243</v>
      </c>
      <c r="B244" t="s">
        <v>178</v>
      </c>
      <c r="C244">
        <f xml:space="preserve">  66.5</f>
        <v>66.5</v>
      </c>
      <c r="D244">
        <v>8</v>
      </c>
      <c r="E244">
        <v>22</v>
      </c>
      <c r="F244">
        <v>75.5</v>
      </c>
      <c r="G244">
        <v>0</v>
      </c>
      <c r="H244">
        <v>2</v>
      </c>
      <c r="I244">
        <v>0</v>
      </c>
      <c r="J244">
        <v>6</v>
      </c>
      <c r="K244">
        <v>65.11</v>
      </c>
      <c r="L244">
        <v>66.64</v>
      </c>
      <c r="M244">
        <v>69.489999999999995</v>
      </c>
    </row>
    <row r="245" spans="1:13" x14ac:dyDescent="0.2">
      <c r="A245" s="1">
        <v>244</v>
      </c>
      <c r="B245" t="s">
        <v>287</v>
      </c>
      <c r="C245">
        <f xml:space="preserve">  66.46</f>
        <v>66.459999999999994</v>
      </c>
      <c r="D245">
        <v>10</v>
      </c>
      <c r="E245">
        <v>17</v>
      </c>
      <c r="F245">
        <v>70.459999999999994</v>
      </c>
      <c r="G245">
        <v>0</v>
      </c>
      <c r="H245">
        <v>1</v>
      </c>
      <c r="I245">
        <v>0</v>
      </c>
      <c r="J245">
        <v>2</v>
      </c>
      <c r="K245">
        <v>66.760000000000005</v>
      </c>
      <c r="L245">
        <v>66.400000000000006</v>
      </c>
      <c r="M245">
        <v>65.73</v>
      </c>
    </row>
    <row r="246" spans="1:13" x14ac:dyDescent="0.2">
      <c r="A246" s="1">
        <v>245</v>
      </c>
      <c r="B246" t="s">
        <v>843</v>
      </c>
      <c r="C246">
        <f xml:space="preserve">  66.38</f>
        <v>66.38</v>
      </c>
      <c r="D246">
        <v>15</v>
      </c>
      <c r="E246">
        <v>17</v>
      </c>
      <c r="F246">
        <v>66.66</v>
      </c>
      <c r="G246">
        <v>0</v>
      </c>
      <c r="H246">
        <v>0</v>
      </c>
      <c r="I246">
        <v>0</v>
      </c>
      <c r="J246">
        <v>1</v>
      </c>
      <c r="K246">
        <v>66.28</v>
      </c>
      <c r="L246">
        <v>66.3</v>
      </c>
      <c r="M246">
        <v>66.760000000000005</v>
      </c>
    </row>
    <row r="247" spans="1:13" x14ac:dyDescent="0.2">
      <c r="A247" s="1">
        <v>246</v>
      </c>
      <c r="B247" t="s">
        <v>898</v>
      </c>
      <c r="C247">
        <f xml:space="preserve">  66.27</f>
        <v>66.27</v>
      </c>
      <c r="D247">
        <v>19</v>
      </c>
      <c r="E247">
        <v>13</v>
      </c>
      <c r="F247">
        <v>64.25</v>
      </c>
      <c r="G247">
        <v>0</v>
      </c>
      <c r="H247">
        <v>0</v>
      </c>
      <c r="I247">
        <v>0</v>
      </c>
      <c r="J247">
        <v>0</v>
      </c>
      <c r="K247">
        <v>66.27</v>
      </c>
      <c r="L247">
        <v>66.39</v>
      </c>
      <c r="M247">
        <v>66.06</v>
      </c>
    </row>
    <row r="248" spans="1:13" x14ac:dyDescent="0.2">
      <c r="A248" s="1">
        <v>247</v>
      </c>
      <c r="B248" t="s">
        <v>289</v>
      </c>
      <c r="C248">
        <f xml:space="preserve">  66.22</f>
        <v>66.22</v>
      </c>
      <c r="D248">
        <v>12</v>
      </c>
      <c r="E248">
        <v>19</v>
      </c>
      <c r="F248">
        <v>68.22</v>
      </c>
      <c r="G248">
        <v>0</v>
      </c>
      <c r="H248">
        <v>1</v>
      </c>
      <c r="I248">
        <v>0</v>
      </c>
      <c r="J248">
        <v>2</v>
      </c>
      <c r="K248">
        <v>66.86</v>
      </c>
      <c r="L248">
        <v>66.260000000000005</v>
      </c>
      <c r="M248">
        <v>64.34</v>
      </c>
    </row>
    <row r="249" spans="1:13" x14ac:dyDescent="0.2">
      <c r="A249" s="1">
        <v>248</v>
      </c>
      <c r="B249" t="s">
        <v>269</v>
      </c>
      <c r="C249">
        <f xml:space="preserve">  66.17</f>
        <v>66.17</v>
      </c>
      <c r="D249">
        <v>14</v>
      </c>
      <c r="E249">
        <v>11</v>
      </c>
      <c r="F249">
        <v>66.5</v>
      </c>
      <c r="G249">
        <v>0</v>
      </c>
      <c r="H249">
        <v>2</v>
      </c>
      <c r="I249">
        <v>0</v>
      </c>
      <c r="J249">
        <v>3</v>
      </c>
      <c r="K249">
        <v>65.13</v>
      </c>
      <c r="L249">
        <v>66.47</v>
      </c>
      <c r="M249">
        <v>68.150000000000006</v>
      </c>
    </row>
    <row r="250" spans="1:13" x14ac:dyDescent="0.2">
      <c r="A250" s="1">
        <v>249</v>
      </c>
      <c r="B250" t="s">
        <v>248</v>
      </c>
      <c r="C250">
        <f xml:space="preserve">  66.06</f>
        <v>66.06</v>
      </c>
      <c r="D250">
        <v>8</v>
      </c>
      <c r="E250">
        <v>20</v>
      </c>
      <c r="F250">
        <v>72.05</v>
      </c>
      <c r="G250">
        <v>0</v>
      </c>
      <c r="H250">
        <v>0</v>
      </c>
      <c r="I250">
        <v>0</v>
      </c>
      <c r="J250">
        <v>1</v>
      </c>
      <c r="K250">
        <v>66.3</v>
      </c>
      <c r="L250">
        <v>66.03</v>
      </c>
      <c r="M250">
        <v>65.45</v>
      </c>
    </row>
    <row r="251" spans="1:13" x14ac:dyDescent="0.2">
      <c r="A251" s="1">
        <v>250</v>
      </c>
      <c r="B251" t="s">
        <v>206</v>
      </c>
      <c r="C251">
        <f xml:space="preserve">  66.05</f>
        <v>66.05</v>
      </c>
      <c r="D251">
        <v>7</v>
      </c>
      <c r="E251">
        <v>17</v>
      </c>
      <c r="F251">
        <v>71.540000000000006</v>
      </c>
      <c r="G251">
        <v>0</v>
      </c>
      <c r="H251">
        <v>1</v>
      </c>
      <c r="I251">
        <v>1</v>
      </c>
      <c r="J251">
        <v>2</v>
      </c>
      <c r="K251">
        <v>66.62</v>
      </c>
      <c r="L251">
        <v>65.41</v>
      </c>
      <c r="M251">
        <v>65.52</v>
      </c>
    </row>
    <row r="252" spans="1:13" x14ac:dyDescent="0.2">
      <c r="A252" s="1">
        <v>251</v>
      </c>
      <c r="B252" t="s">
        <v>162</v>
      </c>
      <c r="C252">
        <f xml:space="preserve">  65.93</f>
        <v>65.930000000000007</v>
      </c>
      <c r="D252">
        <v>6</v>
      </c>
      <c r="E252">
        <v>24</v>
      </c>
      <c r="F252">
        <v>73.69</v>
      </c>
      <c r="G252">
        <v>0</v>
      </c>
      <c r="H252">
        <v>0</v>
      </c>
      <c r="I252">
        <v>0</v>
      </c>
      <c r="J252">
        <v>1</v>
      </c>
      <c r="K252">
        <v>66.069999999999993</v>
      </c>
      <c r="L252">
        <v>65.540000000000006</v>
      </c>
      <c r="M252">
        <v>66.180000000000007</v>
      </c>
    </row>
    <row r="253" spans="1:13" x14ac:dyDescent="0.2">
      <c r="A253" s="1">
        <v>252</v>
      </c>
      <c r="B253" t="s">
        <v>140</v>
      </c>
      <c r="C253">
        <f xml:space="preserve">  65.77</f>
        <v>65.77</v>
      </c>
      <c r="D253">
        <v>12</v>
      </c>
      <c r="E253">
        <v>17</v>
      </c>
      <c r="F253">
        <v>67.98</v>
      </c>
      <c r="G253">
        <v>0</v>
      </c>
      <c r="H253">
        <v>0</v>
      </c>
      <c r="I253">
        <v>0</v>
      </c>
      <c r="J253">
        <v>2</v>
      </c>
      <c r="K253">
        <v>65.81</v>
      </c>
      <c r="L253">
        <v>66.14</v>
      </c>
      <c r="M253">
        <v>65.03</v>
      </c>
    </row>
    <row r="254" spans="1:13" x14ac:dyDescent="0.2">
      <c r="A254" s="1">
        <v>253</v>
      </c>
      <c r="B254" t="s">
        <v>91</v>
      </c>
      <c r="C254">
        <f xml:space="preserve">  65.73</f>
        <v>65.73</v>
      </c>
      <c r="D254">
        <v>6</v>
      </c>
      <c r="E254">
        <v>24</v>
      </c>
      <c r="F254">
        <v>72.47</v>
      </c>
      <c r="G254">
        <v>0</v>
      </c>
      <c r="H254">
        <v>3</v>
      </c>
      <c r="I254">
        <v>0</v>
      </c>
      <c r="J254">
        <v>3</v>
      </c>
      <c r="K254">
        <v>66.41</v>
      </c>
      <c r="L254">
        <v>65.59</v>
      </c>
      <c r="M254">
        <v>64.05</v>
      </c>
    </row>
    <row r="255" spans="1:13" x14ac:dyDescent="0.2">
      <c r="A255" s="1">
        <v>254</v>
      </c>
      <c r="B255" t="s">
        <v>558</v>
      </c>
      <c r="C255">
        <f xml:space="preserve">  65.67</f>
        <v>65.67</v>
      </c>
      <c r="D255">
        <v>9</v>
      </c>
      <c r="E255">
        <v>19</v>
      </c>
      <c r="F255">
        <v>70.52</v>
      </c>
      <c r="G255">
        <v>0</v>
      </c>
      <c r="H255">
        <v>2</v>
      </c>
      <c r="I255">
        <v>0</v>
      </c>
      <c r="J255">
        <v>2</v>
      </c>
      <c r="K255">
        <v>66.37</v>
      </c>
      <c r="L255">
        <v>65.5</v>
      </c>
      <c r="M255">
        <v>63.93</v>
      </c>
    </row>
    <row r="256" spans="1:13" x14ac:dyDescent="0.2">
      <c r="A256" s="1">
        <v>255</v>
      </c>
      <c r="B256" t="s">
        <v>823</v>
      </c>
      <c r="C256">
        <f xml:space="preserve">  65.59</f>
        <v>65.59</v>
      </c>
      <c r="D256">
        <v>13</v>
      </c>
      <c r="E256">
        <v>17</v>
      </c>
      <c r="F256">
        <v>67.66</v>
      </c>
      <c r="G256">
        <v>0</v>
      </c>
      <c r="H256">
        <v>0</v>
      </c>
      <c r="I256">
        <v>0</v>
      </c>
      <c r="J256">
        <v>1</v>
      </c>
      <c r="K256">
        <v>66.13</v>
      </c>
      <c r="L256">
        <v>65.25</v>
      </c>
      <c r="M256">
        <v>64.62</v>
      </c>
    </row>
    <row r="257" spans="1:13" x14ac:dyDescent="0.2">
      <c r="A257" s="1">
        <v>256</v>
      </c>
      <c r="B257" t="s">
        <v>828</v>
      </c>
      <c r="C257">
        <f xml:space="preserve">  65.53</f>
        <v>65.53</v>
      </c>
      <c r="D257">
        <v>6</v>
      </c>
      <c r="E257">
        <v>22</v>
      </c>
      <c r="F257">
        <v>72.989999999999995</v>
      </c>
      <c r="G257">
        <v>0</v>
      </c>
      <c r="H257">
        <v>0</v>
      </c>
      <c r="I257">
        <v>0</v>
      </c>
      <c r="J257">
        <v>2</v>
      </c>
      <c r="K257">
        <v>65.94</v>
      </c>
      <c r="L257">
        <v>64.930000000000007</v>
      </c>
      <c r="M257">
        <v>65.37</v>
      </c>
    </row>
    <row r="258" spans="1:13" x14ac:dyDescent="0.2">
      <c r="A258" s="1">
        <v>257</v>
      </c>
      <c r="B258" t="s">
        <v>158</v>
      </c>
      <c r="C258">
        <f xml:space="preserve">  65.48</f>
        <v>65.48</v>
      </c>
      <c r="D258">
        <v>12</v>
      </c>
      <c r="E258">
        <v>19</v>
      </c>
      <c r="F258">
        <v>70.81</v>
      </c>
      <c r="G258">
        <v>0</v>
      </c>
      <c r="H258">
        <v>0</v>
      </c>
      <c r="I258">
        <v>0</v>
      </c>
      <c r="J258">
        <v>0</v>
      </c>
      <c r="K258">
        <v>64.92</v>
      </c>
      <c r="L258">
        <v>65.489999999999995</v>
      </c>
      <c r="M258">
        <v>66.81</v>
      </c>
    </row>
    <row r="259" spans="1:13" x14ac:dyDescent="0.2">
      <c r="A259" s="1">
        <v>258</v>
      </c>
      <c r="B259" t="s">
        <v>825</v>
      </c>
      <c r="C259">
        <f xml:space="preserve">  65.31</f>
        <v>65.31</v>
      </c>
      <c r="D259">
        <v>11</v>
      </c>
      <c r="E259">
        <v>18</v>
      </c>
      <c r="F259">
        <v>67.36</v>
      </c>
      <c r="G259">
        <v>0</v>
      </c>
      <c r="H259">
        <v>0</v>
      </c>
      <c r="I259">
        <v>0</v>
      </c>
      <c r="J259">
        <v>0</v>
      </c>
      <c r="K259">
        <v>65.17</v>
      </c>
      <c r="L259">
        <v>64.92</v>
      </c>
      <c r="M259">
        <v>66.27</v>
      </c>
    </row>
    <row r="260" spans="1:13" x14ac:dyDescent="0.2">
      <c r="A260" s="1">
        <v>259</v>
      </c>
      <c r="B260" t="s">
        <v>290</v>
      </c>
      <c r="C260">
        <f xml:space="preserve">  65.25</f>
        <v>65.25</v>
      </c>
      <c r="D260">
        <v>7</v>
      </c>
      <c r="E260">
        <v>21</v>
      </c>
      <c r="F260">
        <v>71.94</v>
      </c>
      <c r="G260">
        <v>0</v>
      </c>
      <c r="H260">
        <v>2</v>
      </c>
      <c r="I260">
        <v>0</v>
      </c>
      <c r="J260">
        <v>5</v>
      </c>
      <c r="K260">
        <v>65.91</v>
      </c>
      <c r="L260">
        <v>65.02</v>
      </c>
      <c r="M260">
        <v>63.73</v>
      </c>
    </row>
    <row r="261" spans="1:13" x14ac:dyDescent="0.2">
      <c r="A261" s="1">
        <v>260</v>
      </c>
      <c r="B261" t="s">
        <v>826</v>
      </c>
      <c r="C261">
        <f xml:space="preserve">  65.14</f>
        <v>65.14</v>
      </c>
      <c r="D261">
        <v>9</v>
      </c>
      <c r="E261">
        <v>22</v>
      </c>
      <c r="F261">
        <v>70.98</v>
      </c>
      <c r="G261">
        <v>0</v>
      </c>
      <c r="H261">
        <v>1</v>
      </c>
      <c r="I261">
        <v>0</v>
      </c>
      <c r="J261">
        <v>2</v>
      </c>
      <c r="K261">
        <v>64.900000000000006</v>
      </c>
      <c r="L261">
        <v>64.98</v>
      </c>
      <c r="M261">
        <v>65.98</v>
      </c>
    </row>
    <row r="262" spans="1:13" x14ac:dyDescent="0.2">
      <c r="A262" s="1">
        <v>261</v>
      </c>
      <c r="B262" t="s">
        <v>838</v>
      </c>
      <c r="C262">
        <f xml:space="preserve">  65.13</f>
        <v>65.13</v>
      </c>
      <c r="D262">
        <v>18</v>
      </c>
      <c r="E262">
        <v>16</v>
      </c>
      <c r="F262">
        <v>64.03</v>
      </c>
      <c r="G262">
        <v>0</v>
      </c>
      <c r="H262">
        <v>2</v>
      </c>
      <c r="I262">
        <v>0</v>
      </c>
      <c r="J262">
        <v>2</v>
      </c>
      <c r="K262">
        <v>65.37</v>
      </c>
      <c r="L262">
        <v>64.81</v>
      </c>
      <c r="M262">
        <v>64.98</v>
      </c>
    </row>
    <row r="263" spans="1:13" x14ac:dyDescent="0.2">
      <c r="A263" s="1">
        <v>262</v>
      </c>
      <c r="B263" t="s">
        <v>815</v>
      </c>
      <c r="C263">
        <f xml:space="preserve">  65.12</f>
        <v>65.12</v>
      </c>
      <c r="D263">
        <v>9</v>
      </c>
      <c r="E263">
        <v>20</v>
      </c>
      <c r="F263">
        <v>70.180000000000007</v>
      </c>
      <c r="G263">
        <v>0</v>
      </c>
      <c r="H263">
        <v>2</v>
      </c>
      <c r="I263">
        <v>0</v>
      </c>
      <c r="J263">
        <v>2</v>
      </c>
      <c r="K263">
        <v>65.78</v>
      </c>
      <c r="L263">
        <v>65.42</v>
      </c>
      <c r="M263">
        <v>62.59</v>
      </c>
    </row>
    <row r="264" spans="1:13" x14ac:dyDescent="0.2">
      <c r="A264" s="1">
        <v>263</v>
      </c>
      <c r="B264" t="s">
        <v>302</v>
      </c>
      <c r="C264">
        <f xml:space="preserve">  64.99</f>
        <v>64.989999999999995</v>
      </c>
      <c r="D264">
        <v>8</v>
      </c>
      <c r="E264">
        <v>21</v>
      </c>
      <c r="F264">
        <v>72.45</v>
      </c>
      <c r="G264">
        <v>0</v>
      </c>
      <c r="H264">
        <v>2</v>
      </c>
      <c r="I264">
        <v>1</v>
      </c>
      <c r="J264">
        <v>7</v>
      </c>
      <c r="K264">
        <v>64.209999999999994</v>
      </c>
      <c r="L264">
        <v>65.239999999999995</v>
      </c>
      <c r="M264">
        <v>66.47</v>
      </c>
    </row>
    <row r="265" spans="1:13" x14ac:dyDescent="0.2">
      <c r="A265" s="1">
        <v>264</v>
      </c>
      <c r="B265" t="s">
        <v>169</v>
      </c>
      <c r="C265">
        <f xml:space="preserve">  64.95</f>
        <v>64.95</v>
      </c>
      <c r="D265">
        <v>8</v>
      </c>
      <c r="E265">
        <v>20</v>
      </c>
      <c r="F265">
        <v>71.930000000000007</v>
      </c>
      <c r="G265">
        <v>0</v>
      </c>
      <c r="H265">
        <v>0</v>
      </c>
      <c r="I265">
        <v>0</v>
      </c>
      <c r="J265">
        <v>0</v>
      </c>
      <c r="K265">
        <v>65.66</v>
      </c>
      <c r="L265">
        <v>64.989999999999995</v>
      </c>
      <c r="M265">
        <v>62.77</v>
      </c>
    </row>
    <row r="266" spans="1:13" x14ac:dyDescent="0.2">
      <c r="A266" s="1">
        <v>265</v>
      </c>
      <c r="B266" t="s">
        <v>213</v>
      </c>
      <c r="C266">
        <f xml:space="preserve">  64.81</f>
        <v>64.81</v>
      </c>
      <c r="D266">
        <v>14</v>
      </c>
      <c r="E266">
        <v>19</v>
      </c>
      <c r="F266">
        <v>65.77</v>
      </c>
      <c r="G266">
        <v>0</v>
      </c>
      <c r="H266">
        <v>2</v>
      </c>
      <c r="I266">
        <v>0</v>
      </c>
      <c r="J266">
        <v>2</v>
      </c>
      <c r="K266">
        <v>64.900000000000006</v>
      </c>
      <c r="L266">
        <v>65.040000000000006</v>
      </c>
      <c r="M266">
        <v>64.180000000000007</v>
      </c>
    </row>
    <row r="267" spans="1:13" x14ac:dyDescent="0.2">
      <c r="A267" s="1">
        <v>266</v>
      </c>
      <c r="B267" t="s">
        <v>271</v>
      </c>
      <c r="C267">
        <f xml:space="preserve">  64.71</f>
        <v>64.709999999999994</v>
      </c>
      <c r="D267">
        <v>11</v>
      </c>
      <c r="E267">
        <v>17</v>
      </c>
      <c r="F267">
        <v>68.84</v>
      </c>
      <c r="G267">
        <v>0</v>
      </c>
      <c r="H267">
        <v>1</v>
      </c>
      <c r="I267">
        <v>0</v>
      </c>
      <c r="J267">
        <v>1</v>
      </c>
      <c r="K267">
        <v>64.55</v>
      </c>
      <c r="L267">
        <v>64.87</v>
      </c>
      <c r="M267">
        <v>64.89</v>
      </c>
    </row>
    <row r="268" spans="1:13" x14ac:dyDescent="0.2">
      <c r="A268" s="1">
        <v>267</v>
      </c>
      <c r="B268" t="s">
        <v>71</v>
      </c>
      <c r="C268">
        <f xml:space="preserve">  64.69</f>
        <v>64.69</v>
      </c>
      <c r="D268">
        <v>6</v>
      </c>
      <c r="E268">
        <v>25</v>
      </c>
      <c r="F268">
        <v>77.989999999999995</v>
      </c>
      <c r="G268">
        <v>0</v>
      </c>
      <c r="H268">
        <v>6</v>
      </c>
      <c r="I268">
        <v>0</v>
      </c>
      <c r="J268">
        <v>11</v>
      </c>
      <c r="K268">
        <v>64.180000000000007</v>
      </c>
      <c r="L268">
        <v>64.97</v>
      </c>
      <c r="M268">
        <v>65.510000000000005</v>
      </c>
    </row>
    <row r="269" spans="1:13" x14ac:dyDescent="0.2">
      <c r="A269" s="1">
        <v>268</v>
      </c>
      <c r="B269" t="s">
        <v>263</v>
      </c>
      <c r="C269">
        <f xml:space="preserve">  64.66</f>
        <v>64.66</v>
      </c>
      <c r="D269">
        <v>15</v>
      </c>
      <c r="E269">
        <v>20</v>
      </c>
      <c r="F269">
        <v>67.5</v>
      </c>
      <c r="G269">
        <v>0</v>
      </c>
      <c r="H269">
        <v>2</v>
      </c>
      <c r="I269">
        <v>0</v>
      </c>
      <c r="J269">
        <v>2</v>
      </c>
      <c r="K269">
        <v>63.33</v>
      </c>
      <c r="L269">
        <v>64.05</v>
      </c>
      <c r="M269">
        <v>68.349999999999994</v>
      </c>
    </row>
    <row r="270" spans="1:13" x14ac:dyDescent="0.2">
      <c r="A270" s="1">
        <v>269</v>
      </c>
      <c r="B270" t="s">
        <v>298</v>
      </c>
      <c r="C270">
        <f xml:space="preserve">  64.52</f>
        <v>64.52</v>
      </c>
      <c r="D270">
        <v>7</v>
      </c>
      <c r="E270">
        <v>20</v>
      </c>
      <c r="F270">
        <v>70.040000000000006</v>
      </c>
      <c r="G270">
        <v>0</v>
      </c>
      <c r="H270">
        <v>1</v>
      </c>
      <c r="I270">
        <v>0</v>
      </c>
      <c r="J270">
        <v>2</v>
      </c>
      <c r="K270">
        <v>65.44</v>
      </c>
      <c r="L270">
        <v>64.27</v>
      </c>
      <c r="M270">
        <v>62.19</v>
      </c>
    </row>
    <row r="271" spans="1:13" x14ac:dyDescent="0.2">
      <c r="A271" s="1">
        <v>270</v>
      </c>
      <c r="B271" t="s">
        <v>300</v>
      </c>
      <c r="C271">
        <f xml:space="preserve">  64.44</f>
        <v>64.44</v>
      </c>
      <c r="D271">
        <v>10</v>
      </c>
      <c r="E271">
        <v>20</v>
      </c>
      <c r="F271">
        <v>69.63</v>
      </c>
      <c r="G271">
        <v>0</v>
      </c>
      <c r="H271">
        <v>0</v>
      </c>
      <c r="I271">
        <v>0</v>
      </c>
      <c r="J271">
        <v>1</v>
      </c>
      <c r="K271">
        <v>64.099999999999994</v>
      </c>
      <c r="L271">
        <v>64.53</v>
      </c>
      <c r="M271">
        <v>65.14</v>
      </c>
    </row>
    <row r="272" spans="1:13" x14ac:dyDescent="0.2">
      <c r="A272" s="1">
        <v>271</v>
      </c>
      <c r="B272" t="s">
        <v>865</v>
      </c>
      <c r="C272">
        <f xml:space="preserve">  64.31</f>
        <v>64.31</v>
      </c>
      <c r="D272">
        <v>9</v>
      </c>
      <c r="E272">
        <v>20</v>
      </c>
      <c r="F272">
        <v>70.3</v>
      </c>
      <c r="G272">
        <v>0</v>
      </c>
      <c r="H272">
        <v>3</v>
      </c>
      <c r="I272">
        <v>0</v>
      </c>
      <c r="J272">
        <v>3</v>
      </c>
      <c r="K272">
        <v>63.95</v>
      </c>
      <c r="L272">
        <v>63.51</v>
      </c>
      <c r="M272">
        <v>66.290000000000006</v>
      </c>
    </row>
    <row r="273" spans="1:13" x14ac:dyDescent="0.2">
      <c r="A273" s="1">
        <v>272</v>
      </c>
      <c r="B273" t="s">
        <v>822</v>
      </c>
      <c r="C273">
        <f xml:space="preserve">  64.29</f>
        <v>64.290000000000006</v>
      </c>
      <c r="D273">
        <v>12</v>
      </c>
      <c r="E273">
        <v>17</v>
      </c>
      <c r="F273">
        <v>67.64</v>
      </c>
      <c r="G273">
        <v>0</v>
      </c>
      <c r="H273">
        <v>0</v>
      </c>
      <c r="I273">
        <v>0</v>
      </c>
      <c r="J273">
        <v>0</v>
      </c>
      <c r="K273">
        <v>64.459999999999994</v>
      </c>
      <c r="L273">
        <v>64.48</v>
      </c>
      <c r="M273">
        <v>63.5</v>
      </c>
    </row>
    <row r="274" spans="1:13" x14ac:dyDescent="0.2">
      <c r="A274" s="1">
        <v>273</v>
      </c>
      <c r="B274" t="s">
        <v>900</v>
      </c>
      <c r="C274">
        <f xml:space="preserve">  64.22</f>
        <v>64.22</v>
      </c>
      <c r="D274">
        <v>17</v>
      </c>
      <c r="E274">
        <v>15</v>
      </c>
      <c r="F274">
        <v>65.489999999999995</v>
      </c>
      <c r="G274">
        <v>0</v>
      </c>
      <c r="H274">
        <v>0</v>
      </c>
      <c r="I274">
        <v>0</v>
      </c>
      <c r="J274">
        <v>0</v>
      </c>
      <c r="K274">
        <v>63.81</v>
      </c>
      <c r="L274">
        <v>63.98</v>
      </c>
      <c r="M274">
        <v>65.55</v>
      </c>
    </row>
    <row r="275" spans="1:13" x14ac:dyDescent="0.2">
      <c r="A275" s="1">
        <v>274</v>
      </c>
      <c r="B275" t="s">
        <v>266</v>
      </c>
      <c r="C275">
        <v>63.99</v>
      </c>
      <c r="D275">
        <v>17</v>
      </c>
      <c r="E275">
        <v>15</v>
      </c>
      <c r="F275">
        <v>65.12</v>
      </c>
      <c r="G275">
        <v>0</v>
      </c>
      <c r="H275">
        <v>1</v>
      </c>
      <c r="I275">
        <v>0</v>
      </c>
      <c r="J275">
        <v>1</v>
      </c>
      <c r="K275">
        <v>63.25</v>
      </c>
      <c r="L275">
        <v>63.96</v>
      </c>
      <c r="M275">
        <v>65.77</v>
      </c>
    </row>
    <row r="276" spans="1:13" x14ac:dyDescent="0.2">
      <c r="A276" s="1">
        <v>275</v>
      </c>
      <c r="B276" t="s">
        <v>295</v>
      </c>
      <c r="C276">
        <f xml:space="preserve">  63.9</f>
        <v>63.9</v>
      </c>
      <c r="D276">
        <v>9</v>
      </c>
      <c r="E276">
        <v>18</v>
      </c>
      <c r="F276">
        <v>71.8</v>
      </c>
      <c r="G276">
        <v>0</v>
      </c>
      <c r="H276">
        <v>0</v>
      </c>
      <c r="I276">
        <v>0</v>
      </c>
      <c r="J276">
        <v>3</v>
      </c>
      <c r="K276">
        <v>63.81</v>
      </c>
      <c r="L276">
        <v>64.319999999999993</v>
      </c>
      <c r="M276">
        <v>63.42</v>
      </c>
    </row>
    <row r="277" spans="1:13" x14ac:dyDescent="0.2">
      <c r="A277" s="1">
        <v>276</v>
      </c>
      <c r="B277" t="s">
        <v>150</v>
      </c>
      <c r="C277">
        <f xml:space="preserve">  63.8</f>
        <v>63.8</v>
      </c>
      <c r="D277">
        <v>7</v>
      </c>
      <c r="E277">
        <v>23</v>
      </c>
      <c r="F277">
        <v>73.3</v>
      </c>
      <c r="G277">
        <v>0</v>
      </c>
      <c r="H277">
        <v>1</v>
      </c>
      <c r="I277">
        <v>0</v>
      </c>
      <c r="J277">
        <v>1</v>
      </c>
      <c r="K277">
        <v>63.91</v>
      </c>
      <c r="L277">
        <v>64.06</v>
      </c>
      <c r="M277">
        <v>63.06</v>
      </c>
    </row>
    <row r="278" spans="1:13" x14ac:dyDescent="0.2">
      <c r="A278" s="1">
        <v>277</v>
      </c>
      <c r="B278" t="s">
        <v>209</v>
      </c>
      <c r="C278">
        <f xml:space="preserve">  63.74</f>
        <v>63.74</v>
      </c>
      <c r="D278">
        <v>10</v>
      </c>
      <c r="E278">
        <v>21</v>
      </c>
      <c r="F278">
        <v>68.89</v>
      </c>
      <c r="G278">
        <v>0</v>
      </c>
      <c r="H278">
        <v>0</v>
      </c>
      <c r="I278">
        <v>0</v>
      </c>
      <c r="J278">
        <v>0</v>
      </c>
      <c r="K278">
        <v>64.040000000000006</v>
      </c>
      <c r="L278">
        <v>63.7</v>
      </c>
      <c r="M278">
        <v>62.97</v>
      </c>
    </row>
    <row r="279" spans="1:13" x14ac:dyDescent="0.2">
      <c r="A279" s="1">
        <v>278</v>
      </c>
      <c r="B279" t="s">
        <v>296</v>
      </c>
      <c r="C279">
        <f xml:space="preserve">  63.73</f>
        <v>63.73</v>
      </c>
      <c r="D279">
        <v>12</v>
      </c>
      <c r="E279">
        <v>16</v>
      </c>
      <c r="F279">
        <v>66.87</v>
      </c>
      <c r="G279">
        <v>0</v>
      </c>
      <c r="H279">
        <v>0</v>
      </c>
      <c r="I279">
        <v>0</v>
      </c>
      <c r="J279">
        <v>2</v>
      </c>
      <c r="K279">
        <v>63.77</v>
      </c>
      <c r="L279">
        <v>63.89</v>
      </c>
      <c r="M279">
        <v>63.31</v>
      </c>
    </row>
    <row r="280" spans="1:13" x14ac:dyDescent="0.2">
      <c r="A280" s="1">
        <v>279</v>
      </c>
      <c r="B280" t="s">
        <v>830</v>
      </c>
      <c r="C280">
        <f xml:space="preserve">  63.68</f>
        <v>63.68</v>
      </c>
      <c r="D280">
        <v>14</v>
      </c>
      <c r="E280">
        <v>15</v>
      </c>
      <c r="F280">
        <v>66.569999999999993</v>
      </c>
      <c r="G280">
        <v>0</v>
      </c>
      <c r="H280">
        <v>0</v>
      </c>
      <c r="I280">
        <v>0</v>
      </c>
      <c r="J280">
        <v>1</v>
      </c>
      <c r="K280">
        <v>63.65</v>
      </c>
      <c r="L280">
        <v>63.49</v>
      </c>
      <c r="M280">
        <v>64.069999999999993</v>
      </c>
    </row>
    <row r="281" spans="1:13" x14ac:dyDescent="0.2">
      <c r="A281" s="1">
        <v>280</v>
      </c>
      <c r="B281" t="s">
        <v>892</v>
      </c>
      <c r="C281">
        <f xml:space="preserve">  63.66</f>
        <v>63.66</v>
      </c>
      <c r="D281">
        <v>14</v>
      </c>
      <c r="E281">
        <v>17</v>
      </c>
      <c r="F281">
        <v>64.72</v>
      </c>
      <c r="G281">
        <v>0</v>
      </c>
      <c r="H281">
        <v>1</v>
      </c>
      <c r="I281">
        <v>0</v>
      </c>
      <c r="J281">
        <v>1</v>
      </c>
      <c r="K281">
        <v>63.19</v>
      </c>
      <c r="L281">
        <v>63.7</v>
      </c>
      <c r="M281">
        <v>64.760000000000005</v>
      </c>
    </row>
    <row r="282" spans="1:13" x14ac:dyDescent="0.2">
      <c r="A282" s="1">
        <v>281</v>
      </c>
      <c r="B282" t="s">
        <v>840</v>
      </c>
      <c r="C282">
        <f xml:space="preserve">  63.63</f>
        <v>63.63</v>
      </c>
      <c r="D282">
        <v>7</v>
      </c>
      <c r="E282">
        <v>23</v>
      </c>
      <c r="F282">
        <v>72.680000000000007</v>
      </c>
      <c r="G282">
        <v>0</v>
      </c>
      <c r="H282">
        <v>1</v>
      </c>
      <c r="I282">
        <v>0</v>
      </c>
      <c r="J282">
        <v>3</v>
      </c>
      <c r="K282">
        <v>63.59</v>
      </c>
      <c r="L282">
        <v>63.84</v>
      </c>
      <c r="M282">
        <v>63.37</v>
      </c>
    </row>
    <row r="283" spans="1:13" x14ac:dyDescent="0.2">
      <c r="A283" s="1">
        <v>282</v>
      </c>
      <c r="B283" t="s">
        <v>261</v>
      </c>
      <c r="C283">
        <f xml:space="preserve">  63.61</f>
        <v>63.61</v>
      </c>
      <c r="D283">
        <v>13</v>
      </c>
      <c r="E283">
        <v>17</v>
      </c>
      <c r="F283">
        <v>68.040000000000006</v>
      </c>
      <c r="G283">
        <v>0</v>
      </c>
      <c r="H283">
        <v>0</v>
      </c>
      <c r="I283">
        <v>0</v>
      </c>
      <c r="J283">
        <v>1</v>
      </c>
      <c r="K283">
        <v>63.37</v>
      </c>
      <c r="L283">
        <v>63.81</v>
      </c>
      <c r="M283">
        <v>63.89</v>
      </c>
    </row>
    <row r="284" spans="1:13" x14ac:dyDescent="0.2">
      <c r="A284" s="1">
        <v>283</v>
      </c>
      <c r="B284" t="s">
        <v>83</v>
      </c>
      <c r="C284">
        <f xml:space="preserve">  63.45</f>
        <v>63.45</v>
      </c>
      <c r="D284">
        <v>10</v>
      </c>
      <c r="E284">
        <v>20</v>
      </c>
      <c r="F284">
        <v>68.88</v>
      </c>
      <c r="G284">
        <v>0</v>
      </c>
      <c r="H284">
        <v>0</v>
      </c>
      <c r="I284">
        <v>0</v>
      </c>
      <c r="J284">
        <v>1</v>
      </c>
      <c r="K284">
        <v>63.01</v>
      </c>
      <c r="L284">
        <v>63.52</v>
      </c>
      <c r="M284">
        <v>64.430000000000007</v>
      </c>
    </row>
    <row r="285" spans="1:13" x14ac:dyDescent="0.2">
      <c r="A285" s="1">
        <v>284</v>
      </c>
      <c r="B285" t="s">
        <v>831</v>
      </c>
      <c r="C285">
        <f xml:space="preserve">  63.4</f>
        <v>63.4</v>
      </c>
      <c r="D285">
        <v>9</v>
      </c>
      <c r="E285">
        <v>21</v>
      </c>
      <c r="F285">
        <v>71.8</v>
      </c>
      <c r="G285">
        <v>0</v>
      </c>
      <c r="H285">
        <v>1</v>
      </c>
      <c r="I285">
        <v>0</v>
      </c>
      <c r="J285">
        <v>5</v>
      </c>
      <c r="K285">
        <v>62.58</v>
      </c>
      <c r="L285">
        <v>63.84</v>
      </c>
      <c r="M285">
        <v>64.67</v>
      </c>
    </row>
    <row r="286" spans="1:13" x14ac:dyDescent="0.2">
      <c r="A286" s="1">
        <v>285</v>
      </c>
      <c r="B286" t="s">
        <v>871</v>
      </c>
      <c r="C286">
        <v>63.3</v>
      </c>
      <c r="D286">
        <v>16</v>
      </c>
      <c r="E286">
        <v>15</v>
      </c>
      <c r="F286">
        <v>63.57</v>
      </c>
      <c r="G286">
        <v>0</v>
      </c>
      <c r="H286">
        <v>0</v>
      </c>
      <c r="I286">
        <v>0</v>
      </c>
      <c r="J286">
        <v>0</v>
      </c>
      <c r="K286">
        <v>62.88</v>
      </c>
      <c r="L286">
        <v>63.2</v>
      </c>
      <c r="M286">
        <v>64.45</v>
      </c>
    </row>
    <row r="287" spans="1:13" x14ac:dyDescent="0.2">
      <c r="A287" s="1">
        <v>286</v>
      </c>
      <c r="B287" t="s">
        <v>152</v>
      </c>
      <c r="C287">
        <f xml:space="preserve">  63.22</f>
        <v>63.22</v>
      </c>
      <c r="D287">
        <v>13</v>
      </c>
      <c r="E287">
        <v>17</v>
      </c>
      <c r="F287">
        <v>66.760000000000005</v>
      </c>
      <c r="G287">
        <v>0</v>
      </c>
      <c r="H287">
        <v>0</v>
      </c>
      <c r="I287">
        <v>0</v>
      </c>
      <c r="J287">
        <v>1</v>
      </c>
      <c r="K287">
        <v>62.48</v>
      </c>
      <c r="L287">
        <v>63.02</v>
      </c>
      <c r="M287">
        <v>65.180000000000007</v>
      </c>
    </row>
    <row r="288" spans="1:13" x14ac:dyDescent="0.2">
      <c r="A288" s="1">
        <v>287</v>
      </c>
      <c r="B288" t="s">
        <v>146</v>
      </c>
      <c r="C288">
        <f xml:space="preserve">  63.07</f>
        <v>63.07</v>
      </c>
      <c r="D288">
        <v>9</v>
      </c>
      <c r="E288">
        <v>18</v>
      </c>
      <c r="F288">
        <v>68.84</v>
      </c>
      <c r="G288">
        <v>0</v>
      </c>
      <c r="H288">
        <v>1</v>
      </c>
      <c r="I288">
        <v>0</v>
      </c>
      <c r="J288">
        <v>3</v>
      </c>
      <c r="K288">
        <v>63.18</v>
      </c>
      <c r="L288">
        <v>62.9</v>
      </c>
      <c r="M288">
        <v>63.02</v>
      </c>
    </row>
    <row r="289" spans="1:13" x14ac:dyDescent="0.2">
      <c r="A289" s="1">
        <v>288</v>
      </c>
      <c r="B289" t="s">
        <v>203</v>
      </c>
      <c r="C289">
        <f xml:space="preserve">  63</f>
        <v>63</v>
      </c>
      <c r="D289">
        <v>9</v>
      </c>
      <c r="E289">
        <v>21</v>
      </c>
      <c r="F289">
        <v>68.239999999999995</v>
      </c>
      <c r="G289">
        <v>0</v>
      </c>
      <c r="H289">
        <v>0</v>
      </c>
      <c r="I289">
        <v>0</v>
      </c>
      <c r="J289">
        <v>0</v>
      </c>
      <c r="K289">
        <v>63.34</v>
      </c>
      <c r="L289">
        <v>63.06</v>
      </c>
      <c r="M289">
        <v>61.95</v>
      </c>
    </row>
    <row r="290" spans="1:13" x14ac:dyDescent="0.2">
      <c r="A290" s="1">
        <v>289</v>
      </c>
      <c r="B290" t="s">
        <v>233</v>
      </c>
      <c r="C290">
        <f xml:space="preserve">  62.99</f>
        <v>62.99</v>
      </c>
      <c r="D290">
        <v>8</v>
      </c>
      <c r="E290">
        <v>22</v>
      </c>
      <c r="F290">
        <v>68.510000000000005</v>
      </c>
      <c r="G290">
        <v>0</v>
      </c>
      <c r="H290">
        <v>1</v>
      </c>
      <c r="I290">
        <v>0</v>
      </c>
      <c r="J290">
        <v>1</v>
      </c>
      <c r="K290">
        <v>62.46</v>
      </c>
      <c r="L290">
        <v>62.12</v>
      </c>
      <c r="M290">
        <v>65.39</v>
      </c>
    </row>
    <row r="291" spans="1:13" x14ac:dyDescent="0.2">
      <c r="A291" s="1">
        <v>290</v>
      </c>
      <c r="B291" t="s">
        <v>294</v>
      </c>
      <c r="C291">
        <f xml:space="preserve">  62.97</f>
        <v>62.97</v>
      </c>
      <c r="D291">
        <v>7</v>
      </c>
      <c r="E291">
        <v>22</v>
      </c>
      <c r="F291">
        <v>70.38</v>
      </c>
      <c r="G291">
        <v>0</v>
      </c>
      <c r="H291">
        <v>0</v>
      </c>
      <c r="I291">
        <v>0</v>
      </c>
      <c r="J291">
        <v>1</v>
      </c>
      <c r="K291">
        <v>63.51</v>
      </c>
      <c r="L291">
        <v>62.8</v>
      </c>
      <c r="M291">
        <v>61.69</v>
      </c>
    </row>
    <row r="292" spans="1:13" x14ac:dyDescent="0.2">
      <c r="A292" s="1">
        <v>291</v>
      </c>
      <c r="B292" t="s">
        <v>217</v>
      </c>
      <c r="C292">
        <f xml:space="preserve">  62.81</f>
        <v>62.81</v>
      </c>
      <c r="D292">
        <v>9</v>
      </c>
      <c r="E292">
        <v>21</v>
      </c>
      <c r="F292">
        <v>68.2</v>
      </c>
      <c r="G292">
        <v>0</v>
      </c>
      <c r="H292">
        <v>1</v>
      </c>
      <c r="I292">
        <v>0</v>
      </c>
      <c r="J292">
        <v>1</v>
      </c>
      <c r="K292">
        <v>63.3</v>
      </c>
      <c r="L292">
        <v>62.86</v>
      </c>
      <c r="M292">
        <v>61.29</v>
      </c>
    </row>
    <row r="293" spans="1:13" x14ac:dyDescent="0.2">
      <c r="A293" s="1">
        <v>292</v>
      </c>
      <c r="B293" t="s">
        <v>250</v>
      </c>
      <c r="C293">
        <f xml:space="preserve">  62.65</f>
        <v>62.65</v>
      </c>
      <c r="D293">
        <v>12</v>
      </c>
      <c r="E293">
        <v>19</v>
      </c>
      <c r="F293">
        <v>68.349999999999994</v>
      </c>
      <c r="G293">
        <v>0</v>
      </c>
      <c r="H293">
        <v>0</v>
      </c>
      <c r="I293">
        <v>0</v>
      </c>
      <c r="J293">
        <v>1</v>
      </c>
      <c r="K293">
        <v>60.64</v>
      </c>
      <c r="L293">
        <v>62.49</v>
      </c>
      <c r="M293">
        <v>66.709999999999994</v>
      </c>
    </row>
    <row r="294" spans="1:13" x14ac:dyDescent="0.2">
      <c r="A294" s="1">
        <v>293</v>
      </c>
      <c r="B294" t="s">
        <v>148</v>
      </c>
      <c r="C294">
        <f xml:space="preserve">  62.57</f>
        <v>62.57</v>
      </c>
      <c r="D294">
        <v>7</v>
      </c>
      <c r="E294">
        <v>24</v>
      </c>
      <c r="F294">
        <v>71.23</v>
      </c>
      <c r="G294">
        <v>0</v>
      </c>
      <c r="H294">
        <v>1</v>
      </c>
      <c r="I294">
        <v>0</v>
      </c>
      <c r="J294">
        <v>2</v>
      </c>
      <c r="K294">
        <v>62.86</v>
      </c>
      <c r="L294">
        <v>62.52</v>
      </c>
      <c r="M294">
        <v>61.88</v>
      </c>
    </row>
    <row r="295" spans="1:13" x14ac:dyDescent="0.2">
      <c r="A295" s="1">
        <v>294</v>
      </c>
      <c r="B295" t="s">
        <v>137</v>
      </c>
      <c r="C295">
        <f xml:space="preserve">  62.38</f>
        <v>62.38</v>
      </c>
      <c r="D295">
        <v>10</v>
      </c>
      <c r="E295">
        <v>19</v>
      </c>
      <c r="F295">
        <v>68.83</v>
      </c>
      <c r="G295">
        <v>0</v>
      </c>
      <c r="H295">
        <v>0</v>
      </c>
      <c r="I295">
        <v>0</v>
      </c>
      <c r="J295">
        <v>2</v>
      </c>
      <c r="K295">
        <v>62.07</v>
      </c>
      <c r="L295">
        <v>61.74</v>
      </c>
      <c r="M295">
        <v>64</v>
      </c>
    </row>
    <row r="296" spans="1:13" x14ac:dyDescent="0.2">
      <c r="A296" s="1">
        <v>295</v>
      </c>
      <c r="B296" t="s">
        <v>246</v>
      </c>
      <c r="C296">
        <f xml:space="preserve">  62</f>
        <v>62</v>
      </c>
      <c r="D296">
        <v>12</v>
      </c>
      <c r="E296">
        <v>18</v>
      </c>
      <c r="F296">
        <v>65.09</v>
      </c>
      <c r="G296">
        <v>0</v>
      </c>
      <c r="H296">
        <v>1</v>
      </c>
      <c r="I296">
        <v>0</v>
      </c>
      <c r="J296">
        <v>1</v>
      </c>
      <c r="K296">
        <v>61.99</v>
      </c>
      <c r="L296">
        <v>61.96</v>
      </c>
      <c r="M296">
        <v>62.11</v>
      </c>
    </row>
    <row r="297" spans="1:13" x14ac:dyDescent="0.2">
      <c r="A297" s="1">
        <v>296</v>
      </c>
      <c r="B297" t="s">
        <v>190</v>
      </c>
      <c r="C297">
        <f xml:space="preserve">  61.91</f>
        <v>61.91</v>
      </c>
      <c r="D297">
        <v>7</v>
      </c>
      <c r="E297">
        <v>23</v>
      </c>
      <c r="F297">
        <v>68.66</v>
      </c>
      <c r="G297">
        <v>0</v>
      </c>
      <c r="H297">
        <v>0</v>
      </c>
      <c r="I297">
        <v>0</v>
      </c>
      <c r="J297">
        <v>0</v>
      </c>
      <c r="K297">
        <v>61.93</v>
      </c>
      <c r="L297">
        <v>61.73</v>
      </c>
      <c r="M297">
        <v>62.13</v>
      </c>
    </row>
    <row r="298" spans="1:13" x14ac:dyDescent="0.2">
      <c r="A298" s="1">
        <v>297</v>
      </c>
      <c r="B298" t="s">
        <v>829</v>
      </c>
      <c r="C298">
        <f xml:space="preserve">  61.91</f>
        <v>61.91</v>
      </c>
      <c r="D298">
        <v>6</v>
      </c>
      <c r="E298">
        <v>23</v>
      </c>
      <c r="F298">
        <v>69.06</v>
      </c>
      <c r="G298">
        <v>0</v>
      </c>
      <c r="H298">
        <v>0</v>
      </c>
      <c r="I298">
        <v>0</v>
      </c>
      <c r="J298">
        <v>0</v>
      </c>
      <c r="K298">
        <v>62.53</v>
      </c>
      <c r="L298">
        <v>61.36</v>
      </c>
      <c r="M298">
        <v>61.03</v>
      </c>
    </row>
    <row r="299" spans="1:13" x14ac:dyDescent="0.2">
      <c r="A299" s="1">
        <v>298</v>
      </c>
      <c r="B299" t="s">
        <v>170</v>
      </c>
      <c r="C299">
        <f xml:space="preserve">  61.88</f>
        <v>61.88</v>
      </c>
      <c r="D299">
        <v>7</v>
      </c>
      <c r="E299">
        <v>23</v>
      </c>
      <c r="F299">
        <v>68</v>
      </c>
      <c r="G299">
        <v>0</v>
      </c>
      <c r="H299">
        <v>0</v>
      </c>
      <c r="I299">
        <v>0</v>
      </c>
      <c r="J299">
        <v>0</v>
      </c>
      <c r="K299">
        <v>61.93</v>
      </c>
      <c r="L299">
        <v>61.29</v>
      </c>
      <c r="M299">
        <v>62.6</v>
      </c>
    </row>
    <row r="300" spans="1:13" x14ac:dyDescent="0.2">
      <c r="A300" s="1">
        <v>299</v>
      </c>
      <c r="B300" t="s">
        <v>255</v>
      </c>
      <c r="C300">
        <f xml:space="preserve">  61.87</f>
        <v>61.87</v>
      </c>
      <c r="D300">
        <v>7</v>
      </c>
      <c r="E300">
        <v>20</v>
      </c>
      <c r="F300">
        <v>69.22</v>
      </c>
      <c r="G300">
        <v>0</v>
      </c>
      <c r="H300">
        <v>0</v>
      </c>
      <c r="I300">
        <v>0</v>
      </c>
      <c r="J300">
        <v>0</v>
      </c>
      <c r="K300">
        <v>62.14</v>
      </c>
      <c r="L300">
        <v>61.97</v>
      </c>
      <c r="M300">
        <v>60.96</v>
      </c>
    </row>
    <row r="301" spans="1:13" x14ac:dyDescent="0.2">
      <c r="A301" s="1">
        <v>300</v>
      </c>
      <c r="B301" t="s">
        <v>834</v>
      </c>
      <c r="C301">
        <f xml:space="preserve">  61.83</f>
        <v>61.83</v>
      </c>
      <c r="D301">
        <v>12</v>
      </c>
      <c r="E301">
        <v>17</v>
      </c>
      <c r="F301">
        <v>64.66</v>
      </c>
      <c r="G301">
        <v>0</v>
      </c>
      <c r="H301">
        <v>0</v>
      </c>
      <c r="I301">
        <v>0</v>
      </c>
      <c r="J301">
        <v>0</v>
      </c>
      <c r="K301">
        <v>61.37</v>
      </c>
      <c r="L301">
        <v>61.73</v>
      </c>
      <c r="M301">
        <v>63.09</v>
      </c>
    </row>
    <row r="302" spans="1:13" x14ac:dyDescent="0.2">
      <c r="A302" s="1">
        <v>301</v>
      </c>
      <c r="B302" t="s">
        <v>893</v>
      </c>
      <c r="C302">
        <f xml:space="preserve">  61.78</f>
        <v>61.78</v>
      </c>
      <c r="D302">
        <v>12</v>
      </c>
      <c r="E302">
        <v>17</v>
      </c>
      <c r="F302">
        <v>64.900000000000006</v>
      </c>
      <c r="G302">
        <v>0</v>
      </c>
      <c r="H302">
        <v>1</v>
      </c>
      <c r="I302">
        <v>0</v>
      </c>
      <c r="J302">
        <v>2</v>
      </c>
      <c r="K302">
        <v>61.96</v>
      </c>
      <c r="L302">
        <v>62.14</v>
      </c>
      <c r="M302">
        <v>60.63</v>
      </c>
    </row>
    <row r="303" spans="1:13" x14ac:dyDescent="0.2">
      <c r="A303" s="1">
        <v>302</v>
      </c>
      <c r="B303" t="s">
        <v>240</v>
      </c>
      <c r="C303">
        <f xml:space="preserve">  61.62</f>
        <v>61.62</v>
      </c>
      <c r="D303">
        <v>10</v>
      </c>
      <c r="E303">
        <v>19</v>
      </c>
      <c r="F303">
        <v>63.47</v>
      </c>
      <c r="G303">
        <v>0</v>
      </c>
      <c r="H303">
        <v>0</v>
      </c>
      <c r="I303">
        <v>0</v>
      </c>
      <c r="J303">
        <v>0</v>
      </c>
      <c r="K303">
        <v>61.53</v>
      </c>
      <c r="L303">
        <v>61.78</v>
      </c>
      <c r="M303">
        <v>61.57</v>
      </c>
    </row>
    <row r="304" spans="1:13" x14ac:dyDescent="0.2">
      <c r="A304" s="1">
        <v>303</v>
      </c>
      <c r="B304" t="s">
        <v>251</v>
      </c>
      <c r="C304">
        <f xml:space="preserve">  61.57</f>
        <v>61.57</v>
      </c>
      <c r="D304">
        <v>10</v>
      </c>
      <c r="E304">
        <v>22</v>
      </c>
      <c r="F304">
        <v>66.61</v>
      </c>
      <c r="G304">
        <v>0</v>
      </c>
      <c r="H304">
        <v>0</v>
      </c>
      <c r="I304">
        <v>0</v>
      </c>
      <c r="J304">
        <v>1</v>
      </c>
      <c r="K304">
        <v>61.35</v>
      </c>
      <c r="L304">
        <v>61.36</v>
      </c>
      <c r="M304">
        <v>62.42</v>
      </c>
    </row>
    <row r="305" spans="1:13" x14ac:dyDescent="0.2">
      <c r="A305" s="1">
        <v>304</v>
      </c>
      <c r="B305" t="s">
        <v>268</v>
      </c>
      <c r="C305">
        <v>61.4</v>
      </c>
      <c r="D305">
        <v>6</v>
      </c>
      <c r="E305">
        <v>21</v>
      </c>
      <c r="F305">
        <v>69.81</v>
      </c>
      <c r="G305">
        <v>0</v>
      </c>
      <c r="H305">
        <v>1</v>
      </c>
      <c r="I305">
        <v>0</v>
      </c>
      <c r="J305">
        <v>2</v>
      </c>
      <c r="K305">
        <v>62.07</v>
      </c>
      <c r="L305">
        <v>61.45</v>
      </c>
      <c r="M305">
        <v>59.22</v>
      </c>
    </row>
    <row r="306" spans="1:13" x14ac:dyDescent="0.2">
      <c r="A306" s="1">
        <v>305</v>
      </c>
      <c r="B306" t="s">
        <v>180</v>
      </c>
      <c r="C306">
        <f xml:space="preserve">  61.38</f>
        <v>61.38</v>
      </c>
      <c r="D306">
        <v>7</v>
      </c>
      <c r="E306">
        <v>25</v>
      </c>
      <c r="F306">
        <v>69.47</v>
      </c>
      <c r="G306">
        <v>0</v>
      </c>
      <c r="H306">
        <v>0</v>
      </c>
      <c r="I306">
        <v>0</v>
      </c>
      <c r="J306">
        <v>1</v>
      </c>
      <c r="K306">
        <v>62.22</v>
      </c>
      <c r="L306">
        <v>61.04</v>
      </c>
      <c r="M306">
        <v>59.34</v>
      </c>
    </row>
    <row r="307" spans="1:13" x14ac:dyDescent="0.2">
      <c r="A307" s="1">
        <v>306</v>
      </c>
      <c r="B307" t="s">
        <v>189</v>
      </c>
      <c r="C307">
        <f xml:space="preserve">  61.28</f>
        <v>61.28</v>
      </c>
      <c r="D307">
        <v>9</v>
      </c>
      <c r="E307">
        <v>18</v>
      </c>
      <c r="F307">
        <v>65.98</v>
      </c>
      <c r="G307">
        <v>0</v>
      </c>
      <c r="H307">
        <v>0</v>
      </c>
      <c r="I307">
        <v>0</v>
      </c>
      <c r="J307">
        <v>0</v>
      </c>
      <c r="K307">
        <v>61.54</v>
      </c>
      <c r="L307">
        <v>61.19</v>
      </c>
      <c r="M307">
        <v>60.69</v>
      </c>
    </row>
    <row r="308" spans="1:13" x14ac:dyDescent="0.2">
      <c r="A308" s="1">
        <v>307</v>
      </c>
      <c r="B308" t="s">
        <v>902</v>
      </c>
      <c r="C308">
        <f xml:space="preserve">  61.18</f>
        <v>61.18</v>
      </c>
      <c r="D308">
        <v>6</v>
      </c>
      <c r="E308">
        <v>22</v>
      </c>
      <c r="F308">
        <v>69.62</v>
      </c>
      <c r="G308">
        <v>0</v>
      </c>
      <c r="H308">
        <v>0</v>
      </c>
      <c r="I308">
        <v>0</v>
      </c>
      <c r="J308">
        <v>2</v>
      </c>
      <c r="K308">
        <v>61.78</v>
      </c>
      <c r="L308">
        <v>60.95</v>
      </c>
      <c r="M308">
        <v>59.75</v>
      </c>
    </row>
    <row r="309" spans="1:13" x14ac:dyDescent="0.2">
      <c r="A309" s="1">
        <v>308</v>
      </c>
      <c r="B309" t="s">
        <v>293</v>
      </c>
      <c r="C309">
        <f xml:space="preserve">  61.15</f>
        <v>61.15</v>
      </c>
      <c r="D309">
        <v>8</v>
      </c>
      <c r="E309">
        <v>21</v>
      </c>
      <c r="F309">
        <v>67.94</v>
      </c>
      <c r="G309">
        <v>0</v>
      </c>
      <c r="H309">
        <v>1</v>
      </c>
      <c r="I309">
        <v>0</v>
      </c>
      <c r="J309">
        <v>1</v>
      </c>
      <c r="K309">
        <v>60.99</v>
      </c>
      <c r="L309">
        <v>61.08</v>
      </c>
      <c r="M309">
        <v>61.64</v>
      </c>
    </row>
    <row r="310" spans="1:13" x14ac:dyDescent="0.2">
      <c r="A310" s="1">
        <v>309</v>
      </c>
      <c r="B310" t="s">
        <v>841</v>
      </c>
      <c r="C310">
        <f xml:space="preserve">  60.98</f>
        <v>60.98</v>
      </c>
      <c r="D310">
        <v>8</v>
      </c>
      <c r="E310">
        <v>22</v>
      </c>
      <c r="F310">
        <v>65.400000000000006</v>
      </c>
      <c r="G310">
        <v>0</v>
      </c>
      <c r="H310">
        <v>1</v>
      </c>
      <c r="I310">
        <v>0</v>
      </c>
      <c r="J310">
        <v>2</v>
      </c>
      <c r="K310">
        <v>61.59</v>
      </c>
      <c r="L310">
        <v>60.15</v>
      </c>
      <c r="M310">
        <v>60.58</v>
      </c>
    </row>
    <row r="311" spans="1:13" x14ac:dyDescent="0.2">
      <c r="A311" s="1">
        <v>310</v>
      </c>
      <c r="B311" t="s">
        <v>208</v>
      </c>
      <c r="C311">
        <f xml:space="preserve">  60.9</f>
        <v>60.9</v>
      </c>
      <c r="D311">
        <v>10</v>
      </c>
      <c r="E311">
        <v>18</v>
      </c>
      <c r="F311">
        <v>67.569999999999993</v>
      </c>
      <c r="G311">
        <v>0</v>
      </c>
      <c r="H311">
        <v>1</v>
      </c>
      <c r="I311">
        <v>0</v>
      </c>
      <c r="J311">
        <v>2</v>
      </c>
      <c r="K311">
        <v>60.5</v>
      </c>
      <c r="L311">
        <v>60.57</v>
      </c>
      <c r="M311">
        <v>62.31</v>
      </c>
    </row>
    <row r="312" spans="1:13" x14ac:dyDescent="0.2">
      <c r="A312" s="1">
        <v>311</v>
      </c>
      <c r="B312" t="s">
        <v>227</v>
      </c>
      <c r="C312">
        <f xml:space="preserve">  60.62</f>
        <v>60.62</v>
      </c>
      <c r="D312">
        <v>10</v>
      </c>
      <c r="E312">
        <v>21</v>
      </c>
      <c r="F312">
        <v>65.03</v>
      </c>
      <c r="G312">
        <v>0</v>
      </c>
      <c r="H312">
        <v>1</v>
      </c>
      <c r="I312">
        <v>0</v>
      </c>
      <c r="J312">
        <v>4</v>
      </c>
      <c r="K312">
        <v>60.66</v>
      </c>
      <c r="L312">
        <v>60.1</v>
      </c>
      <c r="M312">
        <v>61.28</v>
      </c>
    </row>
    <row r="313" spans="1:13" x14ac:dyDescent="0.2">
      <c r="A313" s="1">
        <v>312</v>
      </c>
      <c r="B313" t="s">
        <v>279</v>
      </c>
      <c r="C313">
        <f xml:space="preserve">  60.3</f>
        <v>60.3</v>
      </c>
      <c r="D313">
        <v>6</v>
      </c>
      <c r="E313">
        <v>21</v>
      </c>
      <c r="F313">
        <v>69.61</v>
      </c>
      <c r="G313">
        <v>0</v>
      </c>
      <c r="H313">
        <v>0</v>
      </c>
      <c r="I313">
        <v>0</v>
      </c>
      <c r="J313">
        <v>1</v>
      </c>
      <c r="K313">
        <v>59.99</v>
      </c>
      <c r="L313">
        <v>60.19</v>
      </c>
      <c r="M313">
        <v>61.22</v>
      </c>
    </row>
    <row r="314" spans="1:13" x14ac:dyDescent="0.2">
      <c r="A314" s="1">
        <v>313</v>
      </c>
      <c r="B314" t="s">
        <v>222</v>
      </c>
      <c r="C314">
        <f xml:space="preserve">  60.28</f>
        <v>60.28</v>
      </c>
      <c r="D314">
        <v>9</v>
      </c>
      <c r="E314">
        <v>23</v>
      </c>
      <c r="F314">
        <v>67.56</v>
      </c>
      <c r="G314">
        <v>0</v>
      </c>
      <c r="H314">
        <v>1</v>
      </c>
      <c r="I314">
        <v>0</v>
      </c>
      <c r="J314">
        <v>2</v>
      </c>
      <c r="K314">
        <v>59.59</v>
      </c>
      <c r="L314">
        <v>59.83</v>
      </c>
      <c r="M314">
        <v>62.38</v>
      </c>
    </row>
    <row r="315" spans="1:13" x14ac:dyDescent="0.2">
      <c r="A315" s="1">
        <v>314</v>
      </c>
      <c r="B315" t="s">
        <v>895</v>
      </c>
      <c r="C315">
        <f xml:space="preserve">  60.19</f>
        <v>60.19</v>
      </c>
      <c r="D315">
        <v>12</v>
      </c>
      <c r="E315">
        <v>18</v>
      </c>
      <c r="F315">
        <v>64.64</v>
      </c>
      <c r="G315">
        <v>0</v>
      </c>
      <c r="H315">
        <v>1</v>
      </c>
      <c r="I315">
        <v>0</v>
      </c>
      <c r="J315">
        <v>1</v>
      </c>
      <c r="K315">
        <v>60.08</v>
      </c>
      <c r="L315">
        <v>60.03</v>
      </c>
      <c r="M315">
        <v>60.7</v>
      </c>
    </row>
    <row r="316" spans="1:13" x14ac:dyDescent="0.2">
      <c r="A316" s="1">
        <v>315</v>
      </c>
      <c r="B316" t="s">
        <v>114</v>
      </c>
      <c r="C316">
        <f xml:space="preserve">  60.18</f>
        <v>60.18</v>
      </c>
      <c r="D316">
        <v>4</v>
      </c>
      <c r="E316">
        <v>27</v>
      </c>
      <c r="F316">
        <v>74.680000000000007</v>
      </c>
      <c r="G316">
        <v>0</v>
      </c>
      <c r="H316">
        <v>4</v>
      </c>
      <c r="I316">
        <v>0</v>
      </c>
      <c r="J316">
        <v>5</v>
      </c>
      <c r="K316">
        <v>60.46</v>
      </c>
      <c r="L316">
        <v>60.08</v>
      </c>
      <c r="M316">
        <v>59.58</v>
      </c>
    </row>
    <row r="317" spans="1:13" x14ac:dyDescent="0.2">
      <c r="A317" s="1">
        <v>316</v>
      </c>
      <c r="B317" t="s">
        <v>901</v>
      </c>
      <c r="C317">
        <f xml:space="preserve">  60.14</f>
        <v>60.14</v>
      </c>
      <c r="D317">
        <v>8</v>
      </c>
      <c r="E317">
        <v>22</v>
      </c>
      <c r="F317">
        <v>66.959999999999994</v>
      </c>
      <c r="G317">
        <v>0</v>
      </c>
      <c r="H317">
        <v>1</v>
      </c>
      <c r="I317">
        <v>0</v>
      </c>
      <c r="J317">
        <v>1</v>
      </c>
      <c r="K317">
        <v>59.79</v>
      </c>
      <c r="L317">
        <v>59.94</v>
      </c>
      <c r="M317">
        <v>61.26</v>
      </c>
    </row>
    <row r="318" spans="1:13" x14ac:dyDescent="0.2">
      <c r="A318" s="1">
        <v>317</v>
      </c>
      <c r="B318" t="s">
        <v>886</v>
      </c>
      <c r="C318">
        <v>60.11</v>
      </c>
      <c r="D318">
        <v>9</v>
      </c>
      <c r="E318">
        <v>22</v>
      </c>
      <c r="F318">
        <v>66.38</v>
      </c>
      <c r="G318">
        <v>0</v>
      </c>
      <c r="H318">
        <v>2</v>
      </c>
      <c r="I318">
        <v>0</v>
      </c>
      <c r="J318">
        <v>4</v>
      </c>
      <c r="K318">
        <v>60.1</v>
      </c>
      <c r="L318">
        <v>60.08</v>
      </c>
      <c r="M318">
        <v>60.19</v>
      </c>
    </row>
    <row r="319" spans="1:13" x14ac:dyDescent="0.2">
      <c r="A319" s="1">
        <v>318</v>
      </c>
      <c r="B319" t="s">
        <v>260</v>
      </c>
      <c r="C319">
        <f xml:space="preserve">  60.07</f>
        <v>60.07</v>
      </c>
      <c r="D319">
        <v>10</v>
      </c>
      <c r="E319">
        <v>18</v>
      </c>
      <c r="F319">
        <v>63.37</v>
      </c>
      <c r="G319">
        <v>0</v>
      </c>
      <c r="H319">
        <v>0</v>
      </c>
      <c r="I319">
        <v>0</v>
      </c>
      <c r="J319">
        <v>0</v>
      </c>
      <c r="K319">
        <v>60.8</v>
      </c>
      <c r="L319">
        <v>59.83</v>
      </c>
      <c r="M319">
        <v>58.24</v>
      </c>
    </row>
    <row r="320" spans="1:13" x14ac:dyDescent="0.2">
      <c r="A320" s="1">
        <v>319</v>
      </c>
      <c r="B320" t="s">
        <v>219</v>
      </c>
      <c r="C320">
        <f xml:space="preserve">  59.8</f>
        <v>59.8</v>
      </c>
      <c r="D320">
        <v>7</v>
      </c>
      <c r="E320">
        <v>20</v>
      </c>
      <c r="F320">
        <v>65.819999999999993</v>
      </c>
      <c r="G320">
        <v>0</v>
      </c>
      <c r="H320">
        <v>0</v>
      </c>
      <c r="I320">
        <v>0</v>
      </c>
      <c r="J320">
        <v>0</v>
      </c>
      <c r="K320">
        <v>60.48</v>
      </c>
      <c r="L320">
        <v>59.65</v>
      </c>
      <c r="M320">
        <v>57.94</v>
      </c>
    </row>
    <row r="321" spans="1:13" x14ac:dyDescent="0.2">
      <c r="A321" s="1">
        <v>320</v>
      </c>
      <c r="B321" t="s">
        <v>132</v>
      </c>
      <c r="C321">
        <f xml:space="preserve">  59.57</f>
        <v>59.57</v>
      </c>
      <c r="D321">
        <v>9</v>
      </c>
      <c r="E321">
        <v>18</v>
      </c>
      <c r="F321">
        <v>65.91</v>
      </c>
      <c r="G321">
        <v>0</v>
      </c>
      <c r="H321">
        <v>0</v>
      </c>
      <c r="I321">
        <v>0</v>
      </c>
      <c r="J321">
        <v>0</v>
      </c>
      <c r="K321">
        <v>59.73</v>
      </c>
      <c r="L321">
        <v>59.14</v>
      </c>
      <c r="M321">
        <v>59.8</v>
      </c>
    </row>
    <row r="322" spans="1:13" x14ac:dyDescent="0.2">
      <c r="A322" s="1">
        <v>321</v>
      </c>
      <c r="B322" t="s">
        <v>231</v>
      </c>
      <c r="C322">
        <f xml:space="preserve">  59.55</f>
        <v>59.55</v>
      </c>
      <c r="D322">
        <v>7</v>
      </c>
      <c r="E322">
        <v>21</v>
      </c>
      <c r="F322">
        <v>67.84</v>
      </c>
      <c r="G322">
        <v>0</v>
      </c>
      <c r="H322">
        <v>1</v>
      </c>
      <c r="I322">
        <v>0</v>
      </c>
      <c r="J322">
        <v>1</v>
      </c>
      <c r="K322">
        <v>59.47</v>
      </c>
      <c r="L322">
        <v>59.62</v>
      </c>
      <c r="M322">
        <v>59.62</v>
      </c>
    </row>
    <row r="323" spans="1:13" x14ac:dyDescent="0.2">
      <c r="A323" s="1">
        <v>322</v>
      </c>
      <c r="B323" t="s">
        <v>244</v>
      </c>
      <c r="C323">
        <f xml:space="preserve">  59.55</f>
        <v>59.55</v>
      </c>
      <c r="D323">
        <v>6</v>
      </c>
      <c r="E323">
        <v>24</v>
      </c>
      <c r="F323">
        <v>67.8</v>
      </c>
      <c r="G323">
        <v>0</v>
      </c>
      <c r="H323">
        <v>0</v>
      </c>
      <c r="I323">
        <v>0</v>
      </c>
      <c r="J323">
        <v>2</v>
      </c>
      <c r="K323">
        <v>59.78</v>
      </c>
      <c r="L323">
        <v>59.78</v>
      </c>
      <c r="M323">
        <v>58.43</v>
      </c>
    </row>
    <row r="324" spans="1:13" x14ac:dyDescent="0.2">
      <c r="A324" s="1">
        <v>323</v>
      </c>
      <c r="B324" t="s">
        <v>868</v>
      </c>
      <c r="C324">
        <f xml:space="preserve">  59.37</f>
        <v>59.37</v>
      </c>
      <c r="D324">
        <v>5</v>
      </c>
      <c r="E324">
        <v>19</v>
      </c>
      <c r="F324">
        <v>66.69</v>
      </c>
      <c r="G324">
        <v>0</v>
      </c>
      <c r="H324">
        <v>2</v>
      </c>
      <c r="I324">
        <v>0</v>
      </c>
      <c r="J324">
        <v>2</v>
      </c>
      <c r="K324">
        <v>59.25</v>
      </c>
      <c r="L324">
        <v>59.54</v>
      </c>
      <c r="M324">
        <v>59.38</v>
      </c>
    </row>
    <row r="325" spans="1:13" x14ac:dyDescent="0.2">
      <c r="A325" s="1">
        <v>324</v>
      </c>
      <c r="B325" t="s">
        <v>842</v>
      </c>
      <c r="C325">
        <f xml:space="preserve">  59.34</f>
        <v>59.34</v>
      </c>
      <c r="D325">
        <v>13</v>
      </c>
      <c r="E325">
        <v>15</v>
      </c>
      <c r="F325">
        <v>63.84</v>
      </c>
      <c r="G325">
        <v>0</v>
      </c>
      <c r="H325">
        <v>1</v>
      </c>
      <c r="I325">
        <v>0</v>
      </c>
      <c r="J325">
        <v>1</v>
      </c>
      <c r="K325">
        <v>58.13</v>
      </c>
      <c r="L325">
        <v>59.3</v>
      </c>
      <c r="M325">
        <v>61.82</v>
      </c>
    </row>
    <row r="326" spans="1:13" x14ac:dyDescent="0.2">
      <c r="A326" s="1">
        <v>325</v>
      </c>
      <c r="B326" t="s">
        <v>262</v>
      </c>
      <c r="C326">
        <f xml:space="preserve">  59.28</f>
        <v>59.28</v>
      </c>
      <c r="D326">
        <v>7</v>
      </c>
      <c r="E326">
        <v>19</v>
      </c>
      <c r="F326">
        <v>64.45</v>
      </c>
      <c r="G326">
        <v>0</v>
      </c>
      <c r="H326">
        <v>0</v>
      </c>
      <c r="I326">
        <v>0</v>
      </c>
      <c r="J326">
        <v>0</v>
      </c>
      <c r="K326">
        <v>59.66</v>
      </c>
      <c r="L326">
        <v>59.68</v>
      </c>
      <c r="M326">
        <v>57.33</v>
      </c>
    </row>
    <row r="327" spans="1:13" x14ac:dyDescent="0.2">
      <c r="A327" s="1">
        <v>326</v>
      </c>
      <c r="B327" t="s">
        <v>844</v>
      </c>
      <c r="C327">
        <f xml:space="preserve">  59.27</f>
        <v>59.27</v>
      </c>
      <c r="D327">
        <v>14</v>
      </c>
      <c r="E327">
        <v>16</v>
      </c>
      <c r="F327">
        <v>63.72</v>
      </c>
      <c r="G327">
        <v>0</v>
      </c>
      <c r="H327">
        <v>2</v>
      </c>
      <c r="I327">
        <v>0</v>
      </c>
      <c r="J327">
        <v>3</v>
      </c>
      <c r="K327">
        <v>58.09</v>
      </c>
      <c r="L327">
        <v>59.35</v>
      </c>
      <c r="M327">
        <v>61.54</v>
      </c>
    </row>
    <row r="328" spans="1:13" x14ac:dyDescent="0.2">
      <c r="A328" s="1">
        <v>327</v>
      </c>
      <c r="B328" t="s">
        <v>883</v>
      </c>
      <c r="C328">
        <v>59.24</v>
      </c>
      <c r="D328">
        <v>8</v>
      </c>
      <c r="E328">
        <v>20</v>
      </c>
      <c r="F328">
        <v>67.510000000000005</v>
      </c>
      <c r="G328">
        <v>0</v>
      </c>
      <c r="H328">
        <v>0</v>
      </c>
      <c r="I328">
        <v>0</v>
      </c>
      <c r="J328">
        <v>0</v>
      </c>
      <c r="K328">
        <v>59.31</v>
      </c>
      <c r="L328">
        <v>59.11</v>
      </c>
      <c r="M328">
        <v>59.25</v>
      </c>
    </row>
    <row r="329" spans="1:13" x14ac:dyDescent="0.2">
      <c r="A329" s="1">
        <v>328</v>
      </c>
      <c r="B329" t="s">
        <v>224</v>
      </c>
      <c r="C329">
        <f xml:space="preserve">  58.97</f>
        <v>58.97</v>
      </c>
      <c r="D329">
        <v>10</v>
      </c>
      <c r="E329">
        <v>20</v>
      </c>
      <c r="F329">
        <v>64.489999999999995</v>
      </c>
      <c r="G329">
        <v>0</v>
      </c>
      <c r="H329">
        <v>1</v>
      </c>
      <c r="I329">
        <v>0</v>
      </c>
      <c r="J329">
        <v>1</v>
      </c>
      <c r="K329">
        <v>59.43</v>
      </c>
      <c r="L329">
        <v>59.34</v>
      </c>
      <c r="M329">
        <v>56.71</v>
      </c>
    </row>
    <row r="330" spans="1:13" x14ac:dyDescent="0.2">
      <c r="A330" s="1">
        <v>329</v>
      </c>
      <c r="B330" t="s">
        <v>833</v>
      </c>
      <c r="C330">
        <f xml:space="preserve">  58.77</f>
        <v>58.77</v>
      </c>
      <c r="D330">
        <v>7</v>
      </c>
      <c r="E330">
        <v>19</v>
      </c>
      <c r="F330">
        <v>65.489999999999995</v>
      </c>
      <c r="G330">
        <v>0</v>
      </c>
      <c r="H330">
        <v>2</v>
      </c>
      <c r="I330">
        <v>0</v>
      </c>
      <c r="J330">
        <v>2</v>
      </c>
      <c r="K330">
        <v>59.21</v>
      </c>
      <c r="L330">
        <v>58.51</v>
      </c>
      <c r="M330">
        <v>57.92</v>
      </c>
    </row>
    <row r="331" spans="1:13" x14ac:dyDescent="0.2">
      <c r="A331" s="1">
        <v>330</v>
      </c>
      <c r="B331" t="s">
        <v>221</v>
      </c>
      <c r="C331">
        <f xml:space="preserve">  58.7</f>
        <v>58.7</v>
      </c>
      <c r="D331">
        <v>3</v>
      </c>
      <c r="E331">
        <v>25</v>
      </c>
      <c r="F331">
        <v>71.5</v>
      </c>
      <c r="G331">
        <v>0</v>
      </c>
      <c r="H331">
        <v>0</v>
      </c>
      <c r="I331">
        <v>0</v>
      </c>
      <c r="J331">
        <v>2</v>
      </c>
      <c r="K331">
        <v>58.41</v>
      </c>
      <c r="L331">
        <v>58.55</v>
      </c>
      <c r="M331">
        <v>59.64</v>
      </c>
    </row>
    <row r="332" spans="1:13" x14ac:dyDescent="0.2">
      <c r="A332" s="1">
        <v>331</v>
      </c>
      <c r="B332" t="s">
        <v>193</v>
      </c>
      <c r="C332">
        <f xml:space="preserve">  58.39</f>
        <v>58.39</v>
      </c>
      <c r="D332">
        <v>7</v>
      </c>
      <c r="E332">
        <v>25</v>
      </c>
      <c r="F332">
        <v>67.069999999999993</v>
      </c>
      <c r="G332">
        <v>0</v>
      </c>
      <c r="H332">
        <v>0</v>
      </c>
      <c r="I332">
        <v>0</v>
      </c>
      <c r="J332">
        <v>0</v>
      </c>
      <c r="K332">
        <v>58.87</v>
      </c>
      <c r="L332">
        <v>58.31</v>
      </c>
      <c r="M332">
        <v>57.1</v>
      </c>
    </row>
    <row r="333" spans="1:13" x14ac:dyDescent="0.2">
      <c r="A333" s="1">
        <v>332</v>
      </c>
      <c r="B333" t="s">
        <v>256</v>
      </c>
      <c r="C333">
        <f xml:space="preserve">  58.37</f>
        <v>58.37</v>
      </c>
      <c r="D333">
        <v>7</v>
      </c>
      <c r="E333">
        <v>21</v>
      </c>
      <c r="F333">
        <v>65.97</v>
      </c>
      <c r="G333">
        <v>0</v>
      </c>
      <c r="H333">
        <v>1</v>
      </c>
      <c r="I333">
        <v>0</v>
      </c>
      <c r="J333">
        <v>2</v>
      </c>
      <c r="K333">
        <v>58.92</v>
      </c>
      <c r="L333">
        <v>58.11</v>
      </c>
      <c r="M333">
        <v>57.16</v>
      </c>
    </row>
    <row r="334" spans="1:13" x14ac:dyDescent="0.2">
      <c r="A334" s="1">
        <v>333</v>
      </c>
      <c r="B334" t="s">
        <v>845</v>
      </c>
      <c r="C334">
        <f xml:space="preserve">  58.36</f>
        <v>58.36</v>
      </c>
      <c r="D334">
        <v>8</v>
      </c>
      <c r="E334">
        <v>23</v>
      </c>
      <c r="F334">
        <v>67.87</v>
      </c>
      <c r="G334">
        <v>0</v>
      </c>
      <c r="H334">
        <v>1</v>
      </c>
      <c r="I334">
        <v>0</v>
      </c>
      <c r="J334">
        <v>3</v>
      </c>
      <c r="K334">
        <v>57.71</v>
      </c>
      <c r="L334">
        <v>57.72</v>
      </c>
      <c r="M334">
        <v>60.55</v>
      </c>
    </row>
    <row r="335" spans="1:13" x14ac:dyDescent="0.2">
      <c r="A335" s="1">
        <v>334</v>
      </c>
      <c r="B335" t="s">
        <v>832</v>
      </c>
      <c r="C335">
        <f xml:space="preserve">  58.31</f>
        <v>58.31</v>
      </c>
      <c r="D335">
        <v>7</v>
      </c>
      <c r="E335">
        <v>22</v>
      </c>
      <c r="F335">
        <v>66.45</v>
      </c>
      <c r="G335">
        <v>0</v>
      </c>
      <c r="H335">
        <v>2</v>
      </c>
      <c r="I335">
        <v>0</v>
      </c>
      <c r="J335">
        <v>4</v>
      </c>
      <c r="K335">
        <v>58.31</v>
      </c>
      <c r="L335">
        <v>57.84</v>
      </c>
      <c r="M335">
        <v>59</v>
      </c>
    </row>
    <row r="336" spans="1:13" x14ac:dyDescent="0.2">
      <c r="A336" s="1">
        <v>335</v>
      </c>
      <c r="B336" t="s">
        <v>198</v>
      </c>
      <c r="C336">
        <f xml:space="preserve">  58.31</f>
        <v>58.31</v>
      </c>
      <c r="D336">
        <v>7</v>
      </c>
      <c r="E336">
        <v>22</v>
      </c>
      <c r="F336">
        <v>68.25</v>
      </c>
      <c r="G336">
        <v>0</v>
      </c>
      <c r="H336">
        <v>0</v>
      </c>
      <c r="I336">
        <v>0</v>
      </c>
      <c r="J336">
        <v>1</v>
      </c>
      <c r="K336">
        <v>58.18</v>
      </c>
      <c r="L336">
        <v>58.56</v>
      </c>
      <c r="M336">
        <v>58.21</v>
      </c>
    </row>
    <row r="337" spans="1:13" x14ac:dyDescent="0.2">
      <c r="A337" s="1">
        <v>336</v>
      </c>
      <c r="B337" t="s">
        <v>889</v>
      </c>
      <c r="C337">
        <v>57.63</v>
      </c>
      <c r="D337">
        <v>3</v>
      </c>
      <c r="E337">
        <v>24</v>
      </c>
      <c r="F337">
        <v>69.459999999999994</v>
      </c>
      <c r="G337">
        <v>0</v>
      </c>
      <c r="H337">
        <v>0</v>
      </c>
      <c r="I337">
        <v>0</v>
      </c>
      <c r="J337">
        <v>0</v>
      </c>
      <c r="K337">
        <v>57.76</v>
      </c>
      <c r="L337">
        <v>57.75</v>
      </c>
      <c r="M337">
        <v>57.06</v>
      </c>
    </row>
    <row r="338" spans="1:13" x14ac:dyDescent="0.2">
      <c r="A338" s="1">
        <v>337</v>
      </c>
      <c r="B338" t="s">
        <v>229</v>
      </c>
      <c r="C338">
        <f xml:space="preserve">  57.37</f>
        <v>57.37</v>
      </c>
      <c r="D338">
        <v>10</v>
      </c>
      <c r="E338">
        <v>21</v>
      </c>
      <c r="F338">
        <v>63.85</v>
      </c>
      <c r="G338">
        <v>0</v>
      </c>
      <c r="H338">
        <v>1</v>
      </c>
      <c r="I338">
        <v>0</v>
      </c>
      <c r="J338">
        <v>2</v>
      </c>
      <c r="K338">
        <v>57.1</v>
      </c>
      <c r="L338">
        <v>57.77</v>
      </c>
      <c r="M338">
        <v>57.41</v>
      </c>
    </row>
    <row r="339" spans="1:13" x14ac:dyDescent="0.2">
      <c r="A339" s="1">
        <v>338</v>
      </c>
      <c r="B339" t="s">
        <v>232</v>
      </c>
      <c r="C339">
        <f xml:space="preserve">  57.33</f>
        <v>57.33</v>
      </c>
      <c r="D339">
        <v>4</v>
      </c>
      <c r="E339">
        <v>26</v>
      </c>
      <c r="F339">
        <v>68.95</v>
      </c>
      <c r="G339">
        <v>0</v>
      </c>
      <c r="H339">
        <v>0</v>
      </c>
      <c r="I339">
        <v>0</v>
      </c>
      <c r="J339">
        <v>2</v>
      </c>
      <c r="K339">
        <v>57.5</v>
      </c>
      <c r="L339">
        <v>57.35</v>
      </c>
      <c r="M339">
        <v>56.79</v>
      </c>
    </row>
    <row r="340" spans="1:13" x14ac:dyDescent="0.2">
      <c r="A340" s="1">
        <v>339</v>
      </c>
      <c r="B340" t="s">
        <v>235</v>
      </c>
      <c r="C340">
        <f xml:space="preserve">  57.17</f>
        <v>57.17</v>
      </c>
      <c r="D340">
        <v>7</v>
      </c>
      <c r="E340">
        <v>24</v>
      </c>
      <c r="F340">
        <v>66.27</v>
      </c>
      <c r="G340">
        <v>0</v>
      </c>
      <c r="H340">
        <v>1</v>
      </c>
      <c r="I340">
        <v>0</v>
      </c>
      <c r="J340">
        <v>3</v>
      </c>
      <c r="K340">
        <v>56.68</v>
      </c>
      <c r="L340">
        <v>56.8</v>
      </c>
      <c r="M340">
        <v>58.75</v>
      </c>
    </row>
    <row r="341" spans="1:13" x14ac:dyDescent="0.2">
      <c r="A341" s="1">
        <v>340</v>
      </c>
      <c r="B341" t="s">
        <v>267</v>
      </c>
      <c r="C341">
        <f xml:space="preserve">  56.97</f>
        <v>56.97</v>
      </c>
      <c r="D341">
        <v>8</v>
      </c>
      <c r="E341">
        <v>22</v>
      </c>
      <c r="F341">
        <v>67.17</v>
      </c>
      <c r="G341">
        <v>0</v>
      </c>
      <c r="H341">
        <v>1</v>
      </c>
      <c r="I341">
        <v>0</v>
      </c>
      <c r="J341">
        <v>1</v>
      </c>
      <c r="K341">
        <v>56.9</v>
      </c>
      <c r="L341">
        <v>57.24</v>
      </c>
      <c r="M341">
        <v>56.71</v>
      </c>
    </row>
    <row r="342" spans="1:13" x14ac:dyDescent="0.2">
      <c r="A342" s="1">
        <v>341</v>
      </c>
      <c r="B342" t="s">
        <v>164</v>
      </c>
      <c r="C342">
        <f xml:space="preserve">  56.8</f>
        <v>56.8</v>
      </c>
      <c r="D342">
        <v>4</v>
      </c>
      <c r="E342">
        <v>24</v>
      </c>
      <c r="F342">
        <v>68.58</v>
      </c>
      <c r="G342">
        <v>0</v>
      </c>
      <c r="H342">
        <v>0</v>
      </c>
      <c r="I342">
        <v>0</v>
      </c>
      <c r="J342">
        <v>3</v>
      </c>
      <c r="K342">
        <v>56.7</v>
      </c>
      <c r="L342">
        <v>56.92</v>
      </c>
      <c r="M342">
        <v>56.87</v>
      </c>
    </row>
    <row r="343" spans="1:13" x14ac:dyDescent="0.2">
      <c r="A343" s="1">
        <v>342</v>
      </c>
      <c r="B343" t="s">
        <v>175</v>
      </c>
      <c r="C343">
        <f xml:space="preserve">  56.35</f>
        <v>56.35</v>
      </c>
      <c r="D343">
        <v>7</v>
      </c>
      <c r="E343">
        <v>23</v>
      </c>
      <c r="F343">
        <v>66.510000000000005</v>
      </c>
      <c r="G343">
        <v>0</v>
      </c>
      <c r="H343">
        <v>1</v>
      </c>
      <c r="I343">
        <v>0</v>
      </c>
      <c r="J343">
        <v>3</v>
      </c>
      <c r="K343">
        <v>56.33</v>
      </c>
      <c r="L343">
        <v>56.81</v>
      </c>
      <c r="M343">
        <v>55.56</v>
      </c>
    </row>
    <row r="344" spans="1:13" x14ac:dyDescent="0.2">
      <c r="A344" s="1">
        <v>343</v>
      </c>
      <c r="B344" t="s">
        <v>254</v>
      </c>
      <c r="C344">
        <f xml:space="preserve">  56.33</f>
        <v>56.33</v>
      </c>
      <c r="D344">
        <v>3</v>
      </c>
      <c r="E344">
        <v>25</v>
      </c>
      <c r="F344">
        <v>69.91</v>
      </c>
      <c r="G344">
        <v>0</v>
      </c>
      <c r="H344">
        <v>2</v>
      </c>
      <c r="I344">
        <v>0</v>
      </c>
      <c r="J344">
        <v>2</v>
      </c>
      <c r="K344">
        <v>56.06</v>
      </c>
      <c r="L344">
        <v>56.62</v>
      </c>
      <c r="M344">
        <v>56.53</v>
      </c>
    </row>
    <row r="345" spans="1:13" x14ac:dyDescent="0.2">
      <c r="A345" s="1">
        <v>344</v>
      </c>
      <c r="B345" t="s">
        <v>897</v>
      </c>
      <c r="C345">
        <f xml:space="preserve">  56.24</f>
        <v>56.24</v>
      </c>
      <c r="D345">
        <v>5</v>
      </c>
      <c r="E345">
        <v>22</v>
      </c>
      <c r="F345">
        <v>68.56</v>
      </c>
      <c r="G345">
        <v>0</v>
      </c>
      <c r="H345">
        <v>1</v>
      </c>
      <c r="I345">
        <v>0</v>
      </c>
      <c r="J345">
        <v>1</v>
      </c>
      <c r="K345">
        <v>55.68</v>
      </c>
      <c r="L345">
        <v>56.11</v>
      </c>
      <c r="M345">
        <v>57.66</v>
      </c>
    </row>
    <row r="346" spans="1:13" x14ac:dyDescent="0.2">
      <c r="A346" s="1">
        <v>345</v>
      </c>
      <c r="B346" t="s">
        <v>885</v>
      </c>
      <c r="C346">
        <v>55.17</v>
      </c>
      <c r="D346">
        <v>8</v>
      </c>
      <c r="E346">
        <v>27</v>
      </c>
      <c r="F346">
        <v>65.84</v>
      </c>
      <c r="G346">
        <v>0</v>
      </c>
      <c r="H346">
        <v>0</v>
      </c>
      <c r="I346">
        <v>0</v>
      </c>
      <c r="J346">
        <v>1</v>
      </c>
      <c r="K346">
        <v>54.9</v>
      </c>
      <c r="L346">
        <v>54.9</v>
      </c>
      <c r="M346">
        <v>56.16</v>
      </c>
    </row>
    <row r="347" spans="1:13" x14ac:dyDescent="0.2">
      <c r="A347" s="1">
        <v>346</v>
      </c>
      <c r="B347" t="s">
        <v>270</v>
      </c>
      <c r="C347">
        <f xml:space="preserve">  55.05</f>
        <v>55.05</v>
      </c>
      <c r="D347">
        <v>8</v>
      </c>
      <c r="E347">
        <v>25</v>
      </c>
      <c r="F347">
        <v>67.55</v>
      </c>
      <c r="G347">
        <v>0</v>
      </c>
      <c r="H347">
        <v>2</v>
      </c>
      <c r="I347">
        <v>0</v>
      </c>
      <c r="J347">
        <v>3</v>
      </c>
      <c r="K347">
        <v>54.89</v>
      </c>
      <c r="L347">
        <v>55.18</v>
      </c>
      <c r="M347">
        <v>55.22</v>
      </c>
    </row>
    <row r="348" spans="1:13" x14ac:dyDescent="0.2">
      <c r="A348" s="1">
        <v>347</v>
      </c>
      <c r="B348" t="s">
        <v>824</v>
      </c>
      <c r="C348">
        <f xml:space="preserve">  54.7</f>
        <v>54.7</v>
      </c>
      <c r="D348">
        <v>1</v>
      </c>
      <c r="E348">
        <v>28</v>
      </c>
      <c r="F348">
        <v>71.7</v>
      </c>
      <c r="G348">
        <v>0</v>
      </c>
      <c r="H348">
        <v>1</v>
      </c>
      <c r="I348">
        <v>0</v>
      </c>
      <c r="J348">
        <v>2</v>
      </c>
      <c r="K348">
        <v>55.56</v>
      </c>
      <c r="L348">
        <v>54.4</v>
      </c>
      <c r="M348">
        <v>52.11</v>
      </c>
    </row>
    <row r="349" spans="1:13" x14ac:dyDescent="0.2">
      <c r="A349" s="1">
        <v>348</v>
      </c>
      <c r="B349" t="s">
        <v>835</v>
      </c>
      <c r="C349">
        <f xml:space="preserve">  53.87</f>
        <v>53.87</v>
      </c>
      <c r="D349">
        <v>5</v>
      </c>
      <c r="E349">
        <v>25</v>
      </c>
      <c r="F349">
        <v>66.11</v>
      </c>
      <c r="G349">
        <v>0</v>
      </c>
      <c r="H349">
        <v>0</v>
      </c>
      <c r="I349">
        <v>0</v>
      </c>
      <c r="J349">
        <v>2</v>
      </c>
      <c r="K349">
        <v>53.42</v>
      </c>
      <c r="L349">
        <v>53.81</v>
      </c>
      <c r="M349">
        <v>54.96</v>
      </c>
    </row>
    <row r="350" spans="1:13" x14ac:dyDescent="0.2">
      <c r="A350" s="1">
        <v>349</v>
      </c>
      <c r="B350" t="s">
        <v>867</v>
      </c>
      <c r="C350">
        <f xml:space="preserve">  53.37</f>
        <v>53.37</v>
      </c>
      <c r="D350">
        <v>4</v>
      </c>
      <c r="E350">
        <v>24</v>
      </c>
      <c r="F350">
        <v>64.959999999999994</v>
      </c>
      <c r="G350">
        <v>0</v>
      </c>
      <c r="H350">
        <v>0</v>
      </c>
      <c r="I350">
        <v>0</v>
      </c>
      <c r="J350">
        <v>0</v>
      </c>
      <c r="K350">
        <v>54.18</v>
      </c>
      <c r="L350">
        <v>52.75</v>
      </c>
      <c r="M350">
        <v>51.68</v>
      </c>
    </row>
    <row r="351" spans="1:13" x14ac:dyDescent="0.2">
      <c r="A351" s="1">
        <v>350</v>
      </c>
      <c r="B351" t="s">
        <v>884</v>
      </c>
      <c r="C351">
        <v>52.9</v>
      </c>
      <c r="D351">
        <v>4</v>
      </c>
      <c r="E351">
        <v>25</v>
      </c>
      <c r="F351">
        <v>64.34</v>
      </c>
      <c r="G351">
        <v>0</v>
      </c>
      <c r="H351">
        <v>1</v>
      </c>
      <c r="I351">
        <v>0</v>
      </c>
      <c r="J351">
        <v>1</v>
      </c>
      <c r="K351">
        <v>52.49</v>
      </c>
      <c r="L351">
        <v>52.59</v>
      </c>
      <c r="M351">
        <v>54.19</v>
      </c>
    </row>
    <row r="352" spans="1:13" x14ac:dyDescent="0.2">
      <c r="A352" s="2">
        <v>351</v>
      </c>
      <c r="B352" t="s">
        <v>247</v>
      </c>
      <c r="C352">
        <f xml:space="preserve">  52.47</f>
        <v>52.47</v>
      </c>
      <c r="D352">
        <v>6</v>
      </c>
      <c r="E352">
        <v>21</v>
      </c>
      <c r="F352">
        <v>63.2</v>
      </c>
      <c r="G352">
        <v>0</v>
      </c>
      <c r="H352">
        <v>0</v>
      </c>
      <c r="I352">
        <v>0</v>
      </c>
      <c r="J352">
        <v>0</v>
      </c>
      <c r="K352">
        <v>52.71</v>
      </c>
      <c r="L352">
        <v>52.49</v>
      </c>
      <c r="M352">
        <v>51.71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473B-0CE6-4A58-B488-C237515E7DED}">
  <dimension ref="A1:M352"/>
  <sheetViews>
    <sheetView topLeftCell="A199" workbookViewId="0">
      <selection activeCell="G206" sqref="G206"/>
    </sheetView>
  </sheetViews>
  <sheetFormatPr baseColWidth="10" defaultColWidth="8.83203125" defaultRowHeight="15" x14ac:dyDescent="0.2"/>
  <sheetData>
    <row r="1" spans="1:13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</row>
    <row r="2" spans="1:13" x14ac:dyDescent="0.2">
      <c r="A2" s="1">
        <v>1</v>
      </c>
      <c r="B2" t="s">
        <v>15</v>
      </c>
      <c r="C2">
        <v>99.19</v>
      </c>
      <c r="D2">
        <v>38</v>
      </c>
      <c r="E2">
        <v>1</v>
      </c>
      <c r="F2">
        <v>79.510000000000005</v>
      </c>
      <c r="G2">
        <v>6</v>
      </c>
      <c r="H2">
        <v>1</v>
      </c>
      <c r="I2">
        <v>18</v>
      </c>
      <c r="J2">
        <v>1</v>
      </c>
      <c r="K2">
        <v>97.99</v>
      </c>
      <c r="L2">
        <v>99.44</v>
      </c>
      <c r="M2">
        <v>100.02</v>
      </c>
    </row>
    <row r="3" spans="1:13" x14ac:dyDescent="0.2">
      <c r="A3" s="1">
        <v>2</v>
      </c>
      <c r="B3" t="s">
        <v>9</v>
      </c>
      <c r="C3">
        <v>97.89</v>
      </c>
      <c r="D3">
        <v>35</v>
      </c>
      <c r="E3">
        <v>4</v>
      </c>
      <c r="F3">
        <v>81.790000000000006</v>
      </c>
      <c r="G3">
        <v>11</v>
      </c>
      <c r="H3">
        <v>2</v>
      </c>
      <c r="I3">
        <v>17</v>
      </c>
      <c r="J3">
        <v>4</v>
      </c>
      <c r="K3">
        <v>97.95</v>
      </c>
      <c r="L3">
        <v>96.34</v>
      </c>
      <c r="M3">
        <v>101.21</v>
      </c>
    </row>
    <row r="4" spans="1:13" x14ac:dyDescent="0.2">
      <c r="A4" s="1">
        <v>3</v>
      </c>
      <c r="B4" t="s">
        <v>43</v>
      </c>
      <c r="C4">
        <v>96.46</v>
      </c>
      <c r="D4">
        <v>36</v>
      </c>
      <c r="E4">
        <v>4</v>
      </c>
      <c r="F4">
        <v>81.540000000000006</v>
      </c>
      <c r="G4">
        <v>10</v>
      </c>
      <c r="H4">
        <v>2</v>
      </c>
      <c r="I4">
        <v>14</v>
      </c>
      <c r="J4">
        <v>3</v>
      </c>
      <c r="K4">
        <v>95.54</v>
      </c>
      <c r="L4">
        <v>95.63</v>
      </c>
      <c r="M4">
        <v>99.03</v>
      </c>
    </row>
    <row r="5" spans="1:13" x14ac:dyDescent="0.2">
      <c r="A5" s="1">
        <v>4</v>
      </c>
      <c r="B5" t="s">
        <v>6</v>
      </c>
      <c r="C5">
        <v>94.94</v>
      </c>
      <c r="D5">
        <v>34</v>
      </c>
      <c r="E5">
        <v>4</v>
      </c>
      <c r="F5">
        <v>78.92</v>
      </c>
      <c r="G5">
        <v>5</v>
      </c>
      <c r="H5">
        <v>1</v>
      </c>
      <c r="I5">
        <v>13</v>
      </c>
      <c r="J5">
        <v>1</v>
      </c>
      <c r="K5">
        <v>94.69</v>
      </c>
      <c r="L5">
        <v>94.78</v>
      </c>
      <c r="M5">
        <v>95</v>
      </c>
    </row>
    <row r="6" spans="1:13" x14ac:dyDescent="0.2">
      <c r="A6" s="1">
        <v>5</v>
      </c>
      <c r="B6" t="s">
        <v>70</v>
      </c>
      <c r="C6">
        <v>93.65</v>
      </c>
      <c r="D6">
        <v>30</v>
      </c>
      <c r="E6">
        <v>4</v>
      </c>
      <c r="F6">
        <v>79.42</v>
      </c>
      <c r="G6">
        <v>3</v>
      </c>
      <c r="H6">
        <v>4</v>
      </c>
      <c r="I6">
        <v>10</v>
      </c>
      <c r="J6">
        <v>4</v>
      </c>
      <c r="K6">
        <v>93.02</v>
      </c>
      <c r="L6">
        <v>93.49</v>
      </c>
      <c r="M6">
        <v>94.14</v>
      </c>
    </row>
    <row r="7" spans="1:13" x14ac:dyDescent="0.2">
      <c r="A7" s="1">
        <v>6</v>
      </c>
      <c r="B7" t="s">
        <v>11</v>
      </c>
      <c r="C7">
        <v>93.62</v>
      </c>
      <c r="D7">
        <v>33</v>
      </c>
      <c r="E7">
        <v>3</v>
      </c>
      <c r="F7">
        <v>78.98</v>
      </c>
      <c r="G7">
        <v>6</v>
      </c>
      <c r="H7">
        <v>1</v>
      </c>
      <c r="I7">
        <v>13</v>
      </c>
      <c r="J7">
        <v>2</v>
      </c>
      <c r="K7">
        <v>94.33</v>
      </c>
      <c r="L7">
        <v>93.74</v>
      </c>
      <c r="M7">
        <v>92.65</v>
      </c>
    </row>
    <row r="8" spans="1:13" x14ac:dyDescent="0.2">
      <c r="A8" s="1">
        <v>7</v>
      </c>
      <c r="B8" t="s">
        <v>0</v>
      </c>
      <c r="C8">
        <v>92.65</v>
      </c>
      <c r="D8">
        <v>34</v>
      </c>
      <c r="E8">
        <v>3</v>
      </c>
      <c r="F8">
        <v>75.89</v>
      </c>
      <c r="G8">
        <v>1</v>
      </c>
      <c r="H8">
        <v>2</v>
      </c>
      <c r="I8">
        <v>8</v>
      </c>
      <c r="J8">
        <v>3</v>
      </c>
      <c r="K8">
        <v>92.42</v>
      </c>
      <c r="L8">
        <v>91.69</v>
      </c>
      <c r="M8">
        <v>94.04</v>
      </c>
    </row>
    <row r="9" spans="1:13" x14ac:dyDescent="0.2">
      <c r="A9" s="1">
        <v>8</v>
      </c>
      <c r="B9" t="s">
        <v>54</v>
      </c>
      <c r="C9">
        <v>91.05</v>
      </c>
      <c r="D9">
        <v>32</v>
      </c>
      <c r="E9">
        <v>6</v>
      </c>
      <c r="F9">
        <v>79.290000000000006</v>
      </c>
      <c r="G9">
        <v>8</v>
      </c>
      <c r="H9">
        <v>3</v>
      </c>
      <c r="I9">
        <v>12</v>
      </c>
      <c r="J9">
        <v>5</v>
      </c>
      <c r="K9">
        <v>90.21</v>
      </c>
      <c r="L9">
        <v>89.72</v>
      </c>
      <c r="M9">
        <v>94.76</v>
      </c>
    </row>
    <row r="10" spans="1:13" x14ac:dyDescent="0.2">
      <c r="A10" s="1">
        <v>9</v>
      </c>
      <c r="B10" t="s">
        <v>113</v>
      </c>
      <c r="C10">
        <v>90.82</v>
      </c>
      <c r="D10">
        <v>25</v>
      </c>
      <c r="E10">
        <v>9</v>
      </c>
      <c r="F10">
        <v>79.510000000000005</v>
      </c>
      <c r="G10">
        <v>2</v>
      </c>
      <c r="H10">
        <v>4</v>
      </c>
      <c r="I10">
        <v>7</v>
      </c>
      <c r="J10">
        <v>8</v>
      </c>
      <c r="K10">
        <v>91.62</v>
      </c>
      <c r="L10">
        <v>92.2</v>
      </c>
      <c r="M10">
        <v>88.88</v>
      </c>
    </row>
    <row r="11" spans="1:13" x14ac:dyDescent="0.2">
      <c r="A11" s="1">
        <v>10</v>
      </c>
      <c r="B11" t="s">
        <v>36</v>
      </c>
      <c r="C11">
        <v>90.38</v>
      </c>
      <c r="D11">
        <v>26</v>
      </c>
      <c r="E11">
        <v>12</v>
      </c>
      <c r="F11">
        <v>82.82</v>
      </c>
      <c r="G11">
        <v>4</v>
      </c>
      <c r="H11">
        <v>0</v>
      </c>
      <c r="I11">
        <v>11</v>
      </c>
      <c r="J11">
        <v>11</v>
      </c>
      <c r="K11">
        <v>90.61</v>
      </c>
      <c r="L11">
        <v>90.66</v>
      </c>
      <c r="M11">
        <v>89.56</v>
      </c>
    </row>
    <row r="12" spans="1:13" x14ac:dyDescent="0.2">
      <c r="A12" s="1">
        <v>11</v>
      </c>
      <c r="B12" t="s">
        <v>794</v>
      </c>
      <c r="C12">
        <v>89.46</v>
      </c>
      <c r="D12">
        <v>27</v>
      </c>
      <c r="E12">
        <v>12</v>
      </c>
      <c r="F12">
        <v>81.36</v>
      </c>
      <c r="G12">
        <v>6</v>
      </c>
      <c r="H12">
        <v>6</v>
      </c>
      <c r="I12">
        <v>11</v>
      </c>
      <c r="J12">
        <v>8</v>
      </c>
      <c r="K12">
        <v>89.18</v>
      </c>
      <c r="L12">
        <v>88.6</v>
      </c>
      <c r="M12">
        <v>90.62</v>
      </c>
    </row>
    <row r="13" spans="1:13" x14ac:dyDescent="0.2">
      <c r="A13" s="1">
        <v>12</v>
      </c>
      <c r="B13" t="s">
        <v>104</v>
      </c>
      <c r="C13">
        <v>89.03</v>
      </c>
      <c r="D13">
        <v>27</v>
      </c>
      <c r="E13">
        <v>9</v>
      </c>
      <c r="F13">
        <v>80.69</v>
      </c>
      <c r="G13">
        <v>4</v>
      </c>
      <c r="H13">
        <v>7</v>
      </c>
      <c r="I13">
        <v>8</v>
      </c>
      <c r="J13">
        <v>9</v>
      </c>
      <c r="K13">
        <v>88.22</v>
      </c>
      <c r="L13">
        <v>88.88</v>
      </c>
      <c r="M13">
        <v>89.71</v>
      </c>
    </row>
    <row r="14" spans="1:13" x14ac:dyDescent="0.2">
      <c r="A14" s="1">
        <v>13</v>
      </c>
      <c r="B14" t="s">
        <v>2</v>
      </c>
      <c r="C14">
        <v>88.62</v>
      </c>
      <c r="D14">
        <v>27</v>
      </c>
      <c r="E14">
        <v>9</v>
      </c>
      <c r="F14">
        <v>82.42</v>
      </c>
      <c r="G14">
        <v>11</v>
      </c>
      <c r="H14">
        <v>6</v>
      </c>
      <c r="I14">
        <v>13</v>
      </c>
      <c r="J14">
        <v>7</v>
      </c>
      <c r="K14">
        <v>88.67</v>
      </c>
      <c r="L14">
        <v>88.19</v>
      </c>
      <c r="M14">
        <v>88.75</v>
      </c>
    </row>
    <row r="15" spans="1:13" x14ac:dyDescent="0.2">
      <c r="A15" s="1">
        <v>14</v>
      </c>
      <c r="B15" t="s">
        <v>801</v>
      </c>
      <c r="C15">
        <v>88.36</v>
      </c>
      <c r="D15">
        <v>29</v>
      </c>
      <c r="E15">
        <v>5</v>
      </c>
      <c r="F15">
        <v>75.77</v>
      </c>
      <c r="G15">
        <v>2</v>
      </c>
      <c r="H15">
        <v>3</v>
      </c>
      <c r="I15">
        <v>3</v>
      </c>
      <c r="J15">
        <v>3</v>
      </c>
      <c r="K15">
        <v>87.26</v>
      </c>
      <c r="L15">
        <v>87.99</v>
      </c>
      <c r="M15">
        <v>89.8</v>
      </c>
    </row>
    <row r="16" spans="1:13" x14ac:dyDescent="0.2">
      <c r="A16" s="1">
        <v>15</v>
      </c>
      <c r="B16" t="s">
        <v>795</v>
      </c>
      <c r="C16">
        <v>88.08</v>
      </c>
      <c r="D16">
        <v>25</v>
      </c>
      <c r="E16">
        <v>9</v>
      </c>
      <c r="F16">
        <v>80.87</v>
      </c>
      <c r="G16">
        <v>10</v>
      </c>
      <c r="H16">
        <v>4</v>
      </c>
      <c r="I16">
        <v>13</v>
      </c>
      <c r="J16">
        <v>5</v>
      </c>
      <c r="K16">
        <v>88.77</v>
      </c>
      <c r="L16">
        <v>87.92</v>
      </c>
      <c r="M16">
        <v>87.33</v>
      </c>
    </row>
    <row r="17" spans="1:13" x14ac:dyDescent="0.2">
      <c r="A17" s="1">
        <v>16</v>
      </c>
      <c r="B17" t="s">
        <v>45</v>
      </c>
      <c r="C17">
        <v>88.01</v>
      </c>
      <c r="D17">
        <v>24</v>
      </c>
      <c r="E17">
        <v>11</v>
      </c>
      <c r="F17">
        <v>81.28</v>
      </c>
      <c r="G17">
        <v>7</v>
      </c>
      <c r="H17">
        <v>7</v>
      </c>
      <c r="I17">
        <v>12</v>
      </c>
      <c r="J17">
        <v>7</v>
      </c>
      <c r="K17">
        <v>87.36</v>
      </c>
      <c r="L17">
        <v>88.91</v>
      </c>
      <c r="M17">
        <v>87.36</v>
      </c>
    </row>
    <row r="18" spans="1:13" x14ac:dyDescent="0.2">
      <c r="A18" s="1">
        <v>17</v>
      </c>
      <c r="B18" t="s">
        <v>809</v>
      </c>
      <c r="C18">
        <v>87.78</v>
      </c>
      <c r="D18">
        <v>24</v>
      </c>
      <c r="E18">
        <v>11</v>
      </c>
      <c r="F18">
        <v>78.849999999999994</v>
      </c>
      <c r="G18">
        <v>0</v>
      </c>
      <c r="H18">
        <v>8</v>
      </c>
      <c r="I18">
        <v>4</v>
      </c>
      <c r="J18">
        <v>10</v>
      </c>
      <c r="K18">
        <v>88.54</v>
      </c>
      <c r="L18">
        <v>89.37</v>
      </c>
      <c r="M18">
        <v>85.63</v>
      </c>
    </row>
    <row r="19" spans="1:13" x14ac:dyDescent="0.2">
      <c r="A19" s="1">
        <v>18</v>
      </c>
      <c r="B19" t="s">
        <v>8</v>
      </c>
      <c r="C19">
        <v>87.32</v>
      </c>
      <c r="D19">
        <v>23</v>
      </c>
      <c r="E19">
        <v>10</v>
      </c>
      <c r="F19">
        <v>80.7</v>
      </c>
      <c r="G19">
        <v>7</v>
      </c>
      <c r="H19">
        <v>5</v>
      </c>
      <c r="I19">
        <v>9</v>
      </c>
      <c r="J19">
        <v>7</v>
      </c>
      <c r="K19">
        <v>87.86</v>
      </c>
      <c r="L19">
        <v>88.19</v>
      </c>
      <c r="M19">
        <v>85.77</v>
      </c>
    </row>
    <row r="20" spans="1:13" x14ac:dyDescent="0.2">
      <c r="A20" s="1">
        <v>19</v>
      </c>
      <c r="B20" t="s">
        <v>106</v>
      </c>
      <c r="C20">
        <v>87.11</v>
      </c>
      <c r="D20">
        <v>23</v>
      </c>
      <c r="E20">
        <v>11</v>
      </c>
      <c r="F20">
        <v>80.489999999999995</v>
      </c>
      <c r="G20">
        <v>4</v>
      </c>
      <c r="H20">
        <v>8</v>
      </c>
      <c r="I20">
        <v>7</v>
      </c>
      <c r="J20">
        <v>10</v>
      </c>
      <c r="K20">
        <v>87.74</v>
      </c>
      <c r="L20">
        <v>87.58</v>
      </c>
      <c r="M20">
        <v>85.81</v>
      </c>
    </row>
    <row r="21" spans="1:13" x14ac:dyDescent="0.2">
      <c r="A21" s="1">
        <v>20</v>
      </c>
      <c r="B21" t="s">
        <v>102</v>
      </c>
      <c r="C21">
        <v>86.37</v>
      </c>
      <c r="D21">
        <v>31</v>
      </c>
      <c r="E21">
        <v>4</v>
      </c>
      <c r="F21">
        <v>74.599999999999994</v>
      </c>
      <c r="G21">
        <v>2</v>
      </c>
      <c r="H21">
        <v>2</v>
      </c>
      <c r="I21">
        <v>3</v>
      </c>
      <c r="J21">
        <v>3</v>
      </c>
      <c r="K21">
        <v>84.97</v>
      </c>
      <c r="L21">
        <v>85.57</v>
      </c>
      <c r="M21">
        <v>89.17</v>
      </c>
    </row>
    <row r="22" spans="1:13" x14ac:dyDescent="0.2">
      <c r="A22" s="1">
        <v>21</v>
      </c>
      <c r="B22" t="s">
        <v>32</v>
      </c>
      <c r="C22">
        <v>86.35</v>
      </c>
      <c r="D22">
        <v>22</v>
      </c>
      <c r="E22">
        <v>12</v>
      </c>
      <c r="F22">
        <v>80.16</v>
      </c>
      <c r="G22">
        <v>3</v>
      </c>
      <c r="H22">
        <v>7</v>
      </c>
      <c r="I22">
        <v>6</v>
      </c>
      <c r="J22">
        <v>9</v>
      </c>
      <c r="K22">
        <v>86.55</v>
      </c>
      <c r="L22">
        <v>86.99</v>
      </c>
      <c r="M22">
        <v>85.18</v>
      </c>
    </row>
    <row r="23" spans="1:13" x14ac:dyDescent="0.2">
      <c r="A23" s="1">
        <v>22</v>
      </c>
      <c r="B23" t="s">
        <v>51</v>
      </c>
      <c r="C23">
        <v>86.22</v>
      </c>
      <c r="D23">
        <v>23</v>
      </c>
      <c r="E23">
        <v>14</v>
      </c>
      <c r="F23">
        <v>80.59</v>
      </c>
      <c r="G23">
        <v>5</v>
      </c>
      <c r="H23">
        <v>5</v>
      </c>
      <c r="I23">
        <v>8</v>
      </c>
      <c r="J23">
        <v>8</v>
      </c>
      <c r="K23">
        <v>86.81</v>
      </c>
      <c r="L23">
        <v>86.83</v>
      </c>
      <c r="M23">
        <v>84.81</v>
      </c>
    </row>
    <row r="24" spans="1:13" x14ac:dyDescent="0.2">
      <c r="A24" s="1">
        <v>23</v>
      </c>
      <c r="B24" t="s">
        <v>72</v>
      </c>
      <c r="C24">
        <v>86.02</v>
      </c>
      <c r="D24">
        <v>25</v>
      </c>
      <c r="E24">
        <v>10</v>
      </c>
      <c r="F24">
        <v>80.05</v>
      </c>
      <c r="G24">
        <v>3</v>
      </c>
      <c r="H24">
        <v>9</v>
      </c>
      <c r="I24">
        <v>7</v>
      </c>
      <c r="J24">
        <v>10</v>
      </c>
      <c r="K24">
        <v>86.37</v>
      </c>
      <c r="L24">
        <v>84.93</v>
      </c>
      <c r="M24">
        <v>86.84</v>
      </c>
    </row>
    <row r="25" spans="1:13" x14ac:dyDescent="0.2">
      <c r="A25" s="1">
        <v>24</v>
      </c>
      <c r="B25" t="s">
        <v>38</v>
      </c>
      <c r="C25">
        <v>85.37</v>
      </c>
      <c r="D25">
        <v>20</v>
      </c>
      <c r="E25">
        <v>14</v>
      </c>
      <c r="F25">
        <v>80.34</v>
      </c>
      <c r="G25">
        <v>3</v>
      </c>
      <c r="H25">
        <v>1</v>
      </c>
      <c r="I25">
        <v>3</v>
      </c>
      <c r="J25">
        <v>14</v>
      </c>
      <c r="K25">
        <v>86.76</v>
      </c>
      <c r="L25">
        <v>86.68</v>
      </c>
      <c r="M25">
        <v>82.94</v>
      </c>
    </row>
    <row r="26" spans="1:13" x14ac:dyDescent="0.2">
      <c r="A26" s="1">
        <v>25</v>
      </c>
      <c r="B26" t="s">
        <v>147</v>
      </c>
      <c r="C26">
        <v>85.31</v>
      </c>
      <c r="D26">
        <v>22</v>
      </c>
      <c r="E26">
        <v>11</v>
      </c>
      <c r="F26">
        <v>80.83</v>
      </c>
      <c r="G26">
        <v>3</v>
      </c>
      <c r="H26">
        <v>8</v>
      </c>
      <c r="I26">
        <v>6</v>
      </c>
      <c r="J26">
        <v>11</v>
      </c>
      <c r="K26">
        <v>84.77</v>
      </c>
      <c r="L26">
        <v>85.86</v>
      </c>
      <c r="M26">
        <v>84.87</v>
      </c>
    </row>
    <row r="27" spans="1:13" x14ac:dyDescent="0.2">
      <c r="A27" s="1">
        <v>26</v>
      </c>
      <c r="B27" t="s">
        <v>870</v>
      </c>
      <c r="C27">
        <v>84.97</v>
      </c>
      <c r="D27">
        <v>22</v>
      </c>
      <c r="E27">
        <v>14</v>
      </c>
      <c r="F27">
        <v>80.709999999999994</v>
      </c>
      <c r="G27">
        <v>4</v>
      </c>
      <c r="H27">
        <v>7</v>
      </c>
      <c r="I27">
        <v>6</v>
      </c>
      <c r="J27">
        <v>10</v>
      </c>
      <c r="K27">
        <v>85.14</v>
      </c>
      <c r="L27">
        <v>84.63</v>
      </c>
      <c r="M27">
        <v>84.85</v>
      </c>
    </row>
    <row r="28" spans="1:13" x14ac:dyDescent="0.2">
      <c r="A28" s="1">
        <v>27</v>
      </c>
      <c r="B28" t="s">
        <v>75</v>
      </c>
      <c r="C28">
        <v>84.91</v>
      </c>
      <c r="D28">
        <v>28</v>
      </c>
      <c r="E28">
        <v>7</v>
      </c>
      <c r="F28">
        <v>79.09</v>
      </c>
      <c r="G28">
        <v>4</v>
      </c>
      <c r="H28">
        <v>5</v>
      </c>
      <c r="I28">
        <v>8</v>
      </c>
      <c r="J28">
        <v>6</v>
      </c>
      <c r="K28">
        <v>83.83</v>
      </c>
      <c r="L28">
        <v>83.71</v>
      </c>
      <c r="M28">
        <v>87.95</v>
      </c>
    </row>
    <row r="29" spans="1:13" x14ac:dyDescent="0.2">
      <c r="A29" s="1">
        <v>28</v>
      </c>
      <c r="B29" t="s">
        <v>35</v>
      </c>
      <c r="C29">
        <v>84.71</v>
      </c>
      <c r="D29">
        <v>27</v>
      </c>
      <c r="E29">
        <v>9</v>
      </c>
      <c r="F29">
        <v>77.63</v>
      </c>
      <c r="G29">
        <v>0</v>
      </c>
      <c r="H29">
        <v>4</v>
      </c>
      <c r="I29">
        <v>5</v>
      </c>
      <c r="J29">
        <v>6</v>
      </c>
      <c r="K29">
        <v>83.67</v>
      </c>
      <c r="L29">
        <v>84.64</v>
      </c>
      <c r="M29">
        <v>85.54</v>
      </c>
    </row>
    <row r="30" spans="1:13" x14ac:dyDescent="0.2">
      <c r="A30" s="1">
        <v>29</v>
      </c>
      <c r="B30" t="s">
        <v>44</v>
      </c>
      <c r="C30">
        <v>84.4</v>
      </c>
      <c r="D30">
        <v>22</v>
      </c>
      <c r="E30">
        <v>12</v>
      </c>
      <c r="F30">
        <v>80.63</v>
      </c>
      <c r="G30">
        <v>5</v>
      </c>
      <c r="H30">
        <v>6</v>
      </c>
      <c r="I30">
        <v>7</v>
      </c>
      <c r="J30">
        <v>9</v>
      </c>
      <c r="K30">
        <v>84.77</v>
      </c>
      <c r="L30">
        <v>83.93</v>
      </c>
      <c r="M30">
        <v>84.28</v>
      </c>
    </row>
    <row r="31" spans="1:13" x14ac:dyDescent="0.2">
      <c r="A31" s="1">
        <v>30</v>
      </c>
      <c r="B31" t="s">
        <v>876</v>
      </c>
      <c r="C31">
        <v>84.34</v>
      </c>
      <c r="D31">
        <v>26</v>
      </c>
      <c r="E31">
        <v>10</v>
      </c>
      <c r="F31">
        <v>77.95</v>
      </c>
      <c r="G31">
        <v>1</v>
      </c>
      <c r="H31">
        <v>3</v>
      </c>
      <c r="I31">
        <v>6</v>
      </c>
      <c r="J31">
        <v>5</v>
      </c>
      <c r="K31">
        <v>83.8</v>
      </c>
      <c r="L31">
        <v>84.17</v>
      </c>
      <c r="M31">
        <v>84.71</v>
      </c>
    </row>
    <row r="32" spans="1:13" x14ac:dyDescent="0.2">
      <c r="A32" s="1">
        <v>31</v>
      </c>
      <c r="B32" t="s">
        <v>98</v>
      </c>
      <c r="C32">
        <v>84.24</v>
      </c>
      <c r="D32">
        <v>24</v>
      </c>
      <c r="E32">
        <v>13</v>
      </c>
      <c r="F32">
        <v>78.400000000000006</v>
      </c>
      <c r="G32">
        <v>1</v>
      </c>
      <c r="H32">
        <v>5</v>
      </c>
      <c r="I32">
        <v>3</v>
      </c>
      <c r="J32">
        <v>9</v>
      </c>
      <c r="K32">
        <v>84.54</v>
      </c>
      <c r="L32">
        <v>83.56</v>
      </c>
      <c r="M32">
        <v>84.43</v>
      </c>
    </row>
    <row r="33" spans="1:13" x14ac:dyDescent="0.2">
      <c r="A33" s="1">
        <v>32</v>
      </c>
      <c r="B33" t="s">
        <v>61</v>
      </c>
      <c r="C33">
        <v>84.19</v>
      </c>
      <c r="D33">
        <v>26</v>
      </c>
      <c r="E33">
        <v>7</v>
      </c>
      <c r="F33">
        <v>75.11</v>
      </c>
      <c r="G33">
        <v>0</v>
      </c>
      <c r="H33">
        <v>1</v>
      </c>
      <c r="I33">
        <v>0</v>
      </c>
      <c r="J33">
        <v>6</v>
      </c>
      <c r="K33">
        <v>83.33</v>
      </c>
      <c r="L33">
        <v>84.29</v>
      </c>
      <c r="M33">
        <v>84.59</v>
      </c>
    </row>
    <row r="34" spans="1:13" x14ac:dyDescent="0.2">
      <c r="A34" s="1">
        <v>33</v>
      </c>
      <c r="B34" t="s">
        <v>805</v>
      </c>
      <c r="C34">
        <v>83.99</v>
      </c>
      <c r="D34">
        <v>26</v>
      </c>
      <c r="E34">
        <v>9</v>
      </c>
      <c r="F34">
        <v>75.63</v>
      </c>
      <c r="G34">
        <v>1</v>
      </c>
      <c r="H34">
        <v>2</v>
      </c>
      <c r="I34">
        <v>3</v>
      </c>
      <c r="J34">
        <v>3</v>
      </c>
      <c r="K34">
        <v>83.34</v>
      </c>
      <c r="L34">
        <v>84.03</v>
      </c>
      <c r="M34">
        <v>84.21</v>
      </c>
    </row>
    <row r="35" spans="1:13" x14ac:dyDescent="0.2">
      <c r="A35" s="1">
        <v>34</v>
      </c>
      <c r="B35" t="s">
        <v>16</v>
      </c>
      <c r="C35">
        <v>83.75</v>
      </c>
      <c r="D35">
        <v>21</v>
      </c>
      <c r="E35">
        <v>13</v>
      </c>
      <c r="F35">
        <v>79.260000000000005</v>
      </c>
      <c r="G35">
        <v>2</v>
      </c>
      <c r="H35">
        <v>5</v>
      </c>
      <c r="I35">
        <v>6</v>
      </c>
      <c r="J35">
        <v>8</v>
      </c>
      <c r="K35">
        <v>85.09</v>
      </c>
      <c r="L35">
        <v>83.79</v>
      </c>
      <c r="M35">
        <v>82.34</v>
      </c>
    </row>
    <row r="36" spans="1:13" x14ac:dyDescent="0.2">
      <c r="A36" s="1">
        <v>35</v>
      </c>
      <c r="B36" t="s">
        <v>872</v>
      </c>
      <c r="C36">
        <v>83.55</v>
      </c>
      <c r="D36">
        <v>25</v>
      </c>
      <c r="E36">
        <v>13</v>
      </c>
      <c r="F36">
        <v>78.52</v>
      </c>
      <c r="G36">
        <v>1</v>
      </c>
      <c r="H36">
        <v>6</v>
      </c>
      <c r="I36">
        <v>4</v>
      </c>
      <c r="J36">
        <v>8</v>
      </c>
      <c r="K36">
        <v>83.51</v>
      </c>
      <c r="L36">
        <v>83.18</v>
      </c>
      <c r="M36">
        <v>83.67</v>
      </c>
    </row>
    <row r="37" spans="1:13" x14ac:dyDescent="0.2">
      <c r="A37" s="1">
        <v>36</v>
      </c>
      <c r="B37" t="s">
        <v>59</v>
      </c>
      <c r="C37">
        <v>83.55</v>
      </c>
      <c r="D37">
        <v>25</v>
      </c>
      <c r="E37">
        <v>10</v>
      </c>
      <c r="F37">
        <v>78.650000000000006</v>
      </c>
      <c r="G37">
        <v>2</v>
      </c>
      <c r="H37">
        <v>4</v>
      </c>
      <c r="I37">
        <v>5</v>
      </c>
      <c r="J37">
        <v>6</v>
      </c>
      <c r="K37">
        <v>83.15</v>
      </c>
      <c r="L37">
        <v>82.2</v>
      </c>
      <c r="M37">
        <v>85.67</v>
      </c>
    </row>
    <row r="38" spans="1:13" x14ac:dyDescent="0.2">
      <c r="A38" s="1">
        <v>37</v>
      </c>
      <c r="B38" t="s">
        <v>64</v>
      </c>
      <c r="C38">
        <v>83.4</v>
      </c>
      <c r="D38">
        <v>23</v>
      </c>
      <c r="E38">
        <v>8</v>
      </c>
      <c r="F38">
        <v>75.38</v>
      </c>
      <c r="G38">
        <v>0</v>
      </c>
      <c r="H38">
        <v>3</v>
      </c>
      <c r="I38">
        <v>2</v>
      </c>
      <c r="J38">
        <v>5</v>
      </c>
      <c r="K38">
        <v>84.36</v>
      </c>
      <c r="L38">
        <v>82.7</v>
      </c>
      <c r="M38">
        <v>83.06</v>
      </c>
    </row>
    <row r="39" spans="1:13" x14ac:dyDescent="0.2">
      <c r="A39" s="1">
        <v>38</v>
      </c>
      <c r="B39" t="s">
        <v>46</v>
      </c>
      <c r="C39">
        <v>83.29</v>
      </c>
      <c r="D39">
        <v>20</v>
      </c>
      <c r="E39">
        <v>14</v>
      </c>
      <c r="F39">
        <v>79.260000000000005</v>
      </c>
      <c r="G39">
        <v>2</v>
      </c>
      <c r="H39">
        <v>8</v>
      </c>
      <c r="I39">
        <v>4</v>
      </c>
      <c r="J39">
        <v>12</v>
      </c>
      <c r="K39">
        <v>84.06</v>
      </c>
      <c r="L39">
        <v>83.19</v>
      </c>
      <c r="M39">
        <v>82.41</v>
      </c>
    </row>
    <row r="40" spans="1:13" x14ac:dyDescent="0.2">
      <c r="A40" s="1">
        <v>39</v>
      </c>
      <c r="B40" t="s">
        <v>30</v>
      </c>
      <c r="C40">
        <v>83.25</v>
      </c>
      <c r="D40">
        <v>22</v>
      </c>
      <c r="E40">
        <v>14</v>
      </c>
      <c r="F40">
        <v>79.41</v>
      </c>
      <c r="G40">
        <v>1</v>
      </c>
      <c r="H40">
        <v>8</v>
      </c>
      <c r="I40">
        <v>5</v>
      </c>
      <c r="J40">
        <v>9</v>
      </c>
      <c r="K40">
        <v>83.3</v>
      </c>
      <c r="L40">
        <v>82.37</v>
      </c>
      <c r="M40">
        <v>84</v>
      </c>
    </row>
    <row r="41" spans="1:13" x14ac:dyDescent="0.2">
      <c r="A41" s="1">
        <v>40</v>
      </c>
      <c r="B41" t="s">
        <v>286</v>
      </c>
      <c r="C41">
        <v>83.08</v>
      </c>
      <c r="D41">
        <v>21</v>
      </c>
      <c r="E41">
        <v>12</v>
      </c>
      <c r="F41">
        <v>79.319999999999993</v>
      </c>
      <c r="G41">
        <v>0</v>
      </c>
      <c r="H41">
        <v>4</v>
      </c>
      <c r="I41">
        <v>3</v>
      </c>
      <c r="J41">
        <v>7</v>
      </c>
      <c r="K41">
        <v>82.76</v>
      </c>
      <c r="L41">
        <v>83.3</v>
      </c>
      <c r="M41">
        <v>82.75</v>
      </c>
    </row>
    <row r="42" spans="1:13" x14ac:dyDescent="0.2">
      <c r="A42" s="1">
        <v>41</v>
      </c>
      <c r="B42" t="s">
        <v>58</v>
      </c>
      <c r="C42">
        <v>82.82</v>
      </c>
      <c r="D42">
        <v>23</v>
      </c>
      <c r="E42">
        <v>10</v>
      </c>
      <c r="F42">
        <v>75.75</v>
      </c>
      <c r="G42">
        <v>1</v>
      </c>
      <c r="H42">
        <v>3</v>
      </c>
      <c r="I42">
        <v>2</v>
      </c>
      <c r="J42">
        <v>5</v>
      </c>
      <c r="K42">
        <v>83.39</v>
      </c>
      <c r="L42">
        <v>84.02</v>
      </c>
      <c r="M42">
        <v>80.849999999999994</v>
      </c>
    </row>
    <row r="43" spans="1:13" x14ac:dyDescent="0.2">
      <c r="A43" s="1">
        <v>42</v>
      </c>
      <c r="B43" t="s">
        <v>62</v>
      </c>
      <c r="C43">
        <v>82.75</v>
      </c>
      <c r="D43">
        <v>27</v>
      </c>
      <c r="E43">
        <v>9</v>
      </c>
      <c r="F43">
        <v>75.72</v>
      </c>
      <c r="G43">
        <v>0</v>
      </c>
      <c r="H43">
        <v>1</v>
      </c>
      <c r="I43">
        <v>2</v>
      </c>
      <c r="J43">
        <v>4</v>
      </c>
      <c r="K43">
        <v>81.45</v>
      </c>
      <c r="L43">
        <v>82.8</v>
      </c>
      <c r="M43">
        <v>83.74</v>
      </c>
    </row>
    <row r="44" spans="1:13" x14ac:dyDescent="0.2">
      <c r="A44" s="1">
        <v>43</v>
      </c>
      <c r="B44" t="s">
        <v>790</v>
      </c>
      <c r="C44">
        <v>82.75</v>
      </c>
      <c r="D44">
        <v>17</v>
      </c>
      <c r="E44">
        <v>14</v>
      </c>
      <c r="F44">
        <v>80.790000000000006</v>
      </c>
      <c r="G44">
        <v>5</v>
      </c>
      <c r="H44">
        <v>8</v>
      </c>
      <c r="I44">
        <v>5</v>
      </c>
      <c r="J44">
        <v>10</v>
      </c>
      <c r="K44">
        <v>83.05</v>
      </c>
      <c r="L44">
        <v>83.17</v>
      </c>
      <c r="M44">
        <v>81.67</v>
      </c>
    </row>
    <row r="45" spans="1:13" x14ac:dyDescent="0.2">
      <c r="A45" s="1">
        <v>44</v>
      </c>
      <c r="B45" t="s">
        <v>99</v>
      </c>
      <c r="C45">
        <v>82.68</v>
      </c>
      <c r="D45">
        <v>23</v>
      </c>
      <c r="E45">
        <v>11</v>
      </c>
      <c r="F45">
        <v>75.760000000000005</v>
      </c>
      <c r="G45">
        <v>0</v>
      </c>
      <c r="H45">
        <v>2</v>
      </c>
      <c r="I45">
        <v>5</v>
      </c>
      <c r="J45">
        <v>3</v>
      </c>
      <c r="K45">
        <v>83.47</v>
      </c>
      <c r="L45">
        <v>82.41</v>
      </c>
      <c r="M45">
        <v>81.96</v>
      </c>
    </row>
    <row r="46" spans="1:13" x14ac:dyDescent="0.2">
      <c r="A46" s="1">
        <v>45</v>
      </c>
      <c r="B46" t="s">
        <v>55</v>
      </c>
      <c r="C46">
        <v>82.54</v>
      </c>
      <c r="D46">
        <v>20</v>
      </c>
      <c r="E46">
        <v>12</v>
      </c>
      <c r="F46">
        <v>80.05</v>
      </c>
      <c r="G46">
        <v>3</v>
      </c>
      <c r="H46">
        <v>7</v>
      </c>
      <c r="I46">
        <v>6</v>
      </c>
      <c r="J46">
        <v>9</v>
      </c>
      <c r="K46">
        <v>82.34</v>
      </c>
      <c r="L46">
        <v>82.17</v>
      </c>
      <c r="M46">
        <v>82.83</v>
      </c>
    </row>
    <row r="47" spans="1:13" x14ac:dyDescent="0.2">
      <c r="A47" s="1">
        <v>46</v>
      </c>
      <c r="B47" t="s">
        <v>76</v>
      </c>
      <c r="C47">
        <v>82.52</v>
      </c>
      <c r="D47">
        <v>20</v>
      </c>
      <c r="E47">
        <v>14</v>
      </c>
      <c r="F47">
        <v>77.33</v>
      </c>
      <c r="G47">
        <v>0</v>
      </c>
      <c r="H47">
        <v>2</v>
      </c>
      <c r="I47">
        <v>2</v>
      </c>
      <c r="J47">
        <v>8</v>
      </c>
      <c r="K47">
        <v>83.57</v>
      </c>
      <c r="L47">
        <v>83.3</v>
      </c>
      <c r="M47">
        <v>80.569999999999993</v>
      </c>
    </row>
    <row r="48" spans="1:13" x14ac:dyDescent="0.2">
      <c r="A48" s="1">
        <v>47</v>
      </c>
      <c r="B48" t="s">
        <v>60</v>
      </c>
      <c r="C48">
        <v>82.52</v>
      </c>
      <c r="D48">
        <v>16</v>
      </c>
      <c r="E48">
        <v>17</v>
      </c>
      <c r="F48">
        <v>80.27</v>
      </c>
      <c r="G48">
        <v>0</v>
      </c>
      <c r="H48">
        <v>6</v>
      </c>
      <c r="I48">
        <v>2</v>
      </c>
      <c r="J48">
        <v>11</v>
      </c>
      <c r="K48">
        <v>83.76</v>
      </c>
      <c r="L48">
        <v>84.25</v>
      </c>
      <c r="M48">
        <v>79.72</v>
      </c>
    </row>
    <row r="49" spans="1:13" x14ac:dyDescent="0.2">
      <c r="A49" s="1">
        <v>48</v>
      </c>
      <c r="B49" t="s">
        <v>73</v>
      </c>
      <c r="C49">
        <v>82.37</v>
      </c>
      <c r="D49">
        <v>18</v>
      </c>
      <c r="E49">
        <v>13</v>
      </c>
      <c r="F49">
        <v>78.83</v>
      </c>
      <c r="G49">
        <v>3</v>
      </c>
      <c r="H49">
        <v>5</v>
      </c>
      <c r="I49">
        <v>3</v>
      </c>
      <c r="J49">
        <v>8</v>
      </c>
      <c r="K49">
        <v>82.68</v>
      </c>
      <c r="L49">
        <v>83.01</v>
      </c>
      <c r="M49">
        <v>81.069999999999993</v>
      </c>
    </row>
    <row r="50" spans="1:13" x14ac:dyDescent="0.2">
      <c r="A50" s="1">
        <v>49</v>
      </c>
      <c r="B50" t="s">
        <v>139</v>
      </c>
      <c r="C50">
        <v>82.36</v>
      </c>
      <c r="D50">
        <v>26</v>
      </c>
      <c r="E50">
        <v>5</v>
      </c>
      <c r="F50">
        <v>69.2</v>
      </c>
      <c r="G50">
        <v>0</v>
      </c>
      <c r="H50">
        <v>4</v>
      </c>
      <c r="I50">
        <v>0</v>
      </c>
      <c r="J50">
        <v>4</v>
      </c>
      <c r="K50">
        <v>82.1</v>
      </c>
      <c r="L50">
        <v>81.900000000000006</v>
      </c>
      <c r="M50">
        <v>82.83</v>
      </c>
    </row>
    <row r="51" spans="1:13" x14ac:dyDescent="0.2">
      <c r="A51" s="1">
        <v>50</v>
      </c>
      <c r="B51" t="s">
        <v>273</v>
      </c>
      <c r="C51">
        <v>82.26</v>
      </c>
      <c r="D51">
        <v>22</v>
      </c>
      <c r="E51">
        <v>11</v>
      </c>
      <c r="F51">
        <v>76.98</v>
      </c>
      <c r="G51">
        <v>1</v>
      </c>
      <c r="H51">
        <v>1</v>
      </c>
      <c r="I51">
        <v>6</v>
      </c>
      <c r="J51">
        <v>2</v>
      </c>
      <c r="K51">
        <v>82.43</v>
      </c>
      <c r="L51">
        <v>82.16</v>
      </c>
      <c r="M51">
        <v>81.849999999999994</v>
      </c>
    </row>
    <row r="52" spans="1:13" x14ac:dyDescent="0.2">
      <c r="A52" s="1">
        <v>51</v>
      </c>
      <c r="B52" t="s">
        <v>797</v>
      </c>
      <c r="C52">
        <v>82.12</v>
      </c>
      <c r="D52">
        <v>23</v>
      </c>
      <c r="E52">
        <v>9</v>
      </c>
      <c r="F52">
        <v>73.92</v>
      </c>
      <c r="G52">
        <v>0</v>
      </c>
      <c r="H52">
        <v>1</v>
      </c>
      <c r="I52">
        <v>2</v>
      </c>
      <c r="J52">
        <v>3</v>
      </c>
      <c r="K52">
        <v>81.92</v>
      </c>
      <c r="L52">
        <v>82.51</v>
      </c>
      <c r="M52">
        <v>81.48</v>
      </c>
    </row>
    <row r="53" spans="1:13" x14ac:dyDescent="0.2">
      <c r="A53" s="1">
        <v>52</v>
      </c>
      <c r="B53" t="s">
        <v>103</v>
      </c>
      <c r="C53">
        <v>82.1</v>
      </c>
      <c r="D53">
        <v>17</v>
      </c>
      <c r="E53">
        <v>15</v>
      </c>
      <c r="F53">
        <v>78.95</v>
      </c>
      <c r="G53">
        <v>2</v>
      </c>
      <c r="H53">
        <v>6</v>
      </c>
      <c r="I53">
        <v>4</v>
      </c>
      <c r="J53">
        <v>10</v>
      </c>
      <c r="K53">
        <v>83.41</v>
      </c>
      <c r="L53">
        <v>82.92</v>
      </c>
      <c r="M53">
        <v>79.94</v>
      </c>
    </row>
    <row r="54" spans="1:13" x14ac:dyDescent="0.2">
      <c r="A54" s="1">
        <v>53</v>
      </c>
      <c r="B54" t="s">
        <v>798</v>
      </c>
      <c r="C54">
        <v>82.03</v>
      </c>
      <c r="D54">
        <v>27</v>
      </c>
      <c r="E54">
        <v>6</v>
      </c>
      <c r="F54">
        <v>71.42</v>
      </c>
      <c r="G54">
        <v>0</v>
      </c>
      <c r="H54">
        <v>1</v>
      </c>
      <c r="I54">
        <v>0</v>
      </c>
      <c r="J54">
        <v>1</v>
      </c>
      <c r="K54">
        <v>81.34</v>
      </c>
      <c r="L54">
        <v>81.47</v>
      </c>
      <c r="M54">
        <v>83.12</v>
      </c>
    </row>
    <row r="55" spans="1:13" x14ac:dyDescent="0.2">
      <c r="A55" s="1">
        <v>54</v>
      </c>
      <c r="B55" t="s">
        <v>100</v>
      </c>
      <c r="C55">
        <v>81.849999999999994</v>
      </c>
      <c r="D55">
        <v>21</v>
      </c>
      <c r="E55">
        <v>13</v>
      </c>
      <c r="F55">
        <v>78.23</v>
      </c>
      <c r="G55">
        <v>0</v>
      </c>
      <c r="H55">
        <v>2</v>
      </c>
      <c r="I55">
        <v>6</v>
      </c>
      <c r="J55">
        <v>9</v>
      </c>
      <c r="K55">
        <v>81.52</v>
      </c>
      <c r="L55">
        <v>82.35</v>
      </c>
      <c r="M55">
        <v>81.23</v>
      </c>
    </row>
    <row r="56" spans="1:13" x14ac:dyDescent="0.2">
      <c r="A56" s="1">
        <v>55</v>
      </c>
      <c r="B56" t="s">
        <v>34</v>
      </c>
      <c r="C56">
        <v>81.7</v>
      </c>
      <c r="D56">
        <v>19</v>
      </c>
      <c r="E56">
        <v>14</v>
      </c>
      <c r="F56">
        <v>78.86</v>
      </c>
      <c r="G56">
        <v>2</v>
      </c>
      <c r="H56">
        <v>5</v>
      </c>
      <c r="I56">
        <v>4</v>
      </c>
      <c r="J56">
        <v>9</v>
      </c>
      <c r="K56">
        <v>81.77</v>
      </c>
      <c r="L56">
        <v>82.4</v>
      </c>
      <c r="M56">
        <v>80.53</v>
      </c>
    </row>
    <row r="57" spans="1:13" x14ac:dyDescent="0.2">
      <c r="A57" s="1">
        <v>56</v>
      </c>
      <c r="B57" t="s">
        <v>49</v>
      </c>
      <c r="C57">
        <v>81.31</v>
      </c>
      <c r="D57">
        <v>18</v>
      </c>
      <c r="E57">
        <v>15</v>
      </c>
      <c r="F57">
        <v>77.709999999999994</v>
      </c>
      <c r="G57">
        <v>0</v>
      </c>
      <c r="H57">
        <v>3</v>
      </c>
      <c r="I57">
        <v>1</v>
      </c>
      <c r="J57">
        <v>14</v>
      </c>
      <c r="K57">
        <v>82.35</v>
      </c>
      <c r="L57">
        <v>81.87</v>
      </c>
      <c r="M57">
        <v>79.53</v>
      </c>
    </row>
    <row r="58" spans="1:13" x14ac:dyDescent="0.2">
      <c r="A58" s="1">
        <v>57</v>
      </c>
      <c r="B58" t="s">
        <v>42</v>
      </c>
      <c r="C58">
        <v>81.16</v>
      </c>
      <c r="D58">
        <v>18</v>
      </c>
      <c r="E58">
        <v>15</v>
      </c>
      <c r="F58">
        <v>78.97</v>
      </c>
      <c r="G58">
        <v>0</v>
      </c>
      <c r="H58">
        <v>5</v>
      </c>
      <c r="I58">
        <v>1</v>
      </c>
      <c r="J58">
        <v>13</v>
      </c>
      <c r="K58">
        <v>80.89</v>
      </c>
      <c r="L58">
        <v>81.96</v>
      </c>
      <c r="M58">
        <v>80.17</v>
      </c>
    </row>
    <row r="59" spans="1:13" x14ac:dyDescent="0.2">
      <c r="A59" s="1">
        <v>58</v>
      </c>
      <c r="B59" t="s">
        <v>818</v>
      </c>
      <c r="C59">
        <v>81.040000000000006</v>
      </c>
      <c r="D59">
        <v>21</v>
      </c>
      <c r="E59">
        <v>13</v>
      </c>
      <c r="F59">
        <v>75.89</v>
      </c>
      <c r="G59">
        <v>1</v>
      </c>
      <c r="H59">
        <v>5</v>
      </c>
      <c r="I59">
        <v>1</v>
      </c>
      <c r="J59">
        <v>6</v>
      </c>
      <c r="K59">
        <v>80.64</v>
      </c>
      <c r="L59">
        <v>81.05</v>
      </c>
      <c r="M59">
        <v>81.040000000000006</v>
      </c>
    </row>
    <row r="60" spans="1:13" x14ac:dyDescent="0.2">
      <c r="A60" s="1">
        <v>59</v>
      </c>
      <c r="B60" t="s">
        <v>57</v>
      </c>
      <c r="C60">
        <v>80.900000000000006</v>
      </c>
      <c r="D60">
        <v>21</v>
      </c>
      <c r="E60">
        <v>12</v>
      </c>
      <c r="F60">
        <v>76.739999999999995</v>
      </c>
      <c r="G60">
        <v>0</v>
      </c>
      <c r="H60">
        <v>2</v>
      </c>
      <c r="I60">
        <v>4</v>
      </c>
      <c r="J60">
        <v>6</v>
      </c>
      <c r="K60">
        <v>81.33</v>
      </c>
      <c r="L60">
        <v>81.099999999999994</v>
      </c>
      <c r="M60">
        <v>79.94</v>
      </c>
    </row>
    <row r="61" spans="1:13" x14ac:dyDescent="0.2">
      <c r="A61" s="1">
        <v>60</v>
      </c>
      <c r="B61" t="s">
        <v>129</v>
      </c>
      <c r="C61">
        <v>80.8</v>
      </c>
      <c r="D61">
        <v>22</v>
      </c>
      <c r="E61">
        <v>10</v>
      </c>
      <c r="F61">
        <v>74.81</v>
      </c>
      <c r="G61">
        <v>0</v>
      </c>
      <c r="H61">
        <v>1</v>
      </c>
      <c r="I61">
        <v>0</v>
      </c>
      <c r="J61">
        <v>7</v>
      </c>
      <c r="K61">
        <v>80.09</v>
      </c>
      <c r="L61">
        <v>81.17</v>
      </c>
      <c r="M61">
        <v>80.69</v>
      </c>
    </row>
    <row r="62" spans="1:13" x14ac:dyDescent="0.2">
      <c r="A62" s="1">
        <v>61</v>
      </c>
      <c r="B62" t="s">
        <v>280</v>
      </c>
      <c r="C62">
        <v>80.64</v>
      </c>
      <c r="D62">
        <v>27</v>
      </c>
      <c r="E62">
        <v>8</v>
      </c>
      <c r="F62">
        <v>72.540000000000006</v>
      </c>
      <c r="G62">
        <v>0</v>
      </c>
      <c r="H62">
        <v>0</v>
      </c>
      <c r="I62">
        <v>2</v>
      </c>
      <c r="J62">
        <v>1</v>
      </c>
      <c r="K62">
        <v>80.45</v>
      </c>
      <c r="L62">
        <v>80.11</v>
      </c>
      <c r="M62">
        <v>81.13</v>
      </c>
    </row>
    <row r="63" spans="1:13" x14ac:dyDescent="0.2">
      <c r="A63" s="1">
        <v>62</v>
      </c>
      <c r="B63" t="s">
        <v>112</v>
      </c>
      <c r="C63">
        <v>80.55</v>
      </c>
      <c r="D63">
        <v>26</v>
      </c>
      <c r="E63">
        <v>11</v>
      </c>
      <c r="F63">
        <v>74.88</v>
      </c>
      <c r="G63">
        <v>1</v>
      </c>
      <c r="H63">
        <v>2</v>
      </c>
      <c r="I63">
        <v>2</v>
      </c>
      <c r="J63">
        <v>7</v>
      </c>
      <c r="K63">
        <v>79.61</v>
      </c>
      <c r="L63">
        <v>80.03</v>
      </c>
      <c r="M63">
        <v>81.87</v>
      </c>
    </row>
    <row r="64" spans="1:13" x14ac:dyDescent="0.2">
      <c r="A64" s="1">
        <v>63</v>
      </c>
      <c r="B64" t="s">
        <v>116</v>
      </c>
      <c r="C64">
        <v>80.45</v>
      </c>
      <c r="D64">
        <v>23</v>
      </c>
      <c r="E64">
        <v>10</v>
      </c>
      <c r="F64">
        <v>74.2</v>
      </c>
      <c r="G64">
        <v>0</v>
      </c>
      <c r="H64">
        <v>3</v>
      </c>
      <c r="I64">
        <v>0</v>
      </c>
      <c r="J64">
        <v>3</v>
      </c>
      <c r="K64">
        <v>80.28</v>
      </c>
      <c r="L64">
        <v>80.650000000000006</v>
      </c>
      <c r="M64">
        <v>80.010000000000005</v>
      </c>
    </row>
    <row r="65" spans="1:13" x14ac:dyDescent="0.2">
      <c r="A65" s="1">
        <v>64</v>
      </c>
      <c r="B65" t="s">
        <v>810</v>
      </c>
      <c r="C65">
        <v>80.290000000000006</v>
      </c>
      <c r="D65">
        <v>26</v>
      </c>
      <c r="E65">
        <v>7</v>
      </c>
      <c r="F65">
        <v>73.12</v>
      </c>
      <c r="G65">
        <v>0</v>
      </c>
      <c r="H65">
        <v>0</v>
      </c>
      <c r="I65">
        <v>1</v>
      </c>
      <c r="J65">
        <v>2</v>
      </c>
      <c r="K65">
        <v>80.08</v>
      </c>
      <c r="L65">
        <v>79.739999999999995</v>
      </c>
      <c r="M65">
        <v>80.81</v>
      </c>
    </row>
    <row r="66" spans="1:13" x14ac:dyDescent="0.2">
      <c r="A66" s="1">
        <v>65</v>
      </c>
      <c r="B66" t="s">
        <v>811</v>
      </c>
      <c r="C66">
        <v>80.08</v>
      </c>
      <c r="D66">
        <v>18</v>
      </c>
      <c r="E66">
        <v>16</v>
      </c>
      <c r="F66">
        <v>78.25</v>
      </c>
      <c r="G66">
        <v>1</v>
      </c>
      <c r="H66">
        <v>3</v>
      </c>
      <c r="I66">
        <v>3</v>
      </c>
      <c r="J66">
        <v>7</v>
      </c>
      <c r="K66">
        <v>79.13</v>
      </c>
      <c r="L66">
        <v>80.739999999999995</v>
      </c>
      <c r="M66">
        <v>79.89</v>
      </c>
    </row>
    <row r="67" spans="1:13" x14ac:dyDescent="0.2">
      <c r="A67" s="1">
        <v>66</v>
      </c>
      <c r="B67" t="s">
        <v>39</v>
      </c>
      <c r="C67">
        <v>80.06</v>
      </c>
      <c r="D67">
        <v>15</v>
      </c>
      <c r="E67">
        <v>16</v>
      </c>
      <c r="F67">
        <v>80.930000000000007</v>
      </c>
      <c r="G67">
        <v>1</v>
      </c>
      <c r="H67">
        <v>8</v>
      </c>
      <c r="I67">
        <v>3</v>
      </c>
      <c r="J67">
        <v>12</v>
      </c>
      <c r="K67">
        <v>79.75</v>
      </c>
      <c r="L67">
        <v>79.989999999999995</v>
      </c>
      <c r="M67">
        <v>80.08</v>
      </c>
    </row>
    <row r="68" spans="1:13" x14ac:dyDescent="0.2">
      <c r="A68" s="1">
        <v>67</v>
      </c>
      <c r="B68" t="s">
        <v>80</v>
      </c>
      <c r="C68">
        <v>80.03</v>
      </c>
      <c r="D68">
        <v>21</v>
      </c>
      <c r="E68">
        <v>14</v>
      </c>
      <c r="F68">
        <v>75.83</v>
      </c>
      <c r="G68">
        <v>0</v>
      </c>
      <c r="H68">
        <v>1</v>
      </c>
      <c r="I68">
        <v>3</v>
      </c>
      <c r="J68">
        <v>6</v>
      </c>
      <c r="K68">
        <v>79.739999999999995</v>
      </c>
      <c r="L68">
        <v>80.459999999999994</v>
      </c>
      <c r="M68">
        <v>79.45</v>
      </c>
    </row>
    <row r="69" spans="1:13" x14ac:dyDescent="0.2">
      <c r="A69" s="1">
        <v>68</v>
      </c>
      <c r="B69" t="s">
        <v>284</v>
      </c>
      <c r="C69">
        <v>80.010000000000005</v>
      </c>
      <c r="D69">
        <v>25</v>
      </c>
      <c r="E69">
        <v>6</v>
      </c>
      <c r="F69">
        <v>71.45</v>
      </c>
      <c r="G69">
        <v>0</v>
      </c>
      <c r="H69">
        <v>0</v>
      </c>
      <c r="I69">
        <v>0</v>
      </c>
      <c r="J69">
        <v>1</v>
      </c>
      <c r="K69">
        <v>79.34</v>
      </c>
      <c r="L69">
        <v>79.59</v>
      </c>
      <c r="M69">
        <v>80.84</v>
      </c>
    </row>
    <row r="70" spans="1:13" x14ac:dyDescent="0.2">
      <c r="A70" s="1">
        <v>69</v>
      </c>
      <c r="B70" t="s">
        <v>101</v>
      </c>
      <c r="C70">
        <v>79.94</v>
      </c>
      <c r="D70">
        <v>26</v>
      </c>
      <c r="E70">
        <v>9</v>
      </c>
      <c r="F70">
        <v>72.150000000000006</v>
      </c>
      <c r="G70">
        <v>0</v>
      </c>
      <c r="H70">
        <v>0</v>
      </c>
      <c r="I70">
        <v>0</v>
      </c>
      <c r="J70">
        <v>2</v>
      </c>
      <c r="K70">
        <v>79.39</v>
      </c>
      <c r="L70">
        <v>79.260000000000005</v>
      </c>
      <c r="M70">
        <v>81.02</v>
      </c>
    </row>
    <row r="71" spans="1:13" x14ac:dyDescent="0.2">
      <c r="A71" s="1">
        <v>70</v>
      </c>
      <c r="B71" t="s">
        <v>96</v>
      </c>
      <c r="C71">
        <v>79.930000000000007</v>
      </c>
      <c r="D71">
        <v>16</v>
      </c>
      <c r="E71">
        <v>16</v>
      </c>
      <c r="F71">
        <v>78.959999999999994</v>
      </c>
      <c r="G71">
        <v>1</v>
      </c>
      <c r="H71">
        <v>3</v>
      </c>
      <c r="I71">
        <v>4</v>
      </c>
      <c r="J71">
        <v>9</v>
      </c>
      <c r="K71">
        <v>79.680000000000007</v>
      </c>
      <c r="L71">
        <v>81.209999999999994</v>
      </c>
      <c r="M71">
        <v>78.45</v>
      </c>
    </row>
    <row r="72" spans="1:13" x14ac:dyDescent="0.2">
      <c r="A72" s="1">
        <v>71</v>
      </c>
      <c r="B72" t="s">
        <v>808</v>
      </c>
      <c r="C72">
        <v>79.87</v>
      </c>
      <c r="D72">
        <v>24</v>
      </c>
      <c r="E72">
        <v>10</v>
      </c>
      <c r="F72">
        <v>72.03</v>
      </c>
      <c r="G72">
        <v>1</v>
      </c>
      <c r="H72">
        <v>2</v>
      </c>
      <c r="I72">
        <v>1</v>
      </c>
      <c r="J72">
        <v>2</v>
      </c>
      <c r="K72">
        <v>79.48</v>
      </c>
      <c r="L72">
        <v>80.08</v>
      </c>
      <c r="M72">
        <v>79.63</v>
      </c>
    </row>
    <row r="73" spans="1:13" x14ac:dyDescent="0.2">
      <c r="A73" s="1">
        <v>72</v>
      </c>
      <c r="B73" t="s">
        <v>187</v>
      </c>
      <c r="C73">
        <v>79.87</v>
      </c>
      <c r="D73">
        <v>22</v>
      </c>
      <c r="E73">
        <v>13</v>
      </c>
      <c r="F73">
        <v>75.7</v>
      </c>
      <c r="G73">
        <v>1</v>
      </c>
      <c r="H73">
        <v>1</v>
      </c>
      <c r="I73">
        <v>2</v>
      </c>
      <c r="J73">
        <v>5</v>
      </c>
      <c r="K73">
        <v>79.430000000000007</v>
      </c>
      <c r="L73">
        <v>79.95</v>
      </c>
      <c r="M73">
        <v>79.81</v>
      </c>
    </row>
    <row r="74" spans="1:13" x14ac:dyDescent="0.2">
      <c r="A74" s="1">
        <v>73</v>
      </c>
      <c r="B74" t="s">
        <v>48</v>
      </c>
      <c r="C74">
        <v>79.569999999999993</v>
      </c>
      <c r="D74">
        <v>16</v>
      </c>
      <c r="E74">
        <v>15</v>
      </c>
      <c r="F74">
        <v>79.12</v>
      </c>
      <c r="G74">
        <v>2</v>
      </c>
      <c r="H74">
        <v>7</v>
      </c>
      <c r="I74">
        <v>3</v>
      </c>
      <c r="J74">
        <v>11</v>
      </c>
      <c r="K74">
        <v>80.599999999999994</v>
      </c>
      <c r="L74">
        <v>79.099999999999994</v>
      </c>
      <c r="M74">
        <v>78.86</v>
      </c>
    </row>
    <row r="75" spans="1:13" x14ac:dyDescent="0.2">
      <c r="A75" s="1">
        <v>74</v>
      </c>
      <c r="B75" t="s">
        <v>875</v>
      </c>
      <c r="C75">
        <v>79.3</v>
      </c>
      <c r="D75">
        <v>20</v>
      </c>
      <c r="E75">
        <v>10</v>
      </c>
      <c r="F75">
        <v>74.58</v>
      </c>
      <c r="G75">
        <v>0</v>
      </c>
      <c r="H75">
        <v>2</v>
      </c>
      <c r="I75">
        <v>1</v>
      </c>
      <c r="J75">
        <v>5</v>
      </c>
      <c r="K75">
        <v>80.16</v>
      </c>
      <c r="L75">
        <v>79.400000000000006</v>
      </c>
      <c r="M75">
        <v>78.069999999999993</v>
      </c>
    </row>
    <row r="76" spans="1:13" x14ac:dyDescent="0.2">
      <c r="A76" s="1">
        <v>75</v>
      </c>
      <c r="B76" t="s">
        <v>259</v>
      </c>
      <c r="C76">
        <v>79.069999999999993</v>
      </c>
      <c r="D76">
        <v>22</v>
      </c>
      <c r="E76">
        <v>9</v>
      </c>
      <c r="F76">
        <v>72.849999999999994</v>
      </c>
      <c r="G76">
        <v>0</v>
      </c>
      <c r="H76">
        <v>1</v>
      </c>
      <c r="I76">
        <v>1</v>
      </c>
      <c r="J76">
        <v>1</v>
      </c>
      <c r="K76">
        <v>78.36</v>
      </c>
      <c r="L76">
        <v>79.040000000000006</v>
      </c>
      <c r="M76">
        <v>79.45</v>
      </c>
    </row>
    <row r="77" spans="1:13" x14ac:dyDescent="0.2">
      <c r="A77" s="1">
        <v>76</v>
      </c>
      <c r="B77" t="s">
        <v>297</v>
      </c>
      <c r="C77">
        <v>79.02</v>
      </c>
      <c r="D77">
        <v>20</v>
      </c>
      <c r="E77">
        <v>8</v>
      </c>
      <c r="F77">
        <v>72.62</v>
      </c>
      <c r="G77">
        <v>0</v>
      </c>
      <c r="H77">
        <v>2</v>
      </c>
      <c r="I77">
        <v>0</v>
      </c>
      <c r="J77">
        <v>2</v>
      </c>
      <c r="K77">
        <v>79.34</v>
      </c>
      <c r="L77">
        <v>78.34</v>
      </c>
      <c r="M77">
        <v>79.17</v>
      </c>
    </row>
    <row r="78" spans="1:13" x14ac:dyDescent="0.2">
      <c r="A78" s="1">
        <v>77</v>
      </c>
      <c r="B78" t="s">
        <v>817</v>
      </c>
      <c r="C78">
        <v>79</v>
      </c>
      <c r="D78">
        <v>18</v>
      </c>
      <c r="E78">
        <v>16</v>
      </c>
      <c r="F78">
        <v>78.02</v>
      </c>
      <c r="G78">
        <v>1</v>
      </c>
      <c r="H78">
        <v>6</v>
      </c>
      <c r="I78">
        <v>1</v>
      </c>
      <c r="J78">
        <v>11</v>
      </c>
      <c r="K78">
        <v>79.650000000000006</v>
      </c>
      <c r="L78">
        <v>78.84</v>
      </c>
      <c r="M78">
        <v>78.239999999999995</v>
      </c>
    </row>
    <row r="79" spans="1:13" x14ac:dyDescent="0.2">
      <c r="A79" s="1">
        <v>78</v>
      </c>
      <c r="B79" t="s">
        <v>802</v>
      </c>
      <c r="C79">
        <v>78.94</v>
      </c>
      <c r="D79">
        <v>15</v>
      </c>
      <c r="E79">
        <v>17</v>
      </c>
      <c r="F79">
        <v>80.83</v>
      </c>
      <c r="G79">
        <v>5</v>
      </c>
      <c r="H79">
        <v>8</v>
      </c>
      <c r="I79">
        <v>7</v>
      </c>
      <c r="J79">
        <v>10</v>
      </c>
      <c r="K79">
        <v>79.290000000000006</v>
      </c>
      <c r="L79">
        <v>78.56</v>
      </c>
      <c r="M79">
        <v>78.709999999999994</v>
      </c>
    </row>
    <row r="80" spans="1:13" x14ac:dyDescent="0.2">
      <c r="A80" s="1">
        <v>79</v>
      </c>
      <c r="B80" t="s">
        <v>153</v>
      </c>
      <c r="C80">
        <v>78.89</v>
      </c>
      <c r="D80">
        <v>18</v>
      </c>
      <c r="E80">
        <v>15</v>
      </c>
      <c r="F80">
        <v>78.42</v>
      </c>
      <c r="G80">
        <v>2</v>
      </c>
      <c r="H80">
        <v>4</v>
      </c>
      <c r="I80">
        <v>4</v>
      </c>
      <c r="J80">
        <v>9</v>
      </c>
      <c r="K80">
        <v>78.540000000000006</v>
      </c>
      <c r="L80">
        <v>79.17</v>
      </c>
      <c r="M80">
        <v>78.52</v>
      </c>
    </row>
    <row r="81" spans="1:13" x14ac:dyDescent="0.2">
      <c r="A81" s="1">
        <v>80</v>
      </c>
      <c r="B81" t="s">
        <v>37</v>
      </c>
      <c r="C81">
        <v>78.78</v>
      </c>
      <c r="D81">
        <v>20</v>
      </c>
      <c r="E81">
        <v>15</v>
      </c>
      <c r="F81">
        <v>75.86</v>
      </c>
      <c r="G81">
        <v>0</v>
      </c>
      <c r="H81">
        <v>3</v>
      </c>
      <c r="I81">
        <v>5</v>
      </c>
      <c r="J81">
        <v>7</v>
      </c>
      <c r="K81">
        <v>78.44</v>
      </c>
      <c r="L81">
        <v>79.400000000000006</v>
      </c>
      <c r="M81">
        <v>78.010000000000005</v>
      </c>
    </row>
    <row r="82" spans="1:13" x14ac:dyDescent="0.2">
      <c r="A82" s="1">
        <v>81</v>
      </c>
      <c r="B82" t="s">
        <v>78</v>
      </c>
      <c r="C82">
        <v>78.73</v>
      </c>
      <c r="D82">
        <v>16</v>
      </c>
      <c r="E82">
        <v>15</v>
      </c>
      <c r="F82">
        <v>78.28</v>
      </c>
      <c r="G82">
        <v>0</v>
      </c>
      <c r="H82">
        <v>6</v>
      </c>
      <c r="I82">
        <v>4</v>
      </c>
      <c r="J82">
        <v>8</v>
      </c>
      <c r="K82">
        <v>78.73</v>
      </c>
      <c r="L82">
        <v>78.42</v>
      </c>
      <c r="M82">
        <v>78.72</v>
      </c>
    </row>
    <row r="83" spans="1:13" x14ac:dyDescent="0.2">
      <c r="A83" s="1">
        <v>82</v>
      </c>
      <c r="B83" t="s">
        <v>149</v>
      </c>
      <c r="C83">
        <v>78.33</v>
      </c>
      <c r="D83">
        <v>23</v>
      </c>
      <c r="E83">
        <v>10</v>
      </c>
      <c r="F83">
        <v>74.48</v>
      </c>
      <c r="G83">
        <v>0</v>
      </c>
      <c r="H83">
        <v>2</v>
      </c>
      <c r="I83">
        <v>0</v>
      </c>
      <c r="J83">
        <v>6</v>
      </c>
      <c r="K83">
        <v>77.349999999999994</v>
      </c>
      <c r="L83">
        <v>77.989999999999995</v>
      </c>
      <c r="M83">
        <v>79.39</v>
      </c>
    </row>
    <row r="84" spans="1:13" x14ac:dyDescent="0.2">
      <c r="A84" s="1">
        <v>83</v>
      </c>
      <c r="B84" t="s">
        <v>144</v>
      </c>
      <c r="C84">
        <v>78.22</v>
      </c>
      <c r="D84">
        <v>20</v>
      </c>
      <c r="E84">
        <v>10</v>
      </c>
      <c r="F84">
        <v>73.34</v>
      </c>
      <c r="G84">
        <v>0</v>
      </c>
      <c r="H84">
        <v>0</v>
      </c>
      <c r="I84">
        <v>0</v>
      </c>
      <c r="J84">
        <v>3</v>
      </c>
      <c r="K84">
        <v>78.19</v>
      </c>
      <c r="L84">
        <v>77.89</v>
      </c>
      <c r="M84">
        <v>78.3</v>
      </c>
    </row>
    <row r="85" spans="1:13" x14ac:dyDescent="0.2">
      <c r="A85" s="1">
        <v>84</v>
      </c>
      <c r="B85" t="s">
        <v>13</v>
      </c>
      <c r="C85">
        <v>78.2</v>
      </c>
      <c r="D85">
        <v>16</v>
      </c>
      <c r="E85">
        <v>16</v>
      </c>
      <c r="F85">
        <v>79.23</v>
      </c>
      <c r="G85">
        <v>1</v>
      </c>
      <c r="H85">
        <v>2</v>
      </c>
      <c r="I85">
        <v>5</v>
      </c>
      <c r="J85">
        <v>10</v>
      </c>
      <c r="K85">
        <v>78.13</v>
      </c>
      <c r="L85">
        <v>77.959999999999994</v>
      </c>
      <c r="M85">
        <v>78.19</v>
      </c>
    </row>
    <row r="86" spans="1:13" x14ac:dyDescent="0.2">
      <c r="A86" s="1">
        <v>85</v>
      </c>
      <c r="B86" t="s">
        <v>52</v>
      </c>
      <c r="C86">
        <v>78.13</v>
      </c>
      <c r="D86">
        <v>14</v>
      </c>
      <c r="E86">
        <v>19</v>
      </c>
      <c r="F86">
        <v>79.209999999999994</v>
      </c>
      <c r="G86">
        <v>2</v>
      </c>
      <c r="H86">
        <v>8</v>
      </c>
      <c r="I86">
        <v>3</v>
      </c>
      <c r="J86">
        <v>11</v>
      </c>
      <c r="K86">
        <v>79.03</v>
      </c>
      <c r="L86">
        <v>78.33</v>
      </c>
      <c r="M86">
        <v>76.739999999999995</v>
      </c>
    </row>
    <row r="87" spans="1:13" x14ac:dyDescent="0.2">
      <c r="A87" s="1">
        <v>86</v>
      </c>
      <c r="B87" t="s">
        <v>243</v>
      </c>
      <c r="C87">
        <v>78.03</v>
      </c>
      <c r="D87">
        <v>20</v>
      </c>
      <c r="E87">
        <v>9</v>
      </c>
      <c r="F87">
        <v>72.099999999999994</v>
      </c>
      <c r="G87">
        <v>0</v>
      </c>
      <c r="H87">
        <v>0</v>
      </c>
      <c r="I87">
        <v>0</v>
      </c>
      <c r="J87">
        <v>0</v>
      </c>
      <c r="K87">
        <v>77.92</v>
      </c>
      <c r="L87">
        <v>78.14</v>
      </c>
      <c r="M87">
        <v>77.63</v>
      </c>
    </row>
    <row r="88" spans="1:13" x14ac:dyDescent="0.2">
      <c r="A88" s="1">
        <v>87</v>
      </c>
      <c r="B88" t="s">
        <v>65</v>
      </c>
      <c r="C88">
        <v>78.010000000000005</v>
      </c>
      <c r="D88">
        <v>13</v>
      </c>
      <c r="E88">
        <v>19</v>
      </c>
      <c r="F88">
        <v>80.86</v>
      </c>
      <c r="G88">
        <v>0</v>
      </c>
      <c r="H88">
        <v>2</v>
      </c>
      <c r="I88">
        <v>1</v>
      </c>
      <c r="J88">
        <v>15</v>
      </c>
      <c r="K88">
        <v>78.69</v>
      </c>
      <c r="L88">
        <v>77.91</v>
      </c>
      <c r="M88">
        <v>77.150000000000006</v>
      </c>
    </row>
    <row r="89" spans="1:13" x14ac:dyDescent="0.2">
      <c r="A89" s="1">
        <v>88</v>
      </c>
      <c r="B89" t="s">
        <v>793</v>
      </c>
      <c r="C89">
        <v>77.98</v>
      </c>
      <c r="D89">
        <v>17</v>
      </c>
      <c r="E89">
        <v>16</v>
      </c>
      <c r="F89">
        <v>77.89</v>
      </c>
      <c r="G89">
        <v>0</v>
      </c>
      <c r="H89">
        <v>6</v>
      </c>
      <c r="I89">
        <v>2</v>
      </c>
      <c r="J89">
        <v>10</v>
      </c>
      <c r="K89">
        <v>78.760000000000005</v>
      </c>
      <c r="L89">
        <v>77.23</v>
      </c>
      <c r="M89">
        <v>77.81</v>
      </c>
    </row>
    <row r="90" spans="1:13" x14ac:dyDescent="0.2">
      <c r="A90" s="1">
        <v>89</v>
      </c>
      <c r="B90" t="s">
        <v>123</v>
      </c>
      <c r="C90">
        <v>77.98</v>
      </c>
      <c r="D90">
        <v>26</v>
      </c>
      <c r="E90">
        <v>7</v>
      </c>
      <c r="F90">
        <v>70.09</v>
      </c>
      <c r="G90">
        <v>0</v>
      </c>
      <c r="H90">
        <v>2</v>
      </c>
      <c r="I90">
        <v>1</v>
      </c>
      <c r="J90">
        <v>4</v>
      </c>
      <c r="K90">
        <v>77.03</v>
      </c>
      <c r="L90">
        <v>76.900000000000006</v>
      </c>
      <c r="M90">
        <v>80.08</v>
      </c>
    </row>
    <row r="91" spans="1:13" x14ac:dyDescent="0.2">
      <c r="A91" s="1">
        <v>90</v>
      </c>
      <c r="B91" t="s">
        <v>40</v>
      </c>
      <c r="C91">
        <v>77.91</v>
      </c>
      <c r="D91">
        <v>18</v>
      </c>
      <c r="E91">
        <v>14</v>
      </c>
      <c r="F91">
        <v>74.290000000000006</v>
      </c>
      <c r="G91">
        <v>0</v>
      </c>
      <c r="H91">
        <v>3</v>
      </c>
      <c r="I91">
        <v>1</v>
      </c>
      <c r="J91">
        <v>8</v>
      </c>
      <c r="K91">
        <v>78.09</v>
      </c>
      <c r="L91">
        <v>78.52</v>
      </c>
      <c r="M91">
        <v>76.680000000000007</v>
      </c>
    </row>
    <row r="92" spans="1:13" x14ac:dyDescent="0.2">
      <c r="A92" s="1">
        <v>91</v>
      </c>
      <c r="B92" t="s">
        <v>93</v>
      </c>
      <c r="C92">
        <v>77.61</v>
      </c>
      <c r="D92">
        <v>20</v>
      </c>
      <c r="E92">
        <v>13</v>
      </c>
      <c r="F92">
        <v>73.47</v>
      </c>
      <c r="G92">
        <v>0</v>
      </c>
      <c r="H92">
        <v>1</v>
      </c>
      <c r="I92">
        <v>0</v>
      </c>
      <c r="J92">
        <v>3</v>
      </c>
      <c r="K92">
        <v>77.650000000000006</v>
      </c>
      <c r="L92">
        <v>77.790000000000006</v>
      </c>
      <c r="M92">
        <v>76.989999999999995</v>
      </c>
    </row>
    <row r="93" spans="1:13" x14ac:dyDescent="0.2">
      <c r="A93" s="1">
        <v>92</v>
      </c>
      <c r="B93" t="s">
        <v>859</v>
      </c>
      <c r="C93">
        <v>77.55</v>
      </c>
      <c r="D93">
        <v>22</v>
      </c>
      <c r="E93">
        <v>11</v>
      </c>
      <c r="F93">
        <v>70.58</v>
      </c>
      <c r="G93">
        <v>0</v>
      </c>
      <c r="H93">
        <v>2</v>
      </c>
      <c r="I93">
        <v>0</v>
      </c>
      <c r="J93">
        <v>3</v>
      </c>
      <c r="K93">
        <v>77.650000000000006</v>
      </c>
      <c r="L93">
        <v>77.92</v>
      </c>
      <c r="M93">
        <v>76.66</v>
      </c>
    </row>
    <row r="94" spans="1:13" x14ac:dyDescent="0.2">
      <c r="A94" s="1">
        <v>93</v>
      </c>
      <c r="B94" t="s">
        <v>134</v>
      </c>
      <c r="C94">
        <v>77.47</v>
      </c>
      <c r="D94">
        <v>19</v>
      </c>
      <c r="E94">
        <v>13</v>
      </c>
      <c r="F94">
        <v>73.34</v>
      </c>
      <c r="G94">
        <v>0</v>
      </c>
      <c r="H94">
        <v>2</v>
      </c>
      <c r="I94">
        <v>0</v>
      </c>
      <c r="J94">
        <v>3</v>
      </c>
      <c r="K94">
        <v>78.67</v>
      </c>
      <c r="L94">
        <v>77.260000000000005</v>
      </c>
      <c r="M94">
        <v>76.28</v>
      </c>
    </row>
    <row r="95" spans="1:13" x14ac:dyDescent="0.2">
      <c r="A95" s="1">
        <v>94</v>
      </c>
      <c r="B95" t="s">
        <v>234</v>
      </c>
      <c r="C95">
        <v>77.47</v>
      </c>
      <c r="D95">
        <v>23</v>
      </c>
      <c r="E95">
        <v>12</v>
      </c>
      <c r="F95">
        <v>72.98</v>
      </c>
      <c r="G95">
        <v>1</v>
      </c>
      <c r="H95">
        <v>3</v>
      </c>
      <c r="I95">
        <v>1</v>
      </c>
      <c r="J95">
        <v>3</v>
      </c>
      <c r="K95">
        <v>76.3</v>
      </c>
      <c r="L95">
        <v>76.44</v>
      </c>
      <c r="M95">
        <v>79.739999999999995</v>
      </c>
    </row>
    <row r="96" spans="1:13" x14ac:dyDescent="0.2">
      <c r="A96" s="1">
        <v>95</v>
      </c>
      <c r="B96" t="s">
        <v>130</v>
      </c>
      <c r="C96">
        <v>77.44</v>
      </c>
      <c r="D96">
        <v>12</v>
      </c>
      <c r="E96">
        <v>19</v>
      </c>
      <c r="F96">
        <v>79.61</v>
      </c>
      <c r="G96">
        <v>0</v>
      </c>
      <c r="H96">
        <v>7</v>
      </c>
      <c r="I96">
        <v>3</v>
      </c>
      <c r="J96">
        <v>10</v>
      </c>
      <c r="K96">
        <v>77.75</v>
      </c>
      <c r="L96">
        <v>78.02</v>
      </c>
      <c r="M96">
        <v>76.12</v>
      </c>
    </row>
    <row r="97" spans="1:13" x14ac:dyDescent="0.2">
      <c r="A97" s="1">
        <v>96</v>
      </c>
      <c r="B97" t="s">
        <v>79</v>
      </c>
      <c r="C97">
        <v>77.39</v>
      </c>
      <c r="D97">
        <v>15</v>
      </c>
      <c r="E97">
        <v>17</v>
      </c>
      <c r="F97">
        <v>78.91</v>
      </c>
      <c r="G97">
        <v>1</v>
      </c>
      <c r="H97">
        <v>8</v>
      </c>
      <c r="I97">
        <v>2</v>
      </c>
      <c r="J97">
        <v>11</v>
      </c>
      <c r="K97">
        <v>77.819999999999993</v>
      </c>
      <c r="L97">
        <v>77.03</v>
      </c>
      <c r="M97">
        <v>77.03</v>
      </c>
    </row>
    <row r="98" spans="1:13" x14ac:dyDescent="0.2">
      <c r="A98" s="1">
        <v>97</v>
      </c>
      <c r="B98" t="s">
        <v>131</v>
      </c>
      <c r="C98">
        <v>77.38</v>
      </c>
      <c r="D98">
        <v>18</v>
      </c>
      <c r="E98">
        <v>15</v>
      </c>
      <c r="F98">
        <v>77.48</v>
      </c>
      <c r="G98">
        <v>0</v>
      </c>
      <c r="H98">
        <v>6</v>
      </c>
      <c r="I98">
        <v>2</v>
      </c>
      <c r="J98">
        <v>10</v>
      </c>
      <c r="K98">
        <v>76.72</v>
      </c>
      <c r="L98">
        <v>76.239999999999995</v>
      </c>
      <c r="M98">
        <v>79.19</v>
      </c>
    </row>
    <row r="99" spans="1:13" x14ac:dyDescent="0.2">
      <c r="A99" s="1">
        <v>98</v>
      </c>
      <c r="B99" t="s">
        <v>111</v>
      </c>
      <c r="C99">
        <v>77.22</v>
      </c>
      <c r="D99">
        <v>16</v>
      </c>
      <c r="E99">
        <v>15</v>
      </c>
      <c r="F99">
        <v>77.209999999999994</v>
      </c>
      <c r="G99">
        <v>2</v>
      </c>
      <c r="H99">
        <v>2</v>
      </c>
      <c r="I99">
        <v>4</v>
      </c>
      <c r="J99">
        <v>7</v>
      </c>
      <c r="K99">
        <v>76.45</v>
      </c>
      <c r="L99">
        <v>76.849999999999994</v>
      </c>
      <c r="M99">
        <v>78.08</v>
      </c>
    </row>
    <row r="100" spans="1:13" x14ac:dyDescent="0.2">
      <c r="A100" s="1">
        <v>99</v>
      </c>
      <c r="B100" t="s">
        <v>163</v>
      </c>
      <c r="C100">
        <v>77.209999999999994</v>
      </c>
      <c r="D100">
        <v>22</v>
      </c>
      <c r="E100">
        <v>11</v>
      </c>
      <c r="F100">
        <v>72.349999999999994</v>
      </c>
      <c r="G100">
        <v>1</v>
      </c>
      <c r="H100">
        <v>1</v>
      </c>
      <c r="I100">
        <v>1</v>
      </c>
      <c r="J100">
        <v>1</v>
      </c>
      <c r="K100">
        <v>76.33</v>
      </c>
      <c r="L100">
        <v>77.37</v>
      </c>
      <c r="M100">
        <v>77.5</v>
      </c>
    </row>
    <row r="101" spans="1:13" x14ac:dyDescent="0.2">
      <c r="A101" s="1">
        <v>100</v>
      </c>
      <c r="B101" t="s">
        <v>69</v>
      </c>
      <c r="C101">
        <v>77.13</v>
      </c>
      <c r="D101">
        <v>16</v>
      </c>
      <c r="E101">
        <v>18</v>
      </c>
      <c r="F101">
        <v>77.64</v>
      </c>
      <c r="G101">
        <v>0</v>
      </c>
      <c r="H101">
        <v>4</v>
      </c>
      <c r="I101">
        <v>2</v>
      </c>
      <c r="J101">
        <v>8</v>
      </c>
      <c r="K101">
        <v>76.67</v>
      </c>
      <c r="L101">
        <v>77.41</v>
      </c>
      <c r="M101">
        <v>76.86</v>
      </c>
    </row>
    <row r="102" spans="1:13" x14ac:dyDescent="0.2">
      <c r="A102" s="1">
        <v>101</v>
      </c>
      <c r="B102" t="s">
        <v>812</v>
      </c>
      <c r="C102">
        <v>77.06</v>
      </c>
      <c r="D102">
        <v>16</v>
      </c>
      <c r="E102">
        <v>14</v>
      </c>
      <c r="F102">
        <v>76.989999999999995</v>
      </c>
      <c r="G102">
        <v>1</v>
      </c>
      <c r="H102">
        <v>2</v>
      </c>
      <c r="I102">
        <v>2</v>
      </c>
      <c r="J102">
        <v>7</v>
      </c>
      <c r="K102">
        <v>76.16</v>
      </c>
      <c r="L102">
        <v>76.790000000000006</v>
      </c>
      <c r="M102">
        <v>77.94</v>
      </c>
    </row>
    <row r="103" spans="1:13" x14ac:dyDescent="0.2">
      <c r="A103" s="1">
        <v>102</v>
      </c>
      <c r="B103" t="s">
        <v>115</v>
      </c>
      <c r="C103">
        <v>77.03</v>
      </c>
      <c r="D103">
        <v>17</v>
      </c>
      <c r="E103">
        <v>15</v>
      </c>
      <c r="F103">
        <v>75.27</v>
      </c>
      <c r="G103">
        <v>1</v>
      </c>
      <c r="H103">
        <v>2</v>
      </c>
      <c r="I103">
        <v>1</v>
      </c>
      <c r="J103">
        <v>6</v>
      </c>
      <c r="K103">
        <v>76.97</v>
      </c>
      <c r="L103">
        <v>77.28</v>
      </c>
      <c r="M103">
        <v>76.42</v>
      </c>
    </row>
    <row r="104" spans="1:13" x14ac:dyDescent="0.2">
      <c r="A104" s="1">
        <v>103</v>
      </c>
      <c r="B104" t="s">
        <v>120</v>
      </c>
      <c r="C104">
        <v>76.95</v>
      </c>
      <c r="D104">
        <v>13</v>
      </c>
      <c r="E104">
        <v>18</v>
      </c>
      <c r="F104">
        <v>79.44</v>
      </c>
      <c r="G104">
        <v>1</v>
      </c>
      <c r="H104">
        <v>5</v>
      </c>
      <c r="I104">
        <v>2</v>
      </c>
      <c r="J104">
        <v>9</v>
      </c>
      <c r="K104">
        <v>77.52</v>
      </c>
      <c r="L104">
        <v>76.73</v>
      </c>
      <c r="M104">
        <v>76.31</v>
      </c>
    </row>
    <row r="105" spans="1:13" x14ac:dyDescent="0.2">
      <c r="A105" s="1">
        <v>104</v>
      </c>
      <c r="B105" t="s">
        <v>240</v>
      </c>
      <c r="C105">
        <v>76.930000000000007</v>
      </c>
      <c r="D105">
        <v>22</v>
      </c>
      <c r="E105">
        <v>8</v>
      </c>
      <c r="F105">
        <v>66</v>
      </c>
      <c r="G105">
        <v>0</v>
      </c>
      <c r="H105">
        <v>1</v>
      </c>
      <c r="I105">
        <v>0</v>
      </c>
      <c r="J105">
        <v>4</v>
      </c>
      <c r="K105">
        <v>77.37</v>
      </c>
      <c r="L105">
        <v>76.510000000000005</v>
      </c>
      <c r="M105">
        <v>76.64</v>
      </c>
    </row>
    <row r="106" spans="1:13" x14ac:dyDescent="0.2">
      <c r="A106" s="1">
        <v>105</v>
      </c>
      <c r="B106" t="s">
        <v>122</v>
      </c>
      <c r="C106">
        <v>76.91</v>
      </c>
      <c r="D106">
        <v>13</v>
      </c>
      <c r="E106">
        <v>19</v>
      </c>
      <c r="F106">
        <v>79.59</v>
      </c>
      <c r="G106">
        <v>0</v>
      </c>
      <c r="H106">
        <v>8</v>
      </c>
      <c r="I106">
        <v>2</v>
      </c>
      <c r="J106">
        <v>13</v>
      </c>
      <c r="K106">
        <v>76.91</v>
      </c>
      <c r="L106">
        <v>77.09</v>
      </c>
      <c r="M106">
        <v>76.31</v>
      </c>
    </row>
    <row r="107" spans="1:13" x14ac:dyDescent="0.2">
      <c r="A107" s="1">
        <v>106</v>
      </c>
      <c r="B107" t="s">
        <v>837</v>
      </c>
      <c r="C107">
        <v>76.849999999999994</v>
      </c>
      <c r="D107">
        <v>22</v>
      </c>
      <c r="E107">
        <v>9</v>
      </c>
      <c r="F107">
        <v>68.16</v>
      </c>
      <c r="G107">
        <v>0</v>
      </c>
      <c r="H107">
        <v>0</v>
      </c>
      <c r="I107">
        <v>0</v>
      </c>
      <c r="J107">
        <v>4</v>
      </c>
      <c r="K107">
        <v>76.94</v>
      </c>
      <c r="L107">
        <v>77.290000000000006</v>
      </c>
      <c r="M107">
        <v>75.88</v>
      </c>
    </row>
    <row r="108" spans="1:13" x14ac:dyDescent="0.2">
      <c r="A108" s="1">
        <v>107</v>
      </c>
      <c r="B108" t="s">
        <v>178</v>
      </c>
      <c r="C108">
        <v>76.81</v>
      </c>
      <c r="D108">
        <v>17</v>
      </c>
      <c r="E108">
        <v>16</v>
      </c>
      <c r="F108">
        <v>75.86</v>
      </c>
      <c r="G108">
        <v>0</v>
      </c>
      <c r="H108">
        <v>2</v>
      </c>
      <c r="I108">
        <v>2</v>
      </c>
      <c r="J108">
        <v>6</v>
      </c>
      <c r="K108">
        <v>77.12</v>
      </c>
      <c r="L108">
        <v>76.87</v>
      </c>
      <c r="M108">
        <v>76.09</v>
      </c>
    </row>
    <row r="109" spans="1:13" x14ac:dyDescent="0.2">
      <c r="A109" s="1">
        <v>108</v>
      </c>
      <c r="B109" t="s">
        <v>548</v>
      </c>
      <c r="C109">
        <v>76.81</v>
      </c>
      <c r="D109">
        <v>26</v>
      </c>
      <c r="E109">
        <v>9</v>
      </c>
      <c r="F109">
        <v>71.09</v>
      </c>
      <c r="G109">
        <v>0</v>
      </c>
      <c r="H109">
        <v>0</v>
      </c>
      <c r="I109">
        <v>0</v>
      </c>
      <c r="J109">
        <v>1</v>
      </c>
      <c r="K109">
        <v>75.540000000000006</v>
      </c>
      <c r="L109">
        <v>76.959999999999994</v>
      </c>
      <c r="M109">
        <v>77.540000000000006</v>
      </c>
    </row>
    <row r="110" spans="1:13" x14ac:dyDescent="0.2">
      <c r="A110" s="1">
        <v>109</v>
      </c>
      <c r="B110" t="s">
        <v>68</v>
      </c>
      <c r="C110">
        <v>76.75</v>
      </c>
      <c r="D110">
        <v>18</v>
      </c>
      <c r="E110">
        <v>13</v>
      </c>
      <c r="F110">
        <v>73.59</v>
      </c>
      <c r="G110">
        <v>0</v>
      </c>
      <c r="H110">
        <v>0</v>
      </c>
      <c r="I110">
        <v>2</v>
      </c>
      <c r="J110">
        <v>3</v>
      </c>
      <c r="K110">
        <v>77.55</v>
      </c>
      <c r="L110">
        <v>76.16</v>
      </c>
      <c r="M110">
        <v>76.349999999999994</v>
      </c>
    </row>
    <row r="111" spans="1:13" x14ac:dyDescent="0.2">
      <c r="A111" s="1">
        <v>110</v>
      </c>
      <c r="B111" t="s">
        <v>301</v>
      </c>
      <c r="C111">
        <v>76.73</v>
      </c>
      <c r="D111">
        <v>23</v>
      </c>
      <c r="E111">
        <v>7</v>
      </c>
      <c r="F111">
        <v>71.53</v>
      </c>
      <c r="G111">
        <v>0</v>
      </c>
      <c r="H111">
        <v>0</v>
      </c>
      <c r="I111">
        <v>0</v>
      </c>
      <c r="J111">
        <v>1</v>
      </c>
      <c r="K111">
        <v>75.64</v>
      </c>
      <c r="L111">
        <v>75.94</v>
      </c>
      <c r="M111">
        <v>78.52</v>
      </c>
    </row>
    <row r="112" spans="1:13" x14ac:dyDescent="0.2">
      <c r="A112" s="1">
        <v>111</v>
      </c>
      <c r="B112" t="s">
        <v>92</v>
      </c>
      <c r="C112">
        <v>76.69</v>
      </c>
      <c r="D112">
        <v>23</v>
      </c>
      <c r="E112">
        <v>10</v>
      </c>
      <c r="F112">
        <v>72.77</v>
      </c>
      <c r="G112">
        <v>0</v>
      </c>
      <c r="H112">
        <v>1</v>
      </c>
      <c r="I112">
        <v>1</v>
      </c>
      <c r="J112">
        <v>4</v>
      </c>
      <c r="K112">
        <v>75.069999999999993</v>
      </c>
      <c r="L112">
        <v>75.959999999999994</v>
      </c>
      <c r="M112">
        <v>79</v>
      </c>
    </row>
    <row r="113" spans="1:13" x14ac:dyDescent="0.2">
      <c r="A113" s="1">
        <v>112</v>
      </c>
      <c r="B113" t="s">
        <v>819</v>
      </c>
      <c r="C113">
        <v>76.64</v>
      </c>
      <c r="D113">
        <v>21</v>
      </c>
      <c r="E113">
        <v>11</v>
      </c>
      <c r="F113">
        <v>69.33</v>
      </c>
      <c r="G113">
        <v>0</v>
      </c>
      <c r="H113">
        <v>3</v>
      </c>
      <c r="I113">
        <v>0</v>
      </c>
      <c r="J113">
        <v>3</v>
      </c>
      <c r="K113">
        <v>77.19</v>
      </c>
      <c r="L113">
        <v>77.12</v>
      </c>
      <c r="M113">
        <v>75.22</v>
      </c>
    </row>
    <row r="114" spans="1:13" x14ac:dyDescent="0.2">
      <c r="A114" s="1">
        <v>113</v>
      </c>
      <c r="B114" t="s">
        <v>50</v>
      </c>
      <c r="C114">
        <v>76.61</v>
      </c>
      <c r="D114">
        <v>22</v>
      </c>
      <c r="E114">
        <v>13</v>
      </c>
      <c r="F114">
        <v>73.25</v>
      </c>
      <c r="G114">
        <v>0</v>
      </c>
      <c r="H114">
        <v>6</v>
      </c>
      <c r="I114">
        <v>0</v>
      </c>
      <c r="J114">
        <v>6</v>
      </c>
      <c r="K114">
        <v>75.91</v>
      </c>
      <c r="L114">
        <v>75.290000000000006</v>
      </c>
      <c r="M114">
        <v>78.72</v>
      </c>
    </row>
    <row r="115" spans="1:13" x14ac:dyDescent="0.2">
      <c r="A115" s="1">
        <v>114</v>
      </c>
      <c r="B115" t="s">
        <v>143</v>
      </c>
      <c r="C115">
        <v>76.47</v>
      </c>
      <c r="D115">
        <v>17</v>
      </c>
      <c r="E115">
        <v>14</v>
      </c>
      <c r="F115">
        <v>73.98</v>
      </c>
      <c r="G115">
        <v>0</v>
      </c>
      <c r="H115">
        <v>1</v>
      </c>
      <c r="I115">
        <v>0</v>
      </c>
      <c r="J115">
        <v>3</v>
      </c>
      <c r="K115">
        <v>77.459999999999994</v>
      </c>
      <c r="L115">
        <v>76.569999999999993</v>
      </c>
      <c r="M115">
        <v>75.069999999999993</v>
      </c>
    </row>
    <row r="116" spans="1:13" x14ac:dyDescent="0.2">
      <c r="A116" s="1">
        <v>115</v>
      </c>
      <c r="B116" t="s">
        <v>133</v>
      </c>
      <c r="C116">
        <v>76.45</v>
      </c>
      <c r="D116">
        <v>20</v>
      </c>
      <c r="E116">
        <v>14</v>
      </c>
      <c r="F116">
        <v>72.64</v>
      </c>
      <c r="G116">
        <v>0</v>
      </c>
      <c r="H116">
        <v>0</v>
      </c>
      <c r="I116">
        <v>0</v>
      </c>
      <c r="J116">
        <v>1</v>
      </c>
      <c r="K116">
        <v>76.95</v>
      </c>
      <c r="L116">
        <v>76.19</v>
      </c>
      <c r="M116">
        <v>75.91</v>
      </c>
    </row>
    <row r="117" spans="1:13" x14ac:dyDescent="0.2">
      <c r="A117" s="1">
        <v>116</v>
      </c>
      <c r="B117" t="s">
        <v>803</v>
      </c>
      <c r="C117">
        <v>76.36</v>
      </c>
      <c r="D117">
        <v>22</v>
      </c>
      <c r="E117">
        <v>12</v>
      </c>
      <c r="F117">
        <v>72.75</v>
      </c>
      <c r="G117">
        <v>0</v>
      </c>
      <c r="H117">
        <v>1</v>
      </c>
      <c r="I117">
        <v>0</v>
      </c>
      <c r="J117">
        <v>1</v>
      </c>
      <c r="K117">
        <v>75.83</v>
      </c>
      <c r="L117">
        <v>75.88</v>
      </c>
      <c r="M117">
        <v>77.11</v>
      </c>
    </row>
    <row r="118" spans="1:13" x14ac:dyDescent="0.2">
      <c r="A118" s="1">
        <v>117</v>
      </c>
      <c r="B118" t="s">
        <v>258</v>
      </c>
      <c r="C118">
        <v>76.33</v>
      </c>
      <c r="D118">
        <v>18</v>
      </c>
      <c r="E118">
        <v>13</v>
      </c>
      <c r="F118">
        <v>72.260000000000005</v>
      </c>
      <c r="G118">
        <v>0</v>
      </c>
      <c r="H118">
        <v>1</v>
      </c>
      <c r="I118">
        <v>0</v>
      </c>
      <c r="J118">
        <v>2</v>
      </c>
      <c r="K118">
        <v>77.37</v>
      </c>
      <c r="L118">
        <v>76.650000000000006</v>
      </c>
      <c r="M118">
        <v>74.650000000000006</v>
      </c>
    </row>
    <row r="119" spans="1:13" x14ac:dyDescent="0.2">
      <c r="A119" s="1">
        <v>118</v>
      </c>
      <c r="B119" t="s">
        <v>165</v>
      </c>
      <c r="C119">
        <v>76.31</v>
      </c>
      <c r="D119">
        <v>17</v>
      </c>
      <c r="E119">
        <v>15</v>
      </c>
      <c r="F119">
        <v>76.569999999999993</v>
      </c>
      <c r="G119">
        <v>0</v>
      </c>
      <c r="H119">
        <v>1</v>
      </c>
      <c r="I119">
        <v>1</v>
      </c>
      <c r="J119">
        <v>6</v>
      </c>
      <c r="K119">
        <v>76.290000000000006</v>
      </c>
      <c r="L119">
        <v>75.52</v>
      </c>
      <c r="M119">
        <v>76.959999999999994</v>
      </c>
    </row>
    <row r="120" spans="1:13" x14ac:dyDescent="0.2">
      <c r="A120" s="1">
        <v>119</v>
      </c>
      <c r="B120" t="s">
        <v>840</v>
      </c>
      <c r="C120">
        <v>76.19</v>
      </c>
      <c r="D120">
        <v>17</v>
      </c>
      <c r="E120">
        <v>15</v>
      </c>
      <c r="F120">
        <v>72.84</v>
      </c>
      <c r="G120">
        <v>0</v>
      </c>
      <c r="H120">
        <v>2</v>
      </c>
      <c r="I120">
        <v>0</v>
      </c>
      <c r="J120">
        <v>3</v>
      </c>
      <c r="K120">
        <v>75.709999999999994</v>
      </c>
      <c r="L120">
        <v>77.31</v>
      </c>
      <c r="M120">
        <v>74.959999999999994</v>
      </c>
    </row>
    <row r="121" spans="1:13" x14ac:dyDescent="0.2">
      <c r="A121" s="1">
        <v>120</v>
      </c>
      <c r="B121" t="s">
        <v>194</v>
      </c>
      <c r="C121">
        <v>76.17</v>
      </c>
      <c r="D121">
        <v>23</v>
      </c>
      <c r="E121">
        <v>12</v>
      </c>
      <c r="F121">
        <v>71.790000000000006</v>
      </c>
      <c r="G121">
        <v>0</v>
      </c>
      <c r="H121">
        <v>1</v>
      </c>
      <c r="I121">
        <v>0</v>
      </c>
      <c r="J121">
        <v>1</v>
      </c>
      <c r="K121">
        <v>76.510000000000005</v>
      </c>
      <c r="L121">
        <v>75.760000000000005</v>
      </c>
      <c r="M121">
        <v>75.97</v>
      </c>
    </row>
    <row r="122" spans="1:13" x14ac:dyDescent="0.2">
      <c r="A122" s="1">
        <v>121</v>
      </c>
      <c r="B122" t="s">
        <v>53</v>
      </c>
      <c r="C122">
        <v>76.040000000000006</v>
      </c>
      <c r="D122">
        <v>13</v>
      </c>
      <c r="E122">
        <v>19</v>
      </c>
      <c r="F122">
        <v>79.3</v>
      </c>
      <c r="G122">
        <v>0</v>
      </c>
      <c r="H122">
        <v>7</v>
      </c>
      <c r="I122">
        <v>2</v>
      </c>
      <c r="J122">
        <v>11</v>
      </c>
      <c r="K122">
        <v>76.45</v>
      </c>
      <c r="L122">
        <v>75.900000000000006</v>
      </c>
      <c r="M122">
        <v>75.44</v>
      </c>
    </row>
    <row r="123" spans="1:13" x14ac:dyDescent="0.2">
      <c r="A123" s="1">
        <v>122</v>
      </c>
      <c r="B123" t="s">
        <v>207</v>
      </c>
      <c r="C123">
        <v>76.010000000000005</v>
      </c>
      <c r="D123">
        <v>21</v>
      </c>
      <c r="E123">
        <v>11</v>
      </c>
      <c r="F123">
        <v>71.83</v>
      </c>
      <c r="G123">
        <v>0</v>
      </c>
      <c r="H123">
        <v>0</v>
      </c>
      <c r="I123">
        <v>0</v>
      </c>
      <c r="J123">
        <v>1</v>
      </c>
      <c r="K123">
        <v>76.53</v>
      </c>
      <c r="L123">
        <v>75.36</v>
      </c>
      <c r="M123">
        <v>75.94</v>
      </c>
    </row>
    <row r="124" spans="1:13" x14ac:dyDescent="0.2">
      <c r="A124" s="1">
        <v>123</v>
      </c>
      <c r="B124" t="s">
        <v>184</v>
      </c>
      <c r="C124">
        <v>75.89</v>
      </c>
      <c r="D124">
        <v>23</v>
      </c>
      <c r="E124">
        <v>9</v>
      </c>
      <c r="F124">
        <v>70.34</v>
      </c>
      <c r="G124">
        <v>0</v>
      </c>
      <c r="H124">
        <v>1</v>
      </c>
      <c r="I124">
        <v>1</v>
      </c>
      <c r="J124">
        <v>2</v>
      </c>
      <c r="K124">
        <v>75.569999999999993</v>
      </c>
      <c r="L124">
        <v>74.81</v>
      </c>
      <c r="M124">
        <v>77.23</v>
      </c>
    </row>
    <row r="125" spans="1:13" x14ac:dyDescent="0.2">
      <c r="A125" s="1">
        <v>124</v>
      </c>
      <c r="B125" t="s">
        <v>302</v>
      </c>
      <c r="C125">
        <v>75.760000000000005</v>
      </c>
      <c r="D125">
        <v>14</v>
      </c>
      <c r="E125">
        <v>16</v>
      </c>
      <c r="F125">
        <v>75.42</v>
      </c>
      <c r="G125">
        <v>0</v>
      </c>
      <c r="H125">
        <v>3</v>
      </c>
      <c r="I125">
        <v>1</v>
      </c>
      <c r="J125">
        <v>6</v>
      </c>
      <c r="K125">
        <v>76.39</v>
      </c>
      <c r="L125">
        <v>76.680000000000007</v>
      </c>
      <c r="M125">
        <v>73.739999999999995</v>
      </c>
    </row>
    <row r="126" spans="1:13" x14ac:dyDescent="0.2">
      <c r="A126" s="1">
        <v>125</v>
      </c>
      <c r="B126" t="s">
        <v>551</v>
      </c>
      <c r="C126">
        <v>75.52</v>
      </c>
      <c r="D126">
        <v>19</v>
      </c>
      <c r="E126">
        <v>14</v>
      </c>
      <c r="F126">
        <v>71.11</v>
      </c>
      <c r="G126">
        <v>0</v>
      </c>
      <c r="H126">
        <v>0</v>
      </c>
      <c r="I126">
        <v>0</v>
      </c>
      <c r="J126">
        <v>0</v>
      </c>
      <c r="K126">
        <v>75.84</v>
      </c>
      <c r="L126">
        <v>75.5</v>
      </c>
      <c r="M126">
        <v>74.86</v>
      </c>
    </row>
    <row r="127" spans="1:13" x14ac:dyDescent="0.2">
      <c r="A127" s="1">
        <v>126</v>
      </c>
      <c r="B127" t="s">
        <v>142</v>
      </c>
      <c r="C127">
        <v>75.39</v>
      </c>
      <c r="D127">
        <v>20</v>
      </c>
      <c r="E127">
        <v>14</v>
      </c>
      <c r="F127">
        <v>69.47</v>
      </c>
      <c r="G127">
        <v>0</v>
      </c>
      <c r="H127">
        <v>0</v>
      </c>
      <c r="I127">
        <v>0</v>
      </c>
      <c r="J127">
        <v>1</v>
      </c>
      <c r="K127">
        <v>76.510000000000005</v>
      </c>
      <c r="L127">
        <v>77.319999999999993</v>
      </c>
      <c r="M127">
        <v>71.819999999999993</v>
      </c>
    </row>
    <row r="128" spans="1:13" x14ac:dyDescent="0.2">
      <c r="A128" s="1">
        <v>127</v>
      </c>
      <c r="B128" t="s">
        <v>903</v>
      </c>
      <c r="C128">
        <v>75.349999999999994</v>
      </c>
      <c r="D128">
        <v>24</v>
      </c>
      <c r="E128">
        <v>9</v>
      </c>
      <c r="F128">
        <v>69.19</v>
      </c>
      <c r="G128">
        <v>0</v>
      </c>
      <c r="H128">
        <v>1</v>
      </c>
      <c r="I128">
        <v>0</v>
      </c>
      <c r="J128">
        <v>2</v>
      </c>
      <c r="K128">
        <v>75.16</v>
      </c>
      <c r="L128">
        <v>74.25</v>
      </c>
      <c r="M128">
        <v>76.58</v>
      </c>
    </row>
    <row r="129" spans="1:13" x14ac:dyDescent="0.2">
      <c r="A129" s="1">
        <v>128</v>
      </c>
      <c r="B129" t="s">
        <v>277</v>
      </c>
      <c r="C129">
        <v>75.33</v>
      </c>
      <c r="D129">
        <v>20</v>
      </c>
      <c r="E129">
        <v>13</v>
      </c>
      <c r="F129">
        <v>71.75</v>
      </c>
      <c r="G129">
        <v>0</v>
      </c>
      <c r="H129">
        <v>1</v>
      </c>
      <c r="I129">
        <v>0</v>
      </c>
      <c r="J129">
        <v>2</v>
      </c>
      <c r="K129">
        <v>76.03</v>
      </c>
      <c r="L129">
        <v>74.959999999999994</v>
      </c>
      <c r="M129">
        <v>74.73</v>
      </c>
    </row>
    <row r="130" spans="1:13" x14ac:dyDescent="0.2">
      <c r="A130" s="1">
        <v>129</v>
      </c>
      <c r="B130" t="s">
        <v>201</v>
      </c>
      <c r="C130">
        <v>75.09</v>
      </c>
      <c r="D130">
        <v>17</v>
      </c>
      <c r="E130">
        <v>14</v>
      </c>
      <c r="F130">
        <v>74.06</v>
      </c>
      <c r="G130">
        <v>0</v>
      </c>
      <c r="H130">
        <v>4</v>
      </c>
      <c r="I130">
        <v>2</v>
      </c>
      <c r="J130">
        <v>4</v>
      </c>
      <c r="K130">
        <v>75.83</v>
      </c>
      <c r="L130">
        <v>75.099999999999994</v>
      </c>
      <c r="M130">
        <v>73.989999999999995</v>
      </c>
    </row>
    <row r="131" spans="1:13" x14ac:dyDescent="0.2">
      <c r="A131" s="1">
        <v>130</v>
      </c>
      <c r="B131" t="s">
        <v>796</v>
      </c>
      <c r="C131">
        <v>75.040000000000006</v>
      </c>
      <c r="D131">
        <v>17</v>
      </c>
      <c r="E131">
        <v>13</v>
      </c>
      <c r="F131">
        <v>72.959999999999994</v>
      </c>
      <c r="G131">
        <v>0</v>
      </c>
      <c r="H131">
        <v>0</v>
      </c>
      <c r="I131">
        <v>0</v>
      </c>
      <c r="J131">
        <v>2</v>
      </c>
      <c r="K131">
        <v>74.25</v>
      </c>
      <c r="L131">
        <v>75.44</v>
      </c>
      <c r="M131">
        <v>74.95</v>
      </c>
    </row>
    <row r="132" spans="1:13" x14ac:dyDescent="0.2">
      <c r="A132" s="1">
        <v>131</v>
      </c>
      <c r="B132" t="s">
        <v>97</v>
      </c>
      <c r="C132">
        <v>74.959999999999994</v>
      </c>
      <c r="D132">
        <v>12</v>
      </c>
      <c r="E132">
        <v>20</v>
      </c>
      <c r="F132">
        <v>78.91</v>
      </c>
      <c r="G132">
        <v>1</v>
      </c>
      <c r="H132">
        <v>7</v>
      </c>
      <c r="I132">
        <v>3</v>
      </c>
      <c r="J132">
        <v>10</v>
      </c>
      <c r="K132">
        <v>76.23</v>
      </c>
      <c r="L132">
        <v>74.510000000000005</v>
      </c>
      <c r="M132">
        <v>73.930000000000007</v>
      </c>
    </row>
    <row r="133" spans="1:13" x14ac:dyDescent="0.2">
      <c r="A133" s="1">
        <v>132</v>
      </c>
      <c r="B133" t="s">
        <v>89</v>
      </c>
      <c r="C133">
        <v>74.87</v>
      </c>
      <c r="D133">
        <v>19</v>
      </c>
      <c r="E133">
        <v>14</v>
      </c>
      <c r="F133">
        <v>69.47</v>
      </c>
      <c r="G133">
        <v>0</v>
      </c>
      <c r="H133">
        <v>0</v>
      </c>
      <c r="I133">
        <v>0</v>
      </c>
      <c r="J133">
        <v>0</v>
      </c>
      <c r="K133">
        <v>75.069999999999993</v>
      </c>
      <c r="L133">
        <v>75.95</v>
      </c>
      <c r="M133">
        <v>73.03</v>
      </c>
    </row>
    <row r="134" spans="1:13" x14ac:dyDescent="0.2">
      <c r="A134" s="1">
        <v>133</v>
      </c>
      <c r="B134" t="s">
        <v>159</v>
      </c>
      <c r="C134">
        <v>74.75</v>
      </c>
      <c r="D134">
        <v>20</v>
      </c>
      <c r="E134">
        <v>10</v>
      </c>
      <c r="F134">
        <v>68.47</v>
      </c>
      <c r="G134">
        <v>0</v>
      </c>
      <c r="H134">
        <v>1</v>
      </c>
      <c r="I134">
        <v>0</v>
      </c>
      <c r="J134">
        <v>2</v>
      </c>
      <c r="K134">
        <v>74.739999999999995</v>
      </c>
      <c r="L134">
        <v>74.41</v>
      </c>
      <c r="M134">
        <v>74.790000000000006</v>
      </c>
    </row>
    <row r="135" spans="1:13" x14ac:dyDescent="0.2">
      <c r="A135" s="1">
        <v>134</v>
      </c>
      <c r="B135" t="s">
        <v>121</v>
      </c>
      <c r="C135">
        <v>74.72</v>
      </c>
      <c r="D135">
        <v>18</v>
      </c>
      <c r="E135">
        <v>12</v>
      </c>
      <c r="F135">
        <v>72.59</v>
      </c>
      <c r="G135">
        <v>0</v>
      </c>
      <c r="H135">
        <v>1</v>
      </c>
      <c r="I135">
        <v>0</v>
      </c>
      <c r="J135">
        <v>1</v>
      </c>
      <c r="K135">
        <v>74.02</v>
      </c>
      <c r="L135">
        <v>74.06</v>
      </c>
      <c r="M135">
        <v>75.87</v>
      </c>
    </row>
    <row r="136" spans="1:13" x14ac:dyDescent="0.2">
      <c r="A136" s="1">
        <v>135</v>
      </c>
      <c r="B136" t="s">
        <v>66</v>
      </c>
      <c r="C136">
        <v>74.72</v>
      </c>
      <c r="D136">
        <v>19</v>
      </c>
      <c r="E136">
        <v>16</v>
      </c>
      <c r="F136">
        <v>73.66</v>
      </c>
      <c r="G136">
        <v>1</v>
      </c>
      <c r="H136">
        <v>2</v>
      </c>
      <c r="I136">
        <v>1</v>
      </c>
      <c r="J136">
        <v>6</v>
      </c>
      <c r="K136">
        <v>73.62</v>
      </c>
      <c r="L136">
        <v>74.430000000000007</v>
      </c>
      <c r="M136">
        <v>75.78</v>
      </c>
    </row>
    <row r="137" spans="1:13" x14ac:dyDescent="0.2">
      <c r="A137" s="1">
        <v>136</v>
      </c>
      <c r="B137" t="s">
        <v>907</v>
      </c>
      <c r="C137">
        <v>74.709999999999994</v>
      </c>
      <c r="D137">
        <v>21</v>
      </c>
      <c r="E137">
        <v>12</v>
      </c>
      <c r="F137">
        <v>70.53</v>
      </c>
      <c r="G137">
        <v>0</v>
      </c>
      <c r="H137">
        <v>0</v>
      </c>
      <c r="I137">
        <v>0</v>
      </c>
      <c r="J137">
        <v>3</v>
      </c>
      <c r="K137">
        <v>75.31</v>
      </c>
      <c r="L137">
        <v>74.459999999999994</v>
      </c>
      <c r="M137">
        <v>74.08</v>
      </c>
    </row>
    <row r="138" spans="1:13" x14ac:dyDescent="0.2">
      <c r="A138" s="1">
        <v>137</v>
      </c>
      <c r="B138" t="s">
        <v>87</v>
      </c>
      <c r="C138">
        <v>74.599999999999994</v>
      </c>
      <c r="D138">
        <v>21</v>
      </c>
      <c r="E138">
        <v>11</v>
      </c>
      <c r="F138">
        <v>70.67</v>
      </c>
      <c r="G138">
        <v>0</v>
      </c>
      <c r="H138">
        <v>2</v>
      </c>
      <c r="I138">
        <v>0</v>
      </c>
      <c r="J138">
        <v>3</v>
      </c>
      <c r="K138">
        <v>73.67</v>
      </c>
      <c r="L138">
        <v>74.39</v>
      </c>
      <c r="M138">
        <v>75.39</v>
      </c>
    </row>
    <row r="139" spans="1:13" x14ac:dyDescent="0.2">
      <c r="A139" s="1">
        <v>138</v>
      </c>
      <c r="B139" t="s">
        <v>839</v>
      </c>
      <c r="C139">
        <v>74.58</v>
      </c>
      <c r="D139">
        <v>14</v>
      </c>
      <c r="E139">
        <v>17</v>
      </c>
      <c r="F139">
        <v>77.03</v>
      </c>
      <c r="G139">
        <v>1</v>
      </c>
      <c r="H139">
        <v>3</v>
      </c>
      <c r="I139">
        <v>1</v>
      </c>
      <c r="J139">
        <v>9</v>
      </c>
      <c r="K139">
        <v>74.02</v>
      </c>
      <c r="L139">
        <v>74.63</v>
      </c>
      <c r="M139">
        <v>74.680000000000007</v>
      </c>
    </row>
    <row r="140" spans="1:13" x14ac:dyDescent="0.2">
      <c r="A140" s="1">
        <v>139</v>
      </c>
      <c r="B140" t="s">
        <v>33</v>
      </c>
      <c r="C140">
        <v>74.569999999999993</v>
      </c>
      <c r="D140">
        <v>14</v>
      </c>
      <c r="E140">
        <v>20</v>
      </c>
      <c r="F140">
        <v>78.78</v>
      </c>
      <c r="G140">
        <v>1</v>
      </c>
      <c r="H140">
        <v>2</v>
      </c>
      <c r="I140">
        <v>4</v>
      </c>
      <c r="J140">
        <v>7</v>
      </c>
      <c r="K140">
        <v>73.89</v>
      </c>
      <c r="L140">
        <v>74.37</v>
      </c>
      <c r="M140">
        <v>75.099999999999994</v>
      </c>
    </row>
    <row r="141" spans="1:13" x14ac:dyDescent="0.2">
      <c r="A141" s="1">
        <v>140</v>
      </c>
      <c r="B141" t="s">
        <v>276</v>
      </c>
      <c r="C141">
        <v>74.44</v>
      </c>
      <c r="D141">
        <v>15</v>
      </c>
      <c r="E141">
        <v>16</v>
      </c>
      <c r="F141">
        <v>73.8</v>
      </c>
      <c r="G141">
        <v>0</v>
      </c>
      <c r="H141">
        <v>0</v>
      </c>
      <c r="I141">
        <v>0</v>
      </c>
      <c r="J141">
        <v>2</v>
      </c>
      <c r="K141">
        <v>74.400000000000006</v>
      </c>
      <c r="L141">
        <v>75.069999999999993</v>
      </c>
      <c r="M141">
        <v>73.33</v>
      </c>
    </row>
    <row r="142" spans="1:13" x14ac:dyDescent="0.2">
      <c r="A142" s="1">
        <v>141</v>
      </c>
      <c r="B142" t="s">
        <v>200</v>
      </c>
      <c r="C142">
        <v>74.430000000000007</v>
      </c>
      <c r="D142">
        <v>19</v>
      </c>
      <c r="E142">
        <v>9</v>
      </c>
      <c r="F142">
        <v>69.760000000000005</v>
      </c>
      <c r="G142">
        <v>0</v>
      </c>
      <c r="H142">
        <v>0</v>
      </c>
      <c r="I142">
        <v>0</v>
      </c>
      <c r="J142">
        <v>0</v>
      </c>
      <c r="K142">
        <v>73.63</v>
      </c>
      <c r="L142">
        <v>73.92</v>
      </c>
      <c r="M142">
        <v>75.489999999999995</v>
      </c>
    </row>
    <row r="143" spans="1:13" x14ac:dyDescent="0.2">
      <c r="A143" s="1">
        <v>142</v>
      </c>
      <c r="B143" t="s">
        <v>238</v>
      </c>
      <c r="C143">
        <v>74.31</v>
      </c>
      <c r="D143">
        <v>17</v>
      </c>
      <c r="E143">
        <v>14</v>
      </c>
      <c r="F143">
        <v>72.83</v>
      </c>
      <c r="G143">
        <v>0</v>
      </c>
      <c r="H143">
        <v>1</v>
      </c>
      <c r="I143">
        <v>0</v>
      </c>
      <c r="J143">
        <v>2</v>
      </c>
      <c r="K143">
        <v>73.819999999999993</v>
      </c>
      <c r="L143">
        <v>74.67</v>
      </c>
      <c r="M143">
        <v>73.95</v>
      </c>
    </row>
    <row r="144" spans="1:13" x14ac:dyDescent="0.2">
      <c r="A144" s="1">
        <v>143</v>
      </c>
      <c r="B144" t="s">
        <v>891</v>
      </c>
      <c r="C144">
        <v>74.290000000000006</v>
      </c>
      <c r="D144">
        <v>19</v>
      </c>
      <c r="E144">
        <v>13</v>
      </c>
      <c r="F144">
        <v>71.19</v>
      </c>
      <c r="G144">
        <v>0</v>
      </c>
      <c r="H144">
        <v>1</v>
      </c>
      <c r="I144">
        <v>0</v>
      </c>
      <c r="J144">
        <v>1</v>
      </c>
      <c r="K144">
        <v>73.2</v>
      </c>
      <c r="L144">
        <v>73.95</v>
      </c>
      <c r="M144">
        <v>75.400000000000006</v>
      </c>
    </row>
    <row r="145" spans="1:13" x14ac:dyDescent="0.2">
      <c r="A145" s="1">
        <v>144</v>
      </c>
      <c r="B145" t="s">
        <v>877</v>
      </c>
      <c r="C145">
        <v>74.19</v>
      </c>
      <c r="D145">
        <v>12</v>
      </c>
      <c r="E145">
        <v>20</v>
      </c>
      <c r="F145">
        <v>77.489999999999995</v>
      </c>
      <c r="G145">
        <v>0</v>
      </c>
      <c r="H145">
        <v>3</v>
      </c>
      <c r="I145">
        <v>0</v>
      </c>
      <c r="J145">
        <v>10</v>
      </c>
      <c r="K145">
        <v>75.040000000000006</v>
      </c>
      <c r="L145">
        <v>73.44</v>
      </c>
      <c r="M145">
        <v>73.930000000000007</v>
      </c>
    </row>
    <row r="146" spans="1:13" x14ac:dyDescent="0.2">
      <c r="A146" s="1">
        <v>145</v>
      </c>
      <c r="B146" t="s">
        <v>212</v>
      </c>
      <c r="C146">
        <v>74.16</v>
      </c>
      <c r="D146">
        <v>18</v>
      </c>
      <c r="E146">
        <v>15</v>
      </c>
      <c r="F146">
        <v>70.900000000000006</v>
      </c>
      <c r="G146">
        <v>0</v>
      </c>
      <c r="H146">
        <v>0</v>
      </c>
      <c r="I146">
        <v>0</v>
      </c>
      <c r="J146">
        <v>0</v>
      </c>
      <c r="K146">
        <v>74.42</v>
      </c>
      <c r="L146">
        <v>74.64</v>
      </c>
      <c r="M146">
        <v>72.95</v>
      </c>
    </row>
    <row r="147" spans="1:13" x14ac:dyDescent="0.2">
      <c r="A147" s="1">
        <v>146</v>
      </c>
      <c r="B147" t="s">
        <v>31</v>
      </c>
      <c r="C147">
        <v>74.13</v>
      </c>
      <c r="D147">
        <v>13</v>
      </c>
      <c r="E147">
        <v>19</v>
      </c>
      <c r="F147">
        <v>78.75</v>
      </c>
      <c r="G147">
        <v>1</v>
      </c>
      <c r="H147">
        <v>2</v>
      </c>
      <c r="I147">
        <v>2</v>
      </c>
      <c r="J147">
        <v>14</v>
      </c>
      <c r="K147">
        <v>73.98</v>
      </c>
      <c r="L147">
        <v>73.77</v>
      </c>
      <c r="M147">
        <v>74.36</v>
      </c>
    </row>
    <row r="148" spans="1:13" x14ac:dyDescent="0.2">
      <c r="A148" s="1">
        <v>147</v>
      </c>
      <c r="B148" t="s">
        <v>177</v>
      </c>
      <c r="C148">
        <v>74.099999999999994</v>
      </c>
      <c r="D148">
        <v>15</v>
      </c>
      <c r="E148">
        <v>16</v>
      </c>
      <c r="F148">
        <v>74.34</v>
      </c>
      <c r="G148">
        <v>0</v>
      </c>
      <c r="H148">
        <v>2</v>
      </c>
      <c r="I148">
        <v>0</v>
      </c>
      <c r="J148">
        <v>5</v>
      </c>
      <c r="K148">
        <v>74.989999999999995</v>
      </c>
      <c r="L148">
        <v>74.45</v>
      </c>
      <c r="M148">
        <v>72.44</v>
      </c>
    </row>
    <row r="149" spans="1:13" x14ac:dyDescent="0.2">
      <c r="A149" s="1">
        <v>148</v>
      </c>
      <c r="B149" t="s">
        <v>47</v>
      </c>
      <c r="C149">
        <v>74.08</v>
      </c>
      <c r="D149">
        <v>13</v>
      </c>
      <c r="E149">
        <v>18</v>
      </c>
      <c r="F149">
        <v>74.39</v>
      </c>
      <c r="G149">
        <v>0</v>
      </c>
      <c r="H149">
        <v>3</v>
      </c>
      <c r="I149">
        <v>0</v>
      </c>
      <c r="J149">
        <v>5</v>
      </c>
      <c r="K149">
        <v>74.92</v>
      </c>
      <c r="L149">
        <v>75</v>
      </c>
      <c r="M149">
        <v>71.8</v>
      </c>
    </row>
    <row r="150" spans="1:13" x14ac:dyDescent="0.2">
      <c r="A150" s="1">
        <v>149</v>
      </c>
      <c r="B150" t="s">
        <v>285</v>
      </c>
      <c r="C150">
        <v>74.069999999999993</v>
      </c>
      <c r="D150">
        <v>14</v>
      </c>
      <c r="E150">
        <v>18</v>
      </c>
      <c r="F150">
        <v>73.709999999999994</v>
      </c>
      <c r="G150">
        <v>0</v>
      </c>
      <c r="H150">
        <v>1</v>
      </c>
      <c r="I150">
        <v>0</v>
      </c>
      <c r="J150">
        <v>4</v>
      </c>
      <c r="K150">
        <v>74.61</v>
      </c>
      <c r="L150">
        <v>74.63</v>
      </c>
      <c r="M150">
        <v>72.510000000000005</v>
      </c>
    </row>
    <row r="151" spans="1:13" x14ac:dyDescent="0.2">
      <c r="A151" s="1">
        <v>150</v>
      </c>
      <c r="B151" t="s">
        <v>199</v>
      </c>
      <c r="C151">
        <v>73.900000000000006</v>
      </c>
      <c r="D151">
        <v>19</v>
      </c>
      <c r="E151">
        <v>12</v>
      </c>
      <c r="F151">
        <v>69.64</v>
      </c>
      <c r="G151">
        <v>0</v>
      </c>
      <c r="H151">
        <v>1</v>
      </c>
      <c r="I151">
        <v>1</v>
      </c>
      <c r="J151">
        <v>2</v>
      </c>
      <c r="K151">
        <v>73.08</v>
      </c>
      <c r="L151">
        <v>74.23</v>
      </c>
      <c r="M151">
        <v>73.900000000000006</v>
      </c>
    </row>
    <row r="152" spans="1:13" x14ac:dyDescent="0.2">
      <c r="A152" s="1">
        <v>151</v>
      </c>
      <c r="B152" t="s">
        <v>862</v>
      </c>
      <c r="C152">
        <v>73.88</v>
      </c>
      <c r="D152">
        <v>21</v>
      </c>
      <c r="E152">
        <v>10</v>
      </c>
      <c r="F152">
        <v>70.28</v>
      </c>
      <c r="G152">
        <v>0</v>
      </c>
      <c r="H152">
        <v>3</v>
      </c>
      <c r="I152">
        <v>0</v>
      </c>
      <c r="J152">
        <v>3</v>
      </c>
      <c r="K152">
        <v>72.95</v>
      </c>
      <c r="L152">
        <v>73.040000000000006</v>
      </c>
      <c r="M152">
        <v>75.47</v>
      </c>
    </row>
    <row r="153" spans="1:13" x14ac:dyDescent="0.2">
      <c r="A153" s="1">
        <v>152</v>
      </c>
      <c r="B153" t="s">
        <v>211</v>
      </c>
      <c r="C153">
        <v>73.569999999999993</v>
      </c>
      <c r="D153">
        <v>20</v>
      </c>
      <c r="E153">
        <v>10</v>
      </c>
      <c r="F153">
        <v>70.319999999999993</v>
      </c>
      <c r="G153">
        <v>0</v>
      </c>
      <c r="H153">
        <v>1</v>
      </c>
      <c r="I153">
        <v>0</v>
      </c>
      <c r="J153">
        <v>1</v>
      </c>
      <c r="K153">
        <v>72.599999999999994</v>
      </c>
      <c r="L153">
        <v>72.760000000000005</v>
      </c>
      <c r="M153">
        <v>75.17</v>
      </c>
    </row>
    <row r="154" spans="1:13" x14ac:dyDescent="0.2">
      <c r="A154" s="1">
        <v>153</v>
      </c>
      <c r="B154" t="s">
        <v>791</v>
      </c>
      <c r="C154">
        <v>73.33</v>
      </c>
      <c r="D154">
        <v>12</v>
      </c>
      <c r="E154">
        <v>19</v>
      </c>
      <c r="F154">
        <v>76.430000000000007</v>
      </c>
      <c r="G154">
        <v>0</v>
      </c>
      <c r="H154">
        <v>1</v>
      </c>
      <c r="I154">
        <v>2</v>
      </c>
      <c r="J154">
        <v>6</v>
      </c>
      <c r="K154">
        <v>73.64</v>
      </c>
      <c r="L154">
        <v>73.36</v>
      </c>
      <c r="M154">
        <v>72.61</v>
      </c>
    </row>
    <row r="155" spans="1:13" x14ac:dyDescent="0.2">
      <c r="A155" s="1">
        <v>154</v>
      </c>
      <c r="B155" t="s">
        <v>880</v>
      </c>
      <c r="C155">
        <v>73.08</v>
      </c>
      <c r="D155">
        <v>20</v>
      </c>
      <c r="E155">
        <v>12</v>
      </c>
      <c r="F155">
        <v>67.72</v>
      </c>
      <c r="G155">
        <v>0</v>
      </c>
      <c r="H155">
        <v>2</v>
      </c>
      <c r="I155">
        <v>1</v>
      </c>
      <c r="J155">
        <v>2</v>
      </c>
      <c r="K155">
        <v>73.349999999999994</v>
      </c>
      <c r="L155">
        <v>73.209999999999994</v>
      </c>
      <c r="M155">
        <v>72.27</v>
      </c>
    </row>
    <row r="156" spans="1:13" x14ac:dyDescent="0.2">
      <c r="A156" s="1">
        <v>155</v>
      </c>
      <c r="B156" t="s">
        <v>128</v>
      </c>
      <c r="C156">
        <v>73.040000000000006</v>
      </c>
      <c r="D156">
        <v>18</v>
      </c>
      <c r="E156">
        <v>17</v>
      </c>
      <c r="F156">
        <v>73.19</v>
      </c>
      <c r="G156">
        <v>0</v>
      </c>
      <c r="H156">
        <v>0</v>
      </c>
      <c r="I156">
        <v>0</v>
      </c>
      <c r="J156">
        <v>2</v>
      </c>
      <c r="K156">
        <v>72.69</v>
      </c>
      <c r="L156">
        <v>72.84</v>
      </c>
      <c r="M156">
        <v>73.239999999999995</v>
      </c>
    </row>
    <row r="157" spans="1:13" x14ac:dyDescent="0.2">
      <c r="A157" s="1">
        <v>156</v>
      </c>
      <c r="B157" t="s">
        <v>245</v>
      </c>
      <c r="C157">
        <v>73.03</v>
      </c>
      <c r="D157">
        <v>18</v>
      </c>
      <c r="E157">
        <v>14</v>
      </c>
      <c r="F157">
        <v>73.430000000000007</v>
      </c>
      <c r="G157">
        <v>0</v>
      </c>
      <c r="H157">
        <v>0</v>
      </c>
      <c r="I157">
        <v>0</v>
      </c>
      <c r="J157">
        <v>0</v>
      </c>
      <c r="K157">
        <v>72.92</v>
      </c>
      <c r="L157">
        <v>72.150000000000006</v>
      </c>
      <c r="M157">
        <v>73.849999999999994</v>
      </c>
    </row>
    <row r="158" spans="1:13" x14ac:dyDescent="0.2">
      <c r="A158" s="1">
        <v>157</v>
      </c>
      <c r="B158" t="s">
        <v>890</v>
      </c>
      <c r="C158">
        <v>73.010000000000005</v>
      </c>
      <c r="D158">
        <v>20</v>
      </c>
      <c r="E158">
        <v>14</v>
      </c>
      <c r="F158">
        <v>71.47</v>
      </c>
      <c r="G158">
        <v>0</v>
      </c>
      <c r="H158">
        <v>0</v>
      </c>
      <c r="I158">
        <v>0</v>
      </c>
      <c r="J158">
        <v>1</v>
      </c>
      <c r="K158">
        <v>72.39</v>
      </c>
      <c r="L158">
        <v>72.290000000000006</v>
      </c>
      <c r="M158">
        <v>74.14</v>
      </c>
    </row>
    <row r="159" spans="1:13" x14ac:dyDescent="0.2">
      <c r="A159" s="1">
        <v>158</v>
      </c>
      <c r="B159" t="s">
        <v>820</v>
      </c>
      <c r="C159">
        <v>72.94</v>
      </c>
      <c r="D159">
        <v>15</v>
      </c>
      <c r="E159">
        <v>17</v>
      </c>
      <c r="F159">
        <v>71.150000000000006</v>
      </c>
      <c r="G159">
        <v>0</v>
      </c>
      <c r="H159">
        <v>1</v>
      </c>
      <c r="I159">
        <v>0</v>
      </c>
      <c r="J159">
        <v>2</v>
      </c>
      <c r="K159">
        <v>73.709999999999994</v>
      </c>
      <c r="L159">
        <v>73.599999999999994</v>
      </c>
      <c r="M159">
        <v>70.989999999999995</v>
      </c>
    </row>
    <row r="160" spans="1:13" x14ac:dyDescent="0.2">
      <c r="A160" s="1">
        <v>159</v>
      </c>
      <c r="B160" t="s">
        <v>807</v>
      </c>
      <c r="C160">
        <v>72.94</v>
      </c>
      <c r="D160">
        <v>13</v>
      </c>
      <c r="E160">
        <v>18</v>
      </c>
      <c r="F160">
        <v>78.08</v>
      </c>
      <c r="G160">
        <v>0</v>
      </c>
      <c r="H160">
        <v>4</v>
      </c>
      <c r="I160">
        <v>2</v>
      </c>
      <c r="J160">
        <v>7</v>
      </c>
      <c r="K160">
        <v>72.349999999999994</v>
      </c>
      <c r="L160">
        <v>71.53</v>
      </c>
      <c r="M160">
        <v>74.88</v>
      </c>
    </row>
    <row r="161" spans="1:13" x14ac:dyDescent="0.2">
      <c r="A161" s="1">
        <v>160</v>
      </c>
      <c r="B161" t="s">
        <v>195</v>
      </c>
      <c r="C161">
        <v>72.930000000000007</v>
      </c>
      <c r="D161">
        <v>21</v>
      </c>
      <c r="E161">
        <v>12</v>
      </c>
      <c r="F161">
        <v>70.319999999999993</v>
      </c>
      <c r="G161">
        <v>0</v>
      </c>
      <c r="H161">
        <v>2</v>
      </c>
      <c r="I161">
        <v>0</v>
      </c>
      <c r="J161">
        <v>2</v>
      </c>
      <c r="K161">
        <v>72.16</v>
      </c>
      <c r="L161">
        <v>72.459999999999994</v>
      </c>
      <c r="M161">
        <v>73.89</v>
      </c>
    </row>
    <row r="162" spans="1:13" x14ac:dyDescent="0.2">
      <c r="A162" s="1">
        <v>161</v>
      </c>
      <c r="B162" t="s">
        <v>892</v>
      </c>
      <c r="C162">
        <v>72.8</v>
      </c>
      <c r="D162">
        <v>22</v>
      </c>
      <c r="E162">
        <v>12</v>
      </c>
      <c r="F162">
        <v>67.97</v>
      </c>
      <c r="G162">
        <v>0</v>
      </c>
      <c r="H162">
        <v>1</v>
      </c>
      <c r="I162">
        <v>0</v>
      </c>
      <c r="J162">
        <v>1</v>
      </c>
      <c r="K162">
        <v>73.06</v>
      </c>
      <c r="L162">
        <v>72.180000000000007</v>
      </c>
      <c r="M162">
        <v>72.94</v>
      </c>
    </row>
    <row r="163" spans="1:13" x14ac:dyDescent="0.2">
      <c r="A163" s="1">
        <v>162</v>
      </c>
      <c r="B163" t="s">
        <v>882</v>
      </c>
      <c r="C163">
        <v>72.8</v>
      </c>
      <c r="D163">
        <v>17</v>
      </c>
      <c r="E163">
        <v>12</v>
      </c>
      <c r="F163">
        <v>70.540000000000006</v>
      </c>
      <c r="G163">
        <v>0</v>
      </c>
      <c r="H163">
        <v>1</v>
      </c>
      <c r="I163">
        <v>0</v>
      </c>
      <c r="J163">
        <v>2</v>
      </c>
      <c r="K163">
        <v>72.8</v>
      </c>
      <c r="L163">
        <v>71.599999999999994</v>
      </c>
      <c r="M163">
        <v>73.91</v>
      </c>
    </row>
    <row r="164" spans="1:13" x14ac:dyDescent="0.2">
      <c r="A164" s="1">
        <v>163</v>
      </c>
      <c r="B164" t="s">
        <v>192</v>
      </c>
      <c r="C164">
        <v>72.73</v>
      </c>
      <c r="D164">
        <v>18</v>
      </c>
      <c r="E164">
        <v>13</v>
      </c>
      <c r="F164">
        <v>70.53</v>
      </c>
      <c r="G164">
        <v>0</v>
      </c>
      <c r="H164">
        <v>0</v>
      </c>
      <c r="I164">
        <v>0</v>
      </c>
      <c r="J164">
        <v>1</v>
      </c>
      <c r="K164">
        <v>72.349999999999994</v>
      </c>
      <c r="L164">
        <v>72.48</v>
      </c>
      <c r="M164">
        <v>73.02</v>
      </c>
    </row>
    <row r="165" spans="1:13" x14ac:dyDescent="0.2">
      <c r="A165" s="1">
        <v>164</v>
      </c>
      <c r="B165" t="s">
        <v>254</v>
      </c>
      <c r="C165">
        <v>72.680000000000007</v>
      </c>
      <c r="D165">
        <v>22</v>
      </c>
      <c r="E165">
        <v>15</v>
      </c>
      <c r="F165">
        <v>70.34</v>
      </c>
      <c r="G165">
        <v>0</v>
      </c>
      <c r="H165">
        <v>1</v>
      </c>
      <c r="I165">
        <v>0</v>
      </c>
      <c r="J165">
        <v>1</v>
      </c>
      <c r="K165">
        <v>72.069999999999993</v>
      </c>
      <c r="L165">
        <v>71.569999999999993</v>
      </c>
      <c r="M165">
        <v>74.290000000000006</v>
      </c>
    </row>
    <row r="166" spans="1:13" x14ac:dyDescent="0.2">
      <c r="A166" s="1">
        <v>165</v>
      </c>
      <c r="B166" t="s">
        <v>85</v>
      </c>
      <c r="C166">
        <v>72.680000000000007</v>
      </c>
      <c r="D166">
        <v>20</v>
      </c>
      <c r="E166">
        <v>10</v>
      </c>
      <c r="F166">
        <v>69</v>
      </c>
      <c r="G166">
        <v>0</v>
      </c>
      <c r="H166">
        <v>2</v>
      </c>
      <c r="I166">
        <v>0</v>
      </c>
      <c r="J166">
        <v>3</v>
      </c>
      <c r="K166">
        <v>71.569999999999993</v>
      </c>
      <c r="L166">
        <v>72.069999999999993</v>
      </c>
      <c r="M166">
        <v>74.14</v>
      </c>
    </row>
    <row r="167" spans="1:13" x14ac:dyDescent="0.2">
      <c r="A167" s="1">
        <v>166</v>
      </c>
      <c r="B167" t="s">
        <v>821</v>
      </c>
      <c r="C167">
        <v>72.64</v>
      </c>
      <c r="D167">
        <v>14</v>
      </c>
      <c r="E167">
        <v>16</v>
      </c>
      <c r="F167">
        <v>73.86</v>
      </c>
      <c r="G167">
        <v>0</v>
      </c>
      <c r="H167">
        <v>5</v>
      </c>
      <c r="I167">
        <v>0</v>
      </c>
      <c r="J167">
        <v>5</v>
      </c>
      <c r="K167">
        <v>72.63</v>
      </c>
      <c r="L167">
        <v>72.09</v>
      </c>
      <c r="M167">
        <v>72.95</v>
      </c>
    </row>
    <row r="168" spans="1:13" x14ac:dyDescent="0.2">
      <c r="A168" s="1">
        <v>167</v>
      </c>
      <c r="B168" t="s">
        <v>264</v>
      </c>
      <c r="C168">
        <v>72.56</v>
      </c>
      <c r="D168">
        <v>12</v>
      </c>
      <c r="E168">
        <v>15</v>
      </c>
      <c r="F168">
        <v>71.59</v>
      </c>
      <c r="G168">
        <v>0</v>
      </c>
      <c r="H168">
        <v>1</v>
      </c>
      <c r="I168">
        <v>0</v>
      </c>
      <c r="J168">
        <v>1</v>
      </c>
      <c r="K168">
        <v>73.55</v>
      </c>
      <c r="L168">
        <v>73.3</v>
      </c>
      <c r="M168">
        <v>70.27</v>
      </c>
    </row>
    <row r="169" spans="1:13" x14ac:dyDescent="0.2">
      <c r="A169" s="1">
        <v>168</v>
      </c>
      <c r="B169" t="s">
        <v>850</v>
      </c>
      <c r="C169">
        <v>72.56</v>
      </c>
      <c r="D169">
        <v>11</v>
      </c>
      <c r="E169">
        <v>16</v>
      </c>
      <c r="F169">
        <v>74.17</v>
      </c>
      <c r="G169">
        <v>0</v>
      </c>
      <c r="H169">
        <v>1</v>
      </c>
      <c r="I169">
        <v>0</v>
      </c>
      <c r="J169">
        <v>1</v>
      </c>
      <c r="K169">
        <v>72.92</v>
      </c>
      <c r="L169">
        <v>72.88</v>
      </c>
      <c r="M169">
        <v>71.400000000000006</v>
      </c>
    </row>
    <row r="170" spans="1:13" x14ac:dyDescent="0.2">
      <c r="A170" s="1">
        <v>169</v>
      </c>
      <c r="B170" t="s">
        <v>41</v>
      </c>
      <c r="C170">
        <v>72.510000000000005</v>
      </c>
      <c r="D170">
        <v>11</v>
      </c>
      <c r="E170">
        <v>22</v>
      </c>
      <c r="F170">
        <v>78.06</v>
      </c>
      <c r="G170">
        <v>0</v>
      </c>
      <c r="H170">
        <v>8</v>
      </c>
      <c r="I170">
        <v>0</v>
      </c>
      <c r="J170">
        <v>14</v>
      </c>
      <c r="K170">
        <v>73.3</v>
      </c>
      <c r="L170">
        <v>72.680000000000007</v>
      </c>
      <c r="M170">
        <v>71.14</v>
      </c>
    </row>
    <row r="171" spans="1:13" x14ac:dyDescent="0.2">
      <c r="A171" s="1">
        <v>170</v>
      </c>
      <c r="B171" t="s">
        <v>223</v>
      </c>
      <c r="C171">
        <v>72.349999999999994</v>
      </c>
      <c r="D171">
        <v>19</v>
      </c>
      <c r="E171">
        <v>12</v>
      </c>
      <c r="F171">
        <v>69.45</v>
      </c>
      <c r="G171">
        <v>0</v>
      </c>
      <c r="H171">
        <v>1</v>
      </c>
      <c r="I171">
        <v>0</v>
      </c>
      <c r="J171">
        <v>1</v>
      </c>
      <c r="K171">
        <v>71.64</v>
      </c>
      <c r="L171">
        <v>71.709999999999994</v>
      </c>
      <c r="M171">
        <v>73.459999999999994</v>
      </c>
    </row>
    <row r="172" spans="1:13" x14ac:dyDescent="0.2">
      <c r="A172" s="1">
        <v>171</v>
      </c>
      <c r="B172" t="s">
        <v>124</v>
      </c>
      <c r="C172">
        <v>72.260000000000005</v>
      </c>
      <c r="D172">
        <v>15</v>
      </c>
      <c r="E172">
        <v>14</v>
      </c>
      <c r="F172">
        <v>71.06</v>
      </c>
      <c r="G172">
        <v>0</v>
      </c>
      <c r="H172">
        <v>0</v>
      </c>
      <c r="I172">
        <v>0</v>
      </c>
      <c r="J172">
        <v>0</v>
      </c>
      <c r="K172">
        <v>72.12</v>
      </c>
      <c r="L172">
        <v>72.489999999999995</v>
      </c>
      <c r="M172">
        <v>71.739999999999995</v>
      </c>
    </row>
    <row r="173" spans="1:13" x14ac:dyDescent="0.2">
      <c r="A173" s="1">
        <v>172</v>
      </c>
      <c r="B173" t="s">
        <v>783</v>
      </c>
      <c r="C173">
        <v>72.260000000000005</v>
      </c>
      <c r="D173">
        <v>13</v>
      </c>
      <c r="E173">
        <v>18</v>
      </c>
      <c r="F173">
        <v>74.77</v>
      </c>
      <c r="G173">
        <v>0</v>
      </c>
      <c r="H173">
        <v>2</v>
      </c>
      <c r="I173">
        <v>1</v>
      </c>
      <c r="J173">
        <v>4</v>
      </c>
      <c r="K173">
        <v>72.069999999999993</v>
      </c>
      <c r="L173">
        <v>72.19</v>
      </c>
      <c r="M173">
        <v>72.16</v>
      </c>
    </row>
    <row r="174" spans="1:13" x14ac:dyDescent="0.2">
      <c r="A174" s="1">
        <v>173</v>
      </c>
      <c r="B174" t="s">
        <v>214</v>
      </c>
      <c r="C174">
        <v>71.98</v>
      </c>
      <c r="D174">
        <v>19</v>
      </c>
      <c r="E174">
        <v>14</v>
      </c>
      <c r="F174">
        <v>70.25</v>
      </c>
      <c r="G174">
        <v>0</v>
      </c>
      <c r="H174">
        <v>0</v>
      </c>
      <c r="I174">
        <v>0</v>
      </c>
      <c r="J174">
        <v>0</v>
      </c>
      <c r="K174">
        <v>72.08</v>
      </c>
      <c r="L174">
        <v>71.989999999999995</v>
      </c>
      <c r="M174">
        <v>71.47</v>
      </c>
    </row>
    <row r="175" spans="1:13" x14ac:dyDescent="0.2">
      <c r="A175" s="1">
        <v>174</v>
      </c>
      <c r="B175" t="s">
        <v>878</v>
      </c>
      <c r="C175">
        <v>71.97</v>
      </c>
      <c r="D175">
        <v>14</v>
      </c>
      <c r="E175">
        <v>17</v>
      </c>
      <c r="F175">
        <v>74.13</v>
      </c>
      <c r="G175">
        <v>0</v>
      </c>
      <c r="H175">
        <v>3</v>
      </c>
      <c r="I175">
        <v>0</v>
      </c>
      <c r="J175">
        <v>4</v>
      </c>
      <c r="K175">
        <v>71.790000000000006</v>
      </c>
      <c r="L175">
        <v>71.89</v>
      </c>
      <c r="M175">
        <v>71.87</v>
      </c>
    </row>
    <row r="176" spans="1:13" x14ac:dyDescent="0.2">
      <c r="A176" s="1">
        <v>175</v>
      </c>
      <c r="B176" t="s">
        <v>71</v>
      </c>
      <c r="C176">
        <v>71.930000000000007</v>
      </c>
      <c r="D176">
        <v>10</v>
      </c>
      <c r="E176">
        <v>22</v>
      </c>
      <c r="F176">
        <v>79.94</v>
      </c>
      <c r="G176">
        <v>1</v>
      </c>
      <c r="H176">
        <v>4</v>
      </c>
      <c r="I176">
        <v>2</v>
      </c>
      <c r="J176">
        <v>10</v>
      </c>
      <c r="K176">
        <v>72</v>
      </c>
      <c r="L176">
        <v>71.260000000000005</v>
      </c>
      <c r="M176">
        <v>72.3</v>
      </c>
    </row>
    <row r="177" spans="1:13" x14ac:dyDescent="0.2">
      <c r="A177" s="1">
        <v>176</v>
      </c>
      <c r="B177" t="s">
        <v>251</v>
      </c>
      <c r="C177">
        <v>71.8</v>
      </c>
      <c r="D177">
        <v>20</v>
      </c>
      <c r="E177">
        <v>15</v>
      </c>
      <c r="F177">
        <v>69.849999999999994</v>
      </c>
      <c r="G177">
        <v>0</v>
      </c>
      <c r="H177">
        <v>3</v>
      </c>
      <c r="I177">
        <v>0</v>
      </c>
      <c r="J177">
        <v>3</v>
      </c>
      <c r="K177">
        <v>71.44</v>
      </c>
      <c r="L177">
        <v>70.849999999999994</v>
      </c>
      <c r="M177">
        <v>72.930000000000007</v>
      </c>
    </row>
    <row r="178" spans="1:13" x14ac:dyDescent="0.2">
      <c r="A178" s="1">
        <v>177</v>
      </c>
      <c r="B178" t="s">
        <v>154</v>
      </c>
      <c r="C178">
        <v>71.53</v>
      </c>
      <c r="D178">
        <v>17</v>
      </c>
      <c r="E178">
        <v>14</v>
      </c>
      <c r="F178">
        <v>71.569999999999993</v>
      </c>
      <c r="G178">
        <v>0</v>
      </c>
      <c r="H178">
        <v>1</v>
      </c>
      <c r="I178">
        <v>0</v>
      </c>
      <c r="J178">
        <v>2</v>
      </c>
      <c r="K178">
        <v>71.23</v>
      </c>
      <c r="L178">
        <v>71.44</v>
      </c>
      <c r="M178">
        <v>71.540000000000006</v>
      </c>
    </row>
    <row r="179" spans="1:13" x14ac:dyDescent="0.2">
      <c r="A179" s="1">
        <v>178</v>
      </c>
      <c r="B179" t="s">
        <v>557</v>
      </c>
      <c r="C179">
        <v>71.510000000000005</v>
      </c>
      <c r="D179">
        <v>13</v>
      </c>
      <c r="E179">
        <v>15</v>
      </c>
      <c r="F179">
        <v>71.150000000000006</v>
      </c>
      <c r="G179">
        <v>0</v>
      </c>
      <c r="H179">
        <v>0</v>
      </c>
      <c r="I179">
        <v>0</v>
      </c>
      <c r="J179">
        <v>1</v>
      </c>
      <c r="K179">
        <v>72.069999999999993</v>
      </c>
      <c r="L179">
        <v>71.11</v>
      </c>
      <c r="M179">
        <v>71.069999999999993</v>
      </c>
    </row>
    <row r="180" spans="1:13" x14ac:dyDescent="0.2">
      <c r="A180" s="1">
        <v>179</v>
      </c>
      <c r="B180" t="s">
        <v>117</v>
      </c>
      <c r="C180">
        <v>71.44</v>
      </c>
      <c r="D180">
        <v>8</v>
      </c>
      <c r="E180">
        <v>23</v>
      </c>
      <c r="F180">
        <v>79.87</v>
      </c>
      <c r="G180">
        <v>0</v>
      </c>
      <c r="H180">
        <v>5</v>
      </c>
      <c r="I180">
        <v>2</v>
      </c>
      <c r="J180">
        <v>11</v>
      </c>
      <c r="K180">
        <v>71.42</v>
      </c>
      <c r="L180">
        <v>71.680000000000007</v>
      </c>
      <c r="M180">
        <v>70.790000000000006</v>
      </c>
    </row>
    <row r="181" spans="1:13" x14ac:dyDescent="0.2">
      <c r="A181" s="1">
        <v>180</v>
      </c>
      <c r="B181" t="s">
        <v>161</v>
      </c>
      <c r="C181">
        <v>71.430000000000007</v>
      </c>
      <c r="D181">
        <v>18</v>
      </c>
      <c r="E181">
        <v>15</v>
      </c>
      <c r="F181">
        <v>70.27</v>
      </c>
      <c r="G181">
        <v>0</v>
      </c>
      <c r="H181">
        <v>1</v>
      </c>
      <c r="I181">
        <v>0</v>
      </c>
      <c r="J181">
        <v>3</v>
      </c>
      <c r="K181">
        <v>71.010000000000005</v>
      </c>
      <c r="L181">
        <v>71.510000000000005</v>
      </c>
      <c r="M181">
        <v>71.349999999999994</v>
      </c>
    </row>
    <row r="182" spans="1:13" x14ac:dyDescent="0.2">
      <c r="A182" s="1">
        <v>181</v>
      </c>
      <c r="B182" t="s">
        <v>231</v>
      </c>
      <c r="C182">
        <v>71.430000000000007</v>
      </c>
      <c r="D182">
        <v>20</v>
      </c>
      <c r="E182">
        <v>12</v>
      </c>
      <c r="F182">
        <v>66.430000000000007</v>
      </c>
      <c r="G182">
        <v>0</v>
      </c>
      <c r="H182">
        <v>0</v>
      </c>
      <c r="I182">
        <v>0</v>
      </c>
      <c r="J182">
        <v>1</v>
      </c>
      <c r="K182">
        <v>71.86</v>
      </c>
      <c r="L182">
        <v>71.22</v>
      </c>
      <c r="M182">
        <v>70.86</v>
      </c>
    </row>
    <row r="183" spans="1:13" x14ac:dyDescent="0.2">
      <c r="A183" s="1">
        <v>182</v>
      </c>
      <c r="B183" t="s">
        <v>140</v>
      </c>
      <c r="C183">
        <v>71.400000000000006</v>
      </c>
      <c r="D183">
        <v>15</v>
      </c>
      <c r="E183">
        <v>17</v>
      </c>
      <c r="F183">
        <v>70.69</v>
      </c>
      <c r="G183">
        <v>0</v>
      </c>
      <c r="H183">
        <v>1</v>
      </c>
      <c r="I183">
        <v>0</v>
      </c>
      <c r="J183">
        <v>2</v>
      </c>
      <c r="K183">
        <v>71.739999999999995</v>
      </c>
      <c r="L183">
        <v>71.239999999999995</v>
      </c>
      <c r="M183">
        <v>70.88</v>
      </c>
    </row>
    <row r="184" spans="1:13" x14ac:dyDescent="0.2">
      <c r="A184" s="1">
        <v>183</v>
      </c>
      <c r="B184" t="s">
        <v>160</v>
      </c>
      <c r="C184">
        <v>71.31</v>
      </c>
      <c r="D184">
        <v>17</v>
      </c>
      <c r="E184">
        <v>15</v>
      </c>
      <c r="F184">
        <v>72.150000000000006</v>
      </c>
      <c r="G184">
        <v>0</v>
      </c>
      <c r="H184">
        <v>1</v>
      </c>
      <c r="I184">
        <v>0</v>
      </c>
      <c r="J184">
        <v>1</v>
      </c>
      <c r="K184">
        <v>70.59</v>
      </c>
      <c r="L184">
        <v>70.22</v>
      </c>
      <c r="M184">
        <v>72.94</v>
      </c>
    </row>
    <row r="185" spans="1:13" x14ac:dyDescent="0.2">
      <c r="A185" s="1">
        <v>184</v>
      </c>
      <c r="B185" t="s">
        <v>550</v>
      </c>
      <c r="C185">
        <v>71.31</v>
      </c>
      <c r="D185">
        <v>13</v>
      </c>
      <c r="E185">
        <v>18</v>
      </c>
      <c r="F185">
        <v>73.45</v>
      </c>
      <c r="G185">
        <v>0</v>
      </c>
      <c r="H185">
        <v>1</v>
      </c>
      <c r="I185">
        <v>0</v>
      </c>
      <c r="J185">
        <v>2</v>
      </c>
      <c r="K185">
        <v>71.239999999999995</v>
      </c>
      <c r="L185">
        <v>71.25</v>
      </c>
      <c r="M185">
        <v>71.05</v>
      </c>
    </row>
    <row r="186" spans="1:13" x14ac:dyDescent="0.2">
      <c r="A186" s="1">
        <v>185</v>
      </c>
      <c r="B186" t="s">
        <v>236</v>
      </c>
      <c r="C186">
        <v>71.31</v>
      </c>
      <c r="D186">
        <v>13</v>
      </c>
      <c r="E186">
        <v>16</v>
      </c>
      <c r="F186">
        <v>73.34</v>
      </c>
      <c r="G186">
        <v>0</v>
      </c>
      <c r="H186">
        <v>2</v>
      </c>
      <c r="I186">
        <v>0</v>
      </c>
      <c r="J186">
        <v>2</v>
      </c>
      <c r="K186">
        <v>70.599999999999994</v>
      </c>
      <c r="L186">
        <v>71.33</v>
      </c>
      <c r="M186">
        <v>71.569999999999993</v>
      </c>
    </row>
    <row r="187" spans="1:13" x14ac:dyDescent="0.2">
      <c r="A187" s="1">
        <v>186</v>
      </c>
      <c r="B187" t="s">
        <v>244</v>
      </c>
      <c r="C187">
        <v>71.290000000000006</v>
      </c>
      <c r="D187">
        <v>19</v>
      </c>
      <c r="E187">
        <v>13</v>
      </c>
      <c r="F187">
        <v>70.44</v>
      </c>
      <c r="G187">
        <v>0</v>
      </c>
      <c r="H187">
        <v>3</v>
      </c>
      <c r="I187">
        <v>0</v>
      </c>
      <c r="J187">
        <v>3</v>
      </c>
      <c r="K187">
        <v>70</v>
      </c>
      <c r="L187">
        <v>70.02</v>
      </c>
      <c r="M187">
        <v>73.69</v>
      </c>
    </row>
    <row r="188" spans="1:13" x14ac:dyDescent="0.2">
      <c r="A188" s="1">
        <v>187</v>
      </c>
      <c r="B188" t="s">
        <v>174</v>
      </c>
      <c r="C188">
        <v>71.28</v>
      </c>
      <c r="D188">
        <v>19</v>
      </c>
      <c r="E188">
        <v>14</v>
      </c>
      <c r="F188">
        <v>70.930000000000007</v>
      </c>
      <c r="G188">
        <v>0</v>
      </c>
      <c r="H188">
        <v>2</v>
      </c>
      <c r="I188">
        <v>0</v>
      </c>
      <c r="J188">
        <v>2</v>
      </c>
      <c r="K188">
        <v>71.31</v>
      </c>
      <c r="L188">
        <v>70.680000000000007</v>
      </c>
      <c r="M188">
        <v>71.61</v>
      </c>
    </row>
    <row r="189" spans="1:13" x14ac:dyDescent="0.2">
      <c r="A189" s="1">
        <v>188</v>
      </c>
      <c r="B189" t="s">
        <v>250</v>
      </c>
      <c r="C189">
        <v>71.28</v>
      </c>
      <c r="D189">
        <v>17</v>
      </c>
      <c r="E189">
        <v>16</v>
      </c>
      <c r="F189">
        <v>71.37</v>
      </c>
      <c r="G189">
        <v>0</v>
      </c>
      <c r="H189">
        <v>0</v>
      </c>
      <c r="I189">
        <v>0</v>
      </c>
      <c r="J189">
        <v>0</v>
      </c>
      <c r="K189">
        <v>70.16</v>
      </c>
      <c r="L189">
        <v>71.09</v>
      </c>
      <c r="M189">
        <v>72.2</v>
      </c>
    </row>
    <row r="190" spans="1:13" x14ac:dyDescent="0.2">
      <c r="A190" s="1">
        <v>189</v>
      </c>
      <c r="B190" t="s">
        <v>176</v>
      </c>
      <c r="C190">
        <v>71.260000000000005</v>
      </c>
      <c r="D190">
        <v>19</v>
      </c>
      <c r="E190">
        <v>11</v>
      </c>
      <c r="F190">
        <v>68.06</v>
      </c>
      <c r="G190">
        <v>0</v>
      </c>
      <c r="H190">
        <v>1</v>
      </c>
      <c r="I190">
        <v>0</v>
      </c>
      <c r="J190">
        <v>1</v>
      </c>
      <c r="K190">
        <v>70.680000000000007</v>
      </c>
      <c r="L190">
        <v>71.11</v>
      </c>
      <c r="M190">
        <v>71.64</v>
      </c>
    </row>
    <row r="191" spans="1:13" x14ac:dyDescent="0.2">
      <c r="A191" s="1">
        <v>190</v>
      </c>
      <c r="B191" t="s">
        <v>252</v>
      </c>
      <c r="C191">
        <v>71.25</v>
      </c>
      <c r="D191">
        <v>18</v>
      </c>
      <c r="E191">
        <v>15</v>
      </c>
      <c r="F191">
        <v>70.91</v>
      </c>
      <c r="G191">
        <v>0</v>
      </c>
      <c r="H191">
        <v>1</v>
      </c>
      <c r="I191">
        <v>0</v>
      </c>
      <c r="J191">
        <v>1</v>
      </c>
      <c r="K191">
        <v>70.69</v>
      </c>
      <c r="L191">
        <v>70.36</v>
      </c>
      <c r="M191">
        <v>72.489999999999995</v>
      </c>
    </row>
    <row r="192" spans="1:13" x14ac:dyDescent="0.2">
      <c r="A192" s="1">
        <v>191</v>
      </c>
      <c r="B192" t="s">
        <v>88</v>
      </c>
      <c r="C192">
        <v>71.22</v>
      </c>
      <c r="D192">
        <v>12</v>
      </c>
      <c r="E192">
        <v>18</v>
      </c>
      <c r="F192">
        <v>75.239999999999995</v>
      </c>
      <c r="G192">
        <v>0</v>
      </c>
      <c r="H192">
        <v>3</v>
      </c>
      <c r="I192">
        <v>0</v>
      </c>
      <c r="J192">
        <v>6</v>
      </c>
      <c r="K192">
        <v>71.06</v>
      </c>
      <c r="L192">
        <v>71.09</v>
      </c>
      <c r="M192">
        <v>71.17</v>
      </c>
    </row>
    <row r="193" spans="1:13" x14ac:dyDescent="0.2">
      <c r="A193" s="1">
        <v>192</v>
      </c>
      <c r="B193" t="s">
        <v>203</v>
      </c>
      <c r="C193">
        <v>71.16</v>
      </c>
      <c r="D193">
        <v>15</v>
      </c>
      <c r="E193">
        <v>15</v>
      </c>
      <c r="F193">
        <v>69.63</v>
      </c>
      <c r="G193">
        <v>0</v>
      </c>
      <c r="H193">
        <v>0</v>
      </c>
      <c r="I193">
        <v>0</v>
      </c>
      <c r="J193">
        <v>0</v>
      </c>
      <c r="K193">
        <v>71.3</v>
      </c>
      <c r="L193">
        <v>71.819999999999993</v>
      </c>
      <c r="M193">
        <v>69.790000000000006</v>
      </c>
    </row>
    <row r="194" spans="1:13" x14ac:dyDescent="0.2">
      <c r="A194" s="1">
        <v>193</v>
      </c>
      <c r="B194" t="s">
        <v>268</v>
      </c>
      <c r="C194">
        <v>71.150000000000006</v>
      </c>
      <c r="D194">
        <v>16</v>
      </c>
      <c r="E194">
        <v>12</v>
      </c>
      <c r="F194">
        <v>69.62</v>
      </c>
      <c r="G194">
        <v>0</v>
      </c>
      <c r="H194">
        <v>0</v>
      </c>
      <c r="I194">
        <v>0</v>
      </c>
      <c r="J194">
        <v>1</v>
      </c>
      <c r="K194">
        <v>70.760000000000005</v>
      </c>
      <c r="L194">
        <v>70.39</v>
      </c>
      <c r="M194">
        <v>72.069999999999993</v>
      </c>
    </row>
    <row r="195" spans="1:13" x14ac:dyDescent="0.2">
      <c r="A195" s="1">
        <v>194</v>
      </c>
      <c r="B195" t="s">
        <v>191</v>
      </c>
      <c r="C195">
        <v>71.12</v>
      </c>
      <c r="D195">
        <v>15</v>
      </c>
      <c r="E195">
        <v>15</v>
      </c>
      <c r="F195">
        <v>70.849999999999994</v>
      </c>
      <c r="G195">
        <v>0</v>
      </c>
      <c r="H195">
        <v>2</v>
      </c>
      <c r="I195">
        <v>0</v>
      </c>
      <c r="J195">
        <v>2</v>
      </c>
      <c r="K195">
        <v>71.239999999999995</v>
      </c>
      <c r="L195">
        <v>70.819999999999993</v>
      </c>
      <c r="M195">
        <v>71</v>
      </c>
    </row>
    <row r="196" spans="1:13" x14ac:dyDescent="0.2">
      <c r="A196" s="1">
        <v>195</v>
      </c>
      <c r="B196" t="s">
        <v>197</v>
      </c>
      <c r="C196">
        <v>71.099999999999994</v>
      </c>
      <c r="D196">
        <v>17</v>
      </c>
      <c r="E196">
        <v>13</v>
      </c>
      <c r="F196">
        <v>68.86</v>
      </c>
      <c r="G196">
        <v>0</v>
      </c>
      <c r="H196">
        <v>0</v>
      </c>
      <c r="I196">
        <v>0</v>
      </c>
      <c r="J196">
        <v>0</v>
      </c>
      <c r="K196">
        <v>70.91</v>
      </c>
      <c r="L196">
        <v>70.849999999999994</v>
      </c>
      <c r="M196">
        <v>71.2</v>
      </c>
    </row>
    <row r="197" spans="1:13" x14ac:dyDescent="0.2">
      <c r="A197" s="1">
        <v>196</v>
      </c>
      <c r="B197" t="s">
        <v>282</v>
      </c>
      <c r="C197">
        <v>71.069999999999993</v>
      </c>
      <c r="D197">
        <v>17</v>
      </c>
      <c r="E197">
        <v>16</v>
      </c>
      <c r="F197">
        <v>69.489999999999995</v>
      </c>
      <c r="G197">
        <v>0</v>
      </c>
      <c r="H197">
        <v>0</v>
      </c>
      <c r="I197">
        <v>0</v>
      </c>
      <c r="J197">
        <v>1</v>
      </c>
      <c r="K197">
        <v>71.22</v>
      </c>
      <c r="L197">
        <v>71.39</v>
      </c>
      <c r="M197">
        <v>70.12</v>
      </c>
    </row>
    <row r="198" spans="1:13" x14ac:dyDescent="0.2">
      <c r="A198" s="1">
        <v>197</v>
      </c>
      <c r="B198" t="s">
        <v>822</v>
      </c>
      <c r="C198">
        <v>71</v>
      </c>
      <c r="D198">
        <v>19</v>
      </c>
      <c r="E198">
        <v>12</v>
      </c>
      <c r="F198">
        <v>68.98</v>
      </c>
      <c r="G198">
        <v>0</v>
      </c>
      <c r="H198">
        <v>1</v>
      </c>
      <c r="I198">
        <v>0</v>
      </c>
      <c r="J198">
        <v>1</v>
      </c>
      <c r="K198">
        <v>70.12</v>
      </c>
      <c r="L198">
        <v>70.209999999999994</v>
      </c>
      <c r="M198">
        <v>72.42</v>
      </c>
    </row>
    <row r="199" spans="1:13" x14ac:dyDescent="0.2">
      <c r="A199" s="1">
        <v>198</v>
      </c>
      <c r="B199" t="s">
        <v>173</v>
      </c>
      <c r="C199">
        <v>70.86</v>
      </c>
      <c r="D199">
        <v>14</v>
      </c>
      <c r="E199">
        <v>15</v>
      </c>
      <c r="F199">
        <v>71.52</v>
      </c>
      <c r="G199">
        <v>0</v>
      </c>
      <c r="H199">
        <v>0</v>
      </c>
      <c r="I199">
        <v>0</v>
      </c>
      <c r="J199">
        <v>0</v>
      </c>
      <c r="K199">
        <v>69.849999999999994</v>
      </c>
      <c r="L199">
        <v>71.38</v>
      </c>
      <c r="M199">
        <v>70.81</v>
      </c>
    </row>
    <row r="200" spans="1:13" x14ac:dyDescent="0.2">
      <c r="A200" s="1">
        <v>199</v>
      </c>
      <c r="B200" t="s">
        <v>237</v>
      </c>
      <c r="C200">
        <v>70.86</v>
      </c>
      <c r="D200">
        <v>15</v>
      </c>
      <c r="E200">
        <v>14</v>
      </c>
      <c r="F200">
        <v>70.42</v>
      </c>
      <c r="G200">
        <v>0</v>
      </c>
      <c r="H200">
        <v>1</v>
      </c>
      <c r="I200">
        <v>0</v>
      </c>
      <c r="J200">
        <v>1</v>
      </c>
      <c r="K200">
        <v>70.22</v>
      </c>
      <c r="L200">
        <v>70.78</v>
      </c>
      <c r="M200">
        <v>71.19</v>
      </c>
    </row>
    <row r="201" spans="1:13" x14ac:dyDescent="0.2">
      <c r="A201" s="1">
        <v>200</v>
      </c>
      <c r="B201" t="s">
        <v>155</v>
      </c>
      <c r="C201">
        <v>70.849999999999994</v>
      </c>
      <c r="D201">
        <v>16</v>
      </c>
      <c r="E201">
        <v>13</v>
      </c>
      <c r="F201">
        <v>68.03</v>
      </c>
      <c r="G201">
        <v>0</v>
      </c>
      <c r="H201">
        <v>0</v>
      </c>
      <c r="I201">
        <v>0</v>
      </c>
      <c r="J201">
        <v>1</v>
      </c>
      <c r="K201">
        <v>70.19</v>
      </c>
      <c r="L201">
        <v>71.459999999999994</v>
      </c>
      <c r="M201">
        <v>70.349999999999994</v>
      </c>
    </row>
    <row r="202" spans="1:13" x14ac:dyDescent="0.2">
      <c r="A202" s="1">
        <v>201</v>
      </c>
      <c r="B202" t="s">
        <v>843</v>
      </c>
      <c r="C202">
        <v>70.84</v>
      </c>
      <c r="D202">
        <v>18</v>
      </c>
      <c r="E202">
        <v>14</v>
      </c>
      <c r="F202">
        <v>68.459999999999994</v>
      </c>
      <c r="G202">
        <v>0</v>
      </c>
      <c r="H202">
        <v>2</v>
      </c>
      <c r="I202">
        <v>0</v>
      </c>
      <c r="J202">
        <v>4</v>
      </c>
      <c r="K202">
        <v>70.739999999999995</v>
      </c>
      <c r="L202">
        <v>70.45</v>
      </c>
      <c r="M202">
        <v>71.03</v>
      </c>
    </row>
    <row r="203" spans="1:13" x14ac:dyDescent="0.2">
      <c r="A203" s="1">
        <v>202</v>
      </c>
      <c r="B203" t="s">
        <v>291</v>
      </c>
      <c r="C203">
        <v>70.62</v>
      </c>
      <c r="D203">
        <v>16</v>
      </c>
      <c r="E203">
        <v>15</v>
      </c>
      <c r="F203">
        <v>71.489999999999995</v>
      </c>
      <c r="G203">
        <v>0</v>
      </c>
      <c r="H203">
        <v>1</v>
      </c>
      <c r="I203">
        <v>1</v>
      </c>
      <c r="J203">
        <v>2</v>
      </c>
      <c r="K203">
        <v>70.459999999999994</v>
      </c>
      <c r="L203">
        <v>69.73</v>
      </c>
      <c r="M203">
        <v>71.459999999999994</v>
      </c>
    </row>
    <row r="204" spans="1:13" x14ac:dyDescent="0.2">
      <c r="A204" s="1">
        <v>203</v>
      </c>
      <c r="B204" t="s">
        <v>804</v>
      </c>
      <c r="C204">
        <v>70.61</v>
      </c>
      <c r="D204">
        <v>13</v>
      </c>
      <c r="E204">
        <v>17</v>
      </c>
      <c r="F204">
        <v>74.319999999999993</v>
      </c>
      <c r="G204">
        <v>0</v>
      </c>
      <c r="H204">
        <v>0</v>
      </c>
      <c r="I204">
        <v>1</v>
      </c>
      <c r="J204">
        <v>1</v>
      </c>
      <c r="K204">
        <v>69.3</v>
      </c>
      <c r="L204">
        <v>70.31</v>
      </c>
      <c r="M204">
        <v>71.819999999999993</v>
      </c>
    </row>
    <row r="205" spans="1:13" x14ac:dyDescent="0.2">
      <c r="A205" s="1">
        <v>204</v>
      </c>
      <c r="B205" t="s">
        <v>299</v>
      </c>
      <c r="C205">
        <v>70.599999999999994</v>
      </c>
      <c r="D205">
        <v>22</v>
      </c>
      <c r="E205">
        <v>13</v>
      </c>
      <c r="F205">
        <v>67.819999999999993</v>
      </c>
      <c r="G205">
        <v>1</v>
      </c>
      <c r="H205">
        <v>3</v>
      </c>
      <c r="I205">
        <v>1</v>
      </c>
      <c r="J205">
        <v>6</v>
      </c>
      <c r="K205">
        <v>69.319999999999993</v>
      </c>
      <c r="L205">
        <v>69.05</v>
      </c>
      <c r="M205">
        <v>73.25</v>
      </c>
    </row>
    <row r="206" spans="1:13" x14ac:dyDescent="0.2">
      <c r="A206" s="1">
        <v>205</v>
      </c>
      <c r="B206" t="s">
        <v>216</v>
      </c>
      <c r="C206">
        <v>70.5</v>
      </c>
      <c r="D206">
        <v>12</v>
      </c>
      <c r="E206">
        <v>17</v>
      </c>
      <c r="F206">
        <v>72.760000000000005</v>
      </c>
      <c r="G206">
        <v>0</v>
      </c>
      <c r="H206">
        <v>0</v>
      </c>
      <c r="I206">
        <v>0</v>
      </c>
      <c r="J206">
        <v>2</v>
      </c>
      <c r="K206">
        <v>70.510000000000005</v>
      </c>
      <c r="L206">
        <v>70.67</v>
      </c>
      <c r="M206">
        <v>69.89</v>
      </c>
    </row>
    <row r="207" spans="1:13" x14ac:dyDescent="0.2">
      <c r="A207" s="1">
        <v>206</v>
      </c>
      <c r="B207" t="s">
        <v>271</v>
      </c>
      <c r="C207">
        <v>70.42</v>
      </c>
      <c r="D207">
        <v>16</v>
      </c>
      <c r="E207">
        <v>15</v>
      </c>
      <c r="F207">
        <v>72.180000000000007</v>
      </c>
      <c r="G207">
        <v>0</v>
      </c>
      <c r="H207">
        <v>0</v>
      </c>
      <c r="I207">
        <v>0</v>
      </c>
      <c r="J207">
        <v>1</v>
      </c>
      <c r="K207">
        <v>69.41</v>
      </c>
      <c r="L207">
        <v>69.11</v>
      </c>
      <c r="M207">
        <v>72.58</v>
      </c>
    </row>
    <row r="208" spans="1:13" x14ac:dyDescent="0.2">
      <c r="A208" s="1">
        <v>207</v>
      </c>
      <c r="B208" t="s">
        <v>127</v>
      </c>
      <c r="C208">
        <v>70.349999999999994</v>
      </c>
      <c r="D208">
        <v>16</v>
      </c>
      <c r="E208">
        <v>18</v>
      </c>
      <c r="F208">
        <v>70.05</v>
      </c>
      <c r="G208">
        <v>0</v>
      </c>
      <c r="H208">
        <v>0</v>
      </c>
      <c r="I208">
        <v>0</v>
      </c>
      <c r="J208">
        <v>0</v>
      </c>
      <c r="K208">
        <v>70.239999999999995</v>
      </c>
      <c r="L208">
        <v>71.06</v>
      </c>
      <c r="M208">
        <v>69.16</v>
      </c>
    </row>
    <row r="209" spans="1:13" x14ac:dyDescent="0.2">
      <c r="A209" s="1">
        <v>208</v>
      </c>
      <c r="B209" t="s">
        <v>232</v>
      </c>
      <c r="C209">
        <v>70.12</v>
      </c>
      <c r="D209">
        <v>12</v>
      </c>
      <c r="E209">
        <v>16</v>
      </c>
      <c r="F209">
        <v>71.23</v>
      </c>
      <c r="G209">
        <v>0</v>
      </c>
      <c r="H209">
        <v>0</v>
      </c>
      <c r="I209">
        <v>0</v>
      </c>
      <c r="J209">
        <v>0</v>
      </c>
      <c r="K209">
        <v>69.48</v>
      </c>
      <c r="L209">
        <v>70.239999999999995</v>
      </c>
      <c r="M209">
        <v>70.2</v>
      </c>
    </row>
    <row r="210" spans="1:13" x14ac:dyDescent="0.2">
      <c r="A210" s="1">
        <v>209</v>
      </c>
      <c r="B210" t="s">
        <v>303</v>
      </c>
      <c r="C210">
        <v>70.11</v>
      </c>
      <c r="D210">
        <v>15</v>
      </c>
      <c r="E210">
        <v>16</v>
      </c>
      <c r="F210">
        <v>70.89</v>
      </c>
      <c r="G210">
        <v>0</v>
      </c>
      <c r="H210">
        <v>0</v>
      </c>
      <c r="I210">
        <v>0</v>
      </c>
      <c r="J210">
        <v>1</v>
      </c>
      <c r="K210">
        <v>70.56</v>
      </c>
      <c r="L210">
        <v>69.28</v>
      </c>
      <c r="M210">
        <v>70.31</v>
      </c>
    </row>
    <row r="211" spans="1:13" x14ac:dyDescent="0.2">
      <c r="A211" s="1">
        <v>210</v>
      </c>
      <c r="B211" t="s">
        <v>118</v>
      </c>
      <c r="C211">
        <v>70.069999999999993</v>
      </c>
      <c r="D211">
        <v>8</v>
      </c>
      <c r="E211">
        <v>22</v>
      </c>
      <c r="F211">
        <v>76.400000000000006</v>
      </c>
      <c r="G211">
        <v>0</v>
      </c>
      <c r="H211">
        <v>3</v>
      </c>
      <c r="I211">
        <v>0</v>
      </c>
      <c r="J211">
        <v>8</v>
      </c>
      <c r="K211">
        <v>70.34</v>
      </c>
      <c r="L211">
        <v>70.52</v>
      </c>
      <c r="M211">
        <v>68.84</v>
      </c>
    </row>
    <row r="212" spans="1:13" x14ac:dyDescent="0.2">
      <c r="A212" s="1">
        <v>211</v>
      </c>
      <c r="B212" t="s">
        <v>863</v>
      </c>
      <c r="C212">
        <v>69.989999999999995</v>
      </c>
      <c r="D212">
        <v>14</v>
      </c>
      <c r="E212">
        <v>14</v>
      </c>
      <c r="F212">
        <v>70.260000000000005</v>
      </c>
      <c r="G212">
        <v>0</v>
      </c>
      <c r="H212">
        <v>0</v>
      </c>
      <c r="I212">
        <v>0</v>
      </c>
      <c r="J212">
        <v>1</v>
      </c>
      <c r="K212">
        <v>69.98</v>
      </c>
      <c r="L212">
        <v>69.63</v>
      </c>
      <c r="M212">
        <v>70.06</v>
      </c>
    </row>
    <row r="213" spans="1:13" x14ac:dyDescent="0.2">
      <c r="A213" s="1">
        <v>212</v>
      </c>
      <c r="B213" t="s">
        <v>110</v>
      </c>
      <c r="C213">
        <v>69.97</v>
      </c>
      <c r="D213">
        <v>14</v>
      </c>
      <c r="E213">
        <v>16</v>
      </c>
      <c r="F213">
        <v>72.63</v>
      </c>
      <c r="G213">
        <v>0</v>
      </c>
      <c r="H213">
        <v>0</v>
      </c>
      <c r="I213">
        <v>1</v>
      </c>
      <c r="J213">
        <v>3</v>
      </c>
      <c r="K213">
        <v>68.8</v>
      </c>
      <c r="L213">
        <v>69.849999999999994</v>
      </c>
      <c r="M213">
        <v>70.86</v>
      </c>
    </row>
    <row r="214" spans="1:13" x14ac:dyDescent="0.2">
      <c r="A214" s="1">
        <v>213</v>
      </c>
      <c r="B214" t="s">
        <v>295</v>
      </c>
      <c r="C214">
        <v>69.900000000000006</v>
      </c>
      <c r="D214">
        <v>12</v>
      </c>
      <c r="E214">
        <v>17</v>
      </c>
      <c r="F214">
        <v>71.89</v>
      </c>
      <c r="G214">
        <v>0</v>
      </c>
      <c r="H214">
        <v>0</v>
      </c>
      <c r="I214">
        <v>0</v>
      </c>
      <c r="J214">
        <v>1</v>
      </c>
      <c r="K214">
        <v>69.430000000000007</v>
      </c>
      <c r="L214">
        <v>70.23</v>
      </c>
      <c r="M214">
        <v>69.540000000000006</v>
      </c>
    </row>
    <row r="215" spans="1:13" x14ac:dyDescent="0.2">
      <c r="A215" s="1">
        <v>214</v>
      </c>
      <c r="B215" t="s">
        <v>205</v>
      </c>
      <c r="C215">
        <v>69.88</v>
      </c>
      <c r="D215">
        <v>11</v>
      </c>
      <c r="E215">
        <v>19</v>
      </c>
      <c r="F215">
        <v>74.23</v>
      </c>
      <c r="G215">
        <v>0</v>
      </c>
      <c r="H215">
        <v>0</v>
      </c>
      <c r="I215">
        <v>1</v>
      </c>
      <c r="J215">
        <v>4</v>
      </c>
      <c r="K215">
        <v>69.64</v>
      </c>
      <c r="L215">
        <v>69.52</v>
      </c>
      <c r="M215">
        <v>70.16</v>
      </c>
    </row>
    <row r="216" spans="1:13" x14ac:dyDescent="0.2">
      <c r="A216" s="1">
        <v>215</v>
      </c>
      <c r="B216" t="s">
        <v>300</v>
      </c>
      <c r="C216">
        <v>69.790000000000006</v>
      </c>
      <c r="D216">
        <v>10</v>
      </c>
      <c r="E216">
        <v>19</v>
      </c>
      <c r="F216">
        <v>72.569999999999993</v>
      </c>
      <c r="G216">
        <v>0</v>
      </c>
      <c r="H216">
        <v>1</v>
      </c>
      <c r="I216">
        <v>0</v>
      </c>
      <c r="J216">
        <v>1</v>
      </c>
      <c r="K216">
        <v>70.16</v>
      </c>
      <c r="L216">
        <v>70.11</v>
      </c>
      <c r="M216">
        <v>68.62</v>
      </c>
    </row>
    <row r="217" spans="1:13" x14ac:dyDescent="0.2">
      <c r="A217" s="1">
        <v>216</v>
      </c>
      <c r="B217" t="s">
        <v>241</v>
      </c>
      <c r="C217">
        <v>69.760000000000005</v>
      </c>
      <c r="D217">
        <v>12</v>
      </c>
      <c r="E217">
        <v>18</v>
      </c>
      <c r="F217">
        <v>70.95</v>
      </c>
      <c r="G217">
        <v>0</v>
      </c>
      <c r="H217">
        <v>1</v>
      </c>
      <c r="I217">
        <v>0</v>
      </c>
      <c r="J217">
        <v>2</v>
      </c>
      <c r="K217">
        <v>70.56</v>
      </c>
      <c r="L217">
        <v>69.55</v>
      </c>
      <c r="M217">
        <v>68.83</v>
      </c>
    </row>
    <row r="218" spans="1:13" x14ac:dyDescent="0.2">
      <c r="A218" s="1">
        <v>217</v>
      </c>
      <c r="B218" t="s">
        <v>249</v>
      </c>
      <c r="C218">
        <v>69.680000000000007</v>
      </c>
      <c r="D218">
        <v>12</v>
      </c>
      <c r="E218">
        <v>16</v>
      </c>
      <c r="F218">
        <v>73.41</v>
      </c>
      <c r="G218">
        <v>0</v>
      </c>
      <c r="H218">
        <v>1</v>
      </c>
      <c r="I218">
        <v>0</v>
      </c>
      <c r="J218">
        <v>3</v>
      </c>
      <c r="K218">
        <v>68.64</v>
      </c>
      <c r="L218">
        <v>69.06</v>
      </c>
      <c r="M218">
        <v>71.040000000000006</v>
      </c>
    </row>
    <row r="219" spans="1:13" x14ac:dyDescent="0.2">
      <c r="A219" s="1">
        <v>218</v>
      </c>
      <c r="B219" t="s">
        <v>893</v>
      </c>
      <c r="C219">
        <v>69.650000000000006</v>
      </c>
      <c r="D219">
        <v>15</v>
      </c>
      <c r="E219">
        <v>16</v>
      </c>
      <c r="F219">
        <v>70.260000000000005</v>
      </c>
      <c r="G219">
        <v>0</v>
      </c>
      <c r="H219">
        <v>1</v>
      </c>
      <c r="I219">
        <v>0</v>
      </c>
      <c r="J219">
        <v>2</v>
      </c>
      <c r="K219">
        <v>69.55</v>
      </c>
      <c r="L219">
        <v>68.75</v>
      </c>
      <c r="M219">
        <v>70.44</v>
      </c>
    </row>
    <row r="220" spans="1:13" x14ac:dyDescent="0.2">
      <c r="A220" s="1">
        <v>219</v>
      </c>
      <c r="B220" t="s">
        <v>886</v>
      </c>
      <c r="C220">
        <v>69.63</v>
      </c>
      <c r="D220">
        <v>18</v>
      </c>
      <c r="E220">
        <v>15</v>
      </c>
      <c r="F220">
        <v>68.95</v>
      </c>
      <c r="G220">
        <v>0</v>
      </c>
      <c r="H220">
        <v>1</v>
      </c>
      <c r="I220">
        <v>0</v>
      </c>
      <c r="J220">
        <v>2</v>
      </c>
      <c r="K220">
        <v>68.489999999999995</v>
      </c>
      <c r="L220">
        <v>69.010000000000005</v>
      </c>
      <c r="M220">
        <v>71.05</v>
      </c>
    </row>
    <row r="221" spans="1:13" x14ac:dyDescent="0.2">
      <c r="A221" s="1">
        <v>220</v>
      </c>
      <c r="B221" t="s">
        <v>887</v>
      </c>
      <c r="C221">
        <v>69.56</v>
      </c>
      <c r="D221">
        <v>18</v>
      </c>
      <c r="E221">
        <v>14</v>
      </c>
      <c r="F221">
        <v>67.98</v>
      </c>
      <c r="G221">
        <v>0</v>
      </c>
      <c r="H221">
        <v>1</v>
      </c>
      <c r="I221">
        <v>1</v>
      </c>
      <c r="J221">
        <v>2</v>
      </c>
      <c r="K221">
        <v>69.180000000000007</v>
      </c>
      <c r="L221">
        <v>69.27</v>
      </c>
      <c r="M221">
        <v>69.91</v>
      </c>
    </row>
    <row r="222" spans="1:13" x14ac:dyDescent="0.2">
      <c r="A222" s="1">
        <v>221</v>
      </c>
      <c r="B222" t="s">
        <v>4</v>
      </c>
      <c r="C222">
        <v>69.53</v>
      </c>
      <c r="D222">
        <v>13</v>
      </c>
      <c r="E222">
        <v>19</v>
      </c>
      <c r="F222">
        <v>71.75</v>
      </c>
      <c r="G222">
        <v>0</v>
      </c>
      <c r="H222">
        <v>0</v>
      </c>
      <c r="I222">
        <v>0</v>
      </c>
      <c r="J222">
        <v>4</v>
      </c>
      <c r="K222">
        <v>69.510000000000005</v>
      </c>
      <c r="L222">
        <v>69.739999999999995</v>
      </c>
      <c r="M222">
        <v>68.88</v>
      </c>
    </row>
    <row r="223" spans="1:13" x14ac:dyDescent="0.2">
      <c r="A223" s="1">
        <v>222</v>
      </c>
      <c r="B223" t="s">
        <v>873</v>
      </c>
      <c r="C223">
        <v>69.48</v>
      </c>
      <c r="D223">
        <v>12</v>
      </c>
      <c r="E223">
        <v>19</v>
      </c>
      <c r="F223">
        <v>73.209999999999994</v>
      </c>
      <c r="G223">
        <v>0</v>
      </c>
      <c r="H223">
        <v>1</v>
      </c>
      <c r="I223">
        <v>0</v>
      </c>
      <c r="J223">
        <v>2</v>
      </c>
      <c r="K223">
        <v>69.36</v>
      </c>
      <c r="L223">
        <v>69.25</v>
      </c>
      <c r="M223">
        <v>69.48</v>
      </c>
    </row>
    <row r="224" spans="1:13" x14ac:dyDescent="0.2">
      <c r="A224" s="1">
        <v>223</v>
      </c>
      <c r="B224" t="s">
        <v>868</v>
      </c>
      <c r="C224">
        <v>69.459999999999994</v>
      </c>
      <c r="D224">
        <v>15</v>
      </c>
      <c r="E224">
        <v>13</v>
      </c>
      <c r="F224">
        <v>69.569999999999993</v>
      </c>
      <c r="G224">
        <v>0</v>
      </c>
      <c r="H224">
        <v>1</v>
      </c>
      <c r="I224">
        <v>0</v>
      </c>
      <c r="J224">
        <v>5</v>
      </c>
      <c r="K224">
        <v>69.290000000000006</v>
      </c>
      <c r="L224">
        <v>68.5</v>
      </c>
      <c r="M224">
        <v>70.39</v>
      </c>
    </row>
    <row r="225" spans="1:13" x14ac:dyDescent="0.2">
      <c r="A225" s="1">
        <v>224</v>
      </c>
      <c r="B225" t="s">
        <v>213</v>
      </c>
      <c r="C225">
        <v>69.45</v>
      </c>
      <c r="D225">
        <v>15</v>
      </c>
      <c r="E225">
        <v>15</v>
      </c>
      <c r="F225">
        <v>69.64</v>
      </c>
      <c r="G225">
        <v>0</v>
      </c>
      <c r="H225">
        <v>2</v>
      </c>
      <c r="I225">
        <v>0</v>
      </c>
      <c r="J225">
        <v>2</v>
      </c>
      <c r="K225">
        <v>69.64</v>
      </c>
      <c r="L225">
        <v>68.150000000000006</v>
      </c>
      <c r="M225">
        <v>70.44</v>
      </c>
    </row>
    <row r="226" spans="1:13" x14ac:dyDescent="0.2">
      <c r="A226" s="1">
        <v>225</v>
      </c>
      <c r="B226" t="s">
        <v>136</v>
      </c>
      <c r="C226">
        <v>69.400000000000006</v>
      </c>
      <c r="D226">
        <v>11</v>
      </c>
      <c r="E226">
        <v>21</v>
      </c>
      <c r="F226">
        <v>72.930000000000007</v>
      </c>
      <c r="G226">
        <v>0</v>
      </c>
      <c r="H226">
        <v>5</v>
      </c>
      <c r="I226">
        <v>0</v>
      </c>
      <c r="J226">
        <v>5</v>
      </c>
      <c r="K226">
        <v>70.02</v>
      </c>
      <c r="L226">
        <v>69.58</v>
      </c>
      <c r="M226">
        <v>68.14</v>
      </c>
    </row>
    <row r="227" spans="1:13" x14ac:dyDescent="0.2">
      <c r="A227" s="1">
        <v>226</v>
      </c>
      <c r="B227" t="s">
        <v>275</v>
      </c>
      <c r="C227">
        <v>69.400000000000006</v>
      </c>
      <c r="D227">
        <v>12</v>
      </c>
      <c r="E227">
        <v>19</v>
      </c>
      <c r="F227">
        <v>73.31</v>
      </c>
      <c r="G227">
        <v>0</v>
      </c>
      <c r="H227">
        <v>1</v>
      </c>
      <c r="I227">
        <v>1</v>
      </c>
      <c r="J227">
        <v>4</v>
      </c>
      <c r="K227">
        <v>69.03</v>
      </c>
      <c r="L227">
        <v>69.290000000000006</v>
      </c>
      <c r="M227">
        <v>69.5</v>
      </c>
    </row>
    <row r="228" spans="1:13" x14ac:dyDescent="0.2">
      <c r="A228" s="1">
        <v>227</v>
      </c>
      <c r="B228" t="s">
        <v>288</v>
      </c>
      <c r="C228">
        <v>69.290000000000006</v>
      </c>
      <c r="D228">
        <v>9</v>
      </c>
      <c r="E228">
        <v>21</v>
      </c>
      <c r="F228">
        <v>75.12</v>
      </c>
      <c r="G228">
        <v>0</v>
      </c>
      <c r="H228">
        <v>0</v>
      </c>
      <c r="I228">
        <v>0</v>
      </c>
      <c r="J228">
        <v>7</v>
      </c>
      <c r="K228">
        <v>68.92</v>
      </c>
      <c r="L228">
        <v>69.77</v>
      </c>
      <c r="M228">
        <v>68.650000000000006</v>
      </c>
    </row>
    <row r="229" spans="1:13" x14ac:dyDescent="0.2">
      <c r="A229" s="1">
        <v>228</v>
      </c>
      <c r="B229" t="s">
        <v>168</v>
      </c>
      <c r="C229">
        <v>69.14</v>
      </c>
      <c r="D229">
        <v>12</v>
      </c>
      <c r="E229">
        <v>17</v>
      </c>
      <c r="F229">
        <v>72.41</v>
      </c>
      <c r="G229">
        <v>0</v>
      </c>
      <c r="H229">
        <v>1</v>
      </c>
      <c r="I229">
        <v>0</v>
      </c>
      <c r="J229">
        <v>3</v>
      </c>
      <c r="K229">
        <v>69.040000000000006</v>
      </c>
      <c r="L229">
        <v>68.67</v>
      </c>
      <c r="M229">
        <v>69.45</v>
      </c>
    </row>
    <row r="230" spans="1:13" x14ac:dyDescent="0.2">
      <c r="A230" s="1">
        <v>229</v>
      </c>
      <c r="B230" t="s">
        <v>894</v>
      </c>
      <c r="C230">
        <v>69.03</v>
      </c>
      <c r="D230">
        <v>12</v>
      </c>
      <c r="E230">
        <v>17</v>
      </c>
      <c r="F230">
        <v>70.75</v>
      </c>
      <c r="G230">
        <v>0</v>
      </c>
      <c r="H230">
        <v>1</v>
      </c>
      <c r="I230">
        <v>0</v>
      </c>
      <c r="J230">
        <v>2</v>
      </c>
      <c r="K230">
        <v>69.010000000000005</v>
      </c>
      <c r="L230">
        <v>68.75</v>
      </c>
      <c r="M230">
        <v>69</v>
      </c>
    </row>
    <row r="231" spans="1:13" x14ac:dyDescent="0.2">
      <c r="A231" s="1">
        <v>230</v>
      </c>
      <c r="B231" t="s">
        <v>269</v>
      </c>
      <c r="C231">
        <v>69</v>
      </c>
      <c r="D231">
        <v>14</v>
      </c>
      <c r="E231">
        <v>11</v>
      </c>
      <c r="F231">
        <v>68.510000000000005</v>
      </c>
      <c r="G231">
        <v>0</v>
      </c>
      <c r="H231">
        <v>0</v>
      </c>
      <c r="I231">
        <v>0</v>
      </c>
      <c r="J231">
        <v>2</v>
      </c>
      <c r="K231">
        <v>68.03</v>
      </c>
      <c r="L231">
        <v>68.459999999999994</v>
      </c>
      <c r="M231">
        <v>70.180000000000007</v>
      </c>
    </row>
    <row r="232" spans="1:13" x14ac:dyDescent="0.2">
      <c r="A232" s="1">
        <v>231</v>
      </c>
      <c r="B232" t="s">
        <v>83</v>
      </c>
      <c r="C232">
        <v>68.94</v>
      </c>
      <c r="D232">
        <v>12</v>
      </c>
      <c r="E232">
        <v>17</v>
      </c>
      <c r="F232">
        <v>72.5</v>
      </c>
      <c r="G232">
        <v>0</v>
      </c>
      <c r="H232">
        <v>0</v>
      </c>
      <c r="I232">
        <v>0</v>
      </c>
      <c r="J232">
        <v>3</v>
      </c>
      <c r="K232">
        <v>68.84</v>
      </c>
      <c r="L232">
        <v>67.95</v>
      </c>
      <c r="M232">
        <v>69.819999999999993</v>
      </c>
    </row>
    <row r="233" spans="1:13" x14ac:dyDescent="0.2">
      <c r="A233" s="1">
        <v>232</v>
      </c>
      <c r="B233" t="s">
        <v>175</v>
      </c>
      <c r="C233">
        <v>68.88</v>
      </c>
      <c r="D233">
        <v>16</v>
      </c>
      <c r="E233">
        <v>15</v>
      </c>
      <c r="F233">
        <v>69.94</v>
      </c>
      <c r="G233">
        <v>0</v>
      </c>
      <c r="H233">
        <v>0</v>
      </c>
      <c r="I233">
        <v>0</v>
      </c>
      <c r="J233">
        <v>0</v>
      </c>
      <c r="K233">
        <v>67.87</v>
      </c>
      <c r="L233">
        <v>68.09</v>
      </c>
      <c r="M233">
        <v>70.39</v>
      </c>
    </row>
    <row r="234" spans="1:13" x14ac:dyDescent="0.2">
      <c r="A234" s="1">
        <v>233</v>
      </c>
      <c r="B234" t="s">
        <v>860</v>
      </c>
      <c r="C234">
        <v>68.78</v>
      </c>
      <c r="D234">
        <v>9</v>
      </c>
      <c r="E234">
        <v>20</v>
      </c>
      <c r="F234">
        <v>74.58</v>
      </c>
      <c r="G234">
        <v>0</v>
      </c>
      <c r="H234">
        <v>4</v>
      </c>
      <c r="I234">
        <v>0</v>
      </c>
      <c r="J234">
        <v>4</v>
      </c>
      <c r="K234">
        <v>69.099999999999994</v>
      </c>
      <c r="L234">
        <v>67.84</v>
      </c>
      <c r="M234">
        <v>69.23</v>
      </c>
    </row>
    <row r="235" spans="1:13" x14ac:dyDescent="0.2">
      <c r="A235" s="1">
        <v>234</v>
      </c>
      <c r="B235" t="s">
        <v>218</v>
      </c>
      <c r="C235">
        <v>68.739999999999995</v>
      </c>
      <c r="D235">
        <v>9</v>
      </c>
      <c r="E235">
        <v>19</v>
      </c>
      <c r="F235">
        <v>74.78</v>
      </c>
      <c r="G235">
        <v>0</v>
      </c>
      <c r="H235">
        <v>2</v>
      </c>
      <c r="I235">
        <v>0</v>
      </c>
      <c r="J235">
        <v>4</v>
      </c>
      <c r="K235">
        <v>68.89</v>
      </c>
      <c r="L235">
        <v>68.72</v>
      </c>
      <c r="M235">
        <v>68.209999999999994</v>
      </c>
    </row>
    <row r="236" spans="1:13" x14ac:dyDescent="0.2">
      <c r="A236" s="1">
        <v>235</v>
      </c>
      <c r="B236" t="s">
        <v>226</v>
      </c>
      <c r="C236">
        <v>68.73</v>
      </c>
      <c r="D236">
        <v>13</v>
      </c>
      <c r="E236">
        <v>17</v>
      </c>
      <c r="F236">
        <v>70.84</v>
      </c>
      <c r="G236">
        <v>0</v>
      </c>
      <c r="H236">
        <v>0</v>
      </c>
      <c r="I236">
        <v>0</v>
      </c>
      <c r="J236">
        <v>1</v>
      </c>
      <c r="K236">
        <v>68.06</v>
      </c>
      <c r="L236">
        <v>68.78</v>
      </c>
      <c r="M236">
        <v>68.92</v>
      </c>
    </row>
    <row r="237" spans="1:13" x14ac:dyDescent="0.2">
      <c r="A237" s="1">
        <v>236</v>
      </c>
      <c r="B237" t="s">
        <v>152</v>
      </c>
      <c r="C237">
        <v>68.650000000000006</v>
      </c>
      <c r="D237">
        <v>16</v>
      </c>
      <c r="E237">
        <v>16</v>
      </c>
      <c r="F237">
        <v>68.06</v>
      </c>
      <c r="G237">
        <v>0</v>
      </c>
      <c r="H237">
        <v>0</v>
      </c>
      <c r="I237">
        <v>0</v>
      </c>
      <c r="J237">
        <v>0</v>
      </c>
      <c r="K237">
        <v>68.09</v>
      </c>
      <c r="L237">
        <v>68.599999999999994</v>
      </c>
      <c r="M237">
        <v>68.87</v>
      </c>
    </row>
    <row r="238" spans="1:13" x14ac:dyDescent="0.2">
      <c r="A238" s="1">
        <v>237</v>
      </c>
      <c r="B238" t="s">
        <v>861</v>
      </c>
      <c r="C238">
        <v>68.63</v>
      </c>
      <c r="D238">
        <v>11</v>
      </c>
      <c r="E238">
        <v>17</v>
      </c>
      <c r="F238">
        <v>71.16</v>
      </c>
      <c r="G238">
        <v>0</v>
      </c>
      <c r="H238">
        <v>1</v>
      </c>
      <c r="I238">
        <v>0</v>
      </c>
      <c r="J238">
        <v>2</v>
      </c>
      <c r="K238">
        <v>68.09</v>
      </c>
      <c r="L238">
        <v>68.86</v>
      </c>
      <c r="M238">
        <v>68.48</v>
      </c>
    </row>
    <row r="239" spans="1:13" x14ac:dyDescent="0.2">
      <c r="A239" s="1">
        <v>238</v>
      </c>
      <c r="B239" t="s">
        <v>263</v>
      </c>
      <c r="C239">
        <v>68.62</v>
      </c>
      <c r="D239">
        <v>13</v>
      </c>
      <c r="E239">
        <v>16</v>
      </c>
      <c r="F239">
        <v>70.75</v>
      </c>
      <c r="G239">
        <v>0</v>
      </c>
      <c r="H239">
        <v>0</v>
      </c>
      <c r="I239">
        <v>0</v>
      </c>
      <c r="J239">
        <v>1</v>
      </c>
      <c r="K239">
        <v>67.739999999999995</v>
      </c>
      <c r="L239">
        <v>67.92</v>
      </c>
      <c r="M239">
        <v>69.88</v>
      </c>
    </row>
    <row r="240" spans="1:13" x14ac:dyDescent="0.2">
      <c r="A240" s="1">
        <v>239</v>
      </c>
      <c r="B240" t="s">
        <v>126</v>
      </c>
      <c r="C240">
        <v>68.540000000000006</v>
      </c>
      <c r="D240">
        <v>10</v>
      </c>
      <c r="E240">
        <v>20</v>
      </c>
      <c r="F240">
        <v>73.819999999999993</v>
      </c>
      <c r="G240">
        <v>0</v>
      </c>
      <c r="H240">
        <v>0</v>
      </c>
      <c r="I240">
        <v>0</v>
      </c>
      <c r="J240">
        <v>0</v>
      </c>
      <c r="K240">
        <v>67.89</v>
      </c>
      <c r="L240">
        <v>68.430000000000007</v>
      </c>
      <c r="M240">
        <v>68.91</v>
      </c>
    </row>
    <row r="241" spans="1:13" x14ac:dyDescent="0.2">
      <c r="A241" s="1">
        <v>240</v>
      </c>
      <c r="B241" t="s">
        <v>257</v>
      </c>
      <c r="C241">
        <v>68.540000000000006</v>
      </c>
      <c r="D241">
        <v>11</v>
      </c>
      <c r="E241">
        <v>17</v>
      </c>
      <c r="F241">
        <v>70.02</v>
      </c>
      <c r="G241">
        <v>0</v>
      </c>
      <c r="H241">
        <v>0</v>
      </c>
      <c r="I241">
        <v>0</v>
      </c>
      <c r="J241">
        <v>0</v>
      </c>
      <c r="K241">
        <v>68.59</v>
      </c>
      <c r="L241">
        <v>68.91</v>
      </c>
      <c r="M241">
        <v>67.61</v>
      </c>
    </row>
    <row r="242" spans="1:13" x14ac:dyDescent="0.2">
      <c r="A242" s="1">
        <v>241</v>
      </c>
      <c r="B242" t="s">
        <v>555</v>
      </c>
      <c r="C242">
        <v>68.39</v>
      </c>
      <c r="D242">
        <v>12</v>
      </c>
      <c r="E242">
        <v>18</v>
      </c>
      <c r="F242">
        <v>70.150000000000006</v>
      </c>
      <c r="G242">
        <v>0</v>
      </c>
      <c r="H242">
        <v>0</v>
      </c>
      <c r="I242">
        <v>0</v>
      </c>
      <c r="J242">
        <v>1</v>
      </c>
      <c r="K242">
        <v>68.47</v>
      </c>
      <c r="L242">
        <v>68.430000000000007</v>
      </c>
      <c r="M242">
        <v>67.86</v>
      </c>
    </row>
    <row r="243" spans="1:13" x14ac:dyDescent="0.2">
      <c r="A243" s="1">
        <v>242</v>
      </c>
      <c r="B243" t="s">
        <v>889</v>
      </c>
      <c r="C243">
        <v>68.319999999999993</v>
      </c>
      <c r="D243">
        <v>11</v>
      </c>
      <c r="E243">
        <v>17</v>
      </c>
      <c r="F243">
        <v>70.31</v>
      </c>
      <c r="G243">
        <v>0</v>
      </c>
      <c r="H243">
        <v>0</v>
      </c>
      <c r="I243">
        <v>0</v>
      </c>
      <c r="J243">
        <v>1</v>
      </c>
      <c r="K243">
        <v>68.66</v>
      </c>
      <c r="L243">
        <v>68.760000000000005</v>
      </c>
      <c r="M243">
        <v>66.98</v>
      </c>
    </row>
    <row r="244" spans="1:13" x14ac:dyDescent="0.2">
      <c r="A244" s="1">
        <v>243</v>
      </c>
      <c r="B244" t="s">
        <v>293</v>
      </c>
      <c r="C244">
        <v>68.150000000000006</v>
      </c>
      <c r="D244">
        <v>13</v>
      </c>
      <c r="E244">
        <v>15</v>
      </c>
      <c r="F244">
        <v>68.8</v>
      </c>
      <c r="G244">
        <v>0</v>
      </c>
      <c r="H244">
        <v>0</v>
      </c>
      <c r="I244">
        <v>0</v>
      </c>
      <c r="J244">
        <v>0</v>
      </c>
      <c r="K244">
        <v>68.17</v>
      </c>
      <c r="L244">
        <v>67.7</v>
      </c>
      <c r="M244">
        <v>68.31</v>
      </c>
    </row>
    <row r="245" spans="1:13" x14ac:dyDescent="0.2">
      <c r="A245" s="1">
        <v>244</v>
      </c>
      <c r="B245" t="s">
        <v>182</v>
      </c>
      <c r="C245">
        <v>68.11</v>
      </c>
      <c r="D245">
        <v>12</v>
      </c>
      <c r="E245">
        <v>16</v>
      </c>
      <c r="F245">
        <v>69.83</v>
      </c>
      <c r="G245">
        <v>0</v>
      </c>
      <c r="H245">
        <v>0</v>
      </c>
      <c r="I245">
        <v>0</v>
      </c>
      <c r="J245">
        <v>0</v>
      </c>
      <c r="K245">
        <v>67.930000000000007</v>
      </c>
      <c r="L245">
        <v>68.14</v>
      </c>
      <c r="M245">
        <v>67.86</v>
      </c>
    </row>
    <row r="246" spans="1:13" x14ac:dyDescent="0.2">
      <c r="A246" s="1">
        <v>245</v>
      </c>
      <c r="B246" t="s">
        <v>549</v>
      </c>
      <c r="C246">
        <v>68.09</v>
      </c>
      <c r="D246">
        <v>14</v>
      </c>
      <c r="E246">
        <v>15</v>
      </c>
      <c r="F246">
        <v>68.97</v>
      </c>
      <c r="G246">
        <v>0</v>
      </c>
      <c r="H246">
        <v>1</v>
      </c>
      <c r="I246">
        <v>0</v>
      </c>
      <c r="J246">
        <v>1</v>
      </c>
      <c r="K246">
        <v>67.41</v>
      </c>
      <c r="L246">
        <v>67.760000000000005</v>
      </c>
      <c r="M246">
        <v>68.760000000000005</v>
      </c>
    </row>
    <row r="247" spans="1:13" x14ac:dyDescent="0.2">
      <c r="A247" s="1">
        <v>246</v>
      </c>
      <c r="B247" t="s">
        <v>253</v>
      </c>
      <c r="C247">
        <v>67.930000000000007</v>
      </c>
      <c r="D247">
        <v>17</v>
      </c>
      <c r="E247">
        <v>18</v>
      </c>
      <c r="F247">
        <v>67.58</v>
      </c>
      <c r="G247">
        <v>0</v>
      </c>
      <c r="H247">
        <v>2</v>
      </c>
      <c r="I247">
        <v>0</v>
      </c>
      <c r="J247">
        <v>3</v>
      </c>
      <c r="K247">
        <v>67.3</v>
      </c>
      <c r="L247">
        <v>67.540000000000006</v>
      </c>
      <c r="M247">
        <v>68.64</v>
      </c>
    </row>
    <row r="248" spans="1:13" x14ac:dyDescent="0.2">
      <c r="A248" s="1">
        <v>247</v>
      </c>
      <c r="B248" t="s">
        <v>246</v>
      </c>
      <c r="C248">
        <v>67.930000000000007</v>
      </c>
      <c r="D248">
        <v>14</v>
      </c>
      <c r="E248">
        <v>17</v>
      </c>
      <c r="F248">
        <v>68.75</v>
      </c>
      <c r="G248">
        <v>0</v>
      </c>
      <c r="H248">
        <v>1</v>
      </c>
      <c r="I248">
        <v>0</v>
      </c>
      <c r="J248">
        <v>1</v>
      </c>
      <c r="K248">
        <v>67.930000000000007</v>
      </c>
      <c r="L248">
        <v>67.150000000000006</v>
      </c>
      <c r="M248">
        <v>68.47</v>
      </c>
    </row>
    <row r="249" spans="1:13" x14ac:dyDescent="0.2">
      <c r="A249" s="1">
        <v>248</v>
      </c>
      <c r="B249" t="s">
        <v>172</v>
      </c>
      <c r="C249">
        <v>67.790000000000006</v>
      </c>
      <c r="D249">
        <v>7</v>
      </c>
      <c r="E249">
        <v>23</v>
      </c>
      <c r="F249">
        <v>76.61</v>
      </c>
      <c r="G249">
        <v>0</v>
      </c>
      <c r="H249">
        <v>3</v>
      </c>
      <c r="I249">
        <v>0</v>
      </c>
      <c r="J249">
        <v>6</v>
      </c>
      <c r="K249">
        <v>68.56</v>
      </c>
      <c r="L249">
        <v>67.430000000000007</v>
      </c>
      <c r="M249">
        <v>67.05</v>
      </c>
    </row>
    <row r="250" spans="1:13" x14ac:dyDescent="0.2">
      <c r="A250" s="1">
        <v>249</v>
      </c>
      <c r="B250" t="s">
        <v>202</v>
      </c>
      <c r="C250">
        <v>67.790000000000006</v>
      </c>
      <c r="D250">
        <v>13</v>
      </c>
      <c r="E250">
        <v>18</v>
      </c>
      <c r="F250">
        <v>70.56</v>
      </c>
      <c r="G250">
        <v>0</v>
      </c>
      <c r="H250">
        <v>1</v>
      </c>
      <c r="I250">
        <v>0</v>
      </c>
      <c r="J250">
        <v>1</v>
      </c>
      <c r="K250">
        <v>67.650000000000006</v>
      </c>
      <c r="L250">
        <v>67.97</v>
      </c>
      <c r="M250">
        <v>67.3</v>
      </c>
    </row>
    <row r="251" spans="1:13" x14ac:dyDescent="0.2">
      <c r="A251" s="1">
        <v>250</v>
      </c>
      <c r="B251" t="s">
        <v>220</v>
      </c>
      <c r="C251">
        <v>67.650000000000006</v>
      </c>
      <c r="D251">
        <v>10</v>
      </c>
      <c r="E251">
        <v>18</v>
      </c>
      <c r="F251">
        <v>70.709999999999994</v>
      </c>
      <c r="G251">
        <v>0</v>
      </c>
      <c r="H251">
        <v>0</v>
      </c>
      <c r="I251">
        <v>0</v>
      </c>
      <c r="J251">
        <v>0</v>
      </c>
      <c r="K251">
        <v>67.75</v>
      </c>
      <c r="L251">
        <v>68.11</v>
      </c>
      <c r="M251">
        <v>66.56</v>
      </c>
    </row>
    <row r="252" spans="1:13" x14ac:dyDescent="0.2">
      <c r="A252" s="1">
        <v>251</v>
      </c>
      <c r="B252" t="s">
        <v>162</v>
      </c>
      <c r="C252">
        <v>67.63</v>
      </c>
      <c r="D252">
        <v>11</v>
      </c>
      <c r="E252">
        <v>18</v>
      </c>
      <c r="F252">
        <v>71.87</v>
      </c>
      <c r="G252">
        <v>0</v>
      </c>
      <c r="H252">
        <v>0</v>
      </c>
      <c r="I252">
        <v>0</v>
      </c>
      <c r="J252">
        <v>1</v>
      </c>
      <c r="K252">
        <v>67.760000000000005</v>
      </c>
      <c r="L252">
        <v>67.260000000000005</v>
      </c>
      <c r="M252">
        <v>67.58</v>
      </c>
    </row>
    <row r="253" spans="1:13" x14ac:dyDescent="0.2">
      <c r="A253" s="1">
        <v>252</v>
      </c>
      <c r="B253" t="s">
        <v>825</v>
      </c>
      <c r="C253">
        <v>67.62</v>
      </c>
      <c r="D253">
        <v>13</v>
      </c>
      <c r="E253">
        <v>14</v>
      </c>
      <c r="F253">
        <v>69.83</v>
      </c>
      <c r="G253">
        <v>0</v>
      </c>
      <c r="H253">
        <v>0</v>
      </c>
      <c r="I253">
        <v>0</v>
      </c>
      <c r="J253">
        <v>1</v>
      </c>
      <c r="K253">
        <v>67.010000000000005</v>
      </c>
      <c r="L253">
        <v>66.77</v>
      </c>
      <c r="M253">
        <v>68.81</v>
      </c>
    </row>
    <row r="254" spans="1:13" x14ac:dyDescent="0.2">
      <c r="A254" s="1">
        <v>253</v>
      </c>
      <c r="B254" t="s">
        <v>881</v>
      </c>
      <c r="C254">
        <v>67.569999999999993</v>
      </c>
      <c r="D254">
        <v>14</v>
      </c>
      <c r="E254">
        <v>17</v>
      </c>
      <c r="F254">
        <v>70.959999999999994</v>
      </c>
      <c r="G254">
        <v>0</v>
      </c>
      <c r="H254">
        <v>1</v>
      </c>
      <c r="I254">
        <v>0</v>
      </c>
      <c r="J254">
        <v>1</v>
      </c>
      <c r="K254">
        <v>66.900000000000006</v>
      </c>
      <c r="L254">
        <v>66.44</v>
      </c>
      <c r="M254">
        <v>69.11</v>
      </c>
    </row>
    <row r="255" spans="1:13" x14ac:dyDescent="0.2">
      <c r="A255" s="1">
        <v>254</v>
      </c>
      <c r="B255" t="s">
        <v>114</v>
      </c>
      <c r="C255">
        <v>67.47</v>
      </c>
      <c r="D255">
        <v>8</v>
      </c>
      <c r="E255">
        <v>24</v>
      </c>
      <c r="F255">
        <v>74.28</v>
      </c>
      <c r="G255">
        <v>0</v>
      </c>
      <c r="H255">
        <v>5</v>
      </c>
      <c r="I255">
        <v>0</v>
      </c>
      <c r="J255">
        <v>5</v>
      </c>
      <c r="K255">
        <v>68</v>
      </c>
      <c r="L255">
        <v>67.87</v>
      </c>
      <c r="M255">
        <v>65.98</v>
      </c>
    </row>
    <row r="256" spans="1:13" x14ac:dyDescent="0.2">
      <c r="A256" s="1">
        <v>255</v>
      </c>
      <c r="B256" t="s">
        <v>902</v>
      </c>
      <c r="C256">
        <v>67.47</v>
      </c>
      <c r="D256">
        <v>10</v>
      </c>
      <c r="E256">
        <v>16</v>
      </c>
      <c r="F256">
        <v>70.06</v>
      </c>
      <c r="G256">
        <v>0</v>
      </c>
      <c r="H256">
        <v>0</v>
      </c>
      <c r="I256">
        <v>0</v>
      </c>
      <c r="J256">
        <v>0</v>
      </c>
      <c r="K256">
        <v>67.37</v>
      </c>
      <c r="L256">
        <v>67.47</v>
      </c>
      <c r="M256">
        <v>67.17</v>
      </c>
    </row>
    <row r="257" spans="1:13" x14ac:dyDescent="0.2">
      <c r="A257" s="1">
        <v>256</v>
      </c>
      <c r="B257" t="s">
        <v>298</v>
      </c>
      <c r="C257">
        <v>67.319999999999993</v>
      </c>
      <c r="D257">
        <v>11</v>
      </c>
      <c r="E257">
        <v>18</v>
      </c>
      <c r="F257">
        <v>71.680000000000007</v>
      </c>
      <c r="G257">
        <v>0</v>
      </c>
      <c r="H257">
        <v>0</v>
      </c>
      <c r="I257">
        <v>1</v>
      </c>
      <c r="J257">
        <v>0</v>
      </c>
      <c r="K257">
        <v>67.22</v>
      </c>
      <c r="L257">
        <v>66.86</v>
      </c>
      <c r="M257">
        <v>67.61</v>
      </c>
    </row>
    <row r="258" spans="1:13" x14ac:dyDescent="0.2">
      <c r="A258" s="1">
        <v>257</v>
      </c>
      <c r="B258" t="s">
        <v>814</v>
      </c>
      <c r="C258">
        <v>67.22</v>
      </c>
      <c r="D258">
        <v>9</v>
      </c>
      <c r="E258">
        <v>20</v>
      </c>
      <c r="F258">
        <v>72.72</v>
      </c>
      <c r="G258">
        <v>0</v>
      </c>
      <c r="H258">
        <v>1</v>
      </c>
      <c r="I258">
        <v>0</v>
      </c>
      <c r="J258">
        <v>1</v>
      </c>
      <c r="K258">
        <v>66.17</v>
      </c>
      <c r="L258">
        <v>67.7</v>
      </c>
      <c r="M258">
        <v>67.23</v>
      </c>
    </row>
    <row r="259" spans="1:13" x14ac:dyDescent="0.2">
      <c r="A259" s="1">
        <v>258</v>
      </c>
      <c r="B259" t="s">
        <v>904</v>
      </c>
      <c r="C259">
        <v>67.09</v>
      </c>
      <c r="D259">
        <v>11</v>
      </c>
      <c r="E259">
        <v>17</v>
      </c>
      <c r="F259">
        <v>69.67</v>
      </c>
      <c r="G259">
        <v>0</v>
      </c>
      <c r="H259">
        <v>0</v>
      </c>
      <c r="I259">
        <v>0</v>
      </c>
      <c r="J259">
        <v>0</v>
      </c>
      <c r="K259">
        <v>66.84</v>
      </c>
      <c r="L259">
        <v>67.349999999999994</v>
      </c>
      <c r="M259">
        <v>66.59</v>
      </c>
    </row>
    <row r="260" spans="1:13" x14ac:dyDescent="0.2">
      <c r="A260" s="1">
        <v>259</v>
      </c>
      <c r="B260" t="s">
        <v>816</v>
      </c>
      <c r="C260">
        <v>67.069999999999993</v>
      </c>
      <c r="D260">
        <v>11</v>
      </c>
      <c r="E260">
        <v>17</v>
      </c>
      <c r="F260">
        <v>70.36</v>
      </c>
      <c r="G260">
        <v>0</v>
      </c>
      <c r="H260">
        <v>1</v>
      </c>
      <c r="I260">
        <v>0</v>
      </c>
      <c r="J260">
        <v>3</v>
      </c>
      <c r="K260">
        <v>67.03</v>
      </c>
      <c r="L260">
        <v>66.8</v>
      </c>
      <c r="M260">
        <v>67.08</v>
      </c>
    </row>
    <row r="261" spans="1:13" x14ac:dyDescent="0.2">
      <c r="A261" s="1">
        <v>260</v>
      </c>
      <c r="B261" t="s">
        <v>196</v>
      </c>
      <c r="C261">
        <v>67.069999999999993</v>
      </c>
      <c r="D261">
        <v>11</v>
      </c>
      <c r="E261">
        <v>20</v>
      </c>
      <c r="F261">
        <v>70.849999999999994</v>
      </c>
      <c r="G261">
        <v>0</v>
      </c>
      <c r="H261">
        <v>0</v>
      </c>
      <c r="I261">
        <v>0</v>
      </c>
      <c r="J261">
        <v>0</v>
      </c>
      <c r="K261">
        <v>67.239999999999995</v>
      </c>
      <c r="L261">
        <v>67.069999999999993</v>
      </c>
      <c r="M261">
        <v>66.5</v>
      </c>
    </row>
    <row r="262" spans="1:13" x14ac:dyDescent="0.2">
      <c r="A262" s="1">
        <v>261</v>
      </c>
      <c r="B262" t="s">
        <v>74</v>
      </c>
      <c r="C262">
        <v>66.95</v>
      </c>
      <c r="D262">
        <v>10</v>
      </c>
      <c r="E262">
        <v>21</v>
      </c>
      <c r="F262">
        <v>74.23</v>
      </c>
      <c r="G262">
        <v>0</v>
      </c>
      <c r="H262">
        <v>1</v>
      </c>
      <c r="I262">
        <v>0</v>
      </c>
      <c r="J262">
        <v>7</v>
      </c>
      <c r="K262">
        <v>66.56</v>
      </c>
      <c r="L262">
        <v>66.38</v>
      </c>
      <c r="M262">
        <v>67.62</v>
      </c>
    </row>
    <row r="263" spans="1:13" x14ac:dyDescent="0.2">
      <c r="A263" s="1">
        <v>262</v>
      </c>
      <c r="B263" t="s">
        <v>91</v>
      </c>
      <c r="C263">
        <v>66.900000000000006</v>
      </c>
      <c r="D263">
        <v>8</v>
      </c>
      <c r="E263">
        <v>22</v>
      </c>
      <c r="F263">
        <v>75.319999999999993</v>
      </c>
      <c r="G263">
        <v>0</v>
      </c>
      <c r="H263">
        <v>5</v>
      </c>
      <c r="I263">
        <v>0</v>
      </c>
      <c r="J263">
        <v>5</v>
      </c>
      <c r="K263">
        <v>66.89</v>
      </c>
      <c r="L263">
        <v>66.22</v>
      </c>
      <c r="M263">
        <v>67.349999999999994</v>
      </c>
    </row>
    <row r="264" spans="1:13" x14ac:dyDescent="0.2">
      <c r="A264" s="1">
        <v>263</v>
      </c>
      <c r="B264" t="s">
        <v>874</v>
      </c>
      <c r="C264">
        <v>66.87</v>
      </c>
      <c r="D264">
        <v>11</v>
      </c>
      <c r="E264">
        <v>18</v>
      </c>
      <c r="F264">
        <v>72.430000000000007</v>
      </c>
      <c r="G264">
        <v>0</v>
      </c>
      <c r="H264">
        <v>0</v>
      </c>
      <c r="I264">
        <v>0</v>
      </c>
      <c r="J264">
        <v>5</v>
      </c>
      <c r="K264">
        <v>66.33</v>
      </c>
      <c r="L264">
        <v>66.05</v>
      </c>
      <c r="M264">
        <v>67.95</v>
      </c>
    </row>
    <row r="265" spans="1:13" x14ac:dyDescent="0.2">
      <c r="A265" s="1">
        <v>264</v>
      </c>
      <c r="B265" t="s">
        <v>834</v>
      </c>
      <c r="C265">
        <v>66.790000000000006</v>
      </c>
      <c r="D265">
        <v>17</v>
      </c>
      <c r="E265">
        <v>10</v>
      </c>
      <c r="F265">
        <v>62.06</v>
      </c>
      <c r="G265">
        <v>0</v>
      </c>
      <c r="H265">
        <v>1</v>
      </c>
      <c r="I265">
        <v>0</v>
      </c>
      <c r="J265">
        <v>2</v>
      </c>
      <c r="K265">
        <v>66.02</v>
      </c>
      <c r="L265">
        <v>66.61</v>
      </c>
      <c r="M265">
        <v>67.36</v>
      </c>
    </row>
    <row r="266" spans="1:13" x14ac:dyDescent="0.2">
      <c r="A266" s="1">
        <v>265</v>
      </c>
      <c r="B266" t="s">
        <v>813</v>
      </c>
      <c r="C266">
        <v>66.78</v>
      </c>
      <c r="D266">
        <v>6</v>
      </c>
      <c r="E266">
        <v>23</v>
      </c>
      <c r="F266">
        <v>74.06</v>
      </c>
      <c r="G266">
        <v>0</v>
      </c>
      <c r="H266">
        <v>1</v>
      </c>
      <c r="I266">
        <v>0</v>
      </c>
      <c r="J266">
        <v>2</v>
      </c>
      <c r="K266">
        <v>66.94</v>
      </c>
      <c r="L266">
        <v>68.14</v>
      </c>
      <c r="M266">
        <v>64.150000000000006</v>
      </c>
    </row>
    <row r="267" spans="1:13" x14ac:dyDescent="0.2">
      <c r="A267" s="1">
        <v>266</v>
      </c>
      <c r="B267" t="s">
        <v>222</v>
      </c>
      <c r="C267">
        <v>66.72</v>
      </c>
      <c r="D267">
        <v>13</v>
      </c>
      <c r="E267">
        <v>16</v>
      </c>
      <c r="F267">
        <v>69.180000000000007</v>
      </c>
      <c r="G267">
        <v>0</v>
      </c>
      <c r="H267">
        <v>1</v>
      </c>
      <c r="I267">
        <v>0</v>
      </c>
      <c r="J267">
        <v>1</v>
      </c>
      <c r="K267">
        <v>66.94</v>
      </c>
      <c r="L267">
        <v>65.83</v>
      </c>
      <c r="M267">
        <v>67.19</v>
      </c>
    </row>
    <row r="268" spans="1:13" x14ac:dyDescent="0.2">
      <c r="A268" s="1">
        <v>267</v>
      </c>
      <c r="B268" t="s">
        <v>210</v>
      </c>
      <c r="C268">
        <v>66.709999999999994</v>
      </c>
      <c r="D268">
        <v>11</v>
      </c>
      <c r="E268">
        <v>19</v>
      </c>
      <c r="F268">
        <v>67.989999999999995</v>
      </c>
      <c r="G268">
        <v>0</v>
      </c>
      <c r="H268">
        <v>0</v>
      </c>
      <c r="I268">
        <v>0</v>
      </c>
      <c r="J268">
        <v>1</v>
      </c>
      <c r="K268">
        <v>66.83</v>
      </c>
      <c r="L268">
        <v>67.69</v>
      </c>
      <c r="M268">
        <v>64.790000000000006</v>
      </c>
    </row>
    <row r="269" spans="1:13" x14ac:dyDescent="0.2">
      <c r="A269" s="1">
        <v>268</v>
      </c>
      <c r="B269" t="s">
        <v>183</v>
      </c>
      <c r="C269">
        <v>66.489999999999995</v>
      </c>
      <c r="D269">
        <v>8</v>
      </c>
      <c r="E269">
        <v>23</v>
      </c>
      <c r="F269">
        <v>74.650000000000006</v>
      </c>
      <c r="G269">
        <v>0</v>
      </c>
      <c r="H269">
        <v>0</v>
      </c>
      <c r="I269">
        <v>0</v>
      </c>
      <c r="J269">
        <v>4</v>
      </c>
      <c r="K269">
        <v>66.05</v>
      </c>
      <c r="L269">
        <v>66.72</v>
      </c>
      <c r="M269">
        <v>66.25</v>
      </c>
    </row>
    <row r="270" spans="1:13" x14ac:dyDescent="0.2">
      <c r="A270" s="1">
        <v>269</v>
      </c>
      <c r="B270" t="s">
        <v>181</v>
      </c>
      <c r="C270">
        <v>66.47</v>
      </c>
      <c r="D270">
        <v>9</v>
      </c>
      <c r="E270">
        <v>21</v>
      </c>
      <c r="F270">
        <v>72.69</v>
      </c>
      <c r="G270">
        <v>0</v>
      </c>
      <c r="H270">
        <v>2</v>
      </c>
      <c r="I270">
        <v>0</v>
      </c>
      <c r="J270">
        <v>2</v>
      </c>
      <c r="K270">
        <v>66.02</v>
      </c>
      <c r="L270">
        <v>66.430000000000007</v>
      </c>
      <c r="M270">
        <v>66.56</v>
      </c>
    </row>
    <row r="271" spans="1:13" x14ac:dyDescent="0.2">
      <c r="A271" s="1">
        <v>270</v>
      </c>
      <c r="B271" t="s">
        <v>290</v>
      </c>
      <c r="C271">
        <v>66.41</v>
      </c>
      <c r="D271">
        <v>11</v>
      </c>
      <c r="E271">
        <v>17</v>
      </c>
      <c r="F271">
        <v>69.55</v>
      </c>
      <c r="G271">
        <v>0</v>
      </c>
      <c r="H271">
        <v>2</v>
      </c>
      <c r="I271">
        <v>0</v>
      </c>
      <c r="J271">
        <v>2</v>
      </c>
      <c r="K271">
        <v>65.33</v>
      </c>
      <c r="L271">
        <v>67.02</v>
      </c>
      <c r="M271">
        <v>66.25</v>
      </c>
    </row>
    <row r="272" spans="1:13" x14ac:dyDescent="0.2">
      <c r="A272" s="1">
        <v>271</v>
      </c>
      <c r="B272" t="s">
        <v>108</v>
      </c>
      <c r="C272">
        <v>66.36</v>
      </c>
      <c r="D272">
        <v>11</v>
      </c>
      <c r="E272">
        <v>20</v>
      </c>
      <c r="F272">
        <v>69.89</v>
      </c>
      <c r="G272">
        <v>0</v>
      </c>
      <c r="H272">
        <v>1</v>
      </c>
      <c r="I272">
        <v>0</v>
      </c>
      <c r="J272">
        <v>1</v>
      </c>
      <c r="K272">
        <v>66.489999999999995</v>
      </c>
      <c r="L272">
        <v>66.959999999999994</v>
      </c>
      <c r="M272">
        <v>64.989999999999995</v>
      </c>
    </row>
    <row r="273" spans="1:13" x14ac:dyDescent="0.2">
      <c r="A273" s="1">
        <v>272</v>
      </c>
      <c r="B273" t="s">
        <v>558</v>
      </c>
      <c r="C273">
        <v>66.3</v>
      </c>
      <c r="D273">
        <v>12</v>
      </c>
      <c r="E273">
        <v>19</v>
      </c>
      <c r="F273">
        <v>68.84</v>
      </c>
      <c r="G273">
        <v>0</v>
      </c>
      <c r="H273">
        <v>1</v>
      </c>
      <c r="I273">
        <v>0</v>
      </c>
      <c r="J273">
        <v>1</v>
      </c>
      <c r="K273">
        <v>66.67</v>
      </c>
      <c r="L273">
        <v>66.45</v>
      </c>
      <c r="M273">
        <v>65.319999999999993</v>
      </c>
    </row>
    <row r="274" spans="1:13" x14ac:dyDescent="0.2">
      <c r="A274" s="1">
        <v>273</v>
      </c>
      <c r="B274" t="s">
        <v>262</v>
      </c>
      <c r="C274">
        <v>66.3</v>
      </c>
      <c r="D274">
        <v>11</v>
      </c>
      <c r="E274">
        <v>15</v>
      </c>
      <c r="F274">
        <v>69.45</v>
      </c>
      <c r="G274">
        <v>0</v>
      </c>
      <c r="H274">
        <v>1</v>
      </c>
      <c r="I274">
        <v>0</v>
      </c>
      <c r="J274">
        <v>5</v>
      </c>
      <c r="K274">
        <v>65.569999999999993</v>
      </c>
      <c r="L274">
        <v>65.569999999999993</v>
      </c>
      <c r="M274">
        <v>67.45</v>
      </c>
    </row>
    <row r="275" spans="1:13" x14ac:dyDescent="0.2">
      <c r="A275" s="1">
        <v>274</v>
      </c>
      <c r="B275" t="s">
        <v>283</v>
      </c>
      <c r="C275">
        <v>66.3</v>
      </c>
      <c r="D275">
        <v>12</v>
      </c>
      <c r="E275">
        <v>19</v>
      </c>
      <c r="F275">
        <v>69.95</v>
      </c>
      <c r="G275">
        <v>0</v>
      </c>
      <c r="H275">
        <v>2</v>
      </c>
      <c r="I275">
        <v>0</v>
      </c>
      <c r="J275">
        <v>3</v>
      </c>
      <c r="K275">
        <v>65.540000000000006</v>
      </c>
      <c r="L275">
        <v>65.819999999999993</v>
      </c>
      <c r="M275">
        <v>67.19</v>
      </c>
    </row>
    <row r="276" spans="1:13" x14ac:dyDescent="0.2">
      <c r="A276" s="1">
        <v>275</v>
      </c>
      <c r="B276" t="s">
        <v>105</v>
      </c>
      <c r="C276">
        <v>66.290000000000006</v>
      </c>
      <c r="D276">
        <v>15</v>
      </c>
      <c r="E276">
        <v>15</v>
      </c>
      <c r="F276">
        <v>66.78</v>
      </c>
      <c r="G276">
        <v>0</v>
      </c>
      <c r="H276">
        <v>1</v>
      </c>
      <c r="I276">
        <v>0</v>
      </c>
      <c r="J276">
        <v>2</v>
      </c>
      <c r="K276">
        <v>65.23</v>
      </c>
      <c r="L276">
        <v>66.47</v>
      </c>
      <c r="M276">
        <v>66.67</v>
      </c>
    </row>
    <row r="277" spans="1:13" x14ac:dyDescent="0.2">
      <c r="A277" s="1">
        <v>276</v>
      </c>
      <c r="B277" t="s">
        <v>831</v>
      </c>
      <c r="C277">
        <v>66.25</v>
      </c>
      <c r="D277">
        <v>8</v>
      </c>
      <c r="E277">
        <v>21</v>
      </c>
      <c r="F277">
        <v>72.34</v>
      </c>
      <c r="G277">
        <v>0</v>
      </c>
      <c r="H277">
        <v>0</v>
      </c>
      <c r="I277">
        <v>0</v>
      </c>
      <c r="J277">
        <v>0</v>
      </c>
      <c r="K277">
        <v>66.52</v>
      </c>
      <c r="L277">
        <v>66.63</v>
      </c>
      <c r="M277">
        <v>65.06</v>
      </c>
    </row>
    <row r="278" spans="1:13" x14ac:dyDescent="0.2">
      <c r="A278" s="1">
        <v>277</v>
      </c>
      <c r="B278" t="s">
        <v>224</v>
      </c>
      <c r="C278">
        <v>66.25</v>
      </c>
      <c r="D278">
        <v>13</v>
      </c>
      <c r="E278">
        <v>16</v>
      </c>
      <c r="F278">
        <v>68.03</v>
      </c>
      <c r="G278">
        <v>0</v>
      </c>
      <c r="H278">
        <v>0</v>
      </c>
      <c r="I278">
        <v>0</v>
      </c>
      <c r="J278">
        <v>1</v>
      </c>
      <c r="K278">
        <v>65.47</v>
      </c>
      <c r="L278">
        <v>65.739999999999995</v>
      </c>
      <c r="M278">
        <v>67.180000000000007</v>
      </c>
    </row>
    <row r="279" spans="1:13" x14ac:dyDescent="0.2">
      <c r="A279" s="1">
        <v>278</v>
      </c>
      <c r="B279" t="s">
        <v>272</v>
      </c>
      <c r="C279">
        <v>66.239999999999995</v>
      </c>
      <c r="D279">
        <v>10</v>
      </c>
      <c r="E279">
        <v>21</v>
      </c>
      <c r="F279">
        <v>72.39</v>
      </c>
      <c r="G279">
        <v>0</v>
      </c>
      <c r="H279">
        <v>1</v>
      </c>
      <c r="I279">
        <v>0</v>
      </c>
      <c r="J279">
        <v>2</v>
      </c>
      <c r="K279">
        <v>65.69</v>
      </c>
      <c r="L279">
        <v>65.91</v>
      </c>
      <c r="M279">
        <v>66.790000000000006</v>
      </c>
    </row>
    <row r="280" spans="1:13" x14ac:dyDescent="0.2">
      <c r="A280" s="1">
        <v>279</v>
      </c>
      <c r="B280" t="s">
        <v>826</v>
      </c>
      <c r="C280">
        <v>66.209999999999994</v>
      </c>
      <c r="D280">
        <v>12</v>
      </c>
      <c r="E280">
        <v>17</v>
      </c>
      <c r="F280">
        <v>71.3</v>
      </c>
      <c r="G280">
        <v>0</v>
      </c>
      <c r="H280">
        <v>0</v>
      </c>
      <c r="I280">
        <v>0</v>
      </c>
      <c r="J280">
        <v>0</v>
      </c>
      <c r="K280">
        <v>65.209999999999994</v>
      </c>
      <c r="L280">
        <v>64.900000000000006</v>
      </c>
      <c r="M280">
        <v>68.16</v>
      </c>
    </row>
    <row r="281" spans="1:13" x14ac:dyDescent="0.2">
      <c r="A281" s="1">
        <v>280</v>
      </c>
      <c r="B281" t="s">
        <v>871</v>
      </c>
      <c r="C281">
        <v>66.150000000000006</v>
      </c>
      <c r="D281">
        <v>12</v>
      </c>
      <c r="E281">
        <v>18</v>
      </c>
      <c r="F281">
        <v>69.36</v>
      </c>
      <c r="G281">
        <v>0</v>
      </c>
      <c r="H281">
        <v>0</v>
      </c>
      <c r="I281">
        <v>0</v>
      </c>
      <c r="J281">
        <v>1</v>
      </c>
      <c r="K281">
        <v>66.19</v>
      </c>
      <c r="L281">
        <v>65.39</v>
      </c>
      <c r="M281">
        <v>66.63</v>
      </c>
    </row>
    <row r="282" spans="1:13" x14ac:dyDescent="0.2">
      <c r="A282" s="1">
        <v>281</v>
      </c>
      <c r="B282" t="s">
        <v>248</v>
      </c>
      <c r="C282">
        <v>66.12</v>
      </c>
      <c r="D282">
        <v>7</v>
      </c>
      <c r="E282">
        <v>24</v>
      </c>
      <c r="F282">
        <v>73.59</v>
      </c>
      <c r="G282">
        <v>0</v>
      </c>
      <c r="H282">
        <v>2</v>
      </c>
      <c r="I282">
        <v>0</v>
      </c>
      <c r="J282">
        <v>5</v>
      </c>
      <c r="K282">
        <v>66.540000000000006</v>
      </c>
      <c r="L282">
        <v>66.739999999999995</v>
      </c>
      <c r="M282">
        <v>64.37</v>
      </c>
    </row>
    <row r="283" spans="1:13" x14ac:dyDescent="0.2">
      <c r="A283" s="1">
        <v>282</v>
      </c>
      <c r="B283" t="s">
        <v>835</v>
      </c>
      <c r="C283">
        <v>66.099999999999994</v>
      </c>
      <c r="D283">
        <v>16</v>
      </c>
      <c r="E283">
        <v>18</v>
      </c>
      <c r="F283">
        <v>69.39</v>
      </c>
      <c r="G283">
        <v>0</v>
      </c>
      <c r="H283">
        <v>0</v>
      </c>
      <c r="I283">
        <v>0</v>
      </c>
      <c r="J283">
        <v>2</v>
      </c>
      <c r="K283">
        <v>64.569999999999993</v>
      </c>
      <c r="L283">
        <v>64.69</v>
      </c>
      <c r="M283">
        <v>68.53</v>
      </c>
    </row>
    <row r="284" spans="1:13" x14ac:dyDescent="0.2">
      <c r="A284" s="1">
        <v>283</v>
      </c>
      <c r="B284" t="s">
        <v>150</v>
      </c>
      <c r="C284">
        <v>66.03</v>
      </c>
      <c r="D284">
        <v>10</v>
      </c>
      <c r="E284">
        <v>20</v>
      </c>
      <c r="F284">
        <v>71.67</v>
      </c>
      <c r="G284">
        <v>0</v>
      </c>
      <c r="H284">
        <v>1</v>
      </c>
      <c r="I284">
        <v>0</v>
      </c>
      <c r="J284">
        <v>2</v>
      </c>
      <c r="K284">
        <v>65.59</v>
      </c>
      <c r="L284">
        <v>66.23</v>
      </c>
      <c r="M284">
        <v>65.8</v>
      </c>
    </row>
    <row r="285" spans="1:13" x14ac:dyDescent="0.2">
      <c r="A285" s="1">
        <v>284</v>
      </c>
      <c r="B285" t="s">
        <v>287</v>
      </c>
      <c r="C285">
        <v>66.02</v>
      </c>
      <c r="D285">
        <v>9</v>
      </c>
      <c r="E285">
        <v>19</v>
      </c>
      <c r="F285">
        <v>72.069999999999993</v>
      </c>
      <c r="G285">
        <v>0</v>
      </c>
      <c r="H285">
        <v>1</v>
      </c>
      <c r="I285">
        <v>0</v>
      </c>
      <c r="J285">
        <v>2</v>
      </c>
      <c r="K285">
        <v>65.459999999999994</v>
      </c>
      <c r="L285">
        <v>65.58</v>
      </c>
      <c r="M285">
        <v>66.7</v>
      </c>
    </row>
    <row r="286" spans="1:13" x14ac:dyDescent="0.2">
      <c r="A286" s="1">
        <v>285</v>
      </c>
      <c r="B286" t="s">
        <v>119</v>
      </c>
      <c r="C286">
        <v>65.91</v>
      </c>
      <c r="D286">
        <v>7</v>
      </c>
      <c r="E286">
        <v>22</v>
      </c>
      <c r="F286">
        <v>73.739999999999995</v>
      </c>
      <c r="G286">
        <v>0</v>
      </c>
      <c r="H286">
        <v>0</v>
      </c>
      <c r="I286">
        <v>0</v>
      </c>
      <c r="J286">
        <v>2</v>
      </c>
      <c r="K286">
        <v>65.849999999999994</v>
      </c>
      <c r="L286">
        <v>66.11</v>
      </c>
      <c r="M286">
        <v>65.31</v>
      </c>
    </row>
    <row r="287" spans="1:13" x14ac:dyDescent="0.2">
      <c r="A287" s="1">
        <v>286</v>
      </c>
      <c r="B287" t="s">
        <v>898</v>
      </c>
      <c r="C287">
        <v>65.760000000000005</v>
      </c>
      <c r="D287">
        <v>15</v>
      </c>
      <c r="E287">
        <v>17</v>
      </c>
      <c r="F287">
        <v>67.03</v>
      </c>
      <c r="G287">
        <v>0</v>
      </c>
      <c r="H287">
        <v>2</v>
      </c>
      <c r="I287">
        <v>0</v>
      </c>
      <c r="J287">
        <v>2</v>
      </c>
      <c r="K287">
        <v>65.040000000000006</v>
      </c>
      <c r="L287">
        <v>65.05</v>
      </c>
      <c r="M287">
        <v>66.86</v>
      </c>
    </row>
    <row r="288" spans="1:13" x14ac:dyDescent="0.2">
      <c r="A288" s="1">
        <v>287</v>
      </c>
      <c r="B288" t="s">
        <v>148</v>
      </c>
      <c r="C288">
        <v>65.63</v>
      </c>
      <c r="D288">
        <v>7</v>
      </c>
      <c r="E288">
        <v>20</v>
      </c>
      <c r="F288">
        <v>71.62</v>
      </c>
      <c r="G288">
        <v>0</v>
      </c>
      <c r="H288">
        <v>0</v>
      </c>
      <c r="I288">
        <v>0</v>
      </c>
      <c r="J288">
        <v>1</v>
      </c>
      <c r="K288">
        <v>65.69</v>
      </c>
      <c r="L288">
        <v>65.86</v>
      </c>
      <c r="M288">
        <v>64.86</v>
      </c>
    </row>
    <row r="289" spans="1:13" x14ac:dyDescent="0.2">
      <c r="A289" s="1">
        <v>288</v>
      </c>
      <c r="B289" t="s">
        <v>815</v>
      </c>
      <c r="C289">
        <v>65.58</v>
      </c>
      <c r="D289">
        <v>10</v>
      </c>
      <c r="E289">
        <v>18</v>
      </c>
      <c r="F289">
        <v>70.59</v>
      </c>
      <c r="G289">
        <v>0</v>
      </c>
      <c r="H289">
        <v>0</v>
      </c>
      <c r="I289">
        <v>0</v>
      </c>
      <c r="J289">
        <v>1</v>
      </c>
      <c r="K289">
        <v>65.430000000000007</v>
      </c>
      <c r="L289">
        <v>64.52</v>
      </c>
      <c r="M289">
        <v>66.569999999999993</v>
      </c>
    </row>
    <row r="290" spans="1:13" x14ac:dyDescent="0.2">
      <c r="A290" s="1">
        <v>289</v>
      </c>
      <c r="B290" t="s">
        <v>157</v>
      </c>
      <c r="C290">
        <v>65.53</v>
      </c>
      <c r="D290">
        <v>9</v>
      </c>
      <c r="E290">
        <v>24</v>
      </c>
      <c r="F290">
        <v>71.819999999999993</v>
      </c>
      <c r="G290">
        <v>0</v>
      </c>
      <c r="H290">
        <v>1</v>
      </c>
      <c r="I290">
        <v>0</v>
      </c>
      <c r="J290">
        <v>4</v>
      </c>
      <c r="K290">
        <v>65.849999999999994</v>
      </c>
      <c r="L290">
        <v>65.87</v>
      </c>
      <c r="M290">
        <v>64.33</v>
      </c>
    </row>
    <row r="291" spans="1:13" x14ac:dyDescent="0.2">
      <c r="A291" s="1">
        <v>290</v>
      </c>
      <c r="B291" t="s">
        <v>221</v>
      </c>
      <c r="C291">
        <v>65.45</v>
      </c>
      <c r="D291">
        <v>8</v>
      </c>
      <c r="E291">
        <v>24</v>
      </c>
      <c r="F291">
        <v>73.05</v>
      </c>
      <c r="G291">
        <v>0</v>
      </c>
      <c r="H291">
        <v>0</v>
      </c>
      <c r="I291">
        <v>0</v>
      </c>
      <c r="J291">
        <v>2</v>
      </c>
      <c r="K291">
        <v>65.22</v>
      </c>
      <c r="L291">
        <v>65.510000000000005</v>
      </c>
      <c r="M291">
        <v>65.209999999999994</v>
      </c>
    </row>
    <row r="292" spans="1:13" x14ac:dyDescent="0.2">
      <c r="A292" s="1">
        <v>291</v>
      </c>
      <c r="B292" t="s">
        <v>158</v>
      </c>
      <c r="C292">
        <v>65.33</v>
      </c>
      <c r="D292">
        <v>10</v>
      </c>
      <c r="E292">
        <v>21</v>
      </c>
      <c r="F292">
        <v>71.38</v>
      </c>
      <c r="G292">
        <v>0</v>
      </c>
      <c r="H292">
        <v>0</v>
      </c>
      <c r="I292">
        <v>0</v>
      </c>
      <c r="J292">
        <v>1</v>
      </c>
      <c r="K292">
        <v>64.66</v>
      </c>
      <c r="L292">
        <v>64.790000000000006</v>
      </c>
      <c r="M292">
        <v>66.19</v>
      </c>
    </row>
    <row r="293" spans="1:13" x14ac:dyDescent="0.2">
      <c r="A293" s="1">
        <v>292</v>
      </c>
      <c r="B293" t="s">
        <v>294</v>
      </c>
      <c r="C293">
        <v>65.180000000000007</v>
      </c>
      <c r="D293">
        <v>8</v>
      </c>
      <c r="E293">
        <v>19</v>
      </c>
      <c r="F293">
        <v>69.73</v>
      </c>
      <c r="G293">
        <v>0</v>
      </c>
      <c r="H293">
        <v>0</v>
      </c>
      <c r="I293">
        <v>0</v>
      </c>
      <c r="J293">
        <v>1</v>
      </c>
      <c r="K293">
        <v>65.34</v>
      </c>
      <c r="L293">
        <v>65.790000000000006</v>
      </c>
      <c r="M293">
        <v>63.75</v>
      </c>
    </row>
    <row r="294" spans="1:13" x14ac:dyDescent="0.2">
      <c r="A294" s="1">
        <v>293</v>
      </c>
      <c r="B294" t="s">
        <v>289</v>
      </c>
      <c r="C294">
        <v>65.180000000000007</v>
      </c>
      <c r="D294">
        <v>12</v>
      </c>
      <c r="E294">
        <v>19</v>
      </c>
      <c r="F294">
        <v>68.31</v>
      </c>
      <c r="G294">
        <v>0</v>
      </c>
      <c r="H294">
        <v>0</v>
      </c>
      <c r="I294">
        <v>0</v>
      </c>
      <c r="J294">
        <v>1</v>
      </c>
      <c r="K294">
        <v>65.510000000000005</v>
      </c>
      <c r="L294">
        <v>64.989999999999995</v>
      </c>
      <c r="M294">
        <v>64.680000000000007</v>
      </c>
    </row>
    <row r="295" spans="1:13" x14ac:dyDescent="0.2">
      <c r="A295" s="1">
        <v>294</v>
      </c>
      <c r="B295" t="s">
        <v>208</v>
      </c>
      <c r="C295">
        <v>64.930000000000007</v>
      </c>
      <c r="D295">
        <v>11</v>
      </c>
      <c r="E295">
        <v>17</v>
      </c>
      <c r="F295">
        <v>70.81</v>
      </c>
      <c r="G295">
        <v>0</v>
      </c>
      <c r="H295">
        <v>1</v>
      </c>
      <c r="I295">
        <v>0</v>
      </c>
      <c r="J295">
        <v>1</v>
      </c>
      <c r="K295">
        <v>64.069999999999993</v>
      </c>
      <c r="L295">
        <v>63.81</v>
      </c>
      <c r="M295">
        <v>66.569999999999993</v>
      </c>
    </row>
    <row r="296" spans="1:13" x14ac:dyDescent="0.2">
      <c r="A296" s="1">
        <v>295</v>
      </c>
      <c r="B296" t="s">
        <v>278</v>
      </c>
      <c r="C296">
        <v>64.930000000000007</v>
      </c>
      <c r="D296">
        <v>8</v>
      </c>
      <c r="E296">
        <v>22</v>
      </c>
      <c r="F296">
        <v>69.430000000000007</v>
      </c>
      <c r="G296">
        <v>0</v>
      </c>
      <c r="H296">
        <v>1</v>
      </c>
      <c r="I296">
        <v>0</v>
      </c>
      <c r="J296">
        <v>2</v>
      </c>
      <c r="K296">
        <v>64.91</v>
      </c>
      <c r="L296">
        <v>65.98</v>
      </c>
      <c r="M296">
        <v>62.96</v>
      </c>
    </row>
    <row r="297" spans="1:13" x14ac:dyDescent="0.2">
      <c r="A297" s="1">
        <v>296</v>
      </c>
      <c r="B297" t="s">
        <v>169</v>
      </c>
      <c r="C297">
        <v>64.89</v>
      </c>
      <c r="D297">
        <v>7</v>
      </c>
      <c r="E297">
        <v>22</v>
      </c>
      <c r="F297">
        <v>72.67</v>
      </c>
      <c r="G297">
        <v>0</v>
      </c>
      <c r="H297">
        <v>0</v>
      </c>
      <c r="I297">
        <v>0</v>
      </c>
      <c r="J297">
        <v>1</v>
      </c>
      <c r="K297">
        <v>64.56</v>
      </c>
      <c r="L297">
        <v>64.98</v>
      </c>
      <c r="M297">
        <v>64.7</v>
      </c>
    </row>
    <row r="298" spans="1:13" x14ac:dyDescent="0.2">
      <c r="A298" s="1">
        <v>297</v>
      </c>
      <c r="B298" t="s">
        <v>279</v>
      </c>
      <c r="C298">
        <v>64.77</v>
      </c>
      <c r="D298">
        <v>9</v>
      </c>
      <c r="E298">
        <v>19</v>
      </c>
      <c r="F298">
        <v>69.930000000000007</v>
      </c>
      <c r="G298">
        <v>0</v>
      </c>
      <c r="H298">
        <v>1</v>
      </c>
      <c r="I298">
        <v>0</v>
      </c>
      <c r="J298">
        <v>2</v>
      </c>
      <c r="K298">
        <v>64.790000000000006</v>
      </c>
      <c r="L298">
        <v>64.75</v>
      </c>
      <c r="M298">
        <v>64.39</v>
      </c>
    </row>
    <row r="299" spans="1:13" x14ac:dyDescent="0.2">
      <c r="A299" s="1">
        <v>298</v>
      </c>
      <c r="B299" t="s">
        <v>95</v>
      </c>
      <c r="C299">
        <v>64.599999999999994</v>
      </c>
      <c r="D299">
        <v>9</v>
      </c>
      <c r="E299">
        <v>22</v>
      </c>
      <c r="F299">
        <v>70.22</v>
      </c>
      <c r="G299">
        <v>0</v>
      </c>
      <c r="H299">
        <v>1</v>
      </c>
      <c r="I299">
        <v>0</v>
      </c>
      <c r="J299">
        <v>1</v>
      </c>
      <c r="K299">
        <v>65.86</v>
      </c>
      <c r="L299">
        <v>63.75</v>
      </c>
      <c r="M299">
        <v>63.88</v>
      </c>
    </row>
    <row r="300" spans="1:13" x14ac:dyDescent="0.2">
      <c r="A300" s="1">
        <v>299</v>
      </c>
      <c r="B300" t="s">
        <v>235</v>
      </c>
      <c r="C300">
        <v>64.59</v>
      </c>
      <c r="D300">
        <v>14</v>
      </c>
      <c r="E300">
        <v>18</v>
      </c>
      <c r="F300">
        <v>67.42</v>
      </c>
      <c r="G300">
        <v>0</v>
      </c>
      <c r="H300">
        <v>1</v>
      </c>
      <c r="I300">
        <v>0</v>
      </c>
      <c r="J300">
        <v>3</v>
      </c>
      <c r="K300">
        <v>63.85</v>
      </c>
      <c r="L300">
        <v>64.459999999999994</v>
      </c>
      <c r="M300">
        <v>65.069999999999993</v>
      </c>
    </row>
    <row r="301" spans="1:13" x14ac:dyDescent="0.2">
      <c r="A301" s="1">
        <v>300</v>
      </c>
      <c r="B301" t="s">
        <v>209</v>
      </c>
      <c r="C301">
        <v>64.55</v>
      </c>
      <c r="D301">
        <v>11</v>
      </c>
      <c r="E301">
        <v>17</v>
      </c>
      <c r="F301">
        <v>69.5</v>
      </c>
      <c r="G301">
        <v>0</v>
      </c>
      <c r="H301">
        <v>1</v>
      </c>
      <c r="I301">
        <v>0</v>
      </c>
      <c r="J301">
        <v>2</v>
      </c>
      <c r="K301">
        <v>63.29</v>
      </c>
      <c r="L301">
        <v>64.03</v>
      </c>
      <c r="M301">
        <v>65.88</v>
      </c>
    </row>
    <row r="302" spans="1:13" x14ac:dyDescent="0.2">
      <c r="A302" s="1">
        <v>301</v>
      </c>
      <c r="B302" t="s">
        <v>188</v>
      </c>
      <c r="C302">
        <v>64.53</v>
      </c>
      <c r="D302">
        <v>7</v>
      </c>
      <c r="E302">
        <v>24</v>
      </c>
      <c r="F302">
        <v>70.900000000000006</v>
      </c>
      <c r="G302">
        <v>0</v>
      </c>
      <c r="H302">
        <v>1</v>
      </c>
      <c r="I302">
        <v>0</v>
      </c>
      <c r="J302">
        <v>1</v>
      </c>
      <c r="K302">
        <v>65.010000000000005</v>
      </c>
      <c r="L302">
        <v>64.94</v>
      </c>
      <c r="M302">
        <v>62.98</v>
      </c>
    </row>
    <row r="303" spans="1:13" x14ac:dyDescent="0.2">
      <c r="A303" s="1">
        <v>302</v>
      </c>
      <c r="B303" t="s">
        <v>833</v>
      </c>
      <c r="C303">
        <v>64.48</v>
      </c>
      <c r="D303">
        <v>11</v>
      </c>
      <c r="E303">
        <v>16</v>
      </c>
      <c r="F303">
        <v>68.66</v>
      </c>
      <c r="G303">
        <v>0</v>
      </c>
      <c r="H303">
        <v>1</v>
      </c>
      <c r="I303">
        <v>0</v>
      </c>
      <c r="J303">
        <v>3</v>
      </c>
      <c r="K303">
        <v>63.34</v>
      </c>
      <c r="L303">
        <v>64.41</v>
      </c>
      <c r="M303">
        <v>65.23</v>
      </c>
    </row>
    <row r="304" spans="1:13" x14ac:dyDescent="0.2">
      <c r="A304" s="1">
        <v>303</v>
      </c>
      <c r="B304" t="s">
        <v>217</v>
      </c>
      <c r="C304">
        <v>64.47</v>
      </c>
      <c r="D304">
        <v>11</v>
      </c>
      <c r="E304">
        <v>19</v>
      </c>
      <c r="F304">
        <v>70.67</v>
      </c>
      <c r="G304">
        <v>0</v>
      </c>
      <c r="H304">
        <v>1</v>
      </c>
      <c r="I304">
        <v>0</v>
      </c>
      <c r="J304">
        <v>2</v>
      </c>
      <c r="K304">
        <v>63.07</v>
      </c>
      <c r="L304">
        <v>62.98</v>
      </c>
      <c r="M304">
        <v>66.790000000000006</v>
      </c>
    </row>
    <row r="305" spans="1:13" x14ac:dyDescent="0.2">
      <c r="A305" s="1">
        <v>304</v>
      </c>
      <c r="B305" t="s">
        <v>255</v>
      </c>
      <c r="C305">
        <v>64.13</v>
      </c>
      <c r="D305">
        <v>7</v>
      </c>
      <c r="E305">
        <v>20</v>
      </c>
      <c r="F305">
        <v>73.319999999999993</v>
      </c>
      <c r="G305">
        <v>0</v>
      </c>
      <c r="H305">
        <v>0</v>
      </c>
      <c r="I305">
        <v>0</v>
      </c>
      <c r="J305">
        <v>1</v>
      </c>
      <c r="K305">
        <v>64.05</v>
      </c>
      <c r="L305">
        <v>62.83</v>
      </c>
      <c r="M305">
        <v>65.260000000000005</v>
      </c>
    </row>
    <row r="306" spans="1:13" x14ac:dyDescent="0.2">
      <c r="A306" s="1">
        <v>305</v>
      </c>
      <c r="B306" t="s">
        <v>166</v>
      </c>
      <c r="C306">
        <v>63.79</v>
      </c>
      <c r="D306">
        <v>9</v>
      </c>
      <c r="E306">
        <v>20</v>
      </c>
      <c r="F306">
        <v>69.89</v>
      </c>
      <c r="G306">
        <v>0</v>
      </c>
      <c r="H306">
        <v>0</v>
      </c>
      <c r="I306">
        <v>0</v>
      </c>
      <c r="J306">
        <v>2</v>
      </c>
      <c r="K306">
        <v>62.69</v>
      </c>
      <c r="L306">
        <v>63.47</v>
      </c>
      <c r="M306">
        <v>64.75</v>
      </c>
    </row>
    <row r="307" spans="1:13" x14ac:dyDescent="0.2">
      <c r="A307" s="1">
        <v>306</v>
      </c>
      <c r="B307" t="s">
        <v>180</v>
      </c>
      <c r="C307">
        <v>63.78</v>
      </c>
      <c r="D307">
        <v>8</v>
      </c>
      <c r="E307">
        <v>22</v>
      </c>
      <c r="F307">
        <v>71.459999999999994</v>
      </c>
      <c r="G307">
        <v>0</v>
      </c>
      <c r="H307">
        <v>0</v>
      </c>
      <c r="I307">
        <v>0</v>
      </c>
      <c r="J307">
        <v>2</v>
      </c>
      <c r="K307">
        <v>62.89</v>
      </c>
      <c r="L307">
        <v>64.48</v>
      </c>
      <c r="M307">
        <v>63.3</v>
      </c>
    </row>
    <row r="308" spans="1:13" x14ac:dyDescent="0.2">
      <c r="A308" s="1">
        <v>307</v>
      </c>
      <c r="B308" t="s">
        <v>189</v>
      </c>
      <c r="C308">
        <v>63.77</v>
      </c>
      <c r="D308">
        <v>7</v>
      </c>
      <c r="E308">
        <v>22</v>
      </c>
      <c r="F308">
        <v>69.739999999999995</v>
      </c>
      <c r="G308">
        <v>0</v>
      </c>
      <c r="H308">
        <v>1</v>
      </c>
      <c r="I308">
        <v>0</v>
      </c>
      <c r="J308">
        <v>2</v>
      </c>
      <c r="K308">
        <v>63.88</v>
      </c>
      <c r="L308">
        <v>64.19</v>
      </c>
      <c r="M308">
        <v>62.66</v>
      </c>
    </row>
    <row r="309" spans="1:13" x14ac:dyDescent="0.2">
      <c r="A309" s="1">
        <v>308</v>
      </c>
      <c r="B309" t="s">
        <v>164</v>
      </c>
      <c r="C309">
        <v>63.55</v>
      </c>
      <c r="D309">
        <v>9</v>
      </c>
      <c r="E309">
        <v>19</v>
      </c>
      <c r="F309">
        <v>69.290000000000006</v>
      </c>
      <c r="G309">
        <v>0</v>
      </c>
      <c r="H309">
        <v>0</v>
      </c>
      <c r="I309">
        <v>0</v>
      </c>
      <c r="J309">
        <v>0</v>
      </c>
      <c r="K309">
        <v>63.27</v>
      </c>
      <c r="L309">
        <v>63.1</v>
      </c>
      <c r="M309">
        <v>63.97</v>
      </c>
    </row>
    <row r="310" spans="1:13" x14ac:dyDescent="0.2">
      <c r="A310" s="1">
        <v>309</v>
      </c>
      <c r="B310" t="s">
        <v>219</v>
      </c>
      <c r="C310">
        <v>63.44</v>
      </c>
      <c r="D310">
        <v>8</v>
      </c>
      <c r="E310">
        <v>18</v>
      </c>
      <c r="F310">
        <v>68.31</v>
      </c>
      <c r="G310">
        <v>0</v>
      </c>
      <c r="H310">
        <v>0</v>
      </c>
      <c r="I310">
        <v>0</v>
      </c>
      <c r="J310">
        <v>2</v>
      </c>
      <c r="K310">
        <v>64</v>
      </c>
      <c r="L310">
        <v>63.36</v>
      </c>
      <c r="M310">
        <v>62.53</v>
      </c>
    </row>
    <row r="311" spans="1:13" x14ac:dyDescent="0.2">
      <c r="A311" s="1">
        <v>310</v>
      </c>
      <c r="B311" t="s">
        <v>829</v>
      </c>
      <c r="C311">
        <v>63.26</v>
      </c>
      <c r="D311">
        <v>10</v>
      </c>
      <c r="E311">
        <v>19</v>
      </c>
      <c r="F311">
        <v>70.180000000000007</v>
      </c>
      <c r="G311">
        <v>0</v>
      </c>
      <c r="H311">
        <v>1</v>
      </c>
      <c r="I311">
        <v>0</v>
      </c>
      <c r="J311">
        <v>1</v>
      </c>
      <c r="K311">
        <v>62.21</v>
      </c>
      <c r="L311">
        <v>62.25</v>
      </c>
      <c r="M311">
        <v>64.88</v>
      </c>
    </row>
    <row r="312" spans="1:13" x14ac:dyDescent="0.2">
      <c r="A312" s="1">
        <v>311</v>
      </c>
      <c r="B312" t="s">
        <v>261</v>
      </c>
      <c r="C312">
        <v>63.05</v>
      </c>
      <c r="D312">
        <v>8</v>
      </c>
      <c r="E312">
        <v>16</v>
      </c>
      <c r="F312">
        <v>69.75</v>
      </c>
      <c r="G312">
        <v>0</v>
      </c>
      <c r="H312">
        <v>0</v>
      </c>
      <c r="I312">
        <v>0</v>
      </c>
      <c r="J312">
        <v>2</v>
      </c>
      <c r="K312">
        <v>61.75</v>
      </c>
      <c r="L312">
        <v>62.5</v>
      </c>
      <c r="M312">
        <v>64.41</v>
      </c>
    </row>
    <row r="313" spans="1:13" x14ac:dyDescent="0.2">
      <c r="A313" s="1">
        <v>312</v>
      </c>
      <c r="B313" t="s">
        <v>265</v>
      </c>
      <c r="C313">
        <v>62.75</v>
      </c>
      <c r="D313">
        <v>6</v>
      </c>
      <c r="E313">
        <v>22</v>
      </c>
      <c r="F313">
        <v>70.72</v>
      </c>
      <c r="G313">
        <v>0</v>
      </c>
      <c r="H313">
        <v>2</v>
      </c>
      <c r="I313">
        <v>0</v>
      </c>
      <c r="J313">
        <v>2</v>
      </c>
      <c r="K313">
        <v>63.19</v>
      </c>
      <c r="L313">
        <v>63.02</v>
      </c>
      <c r="M313">
        <v>61.46</v>
      </c>
    </row>
    <row r="314" spans="1:13" x14ac:dyDescent="0.2">
      <c r="A314" s="1">
        <v>313</v>
      </c>
      <c r="B314" t="s">
        <v>227</v>
      </c>
      <c r="C314">
        <v>62.71</v>
      </c>
      <c r="D314">
        <v>8</v>
      </c>
      <c r="E314">
        <v>23</v>
      </c>
      <c r="F314">
        <v>68.08</v>
      </c>
      <c r="G314">
        <v>0</v>
      </c>
      <c r="H314">
        <v>2</v>
      </c>
      <c r="I314">
        <v>0</v>
      </c>
      <c r="J314">
        <v>4</v>
      </c>
      <c r="K314">
        <v>61.94</v>
      </c>
      <c r="L314">
        <v>64.03</v>
      </c>
      <c r="M314">
        <v>61.06</v>
      </c>
    </row>
    <row r="315" spans="1:13" x14ac:dyDescent="0.2">
      <c r="A315" s="1">
        <v>314</v>
      </c>
      <c r="B315" t="s">
        <v>190</v>
      </c>
      <c r="C315">
        <v>62.71</v>
      </c>
      <c r="D315">
        <v>7</v>
      </c>
      <c r="E315">
        <v>25</v>
      </c>
      <c r="F315">
        <v>70.930000000000007</v>
      </c>
      <c r="G315">
        <v>0</v>
      </c>
      <c r="H315">
        <v>0</v>
      </c>
      <c r="I315">
        <v>0</v>
      </c>
      <c r="J315">
        <v>0</v>
      </c>
      <c r="K315">
        <v>62</v>
      </c>
      <c r="L315">
        <v>63.24</v>
      </c>
      <c r="M315">
        <v>62.28</v>
      </c>
    </row>
    <row r="316" spans="1:13" x14ac:dyDescent="0.2">
      <c r="A316" s="1">
        <v>315</v>
      </c>
      <c r="B316" t="s">
        <v>830</v>
      </c>
      <c r="C316">
        <v>62.64</v>
      </c>
      <c r="D316">
        <v>5</v>
      </c>
      <c r="E316">
        <v>23</v>
      </c>
      <c r="F316">
        <v>69.319999999999993</v>
      </c>
      <c r="G316">
        <v>0</v>
      </c>
      <c r="H316">
        <v>0</v>
      </c>
      <c r="I316">
        <v>0</v>
      </c>
      <c r="J316">
        <v>0</v>
      </c>
      <c r="K316">
        <v>63.75</v>
      </c>
      <c r="L316">
        <v>63.09</v>
      </c>
      <c r="M316">
        <v>60.03</v>
      </c>
    </row>
    <row r="317" spans="1:13" x14ac:dyDescent="0.2">
      <c r="A317" s="1">
        <v>316</v>
      </c>
      <c r="B317" t="s">
        <v>838</v>
      </c>
      <c r="C317">
        <v>62.53</v>
      </c>
      <c r="D317">
        <v>11</v>
      </c>
      <c r="E317">
        <v>21</v>
      </c>
      <c r="F317">
        <v>66.14</v>
      </c>
      <c r="G317">
        <v>0</v>
      </c>
      <c r="H317">
        <v>0</v>
      </c>
      <c r="I317">
        <v>0</v>
      </c>
      <c r="J317">
        <v>1</v>
      </c>
      <c r="K317">
        <v>62.5</v>
      </c>
      <c r="L317">
        <v>63.03</v>
      </c>
      <c r="M317">
        <v>61.45</v>
      </c>
    </row>
    <row r="318" spans="1:13" x14ac:dyDescent="0.2">
      <c r="A318" s="1">
        <v>317</v>
      </c>
      <c r="B318" t="s">
        <v>170</v>
      </c>
      <c r="C318">
        <v>62.51</v>
      </c>
      <c r="D318">
        <v>9</v>
      </c>
      <c r="E318">
        <v>23</v>
      </c>
      <c r="F318">
        <v>69.62</v>
      </c>
      <c r="G318">
        <v>0</v>
      </c>
      <c r="H318">
        <v>1</v>
      </c>
      <c r="I318">
        <v>0</v>
      </c>
      <c r="J318">
        <v>1</v>
      </c>
      <c r="K318">
        <v>62.18</v>
      </c>
      <c r="L318">
        <v>62.38</v>
      </c>
      <c r="M318">
        <v>62.59</v>
      </c>
    </row>
    <row r="319" spans="1:13" x14ac:dyDescent="0.2">
      <c r="A319" s="1">
        <v>318</v>
      </c>
      <c r="B319" t="s">
        <v>228</v>
      </c>
      <c r="C319">
        <v>62.5</v>
      </c>
      <c r="D319">
        <v>6</v>
      </c>
      <c r="E319">
        <v>22</v>
      </c>
      <c r="F319">
        <v>71.72</v>
      </c>
      <c r="G319">
        <v>0</v>
      </c>
      <c r="H319">
        <v>0</v>
      </c>
      <c r="I319">
        <v>0</v>
      </c>
      <c r="J319">
        <v>1</v>
      </c>
      <c r="K319">
        <v>61.93</v>
      </c>
      <c r="L319">
        <v>62.66</v>
      </c>
      <c r="M319">
        <v>62.45</v>
      </c>
    </row>
    <row r="320" spans="1:13" x14ac:dyDescent="0.2">
      <c r="A320" s="1">
        <v>319</v>
      </c>
      <c r="B320" t="s">
        <v>266</v>
      </c>
      <c r="C320">
        <v>62.37</v>
      </c>
      <c r="D320">
        <v>7</v>
      </c>
      <c r="E320">
        <v>21</v>
      </c>
      <c r="F320">
        <v>69.87</v>
      </c>
      <c r="G320">
        <v>0</v>
      </c>
      <c r="H320">
        <v>1</v>
      </c>
      <c r="I320">
        <v>0</v>
      </c>
      <c r="J320">
        <v>2</v>
      </c>
      <c r="K320">
        <v>62.18</v>
      </c>
      <c r="L320">
        <v>62.17</v>
      </c>
      <c r="M320">
        <v>62.43</v>
      </c>
    </row>
    <row r="321" spans="1:13" x14ac:dyDescent="0.2">
      <c r="A321" s="1">
        <v>320</v>
      </c>
      <c r="B321" t="s">
        <v>198</v>
      </c>
      <c r="C321">
        <v>61.87</v>
      </c>
      <c r="D321">
        <v>8</v>
      </c>
      <c r="E321">
        <v>19</v>
      </c>
      <c r="F321">
        <v>69.08</v>
      </c>
      <c r="G321">
        <v>0</v>
      </c>
      <c r="H321">
        <v>1</v>
      </c>
      <c r="I321">
        <v>0</v>
      </c>
      <c r="J321">
        <v>1</v>
      </c>
      <c r="K321">
        <v>62.04</v>
      </c>
      <c r="L321">
        <v>61.27</v>
      </c>
      <c r="M321">
        <v>62.03</v>
      </c>
    </row>
    <row r="322" spans="1:13" x14ac:dyDescent="0.2">
      <c r="A322" s="1">
        <v>321</v>
      </c>
      <c r="B322" t="s">
        <v>146</v>
      </c>
      <c r="C322">
        <v>61.67</v>
      </c>
      <c r="D322">
        <v>9</v>
      </c>
      <c r="E322">
        <v>19</v>
      </c>
      <c r="F322">
        <v>68.75</v>
      </c>
      <c r="G322">
        <v>0</v>
      </c>
      <c r="H322">
        <v>1</v>
      </c>
      <c r="I322">
        <v>0</v>
      </c>
      <c r="J322">
        <v>2</v>
      </c>
      <c r="K322">
        <v>60.29</v>
      </c>
      <c r="L322">
        <v>61.28</v>
      </c>
      <c r="M322">
        <v>62.89</v>
      </c>
    </row>
    <row r="323" spans="1:13" x14ac:dyDescent="0.2">
      <c r="A323" s="1">
        <v>322</v>
      </c>
      <c r="B323" t="s">
        <v>206</v>
      </c>
      <c r="C323">
        <v>61.48</v>
      </c>
      <c r="D323">
        <v>6</v>
      </c>
      <c r="E323">
        <v>20</v>
      </c>
      <c r="F323">
        <v>71.37</v>
      </c>
      <c r="G323">
        <v>0</v>
      </c>
      <c r="H323">
        <v>0</v>
      </c>
      <c r="I323">
        <v>0</v>
      </c>
      <c r="J323">
        <v>0</v>
      </c>
      <c r="K323">
        <v>60.6</v>
      </c>
      <c r="L323">
        <v>60.41</v>
      </c>
      <c r="M323">
        <v>62.98</v>
      </c>
    </row>
    <row r="324" spans="1:13" x14ac:dyDescent="0.2">
      <c r="A324" s="1">
        <v>323</v>
      </c>
      <c r="B324" t="s">
        <v>823</v>
      </c>
      <c r="C324">
        <v>61.23</v>
      </c>
      <c r="D324">
        <v>6</v>
      </c>
      <c r="E324">
        <v>23</v>
      </c>
      <c r="F324">
        <v>70.37</v>
      </c>
      <c r="G324">
        <v>0</v>
      </c>
      <c r="H324">
        <v>1</v>
      </c>
      <c r="I324">
        <v>0</v>
      </c>
      <c r="J324">
        <v>2</v>
      </c>
      <c r="K324">
        <v>60.93</v>
      </c>
      <c r="L324">
        <v>61.32</v>
      </c>
      <c r="M324">
        <v>61.02</v>
      </c>
    </row>
    <row r="325" spans="1:13" x14ac:dyDescent="0.2">
      <c r="A325" s="1">
        <v>324</v>
      </c>
      <c r="B325" t="s">
        <v>270</v>
      </c>
      <c r="C325">
        <v>60.67</v>
      </c>
      <c r="D325">
        <v>12</v>
      </c>
      <c r="E325">
        <v>20</v>
      </c>
      <c r="F325">
        <v>66.91</v>
      </c>
      <c r="G325">
        <v>0</v>
      </c>
      <c r="H325">
        <v>1</v>
      </c>
      <c r="I325">
        <v>0</v>
      </c>
      <c r="J325">
        <v>2</v>
      </c>
      <c r="K325">
        <v>59.7</v>
      </c>
      <c r="L325">
        <v>59.36</v>
      </c>
      <c r="M325">
        <v>62.41</v>
      </c>
    </row>
    <row r="326" spans="1:13" x14ac:dyDescent="0.2">
      <c r="A326" s="1">
        <v>325</v>
      </c>
      <c r="B326" t="s">
        <v>901</v>
      </c>
      <c r="C326">
        <v>60.42</v>
      </c>
      <c r="D326">
        <v>5</v>
      </c>
      <c r="E326">
        <v>25</v>
      </c>
      <c r="F326">
        <v>71.12</v>
      </c>
      <c r="G326">
        <v>0</v>
      </c>
      <c r="H326">
        <v>1</v>
      </c>
      <c r="I326">
        <v>0</v>
      </c>
      <c r="J326">
        <v>2</v>
      </c>
      <c r="K326">
        <v>60.83</v>
      </c>
      <c r="L326">
        <v>60.55</v>
      </c>
      <c r="M326">
        <v>59.36</v>
      </c>
    </row>
    <row r="327" spans="1:13" x14ac:dyDescent="0.2">
      <c r="A327" s="1">
        <v>326</v>
      </c>
      <c r="B327" t="s">
        <v>897</v>
      </c>
      <c r="C327">
        <v>60.39</v>
      </c>
      <c r="D327">
        <v>7</v>
      </c>
      <c r="E327">
        <v>21</v>
      </c>
      <c r="F327">
        <v>69.239999999999995</v>
      </c>
      <c r="G327">
        <v>0</v>
      </c>
      <c r="H327">
        <v>1</v>
      </c>
      <c r="I327">
        <v>0</v>
      </c>
      <c r="J327">
        <v>1</v>
      </c>
      <c r="K327">
        <v>59.75</v>
      </c>
      <c r="L327">
        <v>59.98</v>
      </c>
      <c r="M327">
        <v>61.07</v>
      </c>
    </row>
    <row r="328" spans="1:13" x14ac:dyDescent="0.2">
      <c r="A328" s="1">
        <v>327</v>
      </c>
      <c r="B328" t="s">
        <v>883</v>
      </c>
      <c r="C328">
        <v>59.68</v>
      </c>
      <c r="D328">
        <v>6</v>
      </c>
      <c r="E328">
        <v>22</v>
      </c>
      <c r="F328">
        <v>70.349999999999994</v>
      </c>
      <c r="G328">
        <v>0</v>
      </c>
      <c r="H328">
        <v>1</v>
      </c>
      <c r="I328">
        <v>0</v>
      </c>
      <c r="J328">
        <v>1</v>
      </c>
      <c r="K328">
        <v>59.48</v>
      </c>
      <c r="L328">
        <v>59.05</v>
      </c>
      <c r="M328">
        <v>60.22</v>
      </c>
    </row>
    <row r="329" spans="1:13" x14ac:dyDescent="0.2">
      <c r="A329" s="1">
        <v>328</v>
      </c>
      <c r="B329" t="s">
        <v>845</v>
      </c>
      <c r="C329">
        <v>59.57</v>
      </c>
      <c r="D329">
        <v>7</v>
      </c>
      <c r="E329">
        <v>19</v>
      </c>
      <c r="F329">
        <v>68.62</v>
      </c>
      <c r="G329">
        <v>0</v>
      </c>
      <c r="H329">
        <v>1</v>
      </c>
      <c r="I329">
        <v>0</v>
      </c>
      <c r="J329">
        <v>3</v>
      </c>
      <c r="K329">
        <v>58.13</v>
      </c>
      <c r="L329">
        <v>59.17</v>
      </c>
      <c r="M329">
        <v>60.81</v>
      </c>
    </row>
    <row r="330" spans="1:13" x14ac:dyDescent="0.2">
      <c r="A330" s="1">
        <v>329</v>
      </c>
      <c r="B330" t="s">
        <v>824</v>
      </c>
      <c r="C330">
        <v>59.39</v>
      </c>
      <c r="D330">
        <v>5</v>
      </c>
      <c r="E330">
        <v>24</v>
      </c>
      <c r="F330">
        <v>71.59</v>
      </c>
      <c r="G330">
        <v>0</v>
      </c>
      <c r="H330">
        <v>1</v>
      </c>
      <c r="I330">
        <v>0</v>
      </c>
      <c r="J330">
        <v>1</v>
      </c>
      <c r="K330">
        <v>58.65</v>
      </c>
      <c r="L330">
        <v>59.21</v>
      </c>
      <c r="M330">
        <v>59.9</v>
      </c>
    </row>
    <row r="331" spans="1:13" x14ac:dyDescent="0.2">
      <c r="A331" s="1">
        <v>330</v>
      </c>
      <c r="B331" t="s">
        <v>895</v>
      </c>
      <c r="C331">
        <v>59.38</v>
      </c>
      <c r="D331">
        <v>9</v>
      </c>
      <c r="E331">
        <v>21</v>
      </c>
      <c r="F331">
        <v>64.94</v>
      </c>
      <c r="G331">
        <v>0</v>
      </c>
      <c r="H331">
        <v>0</v>
      </c>
      <c r="I331">
        <v>0</v>
      </c>
      <c r="J331">
        <v>0</v>
      </c>
      <c r="K331">
        <v>59.14</v>
      </c>
      <c r="L331">
        <v>59.41</v>
      </c>
      <c r="M331">
        <v>59.21</v>
      </c>
    </row>
    <row r="332" spans="1:13" x14ac:dyDescent="0.2">
      <c r="A332" s="1">
        <v>331</v>
      </c>
      <c r="B332" t="s">
        <v>841</v>
      </c>
      <c r="C332">
        <v>59.3</v>
      </c>
      <c r="D332">
        <v>7</v>
      </c>
      <c r="E332">
        <v>24</v>
      </c>
      <c r="F332">
        <v>69.22</v>
      </c>
      <c r="G332">
        <v>0</v>
      </c>
      <c r="H332">
        <v>1</v>
      </c>
      <c r="I332">
        <v>0</v>
      </c>
      <c r="J332">
        <v>1</v>
      </c>
      <c r="K332">
        <v>59.33</v>
      </c>
      <c r="L332">
        <v>59.33</v>
      </c>
      <c r="M332">
        <v>58.83</v>
      </c>
    </row>
    <row r="333" spans="1:13" x14ac:dyDescent="0.2">
      <c r="A333" s="1">
        <v>332</v>
      </c>
      <c r="B333" t="s">
        <v>832</v>
      </c>
      <c r="C333">
        <v>59.22</v>
      </c>
      <c r="D333">
        <v>7</v>
      </c>
      <c r="E333">
        <v>23</v>
      </c>
      <c r="F333">
        <v>70.69</v>
      </c>
      <c r="G333">
        <v>0</v>
      </c>
      <c r="H333">
        <v>1</v>
      </c>
      <c r="I333">
        <v>0</v>
      </c>
      <c r="J333">
        <v>2</v>
      </c>
      <c r="K333">
        <v>58.53</v>
      </c>
      <c r="L333">
        <v>58.36</v>
      </c>
      <c r="M333">
        <v>60.36</v>
      </c>
    </row>
    <row r="334" spans="1:13" x14ac:dyDescent="0.2">
      <c r="A334" s="1">
        <v>333</v>
      </c>
      <c r="B334" t="s">
        <v>900</v>
      </c>
      <c r="C334">
        <v>59.12</v>
      </c>
      <c r="D334">
        <v>9</v>
      </c>
      <c r="E334">
        <v>22</v>
      </c>
      <c r="F334">
        <v>68.08</v>
      </c>
      <c r="G334">
        <v>0</v>
      </c>
      <c r="H334">
        <v>1</v>
      </c>
      <c r="I334">
        <v>0</v>
      </c>
      <c r="J334">
        <v>1</v>
      </c>
      <c r="K334">
        <v>57.86</v>
      </c>
      <c r="L334">
        <v>58.08</v>
      </c>
      <c r="M334">
        <v>60.78</v>
      </c>
    </row>
    <row r="335" spans="1:13" x14ac:dyDescent="0.2">
      <c r="A335" s="1">
        <v>334</v>
      </c>
      <c r="B335" t="s">
        <v>836</v>
      </c>
      <c r="C335">
        <v>59.07</v>
      </c>
      <c r="D335">
        <v>3</v>
      </c>
      <c r="E335">
        <v>26</v>
      </c>
      <c r="F335">
        <v>71.89</v>
      </c>
      <c r="G335">
        <v>0</v>
      </c>
      <c r="H335">
        <v>1</v>
      </c>
      <c r="I335">
        <v>0</v>
      </c>
      <c r="J335">
        <v>2</v>
      </c>
      <c r="K335">
        <v>59.01</v>
      </c>
      <c r="L335">
        <v>59.49</v>
      </c>
      <c r="M335">
        <v>58.12</v>
      </c>
    </row>
    <row r="336" spans="1:13" x14ac:dyDescent="0.2">
      <c r="A336" s="1">
        <v>335</v>
      </c>
      <c r="B336" t="s">
        <v>233</v>
      </c>
      <c r="C336">
        <v>58.83</v>
      </c>
      <c r="D336">
        <v>6</v>
      </c>
      <c r="E336">
        <v>22</v>
      </c>
      <c r="F336">
        <v>68.319999999999993</v>
      </c>
      <c r="G336">
        <v>0</v>
      </c>
      <c r="H336">
        <v>0</v>
      </c>
      <c r="I336">
        <v>0</v>
      </c>
      <c r="J336">
        <v>1</v>
      </c>
      <c r="K336">
        <v>58.78</v>
      </c>
      <c r="L336">
        <v>58.56</v>
      </c>
      <c r="M336">
        <v>58.81</v>
      </c>
    </row>
    <row r="337" spans="1:13" x14ac:dyDescent="0.2">
      <c r="A337" s="1">
        <v>336</v>
      </c>
      <c r="B337" t="s">
        <v>865</v>
      </c>
      <c r="C337">
        <v>58.76</v>
      </c>
      <c r="D337">
        <v>8</v>
      </c>
      <c r="E337">
        <v>22</v>
      </c>
      <c r="F337">
        <v>69</v>
      </c>
      <c r="G337">
        <v>0</v>
      </c>
      <c r="H337">
        <v>1</v>
      </c>
      <c r="I337">
        <v>0</v>
      </c>
      <c r="J337">
        <v>2</v>
      </c>
      <c r="K337">
        <v>57.85</v>
      </c>
      <c r="L337">
        <v>57.08</v>
      </c>
      <c r="M337">
        <v>60.68</v>
      </c>
    </row>
    <row r="338" spans="1:13" x14ac:dyDescent="0.2">
      <c r="A338" s="1">
        <v>337</v>
      </c>
      <c r="B338" t="s">
        <v>132</v>
      </c>
      <c r="C338">
        <v>58.73</v>
      </c>
      <c r="D338">
        <v>7</v>
      </c>
      <c r="E338">
        <v>21</v>
      </c>
      <c r="F338">
        <v>68.67</v>
      </c>
      <c r="G338">
        <v>0</v>
      </c>
      <c r="H338">
        <v>0</v>
      </c>
      <c r="I338">
        <v>0</v>
      </c>
      <c r="J338">
        <v>1</v>
      </c>
      <c r="K338">
        <v>57.28</v>
      </c>
      <c r="L338">
        <v>57.14</v>
      </c>
      <c r="M338">
        <v>60.9</v>
      </c>
    </row>
    <row r="339" spans="1:13" x14ac:dyDescent="0.2">
      <c r="A339" s="1">
        <v>338</v>
      </c>
      <c r="B339" t="s">
        <v>260</v>
      </c>
      <c r="C339">
        <v>58.62</v>
      </c>
      <c r="D339">
        <v>8</v>
      </c>
      <c r="E339">
        <v>20</v>
      </c>
      <c r="F339">
        <v>66.05</v>
      </c>
      <c r="G339">
        <v>0</v>
      </c>
      <c r="H339">
        <v>0</v>
      </c>
      <c r="I339">
        <v>0</v>
      </c>
      <c r="J339">
        <v>1</v>
      </c>
      <c r="K339">
        <v>59.1</v>
      </c>
      <c r="L339">
        <v>58.03</v>
      </c>
      <c r="M339">
        <v>58.42</v>
      </c>
    </row>
    <row r="340" spans="1:13" x14ac:dyDescent="0.2">
      <c r="A340" s="1">
        <v>339</v>
      </c>
      <c r="B340" t="s">
        <v>229</v>
      </c>
      <c r="C340">
        <v>58.61</v>
      </c>
      <c r="D340">
        <v>7</v>
      </c>
      <c r="E340">
        <v>23</v>
      </c>
      <c r="F340">
        <v>67.5</v>
      </c>
      <c r="G340">
        <v>0</v>
      </c>
      <c r="H340">
        <v>1</v>
      </c>
      <c r="I340">
        <v>0</v>
      </c>
      <c r="J340">
        <v>1</v>
      </c>
      <c r="K340">
        <v>59.33</v>
      </c>
      <c r="L340">
        <v>58.53</v>
      </c>
      <c r="M340">
        <v>57.42</v>
      </c>
    </row>
    <row r="341" spans="1:13" x14ac:dyDescent="0.2">
      <c r="A341" s="1">
        <v>340</v>
      </c>
      <c r="B341" t="s">
        <v>137</v>
      </c>
      <c r="C341">
        <v>58.52</v>
      </c>
      <c r="D341">
        <v>4</v>
      </c>
      <c r="E341">
        <v>24</v>
      </c>
      <c r="F341">
        <v>68.87</v>
      </c>
      <c r="G341">
        <v>0</v>
      </c>
      <c r="H341">
        <v>0</v>
      </c>
      <c r="I341">
        <v>0</v>
      </c>
      <c r="J341">
        <v>0</v>
      </c>
      <c r="K341">
        <v>58.18</v>
      </c>
      <c r="L341">
        <v>59.25</v>
      </c>
      <c r="M341">
        <v>57.33</v>
      </c>
    </row>
    <row r="342" spans="1:13" x14ac:dyDescent="0.2">
      <c r="A342" s="1">
        <v>341</v>
      </c>
      <c r="B342" t="s">
        <v>884</v>
      </c>
      <c r="C342">
        <v>58.07</v>
      </c>
      <c r="D342">
        <v>5</v>
      </c>
      <c r="E342">
        <v>26</v>
      </c>
      <c r="F342">
        <v>68.89</v>
      </c>
      <c r="G342">
        <v>0</v>
      </c>
      <c r="H342">
        <v>0</v>
      </c>
      <c r="I342">
        <v>0</v>
      </c>
      <c r="J342">
        <v>1</v>
      </c>
      <c r="K342">
        <v>58.04</v>
      </c>
      <c r="L342">
        <v>57.93</v>
      </c>
      <c r="M342">
        <v>57.9</v>
      </c>
    </row>
    <row r="343" spans="1:13" x14ac:dyDescent="0.2">
      <c r="A343" s="1">
        <v>342</v>
      </c>
      <c r="B343" t="s">
        <v>844</v>
      </c>
      <c r="C343">
        <v>58.06</v>
      </c>
      <c r="D343">
        <v>7</v>
      </c>
      <c r="E343">
        <v>22</v>
      </c>
      <c r="F343">
        <v>68.94</v>
      </c>
      <c r="G343">
        <v>0</v>
      </c>
      <c r="H343">
        <v>1</v>
      </c>
      <c r="I343">
        <v>0</v>
      </c>
      <c r="J343">
        <v>4</v>
      </c>
      <c r="K343">
        <v>57.8</v>
      </c>
      <c r="L343">
        <v>56.73</v>
      </c>
      <c r="M343">
        <v>59.27</v>
      </c>
    </row>
    <row r="344" spans="1:13" x14ac:dyDescent="0.2">
      <c r="A344" s="1">
        <v>343</v>
      </c>
      <c r="B344" t="s">
        <v>296</v>
      </c>
      <c r="C344">
        <v>58.04</v>
      </c>
      <c r="D344">
        <v>7</v>
      </c>
      <c r="E344">
        <v>22</v>
      </c>
      <c r="F344">
        <v>67.75</v>
      </c>
      <c r="G344">
        <v>0</v>
      </c>
      <c r="H344">
        <v>0</v>
      </c>
      <c r="I344">
        <v>0</v>
      </c>
      <c r="J344">
        <v>2</v>
      </c>
      <c r="K344">
        <v>56.53</v>
      </c>
      <c r="L344">
        <v>57.73</v>
      </c>
      <c r="M344">
        <v>59.21</v>
      </c>
    </row>
    <row r="345" spans="1:13" x14ac:dyDescent="0.2">
      <c r="A345" s="1">
        <v>344</v>
      </c>
      <c r="B345" t="s">
        <v>193</v>
      </c>
      <c r="C345">
        <v>57.97</v>
      </c>
      <c r="D345">
        <v>4</v>
      </c>
      <c r="E345">
        <v>26</v>
      </c>
      <c r="F345">
        <v>69.45</v>
      </c>
      <c r="G345">
        <v>0</v>
      </c>
      <c r="H345">
        <v>1</v>
      </c>
      <c r="I345">
        <v>0</v>
      </c>
      <c r="J345">
        <v>1</v>
      </c>
      <c r="K345">
        <v>58.57</v>
      </c>
      <c r="L345">
        <v>58.23</v>
      </c>
      <c r="M345">
        <v>56.36</v>
      </c>
    </row>
    <row r="346" spans="1:13" x14ac:dyDescent="0.2">
      <c r="A346" s="1">
        <v>345</v>
      </c>
      <c r="B346" t="s">
        <v>267</v>
      </c>
      <c r="C346">
        <v>57.08</v>
      </c>
      <c r="D346">
        <v>3</v>
      </c>
      <c r="E346">
        <v>27</v>
      </c>
      <c r="F346">
        <v>71.819999999999993</v>
      </c>
      <c r="G346">
        <v>0</v>
      </c>
      <c r="H346">
        <v>1</v>
      </c>
      <c r="I346">
        <v>0</v>
      </c>
      <c r="J346">
        <v>1</v>
      </c>
      <c r="K346">
        <v>57.7</v>
      </c>
      <c r="L346">
        <v>57.18</v>
      </c>
      <c r="M346">
        <v>55.71</v>
      </c>
    </row>
    <row r="347" spans="1:13" x14ac:dyDescent="0.2">
      <c r="A347" s="1">
        <v>346</v>
      </c>
      <c r="B347" t="s">
        <v>842</v>
      </c>
      <c r="C347">
        <v>54.65</v>
      </c>
      <c r="D347">
        <v>5</v>
      </c>
      <c r="E347">
        <v>25</v>
      </c>
      <c r="F347">
        <v>65.819999999999993</v>
      </c>
      <c r="G347">
        <v>0</v>
      </c>
      <c r="H347">
        <v>2</v>
      </c>
      <c r="I347">
        <v>0</v>
      </c>
      <c r="J347">
        <v>2</v>
      </c>
      <c r="K347">
        <v>55.06</v>
      </c>
      <c r="L347">
        <v>55.1</v>
      </c>
      <c r="M347">
        <v>52.87</v>
      </c>
    </row>
    <row r="348" spans="1:13" x14ac:dyDescent="0.2">
      <c r="A348" s="1">
        <v>347</v>
      </c>
      <c r="B348" t="s">
        <v>828</v>
      </c>
      <c r="C348">
        <v>54.49</v>
      </c>
      <c r="D348">
        <v>0</v>
      </c>
      <c r="E348">
        <v>28</v>
      </c>
      <c r="F348">
        <v>74.209999999999994</v>
      </c>
      <c r="G348">
        <v>0</v>
      </c>
      <c r="H348">
        <v>0</v>
      </c>
      <c r="I348">
        <v>0</v>
      </c>
      <c r="J348">
        <v>1</v>
      </c>
      <c r="K348">
        <v>55.16</v>
      </c>
      <c r="L348">
        <v>55.33</v>
      </c>
      <c r="M348">
        <v>50.93</v>
      </c>
    </row>
    <row r="349" spans="1:13" x14ac:dyDescent="0.2">
      <c r="A349" s="1">
        <v>348</v>
      </c>
      <c r="B349" t="s">
        <v>256</v>
      </c>
      <c r="C349">
        <v>53.32</v>
      </c>
      <c r="D349">
        <v>2</v>
      </c>
      <c r="E349">
        <v>27</v>
      </c>
      <c r="F349">
        <v>68.62</v>
      </c>
      <c r="G349">
        <v>0</v>
      </c>
      <c r="H349">
        <v>0</v>
      </c>
      <c r="I349">
        <v>0</v>
      </c>
      <c r="J349">
        <v>1</v>
      </c>
      <c r="K349">
        <v>54.07</v>
      </c>
      <c r="L349">
        <v>52.85</v>
      </c>
      <c r="M349">
        <v>52.59</v>
      </c>
    </row>
    <row r="350" spans="1:13" x14ac:dyDescent="0.2">
      <c r="A350" s="1">
        <v>349</v>
      </c>
      <c r="B350" t="s">
        <v>905</v>
      </c>
      <c r="C350">
        <v>53.25</v>
      </c>
      <c r="D350">
        <v>6</v>
      </c>
      <c r="E350">
        <v>26</v>
      </c>
      <c r="F350">
        <v>67.67</v>
      </c>
      <c r="G350">
        <v>0</v>
      </c>
      <c r="H350">
        <v>1</v>
      </c>
      <c r="I350">
        <v>0</v>
      </c>
      <c r="J350">
        <v>2</v>
      </c>
      <c r="K350">
        <v>52.35</v>
      </c>
      <c r="L350">
        <v>52.07</v>
      </c>
      <c r="M350">
        <v>54.69</v>
      </c>
    </row>
    <row r="351" spans="1:13" x14ac:dyDescent="0.2">
      <c r="A351" s="1">
        <v>350</v>
      </c>
      <c r="B351" t="s">
        <v>247</v>
      </c>
      <c r="C351">
        <v>50.16</v>
      </c>
      <c r="D351">
        <v>2</v>
      </c>
      <c r="E351">
        <v>27</v>
      </c>
      <c r="F351">
        <v>66.709999999999994</v>
      </c>
      <c r="G351">
        <v>0</v>
      </c>
      <c r="H351">
        <v>0</v>
      </c>
      <c r="I351">
        <v>0</v>
      </c>
      <c r="J351">
        <v>0</v>
      </c>
      <c r="K351">
        <v>50.76</v>
      </c>
      <c r="L351">
        <v>49.14</v>
      </c>
      <c r="M351">
        <v>50.21</v>
      </c>
    </row>
    <row r="352" spans="1:13" x14ac:dyDescent="0.2">
      <c r="A352" s="2">
        <v>351</v>
      </c>
      <c r="B352" t="s">
        <v>867</v>
      </c>
      <c r="C352">
        <v>44.06</v>
      </c>
      <c r="D352">
        <v>0</v>
      </c>
      <c r="E352">
        <v>27</v>
      </c>
      <c r="F352">
        <v>66.63</v>
      </c>
      <c r="G352">
        <v>0</v>
      </c>
      <c r="H352">
        <v>1</v>
      </c>
      <c r="I352">
        <v>0</v>
      </c>
      <c r="J352">
        <v>2</v>
      </c>
      <c r="K352">
        <v>44.85</v>
      </c>
      <c r="L352">
        <v>44.11</v>
      </c>
      <c r="M352">
        <v>41.99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D573-9121-4CCE-8D42-4F537456512C}">
  <dimension ref="A1:M352"/>
  <sheetViews>
    <sheetView topLeftCell="A93" workbookViewId="0">
      <selection activeCell="B113" sqref="B113"/>
    </sheetView>
  </sheetViews>
  <sheetFormatPr baseColWidth="10" defaultColWidth="8.83203125" defaultRowHeight="15" x14ac:dyDescent="0.2"/>
  <sheetData>
    <row r="1" spans="1:13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304</v>
      </c>
    </row>
    <row r="2" spans="1:13" x14ac:dyDescent="0.2">
      <c r="A2" s="1">
        <v>1</v>
      </c>
      <c r="B2" t="s">
        <v>104</v>
      </c>
      <c r="C2">
        <v>93.92</v>
      </c>
      <c r="D2">
        <v>31</v>
      </c>
      <c r="E2">
        <v>6</v>
      </c>
      <c r="F2">
        <v>76.14</v>
      </c>
      <c r="G2">
        <v>4</v>
      </c>
      <c r="H2">
        <v>3</v>
      </c>
      <c r="I2">
        <v>7</v>
      </c>
      <c r="J2">
        <v>6</v>
      </c>
      <c r="K2">
        <v>95.09</v>
      </c>
      <c r="L2">
        <v>94.53</v>
      </c>
      <c r="M2">
        <v>91.49</v>
      </c>
    </row>
    <row r="3" spans="1:13" x14ac:dyDescent="0.2">
      <c r="A3" s="1">
        <v>2</v>
      </c>
      <c r="B3" t="s">
        <v>6</v>
      </c>
      <c r="C3">
        <v>93.65</v>
      </c>
      <c r="D3">
        <v>33</v>
      </c>
      <c r="E3">
        <v>5</v>
      </c>
      <c r="F3">
        <v>79.8</v>
      </c>
      <c r="G3">
        <v>6</v>
      </c>
      <c r="H3">
        <v>2</v>
      </c>
      <c r="I3">
        <v>13</v>
      </c>
      <c r="J3">
        <v>4</v>
      </c>
      <c r="K3">
        <v>94.19</v>
      </c>
      <c r="L3">
        <v>93.84</v>
      </c>
      <c r="M3">
        <v>92.06</v>
      </c>
    </row>
    <row r="4" spans="1:13" x14ac:dyDescent="0.2">
      <c r="A4" s="1">
        <v>3</v>
      </c>
      <c r="B4" t="s">
        <v>60</v>
      </c>
      <c r="C4">
        <v>93.27</v>
      </c>
      <c r="D4">
        <v>36</v>
      </c>
      <c r="E4">
        <v>3</v>
      </c>
      <c r="F4">
        <v>80.069999999999993</v>
      </c>
      <c r="G4">
        <v>9</v>
      </c>
      <c r="H4">
        <v>3</v>
      </c>
      <c r="I4">
        <v>13</v>
      </c>
      <c r="J4">
        <v>3</v>
      </c>
      <c r="K4">
        <v>92.45</v>
      </c>
      <c r="L4">
        <v>92.57</v>
      </c>
      <c r="M4">
        <v>96.41</v>
      </c>
    </row>
    <row r="5" spans="1:13" x14ac:dyDescent="0.2">
      <c r="A5" s="1">
        <v>4</v>
      </c>
      <c r="B5" t="s">
        <v>43</v>
      </c>
      <c r="C5">
        <v>91.99</v>
      </c>
      <c r="D5">
        <v>30</v>
      </c>
      <c r="E5">
        <v>8</v>
      </c>
      <c r="F5">
        <v>81.91</v>
      </c>
      <c r="G5">
        <v>6</v>
      </c>
      <c r="H5">
        <v>4</v>
      </c>
      <c r="I5">
        <v>12</v>
      </c>
      <c r="J5">
        <v>5</v>
      </c>
      <c r="K5">
        <v>91.35</v>
      </c>
      <c r="L5">
        <v>91.99</v>
      </c>
      <c r="M5">
        <v>92.34</v>
      </c>
    </row>
    <row r="6" spans="1:13" x14ac:dyDescent="0.2">
      <c r="A6" s="1">
        <v>5</v>
      </c>
      <c r="B6" t="s">
        <v>794</v>
      </c>
      <c r="C6">
        <v>90.66</v>
      </c>
      <c r="D6">
        <v>29</v>
      </c>
      <c r="E6">
        <v>9</v>
      </c>
      <c r="F6">
        <v>81.09</v>
      </c>
      <c r="G6">
        <v>5</v>
      </c>
      <c r="H6">
        <v>5</v>
      </c>
      <c r="I6">
        <v>11</v>
      </c>
      <c r="J6">
        <v>6</v>
      </c>
      <c r="K6">
        <v>90.46</v>
      </c>
      <c r="L6">
        <v>89.84</v>
      </c>
      <c r="M6">
        <v>91.95</v>
      </c>
    </row>
    <row r="7" spans="1:13" x14ac:dyDescent="0.2">
      <c r="A7" s="1">
        <v>6</v>
      </c>
      <c r="B7" t="s">
        <v>37</v>
      </c>
      <c r="C7">
        <v>90.61</v>
      </c>
      <c r="D7">
        <v>32</v>
      </c>
      <c r="E7">
        <v>8</v>
      </c>
      <c r="F7">
        <v>80.239999999999995</v>
      </c>
      <c r="G7">
        <v>8</v>
      </c>
      <c r="H7">
        <v>4</v>
      </c>
      <c r="I7">
        <v>14</v>
      </c>
      <c r="J7">
        <v>7</v>
      </c>
      <c r="K7">
        <v>89.87</v>
      </c>
      <c r="L7">
        <v>89.42</v>
      </c>
      <c r="M7">
        <v>96.48</v>
      </c>
    </row>
    <row r="8" spans="1:13" x14ac:dyDescent="0.2">
      <c r="A8" s="1">
        <v>7</v>
      </c>
      <c r="B8" t="s">
        <v>70</v>
      </c>
      <c r="C8">
        <v>90.38</v>
      </c>
      <c r="D8">
        <v>30</v>
      </c>
      <c r="E8">
        <v>7</v>
      </c>
      <c r="F8">
        <v>79.760000000000005</v>
      </c>
      <c r="G8">
        <v>4</v>
      </c>
      <c r="H8">
        <v>4</v>
      </c>
      <c r="I8">
        <v>11</v>
      </c>
      <c r="J8">
        <v>6</v>
      </c>
      <c r="K8">
        <v>90.49</v>
      </c>
      <c r="L8">
        <v>90.46</v>
      </c>
      <c r="M8">
        <v>89.37</v>
      </c>
    </row>
    <row r="9" spans="1:13" x14ac:dyDescent="0.2">
      <c r="A9" s="1">
        <v>8</v>
      </c>
      <c r="B9" t="s">
        <v>15</v>
      </c>
      <c r="C9">
        <v>90.27</v>
      </c>
      <c r="D9">
        <v>29</v>
      </c>
      <c r="E9">
        <v>11</v>
      </c>
      <c r="F9">
        <v>81.239999999999995</v>
      </c>
      <c r="G9">
        <v>6</v>
      </c>
      <c r="H9">
        <v>6</v>
      </c>
      <c r="I9">
        <v>8</v>
      </c>
      <c r="J9">
        <v>9</v>
      </c>
      <c r="K9">
        <v>89.97</v>
      </c>
      <c r="L9">
        <v>89.26</v>
      </c>
      <c r="M9">
        <v>92.53</v>
      </c>
    </row>
    <row r="10" spans="1:13" x14ac:dyDescent="0.2">
      <c r="A10" s="1">
        <v>9</v>
      </c>
      <c r="B10" t="s">
        <v>39</v>
      </c>
      <c r="C10">
        <v>90.1</v>
      </c>
      <c r="D10">
        <v>28</v>
      </c>
      <c r="E10">
        <v>9</v>
      </c>
      <c r="F10">
        <v>82.33</v>
      </c>
      <c r="G10">
        <v>6</v>
      </c>
      <c r="H10">
        <v>6</v>
      </c>
      <c r="I10">
        <v>12</v>
      </c>
      <c r="J10">
        <v>7</v>
      </c>
      <c r="K10">
        <v>90.02</v>
      </c>
      <c r="L10">
        <v>89.76</v>
      </c>
      <c r="M10">
        <v>90.05</v>
      </c>
    </row>
    <row r="11" spans="1:13" x14ac:dyDescent="0.2">
      <c r="A11" s="1">
        <v>10</v>
      </c>
      <c r="B11" t="s">
        <v>11</v>
      </c>
      <c r="C11">
        <v>89.81</v>
      </c>
      <c r="D11">
        <v>29</v>
      </c>
      <c r="E11">
        <v>5</v>
      </c>
      <c r="F11">
        <v>78.209999999999994</v>
      </c>
      <c r="G11">
        <v>1</v>
      </c>
      <c r="H11">
        <v>4</v>
      </c>
      <c r="I11">
        <v>5</v>
      </c>
      <c r="J11">
        <v>4</v>
      </c>
      <c r="K11">
        <v>90.43</v>
      </c>
      <c r="L11">
        <v>89.02</v>
      </c>
      <c r="M11">
        <v>89.57</v>
      </c>
    </row>
    <row r="12" spans="1:13" x14ac:dyDescent="0.2">
      <c r="A12" s="1">
        <v>11</v>
      </c>
      <c r="B12" t="s">
        <v>801</v>
      </c>
      <c r="C12">
        <v>89.55</v>
      </c>
      <c r="D12">
        <v>34</v>
      </c>
      <c r="E12">
        <v>1</v>
      </c>
      <c r="F12">
        <v>73.510000000000005</v>
      </c>
      <c r="G12">
        <v>1</v>
      </c>
      <c r="H12">
        <v>1</v>
      </c>
      <c r="I12">
        <v>2</v>
      </c>
      <c r="J12">
        <v>1</v>
      </c>
      <c r="K12">
        <v>89.04</v>
      </c>
      <c r="L12">
        <v>88.86</v>
      </c>
      <c r="M12">
        <v>91.32</v>
      </c>
    </row>
    <row r="13" spans="1:13" x14ac:dyDescent="0.2">
      <c r="A13" s="1">
        <v>12</v>
      </c>
      <c r="B13" t="s">
        <v>30</v>
      </c>
      <c r="C13">
        <v>88.86</v>
      </c>
      <c r="D13">
        <v>28</v>
      </c>
      <c r="E13">
        <v>9</v>
      </c>
      <c r="F13">
        <v>78.7</v>
      </c>
      <c r="G13">
        <v>1</v>
      </c>
      <c r="H13">
        <v>3</v>
      </c>
      <c r="I13">
        <v>7</v>
      </c>
      <c r="J13">
        <v>6</v>
      </c>
      <c r="K13">
        <v>89.3</v>
      </c>
      <c r="L13">
        <v>88.54</v>
      </c>
      <c r="M13">
        <v>88.01</v>
      </c>
    </row>
    <row r="14" spans="1:13" x14ac:dyDescent="0.2">
      <c r="A14" s="1">
        <v>13</v>
      </c>
      <c r="B14" t="s">
        <v>9</v>
      </c>
      <c r="C14">
        <v>88.43</v>
      </c>
      <c r="D14">
        <v>26</v>
      </c>
      <c r="E14">
        <v>9</v>
      </c>
      <c r="F14">
        <v>79.650000000000006</v>
      </c>
      <c r="G14">
        <v>5</v>
      </c>
      <c r="H14">
        <v>4</v>
      </c>
      <c r="I14">
        <v>8</v>
      </c>
      <c r="J14">
        <v>5</v>
      </c>
      <c r="K14">
        <v>89.38</v>
      </c>
      <c r="L14">
        <v>89.3</v>
      </c>
      <c r="M14">
        <v>85.66</v>
      </c>
    </row>
    <row r="15" spans="1:13" x14ac:dyDescent="0.2">
      <c r="A15" s="1">
        <v>14</v>
      </c>
      <c r="B15" t="s">
        <v>2</v>
      </c>
      <c r="C15">
        <v>88.3</v>
      </c>
      <c r="D15">
        <v>25</v>
      </c>
      <c r="E15">
        <v>10</v>
      </c>
      <c r="F15">
        <v>81.77</v>
      </c>
      <c r="G15">
        <v>7</v>
      </c>
      <c r="H15">
        <v>5</v>
      </c>
      <c r="I15">
        <v>12</v>
      </c>
      <c r="J15">
        <v>8</v>
      </c>
      <c r="K15">
        <v>88.86</v>
      </c>
      <c r="L15">
        <v>89.65</v>
      </c>
      <c r="M15">
        <v>85.46</v>
      </c>
    </row>
    <row r="16" spans="1:13" x14ac:dyDescent="0.2">
      <c r="A16" s="1">
        <v>15</v>
      </c>
      <c r="B16" t="s">
        <v>13</v>
      </c>
      <c r="C16">
        <v>88.23</v>
      </c>
      <c r="D16">
        <v>23</v>
      </c>
      <c r="E16">
        <v>13</v>
      </c>
      <c r="F16">
        <v>79.23</v>
      </c>
      <c r="G16">
        <v>1</v>
      </c>
      <c r="H16">
        <v>6</v>
      </c>
      <c r="I16">
        <v>4</v>
      </c>
      <c r="J16">
        <v>6</v>
      </c>
      <c r="K16">
        <v>89.04</v>
      </c>
      <c r="L16">
        <v>89.66</v>
      </c>
      <c r="M16">
        <v>85.13</v>
      </c>
    </row>
    <row r="17" spans="1:13" x14ac:dyDescent="0.2">
      <c r="A17" s="1">
        <v>16</v>
      </c>
      <c r="B17" t="s">
        <v>795</v>
      </c>
      <c r="C17">
        <v>88.09</v>
      </c>
      <c r="D17">
        <v>28</v>
      </c>
      <c r="E17">
        <v>8</v>
      </c>
      <c r="F17">
        <v>80.98</v>
      </c>
      <c r="G17">
        <v>6</v>
      </c>
      <c r="H17">
        <v>4</v>
      </c>
      <c r="I17">
        <v>12</v>
      </c>
      <c r="J17">
        <v>7</v>
      </c>
      <c r="K17">
        <v>86.96</v>
      </c>
      <c r="L17">
        <v>88.51</v>
      </c>
      <c r="M17">
        <v>88.74</v>
      </c>
    </row>
    <row r="18" spans="1:13" x14ac:dyDescent="0.2">
      <c r="A18" s="1">
        <v>17</v>
      </c>
      <c r="B18" t="s">
        <v>73</v>
      </c>
      <c r="C18">
        <v>87.96</v>
      </c>
      <c r="D18">
        <v>28</v>
      </c>
      <c r="E18">
        <v>6</v>
      </c>
      <c r="F18">
        <v>78.69</v>
      </c>
      <c r="G18">
        <v>5</v>
      </c>
      <c r="H18">
        <v>2</v>
      </c>
      <c r="I18">
        <v>9</v>
      </c>
      <c r="J18">
        <v>3</v>
      </c>
      <c r="K18">
        <v>87.94</v>
      </c>
      <c r="L18">
        <v>87.14</v>
      </c>
      <c r="M18">
        <v>88.88</v>
      </c>
    </row>
    <row r="19" spans="1:13" x14ac:dyDescent="0.2">
      <c r="A19" s="1">
        <v>18</v>
      </c>
      <c r="B19" t="s">
        <v>805</v>
      </c>
      <c r="C19">
        <v>87.4</v>
      </c>
      <c r="D19">
        <v>29</v>
      </c>
      <c r="E19">
        <v>5</v>
      </c>
      <c r="F19">
        <v>76.73</v>
      </c>
      <c r="G19">
        <v>2</v>
      </c>
      <c r="H19">
        <v>2</v>
      </c>
      <c r="I19">
        <v>3</v>
      </c>
      <c r="J19">
        <v>4</v>
      </c>
      <c r="K19">
        <v>87.02</v>
      </c>
      <c r="L19">
        <v>87.02</v>
      </c>
      <c r="M19">
        <v>87.96</v>
      </c>
    </row>
    <row r="20" spans="1:13" x14ac:dyDescent="0.2">
      <c r="A20" s="1">
        <v>19</v>
      </c>
      <c r="B20" t="s">
        <v>809</v>
      </c>
      <c r="C20">
        <v>87.19</v>
      </c>
      <c r="D20">
        <v>25</v>
      </c>
      <c r="E20">
        <v>10</v>
      </c>
      <c r="F20">
        <v>79.27</v>
      </c>
      <c r="G20">
        <v>2</v>
      </c>
      <c r="H20">
        <v>3</v>
      </c>
      <c r="I20">
        <v>5</v>
      </c>
      <c r="J20">
        <v>6</v>
      </c>
      <c r="K20">
        <v>87.5</v>
      </c>
      <c r="L20">
        <v>88.42</v>
      </c>
      <c r="M20">
        <v>84.62</v>
      </c>
    </row>
    <row r="21" spans="1:13" x14ac:dyDescent="0.2">
      <c r="A21" s="1">
        <v>20</v>
      </c>
      <c r="B21" t="s">
        <v>153</v>
      </c>
      <c r="C21">
        <v>87.14</v>
      </c>
      <c r="D21">
        <v>26</v>
      </c>
      <c r="E21">
        <v>10</v>
      </c>
      <c r="F21">
        <v>78.88</v>
      </c>
      <c r="G21">
        <v>0</v>
      </c>
      <c r="H21">
        <v>7</v>
      </c>
      <c r="I21">
        <v>4</v>
      </c>
      <c r="J21">
        <v>9</v>
      </c>
      <c r="K21">
        <v>86.68</v>
      </c>
      <c r="L21">
        <v>88.23</v>
      </c>
      <c r="M21">
        <v>85.61</v>
      </c>
    </row>
    <row r="22" spans="1:13" x14ac:dyDescent="0.2">
      <c r="A22" s="1">
        <v>21</v>
      </c>
      <c r="B22" t="s">
        <v>8</v>
      </c>
      <c r="C22">
        <v>87.04</v>
      </c>
      <c r="D22">
        <v>24</v>
      </c>
      <c r="E22">
        <v>12</v>
      </c>
      <c r="F22">
        <v>80.95</v>
      </c>
      <c r="G22">
        <v>5</v>
      </c>
      <c r="H22">
        <v>6</v>
      </c>
      <c r="I22">
        <v>10</v>
      </c>
      <c r="J22">
        <v>0</v>
      </c>
      <c r="K22">
        <v>86.75</v>
      </c>
      <c r="L22">
        <v>87.07</v>
      </c>
      <c r="M22">
        <v>86.66</v>
      </c>
    </row>
    <row r="23" spans="1:13" x14ac:dyDescent="0.2">
      <c r="A23" s="1">
        <v>22</v>
      </c>
      <c r="B23" t="s">
        <v>0</v>
      </c>
      <c r="C23">
        <v>86.35</v>
      </c>
      <c r="D23">
        <v>28</v>
      </c>
      <c r="E23">
        <v>7</v>
      </c>
      <c r="F23">
        <v>76.61</v>
      </c>
      <c r="G23">
        <v>1</v>
      </c>
      <c r="H23">
        <v>1</v>
      </c>
      <c r="I23">
        <v>2</v>
      </c>
      <c r="J23">
        <v>4</v>
      </c>
      <c r="K23">
        <v>85.98</v>
      </c>
      <c r="L23">
        <v>86.4</v>
      </c>
      <c r="M23">
        <v>86.06</v>
      </c>
    </row>
    <row r="24" spans="1:13" x14ac:dyDescent="0.2">
      <c r="A24" s="1">
        <v>23</v>
      </c>
      <c r="B24" t="s">
        <v>99</v>
      </c>
      <c r="C24">
        <v>86.32</v>
      </c>
      <c r="D24">
        <v>27</v>
      </c>
      <c r="E24">
        <v>7</v>
      </c>
      <c r="F24">
        <v>76.760000000000005</v>
      </c>
      <c r="G24">
        <v>3</v>
      </c>
      <c r="H24">
        <v>3</v>
      </c>
      <c r="I24">
        <v>6</v>
      </c>
      <c r="J24">
        <v>6</v>
      </c>
      <c r="K24">
        <v>86.26</v>
      </c>
      <c r="L24">
        <v>85.84</v>
      </c>
      <c r="M24">
        <v>86.52</v>
      </c>
    </row>
    <row r="25" spans="1:13" x14ac:dyDescent="0.2">
      <c r="A25" s="1">
        <v>24</v>
      </c>
      <c r="B25" t="s">
        <v>790</v>
      </c>
      <c r="C25">
        <v>86.22</v>
      </c>
      <c r="D25">
        <v>21</v>
      </c>
      <c r="E25">
        <v>13</v>
      </c>
      <c r="F25">
        <v>79.87</v>
      </c>
      <c r="G25">
        <v>1</v>
      </c>
      <c r="H25">
        <v>7</v>
      </c>
      <c r="I25">
        <v>5</v>
      </c>
      <c r="J25">
        <v>2</v>
      </c>
      <c r="K25">
        <v>87.73</v>
      </c>
      <c r="L25">
        <v>88.49</v>
      </c>
      <c r="M25">
        <v>81.849999999999994</v>
      </c>
    </row>
    <row r="26" spans="1:13" x14ac:dyDescent="0.2">
      <c r="A26" s="1">
        <v>25</v>
      </c>
      <c r="B26" t="s">
        <v>52</v>
      </c>
      <c r="C26">
        <v>86.13</v>
      </c>
      <c r="D26">
        <v>27</v>
      </c>
      <c r="E26">
        <v>8</v>
      </c>
      <c r="F26">
        <v>78.760000000000005</v>
      </c>
      <c r="G26">
        <v>2</v>
      </c>
      <c r="H26">
        <v>2</v>
      </c>
      <c r="I26">
        <v>5</v>
      </c>
      <c r="J26">
        <v>5</v>
      </c>
      <c r="K26">
        <v>86.49</v>
      </c>
      <c r="L26">
        <v>86.61</v>
      </c>
      <c r="M26">
        <v>84.23</v>
      </c>
    </row>
    <row r="27" spans="1:13" x14ac:dyDescent="0.2">
      <c r="A27" s="1">
        <v>26</v>
      </c>
      <c r="B27" t="s">
        <v>32</v>
      </c>
      <c r="C27">
        <v>86.13</v>
      </c>
      <c r="D27">
        <v>20</v>
      </c>
      <c r="E27">
        <v>13</v>
      </c>
      <c r="F27">
        <v>79.849999999999994</v>
      </c>
      <c r="G27">
        <v>2</v>
      </c>
      <c r="H27">
        <v>9</v>
      </c>
      <c r="I27">
        <v>3</v>
      </c>
      <c r="J27">
        <v>0</v>
      </c>
      <c r="K27">
        <v>87.42</v>
      </c>
      <c r="L27">
        <v>88.37</v>
      </c>
      <c r="M27">
        <v>81.92</v>
      </c>
    </row>
    <row r="28" spans="1:13" x14ac:dyDescent="0.2">
      <c r="A28" s="1">
        <v>27</v>
      </c>
      <c r="B28" t="s">
        <v>36</v>
      </c>
      <c r="C28">
        <v>85.82</v>
      </c>
      <c r="D28">
        <v>24</v>
      </c>
      <c r="E28">
        <v>10</v>
      </c>
      <c r="F28">
        <v>79.38</v>
      </c>
      <c r="G28">
        <v>5</v>
      </c>
      <c r="H28">
        <v>5</v>
      </c>
      <c r="I28">
        <v>8</v>
      </c>
      <c r="J28">
        <v>6</v>
      </c>
      <c r="K28">
        <v>85.13</v>
      </c>
      <c r="L28">
        <v>85.85</v>
      </c>
      <c r="M28">
        <v>86.2</v>
      </c>
    </row>
    <row r="29" spans="1:13" x14ac:dyDescent="0.2">
      <c r="A29" s="1">
        <v>28</v>
      </c>
      <c r="B29" t="s">
        <v>876</v>
      </c>
      <c r="C29">
        <v>85.81</v>
      </c>
      <c r="D29">
        <v>26</v>
      </c>
      <c r="E29">
        <v>9</v>
      </c>
      <c r="F29">
        <v>77.010000000000005</v>
      </c>
      <c r="G29">
        <v>1</v>
      </c>
      <c r="H29">
        <v>0</v>
      </c>
      <c r="I29">
        <v>5</v>
      </c>
      <c r="J29">
        <v>6</v>
      </c>
      <c r="K29">
        <v>86.15</v>
      </c>
      <c r="L29">
        <v>86.18</v>
      </c>
      <c r="M29">
        <v>84.08</v>
      </c>
    </row>
    <row r="30" spans="1:13" x14ac:dyDescent="0.2">
      <c r="A30" s="1">
        <v>29</v>
      </c>
      <c r="B30" t="s">
        <v>59</v>
      </c>
      <c r="C30">
        <v>85.6</v>
      </c>
      <c r="D30">
        <v>24</v>
      </c>
      <c r="E30">
        <v>10</v>
      </c>
      <c r="F30">
        <v>78.5</v>
      </c>
      <c r="G30">
        <v>2</v>
      </c>
      <c r="H30">
        <v>4</v>
      </c>
      <c r="I30">
        <v>4</v>
      </c>
      <c r="J30">
        <v>6</v>
      </c>
      <c r="K30">
        <v>85.53</v>
      </c>
      <c r="L30">
        <v>86.21</v>
      </c>
      <c r="M30">
        <v>84.07</v>
      </c>
    </row>
    <row r="31" spans="1:13" x14ac:dyDescent="0.2">
      <c r="A31" s="1">
        <v>30</v>
      </c>
      <c r="B31" t="s">
        <v>61</v>
      </c>
      <c r="C31">
        <v>85.1</v>
      </c>
      <c r="D31">
        <v>27</v>
      </c>
      <c r="E31">
        <v>10</v>
      </c>
      <c r="F31">
        <v>75.78</v>
      </c>
      <c r="G31">
        <v>3</v>
      </c>
      <c r="H31">
        <v>4</v>
      </c>
      <c r="I31">
        <v>4</v>
      </c>
      <c r="J31">
        <v>7</v>
      </c>
      <c r="K31">
        <v>85.54</v>
      </c>
      <c r="L31">
        <v>84.89</v>
      </c>
      <c r="M31">
        <v>84.03</v>
      </c>
    </row>
    <row r="32" spans="1:13" x14ac:dyDescent="0.2">
      <c r="A32" s="1">
        <v>31</v>
      </c>
      <c r="B32" t="s">
        <v>297</v>
      </c>
      <c r="C32">
        <v>84.88</v>
      </c>
      <c r="D32">
        <v>26</v>
      </c>
      <c r="E32">
        <v>5</v>
      </c>
      <c r="F32">
        <v>72.55</v>
      </c>
      <c r="G32">
        <v>1</v>
      </c>
      <c r="H32">
        <v>2</v>
      </c>
      <c r="I32">
        <v>1</v>
      </c>
      <c r="J32">
        <v>2</v>
      </c>
      <c r="K32">
        <v>83.75</v>
      </c>
      <c r="L32">
        <v>84.35</v>
      </c>
      <c r="M32">
        <v>87.8</v>
      </c>
    </row>
    <row r="33" spans="1:13" x14ac:dyDescent="0.2">
      <c r="A33" s="1">
        <v>32</v>
      </c>
      <c r="B33" t="s">
        <v>45</v>
      </c>
      <c r="C33">
        <v>84.69</v>
      </c>
      <c r="D33">
        <v>23</v>
      </c>
      <c r="E33">
        <v>10</v>
      </c>
      <c r="F33">
        <v>79.760000000000005</v>
      </c>
      <c r="G33">
        <v>5</v>
      </c>
      <c r="H33">
        <v>5</v>
      </c>
      <c r="I33">
        <v>8</v>
      </c>
      <c r="J33">
        <v>7</v>
      </c>
      <c r="K33">
        <v>84.52</v>
      </c>
      <c r="L33">
        <v>85</v>
      </c>
      <c r="M33">
        <v>83.71</v>
      </c>
    </row>
    <row r="34" spans="1:13" x14ac:dyDescent="0.2">
      <c r="A34" s="1">
        <v>33</v>
      </c>
      <c r="B34" t="s">
        <v>62</v>
      </c>
      <c r="C34">
        <v>84.67</v>
      </c>
      <c r="D34">
        <v>26</v>
      </c>
      <c r="E34">
        <v>11</v>
      </c>
      <c r="F34">
        <v>78</v>
      </c>
      <c r="G34">
        <v>3</v>
      </c>
      <c r="H34">
        <v>2</v>
      </c>
      <c r="I34">
        <v>7</v>
      </c>
      <c r="J34">
        <v>7</v>
      </c>
      <c r="K34">
        <v>84.78</v>
      </c>
      <c r="L34">
        <v>83.14</v>
      </c>
      <c r="M34">
        <v>87.31</v>
      </c>
    </row>
    <row r="35" spans="1:13" x14ac:dyDescent="0.2">
      <c r="A35" s="1">
        <v>34</v>
      </c>
      <c r="B35" t="s">
        <v>98</v>
      </c>
      <c r="C35">
        <v>84.64</v>
      </c>
      <c r="D35">
        <v>23</v>
      </c>
      <c r="E35">
        <v>13</v>
      </c>
      <c r="F35">
        <v>79.81</v>
      </c>
      <c r="G35">
        <v>3</v>
      </c>
      <c r="H35">
        <v>6</v>
      </c>
      <c r="I35">
        <v>8</v>
      </c>
      <c r="J35">
        <v>8</v>
      </c>
      <c r="K35">
        <v>84.7</v>
      </c>
      <c r="L35">
        <v>84.21</v>
      </c>
      <c r="M35">
        <v>84.53</v>
      </c>
    </row>
    <row r="36" spans="1:13" x14ac:dyDescent="0.2">
      <c r="A36" s="1">
        <v>35</v>
      </c>
      <c r="B36" t="s">
        <v>40</v>
      </c>
      <c r="C36">
        <v>84.43</v>
      </c>
      <c r="D36">
        <v>23</v>
      </c>
      <c r="E36">
        <v>10</v>
      </c>
      <c r="F36">
        <v>78.61</v>
      </c>
      <c r="G36">
        <v>4</v>
      </c>
      <c r="H36">
        <v>8</v>
      </c>
      <c r="I36">
        <v>6</v>
      </c>
      <c r="J36">
        <v>9</v>
      </c>
      <c r="K36">
        <v>84.64</v>
      </c>
      <c r="L36">
        <v>83.41</v>
      </c>
      <c r="M36">
        <v>85.35</v>
      </c>
    </row>
    <row r="37" spans="1:13" x14ac:dyDescent="0.2">
      <c r="A37" s="1">
        <v>36</v>
      </c>
      <c r="B37" t="s">
        <v>276</v>
      </c>
      <c r="C37">
        <v>84.36</v>
      </c>
      <c r="D37">
        <v>27</v>
      </c>
      <c r="E37">
        <v>7</v>
      </c>
      <c r="F37">
        <v>76.62</v>
      </c>
      <c r="G37">
        <v>3</v>
      </c>
      <c r="H37">
        <v>2</v>
      </c>
      <c r="I37">
        <v>3</v>
      </c>
      <c r="J37">
        <v>4</v>
      </c>
      <c r="K37">
        <v>83.82</v>
      </c>
      <c r="L37">
        <v>84.09</v>
      </c>
      <c r="M37">
        <v>85</v>
      </c>
    </row>
    <row r="38" spans="1:13" x14ac:dyDescent="0.2">
      <c r="A38" s="1">
        <v>37</v>
      </c>
      <c r="B38" t="s">
        <v>74</v>
      </c>
      <c r="C38">
        <v>84.29</v>
      </c>
      <c r="D38">
        <v>26</v>
      </c>
      <c r="E38">
        <v>7</v>
      </c>
      <c r="F38">
        <v>76.63</v>
      </c>
      <c r="G38">
        <v>0</v>
      </c>
      <c r="H38">
        <v>3</v>
      </c>
      <c r="I38">
        <v>5</v>
      </c>
      <c r="J38">
        <v>5</v>
      </c>
      <c r="K38">
        <v>83.53</v>
      </c>
      <c r="L38">
        <v>83.48</v>
      </c>
      <c r="M38">
        <v>86.88</v>
      </c>
    </row>
    <row r="39" spans="1:13" x14ac:dyDescent="0.2">
      <c r="A39" s="1">
        <v>38</v>
      </c>
      <c r="B39" t="s">
        <v>101</v>
      </c>
      <c r="C39">
        <v>84.19</v>
      </c>
      <c r="D39">
        <v>28</v>
      </c>
      <c r="E39">
        <v>8</v>
      </c>
      <c r="F39">
        <v>71.47</v>
      </c>
      <c r="G39">
        <v>0</v>
      </c>
      <c r="H39">
        <v>1</v>
      </c>
      <c r="I39">
        <v>1</v>
      </c>
      <c r="J39">
        <v>2</v>
      </c>
      <c r="K39">
        <v>84.11</v>
      </c>
      <c r="L39">
        <v>84.38</v>
      </c>
      <c r="M39">
        <v>83.21</v>
      </c>
    </row>
    <row r="40" spans="1:13" x14ac:dyDescent="0.2">
      <c r="A40" s="1">
        <v>39</v>
      </c>
      <c r="B40" t="s">
        <v>103</v>
      </c>
      <c r="C40">
        <v>83.83</v>
      </c>
      <c r="D40">
        <v>24</v>
      </c>
      <c r="E40">
        <v>13</v>
      </c>
      <c r="F40">
        <v>79.63</v>
      </c>
      <c r="G40">
        <v>2</v>
      </c>
      <c r="H40">
        <v>7</v>
      </c>
      <c r="I40">
        <v>6</v>
      </c>
      <c r="J40">
        <v>9</v>
      </c>
      <c r="K40">
        <v>83.89</v>
      </c>
      <c r="L40">
        <v>82.6</v>
      </c>
      <c r="M40">
        <v>85.56</v>
      </c>
    </row>
    <row r="41" spans="1:13" x14ac:dyDescent="0.2">
      <c r="A41" s="1">
        <v>40</v>
      </c>
      <c r="B41" t="s">
        <v>35</v>
      </c>
      <c r="C41">
        <v>83.28</v>
      </c>
      <c r="D41">
        <v>22</v>
      </c>
      <c r="E41">
        <v>12</v>
      </c>
      <c r="F41">
        <v>77.3</v>
      </c>
      <c r="G41">
        <v>2</v>
      </c>
      <c r="H41">
        <v>3</v>
      </c>
      <c r="I41">
        <v>4</v>
      </c>
      <c r="J41">
        <v>3</v>
      </c>
      <c r="K41">
        <v>84.39</v>
      </c>
      <c r="L41">
        <v>84.23</v>
      </c>
      <c r="M41">
        <v>79.94</v>
      </c>
    </row>
    <row r="42" spans="1:13" x14ac:dyDescent="0.2">
      <c r="A42" s="1">
        <v>41</v>
      </c>
      <c r="B42" t="s">
        <v>793</v>
      </c>
      <c r="C42">
        <v>83.22</v>
      </c>
      <c r="D42">
        <v>22</v>
      </c>
      <c r="E42">
        <v>14</v>
      </c>
      <c r="F42">
        <v>79.959999999999994</v>
      </c>
      <c r="G42">
        <v>1</v>
      </c>
      <c r="H42">
        <v>7</v>
      </c>
      <c r="I42">
        <v>6</v>
      </c>
      <c r="J42">
        <v>1</v>
      </c>
      <c r="K42">
        <v>83.09</v>
      </c>
      <c r="L42">
        <v>83.2</v>
      </c>
      <c r="M42">
        <v>82.68</v>
      </c>
    </row>
    <row r="43" spans="1:13" x14ac:dyDescent="0.2">
      <c r="A43" s="1">
        <v>42</v>
      </c>
      <c r="B43" t="s">
        <v>811</v>
      </c>
      <c r="C43">
        <v>83.02</v>
      </c>
      <c r="D43">
        <v>21</v>
      </c>
      <c r="E43">
        <v>12</v>
      </c>
      <c r="F43">
        <v>78.56</v>
      </c>
      <c r="G43">
        <v>1</v>
      </c>
      <c r="H43">
        <v>3</v>
      </c>
      <c r="I43">
        <v>4</v>
      </c>
      <c r="J43">
        <v>8</v>
      </c>
      <c r="K43">
        <v>83.28</v>
      </c>
      <c r="L43">
        <v>83.43</v>
      </c>
      <c r="M43">
        <v>81.27</v>
      </c>
    </row>
    <row r="44" spans="1:13" x14ac:dyDescent="0.2">
      <c r="A44" s="1">
        <v>43</v>
      </c>
      <c r="B44" t="s">
        <v>38</v>
      </c>
      <c r="C44">
        <v>82.87</v>
      </c>
      <c r="D44">
        <v>24</v>
      </c>
      <c r="E44">
        <v>11</v>
      </c>
      <c r="F44">
        <v>80.31</v>
      </c>
      <c r="G44">
        <v>5</v>
      </c>
      <c r="H44">
        <v>6</v>
      </c>
      <c r="I44">
        <v>8</v>
      </c>
      <c r="J44">
        <v>9</v>
      </c>
      <c r="K44">
        <v>81.44</v>
      </c>
      <c r="L44">
        <v>83.07</v>
      </c>
      <c r="M44">
        <v>84.53</v>
      </c>
    </row>
    <row r="45" spans="1:13" x14ac:dyDescent="0.2">
      <c r="A45" s="1">
        <v>44</v>
      </c>
      <c r="B45" t="s">
        <v>187</v>
      </c>
      <c r="C45">
        <v>82.85</v>
      </c>
      <c r="D45">
        <v>24</v>
      </c>
      <c r="E45">
        <v>9</v>
      </c>
      <c r="F45">
        <v>77.31</v>
      </c>
      <c r="G45">
        <v>1</v>
      </c>
      <c r="H45">
        <v>0</v>
      </c>
      <c r="I45">
        <v>5</v>
      </c>
      <c r="J45">
        <v>7</v>
      </c>
      <c r="K45">
        <v>83.05</v>
      </c>
      <c r="L45">
        <v>82</v>
      </c>
      <c r="M45">
        <v>83.33</v>
      </c>
    </row>
    <row r="46" spans="1:13" x14ac:dyDescent="0.2">
      <c r="A46" s="1">
        <v>45</v>
      </c>
      <c r="B46" t="s">
        <v>802</v>
      </c>
      <c r="C46">
        <v>82.7</v>
      </c>
      <c r="D46">
        <v>20</v>
      </c>
      <c r="E46">
        <v>13</v>
      </c>
      <c r="F46">
        <v>79.17</v>
      </c>
      <c r="G46">
        <v>4</v>
      </c>
      <c r="H46">
        <v>7</v>
      </c>
      <c r="I46">
        <v>7</v>
      </c>
      <c r="J46">
        <v>9</v>
      </c>
      <c r="K46">
        <v>82.09</v>
      </c>
      <c r="L46">
        <v>83.06</v>
      </c>
      <c r="M46">
        <v>82.34</v>
      </c>
    </row>
    <row r="47" spans="1:13" x14ac:dyDescent="0.2">
      <c r="A47" s="1">
        <v>46</v>
      </c>
      <c r="B47" t="s">
        <v>44</v>
      </c>
      <c r="C47">
        <v>82.52</v>
      </c>
      <c r="D47">
        <v>23</v>
      </c>
      <c r="E47">
        <v>12</v>
      </c>
      <c r="F47">
        <v>78.8</v>
      </c>
      <c r="G47">
        <v>2</v>
      </c>
      <c r="H47">
        <v>4</v>
      </c>
      <c r="I47">
        <v>2</v>
      </c>
      <c r="J47">
        <v>7</v>
      </c>
      <c r="K47">
        <v>82.66</v>
      </c>
      <c r="L47">
        <v>82.2</v>
      </c>
      <c r="M47">
        <v>82.09</v>
      </c>
    </row>
    <row r="48" spans="1:13" x14ac:dyDescent="0.2">
      <c r="A48" s="1">
        <v>47</v>
      </c>
      <c r="B48" t="s">
        <v>783</v>
      </c>
      <c r="C48">
        <v>82.39</v>
      </c>
      <c r="D48">
        <v>24</v>
      </c>
      <c r="E48">
        <v>10</v>
      </c>
      <c r="F48">
        <v>77.83</v>
      </c>
      <c r="G48">
        <v>0</v>
      </c>
      <c r="H48">
        <v>3</v>
      </c>
      <c r="I48">
        <v>6</v>
      </c>
      <c r="J48">
        <v>6</v>
      </c>
      <c r="K48">
        <v>81.96</v>
      </c>
      <c r="L48">
        <v>81.510000000000005</v>
      </c>
      <c r="M48">
        <v>84.22</v>
      </c>
    </row>
    <row r="49" spans="1:13" x14ac:dyDescent="0.2">
      <c r="A49" s="1">
        <v>48</v>
      </c>
      <c r="B49" t="s">
        <v>113</v>
      </c>
      <c r="C49">
        <v>82.15</v>
      </c>
      <c r="D49">
        <v>19</v>
      </c>
      <c r="E49">
        <v>12</v>
      </c>
      <c r="F49">
        <v>77.430000000000007</v>
      </c>
      <c r="G49">
        <v>1</v>
      </c>
      <c r="H49">
        <v>4</v>
      </c>
      <c r="I49">
        <v>2</v>
      </c>
      <c r="J49">
        <v>7</v>
      </c>
      <c r="K49">
        <v>82.67</v>
      </c>
      <c r="L49">
        <v>82.3</v>
      </c>
      <c r="M49">
        <v>80.400000000000006</v>
      </c>
    </row>
    <row r="50" spans="1:13" x14ac:dyDescent="0.2">
      <c r="A50" s="1">
        <v>49</v>
      </c>
      <c r="B50" t="s">
        <v>165</v>
      </c>
      <c r="C50">
        <v>82.14</v>
      </c>
      <c r="D50">
        <v>24</v>
      </c>
      <c r="E50">
        <v>9</v>
      </c>
      <c r="F50">
        <v>78.33</v>
      </c>
      <c r="G50">
        <v>0</v>
      </c>
      <c r="H50">
        <v>1</v>
      </c>
      <c r="I50">
        <v>5</v>
      </c>
      <c r="J50">
        <v>6</v>
      </c>
      <c r="K50">
        <v>81.489999999999995</v>
      </c>
      <c r="L50">
        <v>81.7</v>
      </c>
      <c r="M50">
        <v>83.37</v>
      </c>
    </row>
    <row r="51" spans="1:13" x14ac:dyDescent="0.2">
      <c r="A51" s="1">
        <v>50</v>
      </c>
      <c r="B51" t="s">
        <v>75</v>
      </c>
      <c r="C51">
        <v>82.1</v>
      </c>
      <c r="D51">
        <v>17</v>
      </c>
      <c r="E51">
        <v>15</v>
      </c>
      <c r="F51">
        <v>79.33</v>
      </c>
      <c r="G51">
        <v>1</v>
      </c>
      <c r="H51">
        <v>7</v>
      </c>
      <c r="I51">
        <v>3</v>
      </c>
      <c r="J51">
        <v>1</v>
      </c>
      <c r="K51">
        <v>82.93</v>
      </c>
      <c r="L51">
        <v>82.64</v>
      </c>
      <c r="M51">
        <v>79.459999999999994</v>
      </c>
    </row>
    <row r="52" spans="1:13" x14ac:dyDescent="0.2">
      <c r="A52" s="1">
        <v>51</v>
      </c>
      <c r="B52" t="s">
        <v>34</v>
      </c>
      <c r="C52">
        <v>82.09</v>
      </c>
      <c r="D52">
        <v>20</v>
      </c>
      <c r="E52">
        <v>15</v>
      </c>
      <c r="F52">
        <v>80.52</v>
      </c>
      <c r="G52">
        <v>1</v>
      </c>
      <c r="H52">
        <v>7</v>
      </c>
      <c r="I52">
        <v>3</v>
      </c>
      <c r="J52">
        <v>9</v>
      </c>
      <c r="K52">
        <v>82.23</v>
      </c>
      <c r="L52">
        <v>81.99</v>
      </c>
      <c r="M52">
        <v>81.239999999999995</v>
      </c>
    </row>
    <row r="53" spans="1:13" x14ac:dyDescent="0.2">
      <c r="A53" s="1">
        <v>52</v>
      </c>
      <c r="B53" t="s">
        <v>58</v>
      </c>
      <c r="C53">
        <v>81.91</v>
      </c>
      <c r="D53">
        <v>22</v>
      </c>
      <c r="E53">
        <v>12</v>
      </c>
      <c r="F53">
        <v>77.73</v>
      </c>
      <c r="G53">
        <v>1</v>
      </c>
      <c r="H53">
        <v>4</v>
      </c>
      <c r="I53">
        <v>3</v>
      </c>
      <c r="J53">
        <v>8</v>
      </c>
      <c r="K53">
        <v>81.33</v>
      </c>
      <c r="L53">
        <v>82.12</v>
      </c>
      <c r="M53">
        <v>81.73</v>
      </c>
    </row>
    <row r="54" spans="1:13" x14ac:dyDescent="0.2">
      <c r="A54" s="1">
        <v>53</v>
      </c>
      <c r="B54" t="s">
        <v>51</v>
      </c>
      <c r="C54">
        <v>81.739999999999995</v>
      </c>
      <c r="D54">
        <v>21</v>
      </c>
      <c r="E54">
        <v>13</v>
      </c>
      <c r="F54">
        <v>78.88</v>
      </c>
      <c r="G54">
        <v>3</v>
      </c>
      <c r="H54">
        <v>5</v>
      </c>
      <c r="I54">
        <v>4</v>
      </c>
      <c r="J54">
        <v>7</v>
      </c>
      <c r="K54">
        <v>82.54</v>
      </c>
      <c r="L54">
        <v>81.34</v>
      </c>
      <c r="M54">
        <v>80.489999999999995</v>
      </c>
    </row>
    <row r="55" spans="1:13" x14ac:dyDescent="0.2">
      <c r="A55" s="1">
        <v>54</v>
      </c>
      <c r="B55" t="s">
        <v>46</v>
      </c>
      <c r="C55">
        <v>81.739999999999995</v>
      </c>
      <c r="D55">
        <v>17</v>
      </c>
      <c r="E55">
        <v>15</v>
      </c>
      <c r="F55">
        <v>79.17</v>
      </c>
      <c r="G55">
        <v>3</v>
      </c>
      <c r="H55">
        <v>6</v>
      </c>
      <c r="I55">
        <v>4</v>
      </c>
      <c r="J55">
        <v>7</v>
      </c>
      <c r="K55">
        <v>82.65</v>
      </c>
      <c r="L55">
        <v>81.93</v>
      </c>
      <c r="M55">
        <v>79.430000000000007</v>
      </c>
    </row>
    <row r="56" spans="1:13" x14ac:dyDescent="0.2">
      <c r="A56" s="1">
        <v>55</v>
      </c>
      <c r="B56" t="s">
        <v>78</v>
      </c>
      <c r="C56">
        <v>81.540000000000006</v>
      </c>
      <c r="D56">
        <v>23</v>
      </c>
      <c r="E56">
        <v>13</v>
      </c>
      <c r="F56">
        <v>77.86</v>
      </c>
      <c r="G56">
        <v>1</v>
      </c>
      <c r="H56">
        <v>5</v>
      </c>
      <c r="I56">
        <v>3</v>
      </c>
      <c r="J56">
        <v>0</v>
      </c>
      <c r="K56">
        <v>80.8</v>
      </c>
      <c r="L56">
        <v>82.28</v>
      </c>
      <c r="M56">
        <v>80.790000000000006</v>
      </c>
    </row>
    <row r="57" spans="1:13" x14ac:dyDescent="0.2">
      <c r="A57" s="1">
        <v>56</v>
      </c>
      <c r="B57" t="s">
        <v>255</v>
      </c>
      <c r="C57">
        <v>81.41</v>
      </c>
      <c r="D57">
        <v>27</v>
      </c>
      <c r="E57">
        <v>7</v>
      </c>
      <c r="F57">
        <v>72.83</v>
      </c>
      <c r="G57">
        <v>0</v>
      </c>
      <c r="H57">
        <v>1</v>
      </c>
      <c r="I57">
        <v>1</v>
      </c>
      <c r="J57">
        <v>3</v>
      </c>
      <c r="K57">
        <v>81.05</v>
      </c>
      <c r="L57">
        <v>80.09</v>
      </c>
      <c r="M57">
        <v>84.32</v>
      </c>
    </row>
    <row r="58" spans="1:13" x14ac:dyDescent="0.2">
      <c r="A58" s="1">
        <v>57</v>
      </c>
      <c r="B58" t="s">
        <v>273</v>
      </c>
      <c r="C58">
        <v>81.39</v>
      </c>
      <c r="D58">
        <v>20</v>
      </c>
      <c r="E58">
        <v>14</v>
      </c>
      <c r="F58">
        <v>78.75</v>
      </c>
      <c r="G58">
        <v>1</v>
      </c>
      <c r="H58">
        <v>4</v>
      </c>
      <c r="I58">
        <v>3</v>
      </c>
      <c r="J58">
        <v>8</v>
      </c>
      <c r="K58">
        <v>81.12</v>
      </c>
      <c r="L58">
        <v>81.38</v>
      </c>
      <c r="M58">
        <v>81.06</v>
      </c>
    </row>
    <row r="59" spans="1:13" x14ac:dyDescent="0.2">
      <c r="A59" s="1">
        <v>58</v>
      </c>
      <c r="B59" t="s">
        <v>131</v>
      </c>
      <c r="C59">
        <v>81.150000000000006</v>
      </c>
      <c r="D59">
        <v>21</v>
      </c>
      <c r="E59">
        <v>14</v>
      </c>
      <c r="F59">
        <v>78.900000000000006</v>
      </c>
      <c r="G59">
        <v>1</v>
      </c>
      <c r="H59">
        <v>5</v>
      </c>
      <c r="I59">
        <v>5</v>
      </c>
      <c r="J59">
        <v>1</v>
      </c>
      <c r="K59">
        <v>80.5</v>
      </c>
      <c r="L59">
        <v>81.56</v>
      </c>
      <c r="M59">
        <v>80.75</v>
      </c>
    </row>
    <row r="60" spans="1:13" x14ac:dyDescent="0.2">
      <c r="A60" s="1">
        <v>59</v>
      </c>
      <c r="B60" t="s">
        <v>120</v>
      </c>
      <c r="C60">
        <v>81.12</v>
      </c>
      <c r="D60">
        <v>19</v>
      </c>
      <c r="E60">
        <v>13</v>
      </c>
      <c r="F60">
        <v>80.290000000000006</v>
      </c>
      <c r="G60">
        <v>3</v>
      </c>
      <c r="H60">
        <v>7</v>
      </c>
      <c r="I60">
        <v>4</v>
      </c>
      <c r="J60">
        <v>9</v>
      </c>
      <c r="K60">
        <v>80.36</v>
      </c>
      <c r="L60">
        <v>81.25</v>
      </c>
      <c r="M60">
        <v>81.42</v>
      </c>
    </row>
    <row r="61" spans="1:13" x14ac:dyDescent="0.2">
      <c r="A61" s="1">
        <v>60</v>
      </c>
      <c r="B61" t="s">
        <v>870</v>
      </c>
      <c r="C61">
        <v>81.12</v>
      </c>
      <c r="D61">
        <v>22</v>
      </c>
      <c r="E61">
        <v>14</v>
      </c>
      <c r="F61">
        <v>78.739999999999995</v>
      </c>
      <c r="G61">
        <v>3</v>
      </c>
      <c r="H61">
        <v>6</v>
      </c>
      <c r="I61">
        <v>5</v>
      </c>
      <c r="J61">
        <v>9</v>
      </c>
      <c r="K61">
        <v>80.849999999999994</v>
      </c>
      <c r="L61">
        <v>80.75</v>
      </c>
      <c r="M61">
        <v>81.45</v>
      </c>
    </row>
    <row r="62" spans="1:13" x14ac:dyDescent="0.2">
      <c r="A62" s="1">
        <v>61</v>
      </c>
      <c r="B62" t="s">
        <v>69</v>
      </c>
      <c r="C62">
        <v>80.959999999999994</v>
      </c>
      <c r="D62">
        <v>23</v>
      </c>
      <c r="E62">
        <v>12</v>
      </c>
      <c r="F62">
        <v>79.260000000000005</v>
      </c>
      <c r="G62">
        <v>1</v>
      </c>
      <c r="H62">
        <v>8</v>
      </c>
      <c r="I62">
        <v>6</v>
      </c>
      <c r="J62">
        <v>0</v>
      </c>
      <c r="K62">
        <v>81.23</v>
      </c>
      <c r="L62">
        <v>79.790000000000006</v>
      </c>
      <c r="M62">
        <v>82.06</v>
      </c>
    </row>
    <row r="63" spans="1:13" x14ac:dyDescent="0.2">
      <c r="A63" s="1">
        <v>62</v>
      </c>
      <c r="B63" t="s">
        <v>147</v>
      </c>
      <c r="C63">
        <v>80.959999999999994</v>
      </c>
      <c r="D63">
        <v>18</v>
      </c>
      <c r="E63">
        <v>15</v>
      </c>
      <c r="F63">
        <v>78.89</v>
      </c>
      <c r="G63">
        <v>2</v>
      </c>
      <c r="H63">
        <v>4</v>
      </c>
      <c r="I63">
        <v>5</v>
      </c>
      <c r="J63">
        <v>7</v>
      </c>
      <c r="K63">
        <v>80.95</v>
      </c>
      <c r="L63">
        <v>81.5</v>
      </c>
      <c r="M63">
        <v>79.34</v>
      </c>
    </row>
    <row r="64" spans="1:13" x14ac:dyDescent="0.2">
      <c r="A64" s="1">
        <v>63</v>
      </c>
      <c r="B64" t="s">
        <v>214</v>
      </c>
      <c r="C64">
        <v>80.69</v>
      </c>
      <c r="D64">
        <v>25</v>
      </c>
      <c r="E64">
        <v>8</v>
      </c>
      <c r="F64">
        <v>72.86</v>
      </c>
      <c r="G64">
        <v>0</v>
      </c>
      <c r="H64">
        <v>1</v>
      </c>
      <c r="I64">
        <v>0</v>
      </c>
      <c r="J64">
        <v>2</v>
      </c>
      <c r="K64">
        <v>80.599999999999994</v>
      </c>
      <c r="L64">
        <v>79.959999999999994</v>
      </c>
      <c r="M64">
        <v>81.430000000000007</v>
      </c>
    </row>
    <row r="65" spans="1:13" x14ac:dyDescent="0.2">
      <c r="A65" s="1">
        <v>64</v>
      </c>
      <c r="B65" t="s">
        <v>862</v>
      </c>
      <c r="C65">
        <v>80.59</v>
      </c>
      <c r="D65">
        <v>23</v>
      </c>
      <c r="E65">
        <v>7</v>
      </c>
      <c r="F65">
        <v>73.72</v>
      </c>
      <c r="G65">
        <v>0</v>
      </c>
      <c r="H65">
        <v>2</v>
      </c>
      <c r="I65">
        <v>1</v>
      </c>
      <c r="J65">
        <v>2</v>
      </c>
      <c r="K65">
        <v>79.87</v>
      </c>
      <c r="L65">
        <v>79.5</v>
      </c>
      <c r="M65">
        <v>83.66</v>
      </c>
    </row>
    <row r="66" spans="1:13" x14ac:dyDescent="0.2">
      <c r="A66" s="1">
        <v>65</v>
      </c>
      <c r="B66" t="s">
        <v>72</v>
      </c>
      <c r="C66">
        <v>80.59</v>
      </c>
      <c r="D66">
        <v>17</v>
      </c>
      <c r="E66">
        <v>16</v>
      </c>
      <c r="F66">
        <v>79.680000000000007</v>
      </c>
      <c r="G66">
        <v>3</v>
      </c>
      <c r="H66">
        <v>7</v>
      </c>
      <c r="I66">
        <v>5</v>
      </c>
      <c r="J66">
        <v>2</v>
      </c>
      <c r="K66">
        <v>80.19</v>
      </c>
      <c r="L66">
        <v>81.849999999999994</v>
      </c>
      <c r="M66">
        <v>78.52</v>
      </c>
    </row>
    <row r="67" spans="1:13" x14ac:dyDescent="0.2">
      <c r="A67" s="1">
        <v>66</v>
      </c>
      <c r="B67" t="s">
        <v>875</v>
      </c>
      <c r="C67">
        <v>80.510000000000005</v>
      </c>
      <c r="D67">
        <v>22</v>
      </c>
      <c r="E67">
        <v>12</v>
      </c>
      <c r="F67">
        <v>75.89</v>
      </c>
      <c r="G67">
        <v>0</v>
      </c>
      <c r="H67">
        <v>3</v>
      </c>
      <c r="I67">
        <v>2</v>
      </c>
      <c r="J67">
        <v>4</v>
      </c>
      <c r="K67">
        <v>80.03</v>
      </c>
      <c r="L67">
        <v>80.38</v>
      </c>
      <c r="M67">
        <v>80.760000000000005</v>
      </c>
    </row>
    <row r="68" spans="1:13" x14ac:dyDescent="0.2">
      <c r="A68" s="1">
        <v>67</v>
      </c>
      <c r="B68" t="s">
        <v>117</v>
      </c>
      <c r="C68">
        <v>80.38</v>
      </c>
      <c r="D68">
        <v>23</v>
      </c>
      <c r="E68">
        <v>12</v>
      </c>
      <c r="F68">
        <v>77.73</v>
      </c>
      <c r="G68">
        <v>2</v>
      </c>
      <c r="H68">
        <v>4</v>
      </c>
      <c r="I68">
        <v>4</v>
      </c>
      <c r="J68">
        <v>4</v>
      </c>
      <c r="K68">
        <v>80.39</v>
      </c>
      <c r="L68">
        <v>79.97</v>
      </c>
      <c r="M68">
        <v>80.31</v>
      </c>
    </row>
    <row r="69" spans="1:13" x14ac:dyDescent="0.2">
      <c r="A69" s="1">
        <v>68</v>
      </c>
      <c r="B69" t="s">
        <v>55</v>
      </c>
      <c r="C69">
        <v>80.17</v>
      </c>
      <c r="D69">
        <v>20</v>
      </c>
      <c r="E69">
        <v>13</v>
      </c>
      <c r="F69">
        <v>76.760000000000005</v>
      </c>
      <c r="G69">
        <v>1</v>
      </c>
      <c r="H69">
        <v>5</v>
      </c>
      <c r="I69">
        <v>2</v>
      </c>
      <c r="J69">
        <v>7</v>
      </c>
      <c r="K69">
        <v>80.239999999999995</v>
      </c>
      <c r="L69">
        <v>81.02</v>
      </c>
      <c r="M69">
        <v>77.989999999999995</v>
      </c>
    </row>
    <row r="70" spans="1:13" x14ac:dyDescent="0.2">
      <c r="A70" s="1">
        <v>69</v>
      </c>
      <c r="B70" t="s">
        <v>65</v>
      </c>
      <c r="C70">
        <v>79.86</v>
      </c>
      <c r="D70">
        <v>17</v>
      </c>
      <c r="E70">
        <v>15</v>
      </c>
      <c r="F70">
        <v>79.010000000000005</v>
      </c>
      <c r="G70">
        <v>0</v>
      </c>
      <c r="H70">
        <v>7</v>
      </c>
      <c r="I70">
        <v>2</v>
      </c>
      <c r="J70">
        <v>0</v>
      </c>
      <c r="K70">
        <v>79.69</v>
      </c>
      <c r="L70">
        <v>80.44</v>
      </c>
      <c r="M70">
        <v>78.41</v>
      </c>
    </row>
    <row r="71" spans="1:13" x14ac:dyDescent="0.2">
      <c r="A71" s="1">
        <v>70</v>
      </c>
      <c r="B71" t="s">
        <v>282</v>
      </c>
      <c r="C71">
        <v>79.849999999999994</v>
      </c>
      <c r="D71">
        <v>24</v>
      </c>
      <c r="E71">
        <v>9</v>
      </c>
      <c r="F71">
        <v>69.900000000000006</v>
      </c>
      <c r="G71">
        <v>1</v>
      </c>
      <c r="H71">
        <v>1</v>
      </c>
      <c r="I71">
        <v>1</v>
      </c>
      <c r="J71">
        <v>3</v>
      </c>
      <c r="K71">
        <v>80.319999999999993</v>
      </c>
      <c r="L71">
        <v>78.989999999999995</v>
      </c>
      <c r="M71">
        <v>79.88</v>
      </c>
    </row>
    <row r="72" spans="1:13" x14ac:dyDescent="0.2">
      <c r="A72" s="1">
        <v>71</v>
      </c>
      <c r="B72" t="s">
        <v>139</v>
      </c>
      <c r="C72">
        <v>79.83</v>
      </c>
      <c r="D72">
        <v>30</v>
      </c>
      <c r="E72">
        <v>3</v>
      </c>
      <c r="F72">
        <v>67.58</v>
      </c>
      <c r="G72">
        <v>0</v>
      </c>
      <c r="H72">
        <v>1</v>
      </c>
      <c r="I72">
        <v>1</v>
      </c>
      <c r="J72">
        <v>2</v>
      </c>
      <c r="K72">
        <v>78.14</v>
      </c>
      <c r="L72">
        <v>78.75</v>
      </c>
      <c r="M72">
        <v>86.12</v>
      </c>
    </row>
    <row r="73" spans="1:13" x14ac:dyDescent="0.2">
      <c r="A73" s="1">
        <v>72</v>
      </c>
      <c r="B73" t="s">
        <v>548</v>
      </c>
      <c r="C73">
        <v>79.77</v>
      </c>
      <c r="D73">
        <v>22</v>
      </c>
      <c r="E73">
        <v>11</v>
      </c>
      <c r="F73">
        <v>73.62</v>
      </c>
      <c r="G73">
        <v>0</v>
      </c>
      <c r="H73">
        <v>1</v>
      </c>
      <c r="I73">
        <v>0</v>
      </c>
      <c r="J73">
        <v>3</v>
      </c>
      <c r="K73">
        <v>80.180000000000007</v>
      </c>
      <c r="L73">
        <v>79.64</v>
      </c>
      <c r="M73">
        <v>78.56</v>
      </c>
    </row>
    <row r="74" spans="1:13" x14ac:dyDescent="0.2">
      <c r="A74" s="1">
        <v>73</v>
      </c>
      <c r="B74" t="s">
        <v>259</v>
      </c>
      <c r="C74">
        <v>79.73</v>
      </c>
      <c r="D74">
        <v>21</v>
      </c>
      <c r="E74">
        <v>7</v>
      </c>
      <c r="F74">
        <v>72.819999999999993</v>
      </c>
      <c r="G74">
        <v>1</v>
      </c>
      <c r="H74">
        <v>1</v>
      </c>
      <c r="I74">
        <v>1</v>
      </c>
      <c r="J74">
        <v>2</v>
      </c>
      <c r="K74">
        <v>79.98</v>
      </c>
      <c r="L74">
        <v>79.08</v>
      </c>
      <c r="M74">
        <v>79.69</v>
      </c>
    </row>
    <row r="75" spans="1:13" x14ac:dyDescent="0.2">
      <c r="A75" s="1">
        <v>74</v>
      </c>
      <c r="B75" t="s">
        <v>797</v>
      </c>
      <c r="C75">
        <v>79.59</v>
      </c>
      <c r="D75">
        <v>19</v>
      </c>
      <c r="E75">
        <v>13</v>
      </c>
      <c r="F75">
        <v>75.52</v>
      </c>
      <c r="G75">
        <v>0</v>
      </c>
      <c r="H75">
        <v>4</v>
      </c>
      <c r="I75">
        <v>2</v>
      </c>
      <c r="J75">
        <v>6</v>
      </c>
      <c r="K75">
        <v>79.61</v>
      </c>
      <c r="L75">
        <v>79.88</v>
      </c>
      <c r="M75">
        <v>78.28</v>
      </c>
    </row>
    <row r="76" spans="1:13" x14ac:dyDescent="0.2">
      <c r="A76" s="1">
        <v>75</v>
      </c>
      <c r="B76" t="s">
        <v>819</v>
      </c>
      <c r="C76">
        <v>79.31</v>
      </c>
      <c r="D76">
        <v>25</v>
      </c>
      <c r="E76">
        <v>10</v>
      </c>
      <c r="F76">
        <v>69.66</v>
      </c>
      <c r="G76">
        <v>0</v>
      </c>
      <c r="H76">
        <v>3</v>
      </c>
      <c r="I76">
        <v>1</v>
      </c>
      <c r="J76">
        <v>4</v>
      </c>
      <c r="K76">
        <v>80.540000000000006</v>
      </c>
      <c r="L76">
        <v>79.06</v>
      </c>
      <c r="M76">
        <v>77.150000000000006</v>
      </c>
    </row>
    <row r="77" spans="1:13" x14ac:dyDescent="0.2">
      <c r="A77" s="1">
        <v>76</v>
      </c>
      <c r="B77" t="s">
        <v>149</v>
      </c>
      <c r="C77">
        <v>79.25</v>
      </c>
      <c r="D77">
        <v>21</v>
      </c>
      <c r="E77">
        <v>13</v>
      </c>
      <c r="F77">
        <v>72.92</v>
      </c>
      <c r="G77">
        <v>0</v>
      </c>
      <c r="H77">
        <v>3</v>
      </c>
      <c r="I77">
        <v>1</v>
      </c>
      <c r="J77">
        <v>6</v>
      </c>
      <c r="K77">
        <v>79.28</v>
      </c>
      <c r="L77">
        <v>78.69</v>
      </c>
      <c r="M77">
        <v>79.430000000000007</v>
      </c>
    </row>
    <row r="78" spans="1:13" x14ac:dyDescent="0.2">
      <c r="A78" s="1">
        <v>77</v>
      </c>
      <c r="B78" t="s">
        <v>286</v>
      </c>
      <c r="C78">
        <v>79.19</v>
      </c>
      <c r="D78">
        <v>20</v>
      </c>
      <c r="E78">
        <v>14</v>
      </c>
      <c r="F78">
        <v>77.06</v>
      </c>
      <c r="G78">
        <v>0</v>
      </c>
      <c r="H78">
        <v>4</v>
      </c>
      <c r="I78">
        <v>1</v>
      </c>
      <c r="J78">
        <v>7</v>
      </c>
      <c r="K78">
        <v>78.53</v>
      </c>
      <c r="L78">
        <v>79.45</v>
      </c>
      <c r="M78">
        <v>79.040000000000006</v>
      </c>
    </row>
    <row r="79" spans="1:13" x14ac:dyDescent="0.2">
      <c r="A79" s="1">
        <v>78</v>
      </c>
      <c r="B79" t="s">
        <v>100</v>
      </c>
      <c r="C79">
        <v>79.13</v>
      </c>
      <c r="D79">
        <v>19</v>
      </c>
      <c r="E79">
        <v>14</v>
      </c>
      <c r="F79">
        <v>77.349999999999994</v>
      </c>
      <c r="G79">
        <v>0</v>
      </c>
      <c r="H79">
        <v>4</v>
      </c>
      <c r="I79">
        <v>0</v>
      </c>
      <c r="J79">
        <v>8</v>
      </c>
      <c r="K79">
        <v>78.8</v>
      </c>
      <c r="L79">
        <v>79.2</v>
      </c>
      <c r="M79">
        <v>78.75</v>
      </c>
    </row>
    <row r="80" spans="1:13" x14ac:dyDescent="0.2">
      <c r="A80" s="1">
        <v>79</v>
      </c>
      <c r="B80" t="s">
        <v>808</v>
      </c>
      <c r="C80">
        <v>78.959999999999994</v>
      </c>
      <c r="D80">
        <v>23</v>
      </c>
      <c r="E80">
        <v>9</v>
      </c>
      <c r="F80">
        <v>71.010000000000005</v>
      </c>
      <c r="G80">
        <v>0</v>
      </c>
      <c r="H80">
        <v>0</v>
      </c>
      <c r="I80">
        <v>0</v>
      </c>
      <c r="J80">
        <v>0</v>
      </c>
      <c r="K80">
        <v>78.59</v>
      </c>
      <c r="L80">
        <v>79.540000000000006</v>
      </c>
      <c r="M80">
        <v>77.819999999999993</v>
      </c>
    </row>
    <row r="81" spans="1:13" x14ac:dyDescent="0.2">
      <c r="A81" s="1">
        <v>80</v>
      </c>
      <c r="B81" t="s">
        <v>89</v>
      </c>
      <c r="C81">
        <v>78.91</v>
      </c>
      <c r="D81">
        <v>20</v>
      </c>
      <c r="E81">
        <v>11</v>
      </c>
      <c r="F81">
        <v>70.12</v>
      </c>
      <c r="G81">
        <v>0</v>
      </c>
      <c r="H81">
        <v>1</v>
      </c>
      <c r="I81">
        <v>0</v>
      </c>
      <c r="J81">
        <v>4</v>
      </c>
      <c r="K81">
        <v>80.48</v>
      </c>
      <c r="L81">
        <v>79.36</v>
      </c>
      <c r="M81">
        <v>75.290000000000006</v>
      </c>
    </row>
    <row r="82" spans="1:13" x14ac:dyDescent="0.2">
      <c r="A82" s="1">
        <v>81</v>
      </c>
      <c r="B82" t="s">
        <v>115</v>
      </c>
      <c r="C82">
        <v>78.88</v>
      </c>
      <c r="D82">
        <v>20</v>
      </c>
      <c r="E82">
        <v>13</v>
      </c>
      <c r="F82">
        <v>73.569999999999993</v>
      </c>
      <c r="G82">
        <v>0</v>
      </c>
      <c r="H82">
        <v>4</v>
      </c>
      <c r="I82">
        <v>1</v>
      </c>
      <c r="J82">
        <v>6</v>
      </c>
      <c r="K82">
        <v>79.55</v>
      </c>
      <c r="L82">
        <v>79.599999999999994</v>
      </c>
      <c r="M82">
        <v>75.98</v>
      </c>
    </row>
    <row r="83" spans="1:13" x14ac:dyDescent="0.2">
      <c r="A83" s="1">
        <v>82</v>
      </c>
      <c r="B83" t="s">
        <v>240</v>
      </c>
      <c r="C83">
        <v>78.81</v>
      </c>
      <c r="D83">
        <v>26</v>
      </c>
      <c r="E83">
        <v>6</v>
      </c>
      <c r="F83">
        <v>64.7</v>
      </c>
      <c r="G83">
        <v>0</v>
      </c>
      <c r="H83">
        <v>3</v>
      </c>
      <c r="I83">
        <v>0</v>
      </c>
      <c r="J83">
        <v>4</v>
      </c>
      <c r="K83">
        <v>77.88</v>
      </c>
      <c r="L83">
        <v>78.27</v>
      </c>
      <c r="M83">
        <v>80.83</v>
      </c>
    </row>
    <row r="84" spans="1:13" x14ac:dyDescent="0.2">
      <c r="A84" s="1">
        <v>83</v>
      </c>
      <c r="B84" t="s">
        <v>16</v>
      </c>
      <c r="C84">
        <v>78.72</v>
      </c>
      <c r="D84">
        <v>15</v>
      </c>
      <c r="E84">
        <v>17</v>
      </c>
      <c r="F84">
        <v>79.290000000000006</v>
      </c>
      <c r="G84">
        <v>0</v>
      </c>
      <c r="H84">
        <v>9</v>
      </c>
      <c r="I84">
        <v>1</v>
      </c>
      <c r="J84">
        <v>1</v>
      </c>
      <c r="K84">
        <v>79.22</v>
      </c>
      <c r="L84">
        <v>79.150000000000006</v>
      </c>
      <c r="M84">
        <v>76.47</v>
      </c>
    </row>
    <row r="85" spans="1:13" x14ac:dyDescent="0.2">
      <c r="A85" s="1">
        <v>84</v>
      </c>
      <c r="B85" t="s">
        <v>872</v>
      </c>
      <c r="C85">
        <v>78.66</v>
      </c>
      <c r="D85">
        <v>17</v>
      </c>
      <c r="E85">
        <v>16</v>
      </c>
      <c r="F85">
        <v>77.2</v>
      </c>
      <c r="G85">
        <v>0</v>
      </c>
      <c r="H85">
        <v>5</v>
      </c>
      <c r="I85">
        <v>3</v>
      </c>
      <c r="J85">
        <v>8</v>
      </c>
      <c r="K85">
        <v>79.03</v>
      </c>
      <c r="L85">
        <v>79.260000000000005</v>
      </c>
      <c r="M85">
        <v>76.34</v>
      </c>
    </row>
    <row r="86" spans="1:13" x14ac:dyDescent="0.2">
      <c r="A86" s="1">
        <v>85</v>
      </c>
      <c r="B86" t="s">
        <v>68</v>
      </c>
      <c r="C86">
        <v>78.64</v>
      </c>
      <c r="D86">
        <v>18</v>
      </c>
      <c r="E86">
        <v>15</v>
      </c>
      <c r="F86">
        <v>76.52</v>
      </c>
      <c r="G86">
        <v>0</v>
      </c>
      <c r="H86">
        <v>0</v>
      </c>
      <c r="I86">
        <v>2</v>
      </c>
      <c r="J86">
        <v>8</v>
      </c>
      <c r="K86">
        <v>79.069999999999993</v>
      </c>
      <c r="L86">
        <v>78.349999999999994</v>
      </c>
      <c r="M86">
        <v>77.680000000000007</v>
      </c>
    </row>
    <row r="87" spans="1:13" x14ac:dyDescent="0.2">
      <c r="A87" s="1">
        <v>86</v>
      </c>
      <c r="B87" t="s">
        <v>87</v>
      </c>
      <c r="C87">
        <v>78.569999999999993</v>
      </c>
      <c r="D87">
        <v>25</v>
      </c>
      <c r="E87">
        <v>10</v>
      </c>
      <c r="F87">
        <v>72.239999999999995</v>
      </c>
      <c r="G87">
        <v>0</v>
      </c>
      <c r="H87">
        <v>1</v>
      </c>
      <c r="I87">
        <v>1</v>
      </c>
      <c r="J87">
        <v>2</v>
      </c>
      <c r="K87">
        <v>77.930000000000007</v>
      </c>
      <c r="L87">
        <v>77.790000000000006</v>
      </c>
      <c r="M87">
        <v>80.540000000000006</v>
      </c>
    </row>
    <row r="88" spans="1:13" x14ac:dyDescent="0.2">
      <c r="A88" s="1">
        <v>87</v>
      </c>
      <c r="B88" t="s">
        <v>42</v>
      </c>
      <c r="C88">
        <v>78.489999999999995</v>
      </c>
      <c r="D88">
        <v>12</v>
      </c>
      <c r="E88">
        <v>19</v>
      </c>
      <c r="F88">
        <v>79.7</v>
      </c>
      <c r="G88">
        <v>0</v>
      </c>
      <c r="H88">
        <v>7</v>
      </c>
      <c r="I88">
        <v>1</v>
      </c>
      <c r="J88">
        <v>9</v>
      </c>
      <c r="K88">
        <v>79.290000000000006</v>
      </c>
      <c r="L88">
        <v>79.16</v>
      </c>
      <c r="M88">
        <v>75.459999999999994</v>
      </c>
    </row>
    <row r="89" spans="1:13" x14ac:dyDescent="0.2">
      <c r="A89" s="1">
        <v>88</v>
      </c>
      <c r="B89" t="s">
        <v>47</v>
      </c>
      <c r="C89">
        <v>78.239999999999995</v>
      </c>
      <c r="D89">
        <v>19</v>
      </c>
      <c r="E89">
        <v>12</v>
      </c>
      <c r="F89">
        <v>75.66</v>
      </c>
      <c r="G89">
        <v>0</v>
      </c>
      <c r="H89">
        <v>2</v>
      </c>
      <c r="I89">
        <v>0</v>
      </c>
      <c r="J89">
        <v>3</v>
      </c>
      <c r="K89">
        <v>78.08</v>
      </c>
      <c r="L89">
        <v>77.44</v>
      </c>
      <c r="M89">
        <v>79.260000000000005</v>
      </c>
    </row>
    <row r="90" spans="1:13" x14ac:dyDescent="0.2">
      <c r="A90" s="1">
        <v>89</v>
      </c>
      <c r="B90" t="s">
        <v>80</v>
      </c>
      <c r="C90">
        <v>78.2</v>
      </c>
      <c r="D90">
        <v>19</v>
      </c>
      <c r="E90">
        <v>14</v>
      </c>
      <c r="F90">
        <v>76.87</v>
      </c>
      <c r="G90">
        <v>0</v>
      </c>
      <c r="H90">
        <v>1</v>
      </c>
      <c r="I90">
        <v>3</v>
      </c>
      <c r="J90">
        <v>9</v>
      </c>
      <c r="K90">
        <v>77.989999999999995</v>
      </c>
      <c r="L90">
        <v>77.69</v>
      </c>
      <c r="M90">
        <v>78.709999999999994</v>
      </c>
    </row>
    <row r="91" spans="1:13" x14ac:dyDescent="0.2">
      <c r="A91" s="1">
        <v>90</v>
      </c>
      <c r="B91" t="s">
        <v>31</v>
      </c>
      <c r="C91">
        <v>78.150000000000006</v>
      </c>
      <c r="D91">
        <v>14</v>
      </c>
      <c r="E91">
        <v>18</v>
      </c>
      <c r="F91">
        <v>80.55</v>
      </c>
      <c r="G91">
        <v>2</v>
      </c>
      <c r="H91">
        <v>9</v>
      </c>
      <c r="I91">
        <v>4</v>
      </c>
      <c r="J91">
        <v>4</v>
      </c>
      <c r="K91">
        <v>77.81</v>
      </c>
      <c r="L91">
        <v>79.25</v>
      </c>
      <c r="M91">
        <v>76.11</v>
      </c>
    </row>
    <row r="92" spans="1:13" x14ac:dyDescent="0.2">
      <c r="A92" s="1">
        <v>91</v>
      </c>
      <c r="B92" t="s">
        <v>128</v>
      </c>
      <c r="C92">
        <v>78.040000000000006</v>
      </c>
      <c r="D92">
        <v>22</v>
      </c>
      <c r="E92">
        <v>9</v>
      </c>
      <c r="F92">
        <v>71.5</v>
      </c>
      <c r="G92">
        <v>0</v>
      </c>
      <c r="H92">
        <v>2</v>
      </c>
      <c r="I92">
        <v>0</v>
      </c>
      <c r="J92">
        <v>3</v>
      </c>
      <c r="K92">
        <v>76.87</v>
      </c>
      <c r="L92">
        <v>77.8</v>
      </c>
      <c r="M92">
        <v>79.86</v>
      </c>
    </row>
    <row r="93" spans="1:13" x14ac:dyDescent="0.2">
      <c r="A93" s="1">
        <v>92</v>
      </c>
      <c r="B93" t="s">
        <v>817</v>
      </c>
      <c r="C93">
        <v>78.040000000000006</v>
      </c>
      <c r="D93">
        <v>16</v>
      </c>
      <c r="E93">
        <v>18</v>
      </c>
      <c r="F93">
        <v>79.25</v>
      </c>
      <c r="G93">
        <v>2</v>
      </c>
      <c r="H93">
        <v>5</v>
      </c>
      <c r="I93">
        <v>2</v>
      </c>
      <c r="J93">
        <v>9</v>
      </c>
      <c r="K93">
        <v>77.819999999999993</v>
      </c>
      <c r="L93">
        <v>78.89</v>
      </c>
      <c r="M93">
        <v>76.19</v>
      </c>
    </row>
    <row r="94" spans="1:13" x14ac:dyDescent="0.2">
      <c r="A94" s="1">
        <v>93</v>
      </c>
      <c r="B94" t="s">
        <v>54</v>
      </c>
      <c r="C94">
        <v>77.959999999999994</v>
      </c>
      <c r="D94">
        <v>15</v>
      </c>
      <c r="E94">
        <v>17</v>
      </c>
      <c r="F94">
        <v>78.010000000000005</v>
      </c>
      <c r="G94">
        <v>1</v>
      </c>
      <c r="H94">
        <v>5</v>
      </c>
      <c r="I94">
        <v>1</v>
      </c>
      <c r="J94">
        <v>0</v>
      </c>
      <c r="K94">
        <v>78.12</v>
      </c>
      <c r="L94">
        <v>78.66</v>
      </c>
      <c r="M94">
        <v>75.790000000000006</v>
      </c>
    </row>
    <row r="95" spans="1:13" x14ac:dyDescent="0.2">
      <c r="A95" s="1">
        <v>94</v>
      </c>
      <c r="B95" t="s">
        <v>840</v>
      </c>
      <c r="C95">
        <v>77.64</v>
      </c>
      <c r="D95">
        <v>19</v>
      </c>
      <c r="E95">
        <v>12</v>
      </c>
      <c r="F95">
        <v>73.040000000000006</v>
      </c>
      <c r="G95">
        <v>0</v>
      </c>
      <c r="H95">
        <v>1</v>
      </c>
      <c r="I95">
        <v>0</v>
      </c>
      <c r="J95">
        <v>1</v>
      </c>
      <c r="K95">
        <v>77.86</v>
      </c>
      <c r="L95">
        <v>77.78</v>
      </c>
      <c r="M95">
        <v>76.239999999999995</v>
      </c>
    </row>
    <row r="96" spans="1:13" x14ac:dyDescent="0.2">
      <c r="A96" s="1">
        <v>95</v>
      </c>
      <c r="B96" t="s">
        <v>111</v>
      </c>
      <c r="C96">
        <v>77.540000000000006</v>
      </c>
      <c r="D96">
        <v>17</v>
      </c>
      <c r="E96">
        <v>15</v>
      </c>
      <c r="F96">
        <v>77.64</v>
      </c>
      <c r="G96">
        <v>0</v>
      </c>
      <c r="H96">
        <v>4</v>
      </c>
      <c r="I96">
        <v>4</v>
      </c>
      <c r="J96">
        <v>8</v>
      </c>
      <c r="K96">
        <v>77.069999999999993</v>
      </c>
      <c r="L96">
        <v>77.22</v>
      </c>
      <c r="M96">
        <v>78.16</v>
      </c>
    </row>
    <row r="97" spans="1:13" x14ac:dyDescent="0.2">
      <c r="A97" s="1">
        <v>96</v>
      </c>
      <c r="B97" t="s">
        <v>150</v>
      </c>
      <c r="C97">
        <v>77.41</v>
      </c>
      <c r="D97">
        <v>25</v>
      </c>
      <c r="E97">
        <v>10</v>
      </c>
      <c r="F97">
        <v>72.2</v>
      </c>
      <c r="G97">
        <v>0</v>
      </c>
      <c r="H97">
        <v>3</v>
      </c>
      <c r="I97">
        <v>0</v>
      </c>
      <c r="J97">
        <v>3</v>
      </c>
      <c r="K97">
        <v>76.86</v>
      </c>
      <c r="L97">
        <v>76.11</v>
      </c>
      <c r="M97">
        <v>80.36</v>
      </c>
    </row>
    <row r="98" spans="1:13" x14ac:dyDescent="0.2">
      <c r="A98" s="1">
        <v>97</v>
      </c>
      <c r="B98" t="s">
        <v>116</v>
      </c>
      <c r="C98">
        <v>77.400000000000006</v>
      </c>
      <c r="D98">
        <v>18</v>
      </c>
      <c r="E98">
        <v>10</v>
      </c>
      <c r="F98">
        <v>71.239999999999995</v>
      </c>
      <c r="G98">
        <v>0</v>
      </c>
      <c r="H98">
        <v>0</v>
      </c>
      <c r="I98">
        <v>0</v>
      </c>
      <c r="J98">
        <v>0</v>
      </c>
      <c r="K98">
        <v>78.510000000000005</v>
      </c>
      <c r="L98">
        <v>76.34</v>
      </c>
      <c r="M98">
        <v>76.81</v>
      </c>
    </row>
    <row r="99" spans="1:13" x14ac:dyDescent="0.2">
      <c r="A99" s="1">
        <v>98</v>
      </c>
      <c r="B99" t="s">
        <v>143</v>
      </c>
      <c r="C99">
        <v>77.239999999999995</v>
      </c>
      <c r="D99">
        <v>19</v>
      </c>
      <c r="E99">
        <v>9</v>
      </c>
      <c r="F99">
        <v>72.010000000000005</v>
      </c>
      <c r="G99">
        <v>0</v>
      </c>
      <c r="H99">
        <v>1</v>
      </c>
      <c r="I99">
        <v>0</v>
      </c>
      <c r="J99">
        <v>1</v>
      </c>
      <c r="K99">
        <v>77.040000000000006</v>
      </c>
      <c r="L99">
        <v>76.22</v>
      </c>
      <c r="M99">
        <v>78.81</v>
      </c>
    </row>
    <row r="100" spans="1:13" x14ac:dyDescent="0.2">
      <c r="A100" s="1">
        <v>99</v>
      </c>
      <c r="B100" t="s">
        <v>134</v>
      </c>
      <c r="C100">
        <v>77.2</v>
      </c>
      <c r="D100">
        <v>21</v>
      </c>
      <c r="E100">
        <v>12</v>
      </c>
      <c r="F100">
        <v>71.569999999999993</v>
      </c>
      <c r="G100">
        <v>0</v>
      </c>
      <c r="H100">
        <v>0</v>
      </c>
      <c r="I100">
        <v>0</v>
      </c>
      <c r="J100">
        <v>3</v>
      </c>
      <c r="K100">
        <v>77.06</v>
      </c>
      <c r="L100">
        <v>77.239999999999995</v>
      </c>
      <c r="M100">
        <v>76.53</v>
      </c>
    </row>
    <row r="101" spans="1:13" x14ac:dyDescent="0.2">
      <c r="A101" s="1">
        <v>100</v>
      </c>
      <c r="B101" t="s">
        <v>93</v>
      </c>
      <c r="C101">
        <v>77.150000000000006</v>
      </c>
      <c r="D101">
        <v>26</v>
      </c>
      <c r="E101">
        <v>7</v>
      </c>
      <c r="F101">
        <v>71.78</v>
      </c>
      <c r="G101">
        <v>0</v>
      </c>
      <c r="H101">
        <v>1</v>
      </c>
      <c r="I101">
        <v>0</v>
      </c>
      <c r="J101">
        <v>1</v>
      </c>
      <c r="K101">
        <v>76.569999999999993</v>
      </c>
      <c r="L101">
        <v>75.63</v>
      </c>
      <c r="M101">
        <v>80.739999999999995</v>
      </c>
    </row>
    <row r="102" spans="1:13" x14ac:dyDescent="0.2">
      <c r="A102" s="1">
        <v>101</v>
      </c>
      <c r="B102" t="s">
        <v>812</v>
      </c>
      <c r="C102">
        <v>77.069999999999993</v>
      </c>
      <c r="D102">
        <v>16</v>
      </c>
      <c r="E102">
        <v>16</v>
      </c>
      <c r="F102">
        <v>77.3</v>
      </c>
      <c r="G102">
        <v>1</v>
      </c>
      <c r="H102">
        <v>3</v>
      </c>
      <c r="I102">
        <v>5</v>
      </c>
      <c r="J102">
        <v>7</v>
      </c>
      <c r="K102">
        <v>77.66</v>
      </c>
      <c r="L102">
        <v>76.45</v>
      </c>
      <c r="M102">
        <v>76.45</v>
      </c>
    </row>
    <row r="103" spans="1:13" x14ac:dyDescent="0.2">
      <c r="A103" s="1">
        <v>102</v>
      </c>
      <c r="B103" t="s">
        <v>106</v>
      </c>
      <c r="C103">
        <v>77</v>
      </c>
      <c r="D103">
        <v>13</v>
      </c>
      <c r="E103">
        <v>17</v>
      </c>
      <c r="F103">
        <v>78.010000000000005</v>
      </c>
      <c r="G103">
        <v>0</v>
      </c>
      <c r="H103">
        <v>5</v>
      </c>
      <c r="I103">
        <v>0</v>
      </c>
      <c r="J103">
        <v>7</v>
      </c>
      <c r="K103">
        <v>77.38</v>
      </c>
      <c r="L103">
        <v>77.55</v>
      </c>
      <c r="M103">
        <v>74.67</v>
      </c>
    </row>
    <row r="104" spans="1:13" x14ac:dyDescent="0.2">
      <c r="A104" s="1">
        <v>103</v>
      </c>
      <c r="B104" t="s">
        <v>48</v>
      </c>
      <c r="C104">
        <v>76.92</v>
      </c>
      <c r="D104">
        <v>17</v>
      </c>
      <c r="E104">
        <v>17</v>
      </c>
      <c r="F104">
        <v>76.63</v>
      </c>
      <c r="G104">
        <v>1</v>
      </c>
      <c r="H104">
        <v>4</v>
      </c>
      <c r="I104">
        <v>2</v>
      </c>
      <c r="J104">
        <v>7</v>
      </c>
      <c r="K104">
        <v>77.05</v>
      </c>
      <c r="L104">
        <v>77.87</v>
      </c>
      <c r="M104">
        <v>74.349999999999994</v>
      </c>
    </row>
    <row r="105" spans="1:13" x14ac:dyDescent="0.2">
      <c r="A105" s="1">
        <v>104</v>
      </c>
      <c r="B105" t="s">
        <v>102</v>
      </c>
      <c r="C105">
        <v>76.89</v>
      </c>
      <c r="D105">
        <v>15</v>
      </c>
      <c r="E105">
        <v>15</v>
      </c>
      <c r="F105">
        <v>74.87</v>
      </c>
      <c r="G105">
        <v>0</v>
      </c>
      <c r="H105">
        <v>4</v>
      </c>
      <c r="I105">
        <v>1</v>
      </c>
      <c r="J105">
        <v>5</v>
      </c>
      <c r="K105">
        <v>77.260000000000005</v>
      </c>
      <c r="L105">
        <v>77.650000000000006</v>
      </c>
      <c r="M105">
        <v>74.260000000000005</v>
      </c>
    </row>
    <row r="106" spans="1:13" x14ac:dyDescent="0.2">
      <c r="A106" s="1">
        <v>105</v>
      </c>
      <c r="B106" t="s">
        <v>76</v>
      </c>
      <c r="C106">
        <v>76.84</v>
      </c>
      <c r="D106">
        <v>15</v>
      </c>
      <c r="E106">
        <v>16</v>
      </c>
      <c r="F106">
        <v>78.13</v>
      </c>
      <c r="G106">
        <v>1</v>
      </c>
      <c r="H106">
        <v>3</v>
      </c>
      <c r="I106">
        <v>1</v>
      </c>
      <c r="J106">
        <v>7</v>
      </c>
      <c r="K106">
        <v>77.33</v>
      </c>
      <c r="L106">
        <v>76.42</v>
      </c>
      <c r="M106">
        <v>75.98</v>
      </c>
    </row>
    <row r="107" spans="1:13" x14ac:dyDescent="0.2">
      <c r="A107" s="1">
        <v>106</v>
      </c>
      <c r="B107" t="s">
        <v>798</v>
      </c>
      <c r="C107">
        <v>76.760000000000005</v>
      </c>
      <c r="D107">
        <v>21</v>
      </c>
      <c r="E107">
        <v>11</v>
      </c>
      <c r="F107">
        <v>70.12</v>
      </c>
      <c r="G107">
        <v>0</v>
      </c>
      <c r="H107">
        <v>0</v>
      </c>
      <c r="I107">
        <v>0</v>
      </c>
      <c r="J107">
        <v>1</v>
      </c>
      <c r="K107">
        <v>76.12</v>
      </c>
      <c r="L107">
        <v>76</v>
      </c>
      <c r="M107">
        <v>78.569999999999993</v>
      </c>
    </row>
    <row r="108" spans="1:13" x14ac:dyDescent="0.2">
      <c r="A108" s="1">
        <v>107</v>
      </c>
      <c r="B108" t="s">
        <v>33</v>
      </c>
      <c r="C108">
        <v>76.7</v>
      </c>
      <c r="D108">
        <v>14</v>
      </c>
      <c r="E108">
        <v>16</v>
      </c>
      <c r="F108">
        <v>76.930000000000007</v>
      </c>
      <c r="G108">
        <v>0</v>
      </c>
      <c r="H108">
        <v>6</v>
      </c>
      <c r="I108">
        <v>0</v>
      </c>
      <c r="J108">
        <v>7</v>
      </c>
      <c r="K108">
        <v>77.91</v>
      </c>
      <c r="L108">
        <v>76.349999999999994</v>
      </c>
      <c r="M108">
        <v>74.650000000000006</v>
      </c>
    </row>
    <row r="109" spans="1:13" x14ac:dyDescent="0.2">
      <c r="A109" s="1">
        <v>108</v>
      </c>
      <c r="B109" t="s">
        <v>804</v>
      </c>
      <c r="C109">
        <v>76.63</v>
      </c>
      <c r="D109">
        <v>19</v>
      </c>
      <c r="E109">
        <v>18</v>
      </c>
      <c r="F109">
        <v>75.760000000000005</v>
      </c>
      <c r="G109">
        <v>0</v>
      </c>
      <c r="H109">
        <v>4</v>
      </c>
      <c r="I109">
        <v>0</v>
      </c>
      <c r="J109">
        <v>7</v>
      </c>
      <c r="K109">
        <v>76.150000000000006</v>
      </c>
      <c r="L109">
        <v>76.33</v>
      </c>
      <c r="M109">
        <v>77.180000000000007</v>
      </c>
    </row>
    <row r="110" spans="1:13" x14ac:dyDescent="0.2">
      <c r="A110" s="1">
        <v>109</v>
      </c>
      <c r="B110" t="s">
        <v>124</v>
      </c>
      <c r="C110">
        <v>76.540000000000006</v>
      </c>
      <c r="D110">
        <v>20</v>
      </c>
      <c r="E110">
        <v>9</v>
      </c>
      <c r="F110">
        <v>71.150000000000006</v>
      </c>
      <c r="G110">
        <v>0</v>
      </c>
      <c r="H110">
        <v>0</v>
      </c>
      <c r="I110">
        <v>0</v>
      </c>
      <c r="J110">
        <v>2</v>
      </c>
      <c r="K110">
        <v>75.98</v>
      </c>
      <c r="L110">
        <v>75.790000000000006</v>
      </c>
      <c r="M110">
        <v>78.2</v>
      </c>
    </row>
    <row r="111" spans="1:13" x14ac:dyDescent="0.2">
      <c r="A111" s="1">
        <v>110</v>
      </c>
      <c r="B111" t="s">
        <v>53</v>
      </c>
      <c r="C111">
        <v>76.41</v>
      </c>
      <c r="D111">
        <v>17</v>
      </c>
      <c r="E111">
        <v>16</v>
      </c>
      <c r="F111">
        <v>78.58</v>
      </c>
      <c r="G111">
        <v>1</v>
      </c>
      <c r="H111">
        <v>7</v>
      </c>
      <c r="I111">
        <v>2</v>
      </c>
      <c r="J111">
        <v>0</v>
      </c>
      <c r="K111">
        <v>75.12</v>
      </c>
      <c r="L111">
        <v>76.19</v>
      </c>
      <c r="M111">
        <v>78.36</v>
      </c>
    </row>
    <row r="112" spans="1:13" x14ac:dyDescent="0.2">
      <c r="A112" s="1">
        <v>111</v>
      </c>
      <c r="B112" t="s">
        <v>178</v>
      </c>
      <c r="C112">
        <v>76.39</v>
      </c>
      <c r="D112">
        <v>15</v>
      </c>
      <c r="E112">
        <v>16</v>
      </c>
      <c r="F112">
        <v>77.400000000000006</v>
      </c>
      <c r="G112">
        <v>0</v>
      </c>
      <c r="H112">
        <v>1</v>
      </c>
      <c r="I112">
        <v>2</v>
      </c>
      <c r="J112">
        <v>8</v>
      </c>
      <c r="K112">
        <v>76.16</v>
      </c>
      <c r="L112">
        <v>76.34</v>
      </c>
      <c r="M112">
        <v>76.05</v>
      </c>
    </row>
    <row r="113" spans="1:13" x14ac:dyDescent="0.2">
      <c r="A113" s="1">
        <v>112</v>
      </c>
      <c r="B113" t="s">
        <v>163</v>
      </c>
      <c r="C113">
        <v>76.38</v>
      </c>
      <c r="D113">
        <v>21</v>
      </c>
      <c r="E113">
        <v>11</v>
      </c>
      <c r="F113">
        <v>71.400000000000006</v>
      </c>
      <c r="G113">
        <v>1</v>
      </c>
      <c r="H113">
        <v>1</v>
      </c>
      <c r="I113">
        <v>2</v>
      </c>
      <c r="J113">
        <v>2</v>
      </c>
      <c r="K113">
        <v>75.75</v>
      </c>
      <c r="L113">
        <v>76.099999999999994</v>
      </c>
      <c r="M113">
        <v>77.17</v>
      </c>
    </row>
    <row r="114" spans="1:13" x14ac:dyDescent="0.2">
      <c r="A114" s="1">
        <v>113</v>
      </c>
      <c r="B114" t="s">
        <v>130</v>
      </c>
      <c r="C114">
        <v>76.36</v>
      </c>
      <c r="D114">
        <v>16</v>
      </c>
      <c r="E114">
        <v>17</v>
      </c>
      <c r="F114">
        <v>78.209999999999994</v>
      </c>
      <c r="G114">
        <v>1</v>
      </c>
      <c r="H114">
        <v>4</v>
      </c>
      <c r="I114">
        <v>1</v>
      </c>
      <c r="J114">
        <v>8</v>
      </c>
      <c r="K114">
        <v>76.69</v>
      </c>
      <c r="L114">
        <v>76.37</v>
      </c>
      <c r="M114">
        <v>75</v>
      </c>
    </row>
    <row r="115" spans="1:13" x14ac:dyDescent="0.2">
      <c r="A115" s="1">
        <v>114</v>
      </c>
      <c r="B115" t="s">
        <v>96</v>
      </c>
      <c r="C115">
        <v>76.319999999999993</v>
      </c>
      <c r="D115">
        <v>14</v>
      </c>
      <c r="E115">
        <v>20</v>
      </c>
      <c r="F115">
        <v>78.72</v>
      </c>
      <c r="G115">
        <v>1</v>
      </c>
      <c r="H115">
        <v>6</v>
      </c>
      <c r="I115">
        <v>2</v>
      </c>
      <c r="J115">
        <v>7</v>
      </c>
      <c r="K115">
        <v>76.31</v>
      </c>
      <c r="L115">
        <v>76.73</v>
      </c>
      <c r="M115">
        <v>74.81</v>
      </c>
    </row>
    <row r="116" spans="1:13" x14ac:dyDescent="0.2">
      <c r="A116" s="1">
        <v>115</v>
      </c>
      <c r="B116" t="s">
        <v>57</v>
      </c>
      <c r="C116">
        <v>76.28</v>
      </c>
      <c r="D116">
        <v>18</v>
      </c>
      <c r="E116">
        <v>16</v>
      </c>
      <c r="F116">
        <v>75.180000000000007</v>
      </c>
      <c r="G116">
        <v>2</v>
      </c>
      <c r="H116">
        <v>2</v>
      </c>
      <c r="I116">
        <v>3</v>
      </c>
      <c r="J116">
        <v>4</v>
      </c>
      <c r="K116">
        <v>76.52</v>
      </c>
      <c r="L116">
        <v>76.42</v>
      </c>
      <c r="M116">
        <v>74.819999999999993</v>
      </c>
    </row>
    <row r="117" spans="1:13" x14ac:dyDescent="0.2">
      <c r="A117" s="1">
        <v>116</v>
      </c>
      <c r="B117" t="s">
        <v>796</v>
      </c>
      <c r="C117">
        <v>76.239999999999995</v>
      </c>
      <c r="D117">
        <v>17</v>
      </c>
      <c r="E117">
        <v>14</v>
      </c>
      <c r="F117">
        <v>74.5</v>
      </c>
      <c r="G117">
        <v>0</v>
      </c>
      <c r="H117">
        <v>3</v>
      </c>
      <c r="I117">
        <v>0</v>
      </c>
      <c r="J117">
        <v>5</v>
      </c>
      <c r="K117">
        <v>77.47</v>
      </c>
      <c r="L117">
        <v>75.5</v>
      </c>
      <c r="M117">
        <v>74.83</v>
      </c>
    </row>
    <row r="118" spans="1:13" x14ac:dyDescent="0.2">
      <c r="A118" s="1">
        <v>117</v>
      </c>
      <c r="B118" t="s">
        <v>821</v>
      </c>
      <c r="C118">
        <v>76.22</v>
      </c>
      <c r="D118">
        <v>21</v>
      </c>
      <c r="E118">
        <v>11</v>
      </c>
      <c r="F118">
        <v>73.64</v>
      </c>
      <c r="G118">
        <v>0</v>
      </c>
      <c r="H118">
        <v>3</v>
      </c>
      <c r="I118">
        <v>0</v>
      </c>
      <c r="J118">
        <v>5</v>
      </c>
      <c r="K118">
        <v>75.36</v>
      </c>
      <c r="L118">
        <v>75.540000000000006</v>
      </c>
      <c r="M118">
        <v>78.33</v>
      </c>
    </row>
    <row r="119" spans="1:13" x14ac:dyDescent="0.2">
      <c r="A119" s="1">
        <v>118</v>
      </c>
      <c r="B119" t="s">
        <v>551</v>
      </c>
      <c r="C119">
        <v>76.14</v>
      </c>
      <c r="D119">
        <v>20</v>
      </c>
      <c r="E119">
        <v>12</v>
      </c>
      <c r="F119">
        <v>71.8</v>
      </c>
      <c r="G119">
        <v>0</v>
      </c>
      <c r="H119">
        <v>3</v>
      </c>
      <c r="I119">
        <v>1</v>
      </c>
      <c r="J119">
        <v>4</v>
      </c>
      <c r="K119">
        <v>75.97</v>
      </c>
      <c r="L119">
        <v>75.849999999999994</v>
      </c>
      <c r="M119">
        <v>76.13</v>
      </c>
    </row>
    <row r="120" spans="1:13" x14ac:dyDescent="0.2">
      <c r="A120" s="1">
        <v>119</v>
      </c>
      <c r="B120" t="s">
        <v>894</v>
      </c>
      <c r="C120">
        <v>76.040000000000006</v>
      </c>
      <c r="D120">
        <v>24</v>
      </c>
      <c r="E120">
        <v>11</v>
      </c>
      <c r="F120">
        <v>70.430000000000007</v>
      </c>
      <c r="G120">
        <v>0</v>
      </c>
      <c r="H120">
        <v>1</v>
      </c>
      <c r="I120">
        <v>1</v>
      </c>
      <c r="J120">
        <v>4</v>
      </c>
      <c r="K120">
        <v>75.86</v>
      </c>
      <c r="L120">
        <v>74.89</v>
      </c>
      <c r="M120">
        <v>77.8</v>
      </c>
    </row>
    <row r="121" spans="1:13" x14ac:dyDescent="0.2">
      <c r="A121" s="1">
        <v>120</v>
      </c>
      <c r="B121" t="s">
        <v>126</v>
      </c>
      <c r="C121">
        <v>75.83</v>
      </c>
      <c r="D121">
        <v>24</v>
      </c>
      <c r="E121">
        <v>12</v>
      </c>
      <c r="F121">
        <v>71.94</v>
      </c>
      <c r="G121">
        <v>0</v>
      </c>
      <c r="H121">
        <v>1</v>
      </c>
      <c r="I121">
        <v>0</v>
      </c>
      <c r="J121">
        <v>2</v>
      </c>
      <c r="K121">
        <v>75.17</v>
      </c>
      <c r="L121">
        <v>74.67</v>
      </c>
      <c r="M121">
        <v>78.56</v>
      </c>
    </row>
    <row r="122" spans="1:13" x14ac:dyDescent="0.2">
      <c r="A122" s="1">
        <v>121</v>
      </c>
      <c r="B122" t="s">
        <v>199</v>
      </c>
      <c r="C122">
        <v>75.78</v>
      </c>
      <c r="D122">
        <v>22</v>
      </c>
      <c r="E122">
        <v>10</v>
      </c>
      <c r="F122">
        <v>69.27</v>
      </c>
      <c r="G122">
        <v>0</v>
      </c>
      <c r="H122">
        <v>2</v>
      </c>
      <c r="I122">
        <v>0</v>
      </c>
      <c r="J122">
        <v>3</v>
      </c>
      <c r="K122">
        <v>74.89</v>
      </c>
      <c r="L122">
        <v>74.599999999999994</v>
      </c>
      <c r="M122">
        <v>79.02</v>
      </c>
    </row>
    <row r="123" spans="1:13" x14ac:dyDescent="0.2">
      <c r="A123" s="1">
        <v>122</v>
      </c>
      <c r="B123" t="s">
        <v>177</v>
      </c>
      <c r="C123">
        <v>75.7</v>
      </c>
      <c r="D123">
        <v>15</v>
      </c>
      <c r="E123">
        <v>16</v>
      </c>
      <c r="F123">
        <v>73.78</v>
      </c>
      <c r="G123">
        <v>1</v>
      </c>
      <c r="H123">
        <v>2</v>
      </c>
      <c r="I123">
        <v>1</v>
      </c>
      <c r="J123">
        <v>2</v>
      </c>
      <c r="K123">
        <v>75.44</v>
      </c>
      <c r="L123">
        <v>76.150000000000006</v>
      </c>
      <c r="M123">
        <v>74.510000000000005</v>
      </c>
    </row>
    <row r="124" spans="1:13" x14ac:dyDescent="0.2">
      <c r="A124" s="1">
        <v>123</v>
      </c>
      <c r="B124" t="s">
        <v>264</v>
      </c>
      <c r="C124">
        <v>75.680000000000007</v>
      </c>
      <c r="D124">
        <v>20</v>
      </c>
      <c r="E124">
        <v>13</v>
      </c>
      <c r="F124">
        <v>71.23</v>
      </c>
      <c r="G124">
        <v>0</v>
      </c>
      <c r="H124">
        <v>1</v>
      </c>
      <c r="I124">
        <v>0</v>
      </c>
      <c r="J124">
        <v>3</v>
      </c>
      <c r="K124">
        <v>76.05</v>
      </c>
      <c r="L124">
        <v>75.44</v>
      </c>
      <c r="M124">
        <v>74.69</v>
      </c>
    </row>
    <row r="125" spans="1:13" x14ac:dyDescent="0.2">
      <c r="A125" s="1">
        <v>124</v>
      </c>
      <c r="B125" t="s">
        <v>64</v>
      </c>
      <c r="C125">
        <v>75.63</v>
      </c>
      <c r="D125">
        <v>19</v>
      </c>
      <c r="E125">
        <v>13</v>
      </c>
      <c r="F125">
        <v>69.209999999999994</v>
      </c>
      <c r="G125">
        <v>0</v>
      </c>
      <c r="H125">
        <v>3</v>
      </c>
      <c r="I125">
        <v>0</v>
      </c>
      <c r="J125">
        <v>5</v>
      </c>
      <c r="K125">
        <v>75.92</v>
      </c>
      <c r="L125">
        <v>74.95</v>
      </c>
      <c r="M125">
        <v>75.62</v>
      </c>
    </row>
    <row r="126" spans="1:13" x14ac:dyDescent="0.2">
      <c r="A126" s="1">
        <v>125</v>
      </c>
      <c r="B126" t="s">
        <v>212</v>
      </c>
      <c r="C126">
        <v>75.41</v>
      </c>
      <c r="D126">
        <v>21</v>
      </c>
      <c r="E126">
        <v>12</v>
      </c>
      <c r="F126">
        <v>72.53</v>
      </c>
      <c r="G126">
        <v>0</v>
      </c>
      <c r="H126">
        <v>0</v>
      </c>
      <c r="I126">
        <v>0</v>
      </c>
      <c r="J126">
        <v>0</v>
      </c>
      <c r="K126">
        <v>75.81</v>
      </c>
      <c r="L126">
        <v>74.53</v>
      </c>
      <c r="M126">
        <v>75.56</v>
      </c>
    </row>
    <row r="127" spans="1:13" x14ac:dyDescent="0.2">
      <c r="A127" s="1">
        <v>126</v>
      </c>
      <c r="B127" t="s">
        <v>108</v>
      </c>
      <c r="C127">
        <v>75.23</v>
      </c>
      <c r="D127">
        <v>24</v>
      </c>
      <c r="E127">
        <v>11</v>
      </c>
      <c r="F127">
        <v>70.64</v>
      </c>
      <c r="G127">
        <v>0</v>
      </c>
      <c r="H127">
        <v>2</v>
      </c>
      <c r="I127">
        <v>0</v>
      </c>
      <c r="J127">
        <v>2</v>
      </c>
      <c r="K127">
        <v>74.11</v>
      </c>
      <c r="L127">
        <v>73.97</v>
      </c>
      <c r="M127">
        <v>79.11</v>
      </c>
    </row>
    <row r="128" spans="1:13" x14ac:dyDescent="0.2">
      <c r="A128" s="1">
        <v>127</v>
      </c>
      <c r="B128" t="s">
        <v>92</v>
      </c>
      <c r="C128">
        <v>75.150000000000006</v>
      </c>
      <c r="D128">
        <v>16</v>
      </c>
      <c r="E128">
        <v>15</v>
      </c>
      <c r="F128">
        <v>74.599999999999994</v>
      </c>
      <c r="G128">
        <v>1</v>
      </c>
      <c r="H128">
        <v>1</v>
      </c>
      <c r="I128">
        <v>1</v>
      </c>
      <c r="J128">
        <v>4</v>
      </c>
      <c r="K128">
        <v>75.5</v>
      </c>
      <c r="L128">
        <v>75.3</v>
      </c>
      <c r="M128">
        <v>73.489999999999995</v>
      </c>
    </row>
    <row r="129" spans="1:13" x14ac:dyDescent="0.2">
      <c r="A129" s="1">
        <v>128</v>
      </c>
      <c r="B129" t="s">
        <v>79</v>
      </c>
      <c r="C129">
        <v>75.13</v>
      </c>
      <c r="D129">
        <v>14</v>
      </c>
      <c r="E129">
        <v>19</v>
      </c>
      <c r="F129">
        <v>80.84</v>
      </c>
      <c r="G129">
        <v>1</v>
      </c>
      <c r="H129">
        <v>7</v>
      </c>
      <c r="I129">
        <v>3</v>
      </c>
      <c r="J129">
        <v>1</v>
      </c>
      <c r="K129">
        <v>74.45</v>
      </c>
      <c r="L129">
        <v>75.58</v>
      </c>
      <c r="M129">
        <v>74.67</v>
      </c>
    </row>
    <row r="130" spans="1:13" x14ac:dyDescent="0.2">
      <c r="A130" s="1">
        <v>129</v>
      </c>
      <c r="B130" t="s">
        <v>4</v>
      </c>
      <c r="C130">
        <v>75.05</v>
      </c>
      <c r="D130">
        <v>17</v>
      </c>
      <c r="E130">
        <v>16</v>
      </c>
      <c r="F130">
        <v>76.25</v>
      </c>
      <c r="G130">
        <v>1</v>
      </c>
      <c r="H130">
        <v>6</v>
      </c>
      <c r="I130">
        <v>3</v>
      </c>
      <c r="J130">
        <v>0</v>
      </c>
      <c r="K130">
        <v>75.39</v>
      </c>
      <c r="L130">
        <v>74.11</v>
      </c>
      <c r="M130">
        <v>75.39</v>
      </c>
    </row>
    <row r="131" spans="1:13" x14ac:dyDescent="0.2">
      <c r="A131" s="1">
        <v>130</v>
      </c>
      <c r="B131" t="s">
        <v>218</v>
      </c>
      <c r="C131">
        <v>75.02</v>
      </c>
      <c r="D131">
        <v>17</v>
      </c>
      <c r="E131">
        <v>16</v>
      </c>
      <c r="F131">
        <v>75.28</v>
      </c>
      <c r="G131">
        <v>0</v>
      </c>
      <c r="H131">
        <v>2</v>
      </c>
      <c r="I131">
        <v>0</v>
      </c>
      <c r="J131">
        <v>3</v>
      </c>
      <c r="K131">
        <v>74.72</v>
      </c>
      <c r="L131">
        <v>74.09</v>
      </c>
      <c r="M131">
        <v>76.52</v>
      </c>
    </row>
    <row r="132" spans="1:13" x14ac:dyDescent="0.2">
      <c r="A132" s="1">
        <v>131</v>
      </c>
      <c r="B132" t="s">
        <v>245</v>
      </c>
      <c r="C132">
        <v>74.98</v>
      </c>
      <c r="D132">
        <v>22</v>
      </c>
      <c r="E132">
        <v>10</v>
      </c>
      <c r="F132">
        <v>71.97</v>
      </c>
      <c r="G132">
        <v>0</v>
      </c>
      <c r="H132">
        <v>1</v>
      </c>
      <c r="I132">
        <v>0</v>
      </c>
      <c r="J132">
        <v>1</v>
      </c>
      <c r="K132">
        <v>73.87</v>
      </c>
      <c r="L132">
        <v>73.53</v>
      </c>
      <c r="M132">
        <v>79.28</v>
      </c>
    </row>
    <row r="133" spans="1:13" x14ac:dyDescent="0.2">
      <c r="A133" s="1">
        <v>132</v>
      </c>
      <c r="B133" t="s">
        <v>129</v>
      </c>
      <c r="C133">
        <v>74.930000000000007</v>
      </c>
      <c r="D133">
        <v>13</v>
      </c>
      <c r="E133">
        <v>18</v>
      </c>
      <c r="F133">
        <v>77.12</v>
      </c>
      <c r="G133">
        <v>0</v>
      </c>
      <c r="H133">
        <v>1</v>
      </c>
      <c r="I133">
        <v>1</v>
      </c>
      <c r="J133">
        <v>2</v>
      </c>
      <c r="K133">
        <v>75.37</v>
      </c>
      <c r="L133">
        <v>75.56</v>
      </c>
      <c r="M133">
        <v>72.28</v>
      </c>
    </row>
    <row r="134" spans="1:13" x14ac:dyDescent="0.2">
      <c r="A134" s="1">
        <v>133</v>
      </c>
      <c r="B134" t="s">
        <v>302</v>
      </c>
      <c r="C134">
        <v>74.84</v>
      </c>
      <c r="D134">
        <v>16</v>
      </c>
      <c r="E134">
        <v>17</v>
      </c>
      <c r="F134">
        <v>74.61</v>
      </c>
      <c r="G134">
        <v>1</v>
      </c>
      <c r="H134">
        <v>2</v>
      </c>
      <c r="I134">
        <v>1</v>
      </c>
      <c r="J134">
        <v>3</v>
      </c>
      <c r="K134">
        <v>74.400000000000006</v>
      </c>
      <c r="L134">
        <v>74.34</v>
      </c>
      <c r="M134">
        <v>75.709999999999994</v>
      </c>
    </row>
    <row r="135" spans="1:13" x14ac:dyDescent="0.2">
      <c r="A135" s="1">
        <v>134</v>
      </c>
      <c r="B135" t="s">
        <v>144</v>
      </c>
      <c r="C135">
        <v>74.8</v>
      </c>
      <c r="D135">
        <v>18</v>
      </c>
      <c r="E135">
        <v>14</v>
      </c>
      <c r="F135">
        <v>73.38</v>
      </c>
      <c r="G135">
        <v>0</v>
      </c>
      <c r="H135">
        <v>1</v>
      </c>
      <c r="I135">
        <v>1</v>
      </c>
      <c r="J135">
        <v>4</v>
      </c>
      <c r="K135">
        <v>73.8</v>
      </c>
      <c r="L135">
        <v>73.5</v>
      </c>
      <c r="M135">
        <v>78.5</v>
      </c>
    </row>
    <row r="136" spans="1:13" x14ac:dyDescent="0.2">
      <c r="A136" s="1">
        <v>135</v>
      </c>
      <c r="B136" t="s">
        <v>557</v>
      </c>
      <c r="C136">
        <v>74.709999999999994</v>
      </c>
      <c r="D136">
        <v>22</v>
      </c>
      <c r="E136">
        <v>11</v>
      </c>
      <c r="F136">
        <v>70.36</v>
      </c>
      <c r="G136">
        <v>0</v>
      </c>
      <c r="H136">
        <v>0</v>
      </c>
      <c r="I136">
        <v>0</v>
      </c>
      <c r="J136">
        <v>1</v>
      </c>
      <c r="K136">
        <v>74.92</v>
      </c>
      <c r="L136">
        <v>73.27</v>
      </c>
      <c r="M136">
        <v>76.3</v>
      </c>
    </row>
    <row r="137" spans="1:13" x14ac:dyDescent="0.2">
      <c r="A137" s="1">
        <v>136</v>
      </c>
      <c r="B137" t="s">
        <v>196</v>
      </c>
      <c r="C137">
        <v>74.510000000000005</v>
      </c>
      <c r="D137">
        <v>20</v>
      </c>
      <c r="E137">
        <v>18</v>
      </c>
      <c r="F137">
        <v>73.06</v>
      </c>
      <c r="G137">
        <v>0</v>
      </c>
      <c r="H137">
        <v>0</v>
      </c>
      <c r="I137">
        <v>0</v>
      </c>
      <c r="J137">
        <v>2</v>
      </c>
      <c r="K137">
        <v>74.790000000000006</v>
      </c>
      <c r="L137">
        <v>73.77</v>
      </c>
      <c r="M137">
        <v>74.61</v>
      </c>
    </row>
    <row r="138" spans="1:13" x14ac:dyDescent="0.2">
      <c r="A138" s="1">
        <v>137</v>
      </c>
      <c r="B138" t="s">
        <v>250</v>
      </c>
      <c r="C138">
        <v>74.48</v>
      </c>
      <c r="D138">
        <v>20</v>
      </c>
      <c r="E138">
        <v>13</v>
      </c>
      <c r="F138">
        <v>70.459999999999994</v>
      </c>
      <c r="G138">
        <v>0</v>
      </c>
      <c r="H138">
        <v>2</v>
      </c>
      <c r="I138">
        <v>0</v>
      </c>
      <c r="J138">
        <v>2</v>
      </c>
      <c r="K138">
        <v>74.27</v>
      </c>
      <c r="L138">
        <v>73.739999999999995</v>
      </c>
      <c r="M138">
        <v>75.42</v>
      </c>
    </row>
    <row r="139" spans="1:13" x14ac:dyDescent="0.2">
      <c r="A139" s="1">
        <v>138</v>
      </c>
      <c r="B139" t="s">
        <v>814</v>
      </c>
      <c r="C139">
        <v>74.36</v>
      </c>
      <c r="D139">
        <v>19</v>
      </c>
      <c r="E139">
        <v>15</v>
      </c>
      <c r="F139">
        <v>70.94</v>
      </c>
      <c r="G139">
        <v>0</v>
      </c>
      <c r="H139">
        <v>0</v>
      </c>
      <c r="I139">
        <v>0</v>
      </c>
      <c r="J139">
        <v>0</v>
      </c>
      <c r="K139">
        <v>74.349999999999994</v>
      </c>
      <c r="L139">
        <v>74.55</v>
      </c>
      <c r="M139">
        <v>73.23</v>
      </c>
    </row>
    <row r="140" spans="1:13" x14ac:dyDescent="0.2">
      <c r="A140" s="1">
        <v>139</v>
      </c>
      <c r="B140" t="s">
        <v>162</v>
      </c>
      <c r="C140">
        <v>74.27</v>
      </c>
      <c r="D140">
        <v>16</v>
      </c>
      <c r="E140">
        <v>14</v>
      </c>
      <c r="F140">
        <v>73.14</v>
      </c>
      <c r="G140">
        <v>0</v>
      </c>
      <c r="H140">
        <v>2</v>
      </c>
      <c r="I140">
        <v>0</v>
      </c>
      <c r="J140">
        <v>3</v>
      </c>
      <c r="K140">
        <v>74.72</v>
      </c>
      <c r="L140">
        <v>74.3</v>
      </c>
      <c r="M140">
        <v>72.650000000000006</v>
      </c>
    </row>
    <row r="141" spans="1:13" x14ac:dyDescent="0.2">
      <c r="A141" s="1">
        <v>140</v>
      </c>
      <c r="B141" t="s">
        <v>133</v>
      </c>
      <c r="C141">
        <v>74.260000000000005</v>
      </c>
      <c r="D141">
        <v>21</v>
      </c>
      <c r="E141">
        <v>13</v>
      </c>
      <c r="F141">
        <v>72.58</v>
      </c>
      <c r="G141">
        <v>0</v>
      </c>
      <c r="H141">
        <v>1</v>
      </c>
      <c r="I141">
        <v>0</v>
      </c>
      <c r="J141">
        <v>1</v>
      </c>
      <c r="K141">
        <v>73.83</v>
      </c>
      <c r="L141">
        <v>73.45</v>
      </c>
      <c r="M141">
        <v>75.709999999999994</v>
      </c>
    </row>
    <row r="142" spans="1:13" x14ac:dyDescent="0.2">
      <c r="A142" s="1">
        <v>141</v>
      </c>
      <c r="B142" t="s">
        <v>277</v>
      </c>
      <c r="C142">
        <v>74.23</v>
      </c>
      <c r="D142">
        <v>18</v>
      </c>
      <c r="E142">
        <v>11</v>
      </c>
      <c r="F142">
        <v>70.11</v>
      </c>
      <c r="G142">
        <v>0</v>
      </c>
      <c r="H142">
        <v>0</v>
      </c>
      <c r="I142">
        <v>0</v>
      </c>
      <c r="J142">
        <v>0</v>
      </c>
      <c r="K142">
        <v>74.510000000000005</v>
      </c>
      <c r="L142">
        <v>74.56</v>
      </c>
      <c r="M142">
        <v>72.31</v>
      </c>
    </row>
    <row r="143" spans="1:13" x14ac:dyDescent="0.2">
      <c r="A143" s="1">
        <v>142</v>
      </c>
      <c r="B143" t="s">
        <v>238</v>
      </c>
      <c r="C143">
        <v>74.19</v>
      </c>
      <c r="D143">
        <v>19</v>
      </c>
      <c r="E143">
        <v>15</v>
      </c>
      <c r="F143">
        <v>73.23</v>
      </c>
      <c r="G143">
        <v>0</v>
      </c>
      <c r="H143">
        <v>3</v>
      </c>
      <c r="I143">
        <v>0</v>
      </c>
      <c r="J143">
        <v>4</v>
      </c>
      <c r="K143">
        <v>73.45</v>
      </c>
      <c r="L143">
        <v>73.760000000000005</v>
      </c>
      <c r="M143">
        <v>75.45</v>
      </c>
    </row>
    <row r="144" spans="1:13" x14ac:dyDescent="0.2">
      <c r="A144" s="1">
        <v>143</v>
      </c>
      <c r="B144" t="s">
        <v>203</v>
      </c>
      <c r="C144">
        <v>74.150000000000006</v>
      </c>
      <c r="D144">
        <v>20</v>
      </c>
      <c r="E144">
        <v>12</v>
      </c>
      <c r="F144">
        <v>71.94</v>
      </c>
      <c r="G144">
        <v>0</v>
      </c>
      <c r="H144">
        <v>0</v>
      </c>
      <c r="I144">
        <v>0</v>
      </c>
      <c r="J144">
        <v>0</v>
      </c>
      <c r="K144">
        <v>74.05</v>
      </c>
      <c r="L144">
        <v>73.73</v>
      </c>
      <c r="M144">
        <v>74.260000000000005</v>
      </c>
    </row>
    <row r="145" spans="1:13" x14ac:dyDescent="0.2">
      <c r="A145" s="1">
        <v>144</v>
      </c>
      <c r="B145" t="s">
        <v>119</v>
      </c>
      <c r="C145">
        <v>74.09</v>
      </c>
      <c r="D145">
        <v>15</v>
      </c>
      <c r="E145">
        <v>17</v>
      </c>
      <c r="F145">
        <v>75.209999999999994</v>
      </c>
      <c r="G145">
        <v>0</v>
      </c>
      <c r="H145">
        <v>2</v>
      </c>
      <c r="I145">
        <v>0</v>
      </c>
      <c r="J145">
        <v>4</v>
      </c>
      <c r="K145">
        <v>74.13</v>
      </c>
      <c r="L145">
        <v>73.959999999999994</v>
      </c>
      <c r="M145">
        <v>73.430000000000007</v>
      </c>
    </row>
    <row r="146" spans="1:13" x14ac:dyDescent="0.2">
      <c r="A146" s="1">
        <v>145</v>
      </c>
      <c r="B146" t="s">
        <v>241</v>
      </c>
      <c r="C146">
        <v>74.05</v>
      </c>
      <c r="D146">
        <v>15</v>
      </c>
      <c r="E146">
        <v>15</v>
      </c>
      <c r="F146">
        <v>73.44</v>
      </c>
      <c r="G146">
        <v>0</v>
      </c>
      <c r="H146">
        <v>0</v>
      </c>
      <c r="I146">
        <v>0</v>
      </c>
      <c r="J146">
        <v>3</v>
      </c>
      <c r="K146">
        <v>73.959999999999994</v>
      </c>
      <c r="L146">
        <v>73.650000000000006</v>
      </c>
      <c r="M146">
        <v>74.12</v>
      </c>
    </row>
    <row r="147" spans="1:13" x14ac:dyDescent="0.2">
      <c r="A147" s="1">
        <v>146</v>
      </c>
      <c r="B147" t="s">
        <v>258</v>
      </c>
      <c r="C147">
        <v>73.89</v>
      </c>
      <c r="D147">
        <v>19</v>
      </c>
      <c r="E147">
        <v>12</v>
      </c>
      <c r="F147">
        <v>71.540000000000006</v>
      </c>
      <c r="G147">
        <v>0</v>
      </c>
      <c r="H147">
        <v>1</v>
      </c>
      <c r="I147">
        <v>0</v>
      </c>
      <c r="J147">
        <v>1</v>
      </c>
      <c r="K147">
        <v>74.66</v>
      </c>
      <c r="L147">
        <v>72.010000000000005</v>
      </c>
      <c r="M147">
        <v>75.31</v>
      </c>
    </row>
    <row r="148" spans="1:13" x14ac:dyDescent="0.2">
      <c r="A148" s="1">
        <v>147</v>
      </c>
      <c r="B148" t="s">
        <v>118</v>
      </c>
      <c r="C148">
        <v>73.86</v>
      </c>
      <c r="D148">
        <v>11</v>
      </c>
      <c r="E148">
        <v>20</v>
      </c>
      <c r="F148">
        <v>77.27</v>
      </c>
      <c r="G148">
        <v>0</v>
      </c>
      <c r="H148">
        <v>1</v>
      </c>
      <c r="I148">
        <v>1</v>
      </c>
      <c r="J148">
        <v>0</v>
      </c>
      <c r="K148">
        <v>74.69</v>
      </c>
      <c r="L148">
        <v>74.239999999999995</v>
      </c>
      <c r="M148">
        <v>70.95</v>
      </c>
    </row>
    <row r="149" spans="1:13" x14ac:dyDescent="0.2">
      <c r="A149" s="1">
        <v>148</v>
      </c>
      <c r="B149" t="s">
        <v>860</v>
      </c>
      <c r="C149">
        <v>73.81</v>
      </c>
      <c r="D149">
        <v>19</v>
      </c>
      <c r="E149">
        <v>13</v>
      </c>
      <c r="F149">
        <v>73.31</v>
      </c>
      <c r="G149">
        <v>0</v>
      </c>
      <c r="H149">
        <v>5</v>
      </c>
      <c r="I149">
        <v>0</v>
      </c>
      <c r="J149">
        <v>5</v>
      </c>
      <c r="K149">
        <v>73.5</v>
      </c>
      <c r="L149">
        <v>72.83</v>
      </c>
      <c r="M149">
        <v>75.37</v>
      </c>
    </row>
    <row r="150" spans="1:13" x14ac:dyDescent="0.2">
      <c r="A150" s="1">
        <v>149</v>
      </c>
      <c r="B150" t="s">
        <v>859</v>
      </c>
      <c r="C150">
        <v>73.77</v>
      </c>
      <c r="D150">
        <v>16</v>
      </c>
      <c r="E150">
        <v>13</v>
      </c>
      <c r="F150">
        <v>71.91</v>
      </c>
      <c r="G150">
        <v>0</v>
      </c>
      <c r="H150">
        <v>0</v>
      </c>
      <c r="I150">
        <v>0</v>
      </c>
      <c r="J150">
        <v>2</v>
      </c>
      <c r="K150">
        <v>73.180000000000007</v>
      </c>
      <c r="L150">
        <v>73.400000000000006</v>
      </c>
      <c r="M150">
        <v>74.650000000000006</v>
      </c>
    </row>
    <row r="151" spans="1:13" x14ac:dyDescent="0.2">
      <c r="A151" s="1">
        <v>150</v>
      </c>
      <c r="B151" t="s">
        <v>810</v>
      </c>
      <c r="C151">
        <v>73.75</v>
      </c>
      <c r="D151">
        <v>14</v>
      </c>
      <c r="E151">
        <v>16</v>
      </c>
      <c r="F151">
        <v>74.11</v>
      </c>
      <c r="G151">
        <v>0</v>
      </c>
      <c r="H151">
        <v>3</v>
      </c>
      <c r="I151">
        <v>0</v>
      </c>
      <c r="J151">
        <v>5</v>
      </c>
      <c r="K151">
        <v>73.489999999999995</v>
      </c>
      <c r="L151">
        <v>74.55</v>
      </c>
      <c r="M151">
        <v>71.900000000000006</v>
      </c>
    </row>
    <row r="152" spans="1:13" x14ac:dyDescent="0.2">
      <c r="A152" s="1">
        <v>151</v>
      </c>
      <c r="B152" t="s">
        <v>818</v>
      </c>
      <c r="C152">
        <v>73.62</v>
      </c>
      <c r="D152">
        <v>17</v>
      </c>
      <c r="E152">
        <v>16</v>
      </c>
      <c r="F152">
        <v>73.88</v>
      </c>
      <c r="G152">
        <v>0</v>
      </c>
      <c r="H152">
        <v>2</v>
      </c>
      <c r="I152">
        <v>1</v>
      </c>
      <c r="J152">
        <v>3</v>
      </c>
      <c r="K152">
        <v>73.2</v>
      </c>
      <c r="L152">
        <v>73.430000000000007</v>
      </c>
      <c r="M152">
        <v>73.84</v>
      </c>
    </row>
    <row r="153" spans="1:13" x14ac:dyDescent="0.2">
      <c r="A153" s="1">
        <v>152</v>
      </c>
      <c r="B153" t="s">
        <v>201</v>
      </c>
      <c r="C153">
        <v>73.59</v>
      </c>
      <c r="D153">
        <v>14</v>
      </c>
      <c r="E153">
        <v>16</v>
      </c>
      <c r="F153">
        <v>75.14</v>
      </c>
      <c r="G153">
        <v>0</v>
      </c>
      <c r="H153">
        <v>2</v>
      </c>
      <c r="I153">
        <v>0</v>
      </c>
      <c r="J153">
        <v>2</v>
      </c>
      <c r="K153">
        <v>73.150000000000006</v>
      </c>
      <c r="L153">
        <v>72.67</v>
      </c>
      <c r="M153">
        <v>75.3</v>
      </c>
    </row>
    <row r="154" spans="1:13" x14ac:dyDescent="0.2">
      <c r="A154" s="1">
        <v>153</v>
      </c>
      <c r="B154" t="s">
        <v>205</v>
      </c>
      <c r="C154">
        <v>73.23</v>
      </c>
      <c r="D154">
        <v>13</v>
      </c>
      <c r="E154">
        <v>17</v>
      </c>
      <c r="F154">
        <v>74.489999999999995</v>
      </c>
      <c r="G154">
        <v>0</v>
      </c>
      <c r="H154">
        <v>1</v>
      </c>
      <c r="I154">
        <v>1</v>
      </c>
      <c r="J154">
        <v>7</v>
      </c>
      <c r="K154">
        <v>73.3</v>
      </c>
      <c r="L154">
        <v>73.260000000000005</v>
      </c>
      <c r="M154">
        <v>72.22</v>
      </c>
    </row>
    <row r="155" spans="1:13" x14ac:dyDescent="0.2">
      <c r="A155" s="1">
        <v>154</v>
      </c>
      <c r="B155" t="s">
        <v>122</v>
      </c>
      <c r="C155">
        <v>73.209999999999994</v>
      </c>
      <c r="D155">
        <v>7</v>
      </c>
      <c r="E155">
        <v>24</v>
      </c>
      <c r="F155">
        <v>80.459999999999994</v>
      </c>
      <c r="G155">
        <v>1</v>
      </c>
      <c r="H155">
        <v>5</v>
      </c>
      <c r="I155">
        <v>1</v>
      </c>
      <c r="J155">
        <v>2</v>
      </c>
      <c r="K155">
        <v>74.25</v>
      </c>
      <c r="L155">
        <v>74.66</v>
      </c>
      <c r="M155">
        <v>67.77</v>
      </c>
    </row>
    <row r="156" spans="1:13" x14ac:dyDescent="0.2">
      <c r="A156" s="1">
        <v>155</v>
      </c>
      <c r="B156" t="s">
        <v>839</v>
      </c>
      <c r="C156">
        <v>73.180000000000007</v>
      </c>
      <c r="D156">
        <v>13</v>
      </c>
      <c r="E156">
        <v>17</v>
      </c>
      <c r="F156">
        <v>74.48</v>
      </c>
      <c r="G156">
        <v>0</v>
      </c>
      <c r="H156">
        <v>3</v>
      </c>
      <c r="I156">
        <v>0</v>
      </c>
      <c r="J156">
        <v>6</v>
      </c>
      <c r="K156">
        <v>73.430000000000007</v>
      </c>
      <c r="L156">
        <v>73.47</v>
      </c>
      <c r="M156">
        <v>71.38</v>
      </c>
    </row>
    <row r="157" spans="1:13" x14ac:dyDescent="0.2">
      <c r="A157" s="1">
        <v>156</v>
      </c>
      <c r="B157" t="s">
        <v>112</v>
      </c>
      <c r="C157">
        <v>73.16</v>
      </c>
      <c r="D157">
        <v>9</v>
      </c>
      <c r="E157">
        <v>22</v>
      </c>
      <c r="F157">
        <v>78.150000000000006</v>
      </c>
      <c r="G157">
        <v>0</v>
      </c>
      <c r="H157">
        <v>7</v>
      </c>
      <c r="I157">
        <v>2</v>
      </c>
      <c r="J157">
        <v>1</v>
      </c>
      <c r="K157">
        <v>73.400000000000006</v>
      </c>
      <c r="L157">
        <v>73.87</v>
      </c>
      <c r="M157">
        <v>70.569999999999993</v>
      </c>
    </row>
    <row r="158" spans="1:13" x14ac:dyDescent="0.2">
      <c r="A158" s="1">
        <v>157</v>
      </c>
      <c r="B158" t="s">
        <v>877</v>
      </c>
      <c r="C158">
        <v>73.150000000000006</v>
      </c>
      <c r="D158">
        <v>10</v>
      </c>
      <c r="E158">
        <v>21</v>
      </c>
      <c r="F158">
        <v>79.66</v>
      </c>
      <c r="G158">
        <v>0</v>
      </c>
      <c r="H158">
        <v>4</v>
      </c>
      <c r="I158">
        <v>1</v>
      </c>
      <c r="J158">
        <v>1</v>
      </c>
      <c r="K158">
        <v>73.66</v>
      </c>
      <c r="L158">
        <v>73.36</v>
      </c>
      <c r="M158">
        <v>71.06</v>
      </c>
    </row>
    <row r="159" spans="1:13" x14ac:dyDescent="0.2">
      <c r="A159" s="1">
        <v>158</v>
      </c>
      <c r="B159" t="s">
        <v>263</v>
      </c>
      <c r="C159">
        <v>72.97</v>
      </c>
      <c r="D159">
        <v>20</v>
      </c>
      <c r="E159">
        <v>14</v>
      </c>
      <c r="F159">
        <v>70.48</v>
      </c>
      <c r="G159">
        <v>0</v>
      </c>
      <c r="H159">
        <v>1</v>
      </c>
      <c r="I159">
        <v>0</v>
      </c>
      <c r="J159">
        <v>3</v>
      </c>
      <c r="K159">
        <v>72.760000000000005</v>
      </c>
      <c r="L159">
        <v>72.510000000000005</v>
      </c>
      <c r="M159">
        <v>73.38</v>
      </c>
    </row>
    <row r="160" spans="1:13" x14ac:dyDescent="0.2">
      <c r="A160" s="1">
        <v>159</v>
      </c>
      <c r="B160" t="s">
        <v>907</v>
      </c>
      <c r="C160">
        <v>72.89</v>
      </c>
      <c r="D160">
        <v>22</v>
      </c>
      <c r="E160">
        <v>11</v>
      </c>
      <c r="F160">
        <v>67.09</v>
      </c>
      <c r="G160">
        <v>0</v>
      </c>
      <c r="H160">
        <v>0</v>
      </c>
      <c r="I160">
        <v>0</v>
      </c>
      <c r="J160">
        <v>1</v>
      </c>
      <c r="K160">
        <v>73.16</v>
      </c>
      <c r="L160">
        <v>71.98</v>
      </c>
      <c r="M160">
        <v>73.28</v>
      </c>
    </row>
    <row r="161" spans="1:13" x14ac:dyDescent="0.2">
      <c r="A161" s="1">
        <v>160</v>
      </c>
      <c r="B161" t="s">
        <v>874</v>
      </c>
      <c r="C161">
        <v>72.88</v>
      </c>
      <c r="D161">
        <v>11</v>
      </c>
      <c r="E161">
        <v>18</v>
      </c>
      <c r="F161">
        <v>77.03</v>
      </c>
      <c r="G161">
        <v>0</v>
      </c>
      <c r="H161">
        <v>7</v>
      </c>
      <c r="I161">
        <v>0</v>
      </c>
      <c r="J161">
        <v>2</v>
      </c>
      <c r="K161">
        <v>72.510000000000005</v>
      </c>
      <c r="L161">
        <v>73.33</v>
      </c>
      <c r="M161">
        <v>71.84</v>
      </c>
    </row>
    <row r="162" spans="1:13" x14ac:dyDescent="0.2">
      <c r="A162" s="1">
        <v>161</v>
      </c>
      <c r="B162" t="s">
        <v>88</v>
      </c>
      <c r="C162">
        <v>72.66</v>
      </c>
      <c r="D162">
        <v>12</v>
      </c>
      <c r="E162">
        <v>19</v>
      </c>
      <c r="F162">
        <v>75.38</v>
      </c>
      <c r="G162">
        <v>0</v>
      </c>
      <c r="H162">
        <v>3</v>
      </c>
      <c r="I162">
        <v>0</v>
      </c>
      <c r="J162">
        <v>3</v>
      </c>
      <c r="K162">
        <v>72.209999999999994</v>
      </c>
      <c r="L162">
        <v>73.23</v>
      </c>
      <c r="M162">
        <v>71.55</v>
      </c>
    </row>
    <row r="163" spans="1:13" x14ac:dyDescent="0.2">
      <c r="A163" s="1">
        <v>162</v>
      </c>
      <c r="B163" t="s">
        <v>121</v>
      </c>
      <c r="C163">
        <v>72.52</v>
      </c>
      <c r="D163">
        <v>19</v>
      </c>
      <c r="E163">
        <v>12</v>
      </c>
      <c r="F163">
        <v>71.05</v>
      </c>
      <c r="G163">
        <v>0</v>
      </c>
      <c r="H163">
        <v>2</v>
      </c>
      <c r="I163">
        <v>0</v>
      </c>
      <c r="J163">
        <v>2</v>
      </c>
      <c r="K163">
        <v>72.27</v>
      </c>
      <c r="L163">
        <v>71.36</v>
      </c>
      <c r="M163">
        <v>74.31</v>
      </c>
    </row>
    <row r="164" spans="1:13" x14ac:dyDescent="0.2">
      <c r="A164" s="1">
        <v>163</v>
      </c>
      <c r="B164" t="s">
        <v>280</v>
      </c>
      <c r="C164">
        <v>72.5</v>
      </c>
      <c r="D164">
        <v>18</v>
      </c>
      <c r="E164">
        <v>18</v>
      </c>
      <c r="F164">
        <v>72.19</v>
      </c>
      <c r="G164">
        <v>0</v>
      </c>
      <c r="H164">
        <v>0</v>
      </c>
      <c r="I164">
        <v>0</v>
      </c>
      <c r="J164">
        <v>3</v>
      </c>
      <c r="K164">
        <v>72.22</v>
      </c>
      <c r="L164">
        <v>71.930000000000007</v>
      </c>
      <c r="M164">
        <v>73.239999999999995</v>
      </c>
    </row>
    <row r="165" spans="1:13" x14ac:dyDescent="0.2">
      <c r="A165" s="1">
        <v>164</v>
      </c>
      <c r="B165" t="s">
        <v>249</v>
      </c>
      <c r="C165">
        <v>72.5</v>
      </c>
      <c r="D165">
        <v>20</v>
      </c>
      <c r="E165">
        <v>14</v>
      </c>
      <c r="F165">
        <v>72.22</v>
      </c>
      <c r="G165">
        <v>0</v>
      </c>
      <c r="H165">
        <v>2</v>
      </c>
      <c r="I165">
        <v>0</v>
      </c>
      <c r="J165">
        <v>2</v>
      </c>
      <c r="K165">
        <v>71.849999999999994</v>
      </c>
      <c r="L165">
        <v>71.38</v>
      </c>
      <c r="M165">
        <v>74.92</v>
      </c>
    </row>
    <row r="166" spans="1:13" x14ac:dyDescent="0.2">
      <c r="A166" s="1">
        <v>165</v>
      </c>
      <c r="B166" t="s">
        <v>815</v>
      </c>
      <c r="C166">
        <v>72.400000000000006</v>
      </c>
      <c r="D166">
        <v>17</v>
      </c>
      <c r="E166">
        <v>13</v>
      </c>
      <c r="F166">
        <v>70.05</v>
      </c>
      <c r="G166">
        <v>0</v>
      </c>
      <c r="H166">
        <v>0</v>
      </c>
      <c r="I166">
        <v>0</v>
      </c>
      <c r="J166">
        <v>0</v>
      </c>
      <c r="K166">
        <v>71.8</v>
      </c>
      <c r="L166">
        <v>72.72</v>
      </c>
      <c r="M166">
        <v>72</v>
      </c>
    </row>
    <row r="167" spans="1:13" x14ac:dyDescent="0.2">
      <c r="A167" s="1">
        <v>166</v>
      </c>
      <c r="B167" t="s">
        <v>251</v>
      </c>
      <c r="C167">
        <v>72.38</v>
      </c>
      <c r="D167">
        <v>22</v>
      </c>
      <c r="E167">
        <v>14</v>
      </c>
      <c r="F167">
        <v>70.3</v>
      </c>
      <c r="G167">
        <v>0</v>
      </c>
      <c r="H167">
        <v>2</v>
      </c>
      <c r="I167">
        <v>0</v>
      </c>
      <c r="J167">
        <v>2</v>
      </c>
      <c r="K167">
        <v>70.709999999999994</v>
      </c>
      <c r="L167">
        <v>71.430000000000007</v>
      </c>
      <c r="M167">
        <v>76.349999999999994</v>
      </c>
    </row>
    <row r="168" spans="1:13" x14ac:dyDescent="0.2">
      <c r="A168" s="1">
        <v>167</v>
      </c>
      <c r="B168" t="s">
        <v>97</v>
      </c>
      <c r="C168">
        <v>72.38</v>
      </c>
      <c r="D168">
        <v>12</v>
      </c>
      <c r="E168">
        <v>21</v>
      </c>
      <c r="F168">
        <v>79.03</v>
      </c>
      <c r="G168">
        <v>0</v>
      </c>
      <c r="H168">
        <v>6</v>
      </c>
      <c r="I168">
        <v>0</v>
      </c>
      <c r="J168">
        <v>0</v>
      </c>
      <c r="K168">
        <v>72.16</v>
      </c>
      <c r="L168">
        <v>71.819999999999993</v>
      </c>
      <c r="M168">
        <v>72.989999999999995</v>
      </c>
    </row>
    <row r="169" spans="1:13" x14ac:dyDescent="0.2">
      <c r="A169" s="1">
        <v>168</v>
      </c>
      <c r="B169" t="s">
        <v>820</v>
      </c>
      <c r="C169">
        <v>72.319999999999993</v>
      </c>
      <c r="D169">
        <v>18</v>
      </c>
      <c r="E169">
        <v>14</v>
      </c>
      <c r="F169">
        <v>70.430000000000007</v>
      </c>
      <c r="G169">
        <v>0</v>
      </c>
      <c r="H169">
        <v>2</v>
      </c>
      <c r="I169">
        <v>0</v>
      </c>
      <c r="J169">
        <v>2</v>
      </c>
      <c r="K169">
        <v>71.790000000000006</v>
      </c>
      <c r="L169">
        <v>71.459999999999994</v>
      </c>
      <c r="M169">
        <v>74.03</v>
      </c>
    </row>
    <row r="170" spans="1:13" x14ac:dyDescent="0.2">
      <c r="A170" s="1">
        <v>169</v>
      </c>
      <c r="B170" t="s">
        <v>176</v>
      </c>
      <c r="C170">
        <v>72.290000000000006</v>
      </c>
      <c r="D170">
        <v>20</v>
      </c>
      <c r="E170">
        <v>13</v>
      </c>
      <c r="F170">
        <v>68.010000000000005</v>
      </c>
      <c r="G170">
        <v>0</v>
      </c>
      <c r="H170">
        <v>0</v>
      </c>
      <c r="I170">
        <v>0</v>
      </c>
      <c r="J170">
        <v>1</v>
      </c>
      <c r="K170">
        <v>72.13</v>
      </c>
      <c r="L170">
        <v>72.16</v>
      </c>
      <c r="M170">
        <v>71.98</v>
      </c>
    </row>
    <row r="171" spans="1:13" x14ac:dyDescent="0.2">
      <c r="A171" s="1">
        <v>170</v>
      </c>
      <c r="B171" t="s">
        <v>252</v>
      </c>
      <c r="C171">
        <v>72.290000000000006</v>
      </c>
      <c r="D171">
        <v>16</v>
      </c>
      <c r="E171">
        <v>14</v>
      </c>
      <c r="F171">
        <v>70.81</v>
      </c>
      <c r="G171">
        <v>0</v>
      </c>
      <c r="H171">
        <v>0</v>
      </c>
      <c r="I171">
        <v>0</v>
      </c>
      <c r="J171">
        <v>1</v>
      </c>
      <c r="K171">
        <v>72.37</v>
      </c>
      <c r="L171">
        <v>72.010000000000005</v>
      </c>
      <c r="M171">
        <v>71.83</v>
      </c>
    </row>
    <row r="172" spans="1:13" x14ac:dyDescent="0.2">
      <c r="A172" s="1">
        <v>171</v>
      </c>
      <c r="B172" t="s">
        <v>284</v>
      </c>
      <c r="C172">
        <v>72.23</v>
      </c>
      <c r="D172">
        <v>15</v>
      </c>
      <c r="E172">
        <v>16</v>
      </c>
      <c r="F172">
        <v>72.61</v>
      </c>
      <c r="G172">
        <v>0</v>
      </c>
      <c r="H172">
        <v>0</v>
      </c>
      <c r="I172">
        <v>0</v>
      </c>
      <c r="J172">
        <v>1</v>
      </c>
      <c r="K172">
        <v>72.23</v>
      </c>
      <c r="L172">
        <v>72.58</v>
      </c>
      <c r="M172">
        <v>70.739999999999995</v>
      </c>
    </row>
    <row r="173" spans="1:13" x14ac:dyDescent="0.2">
      <c r="A173" s="1">
        <v>172</v>
      </c>
      <c r="B173" t="s">
        <v>903</v>
      </c>
      <c r="C173">
        <v>72.12</v>
      </c>
      <c r="D173">
        <v>19</v>
      </c>
      <c r="E173">
        <v>15</v>
      </c>
      <c r="F173">
        <v>69.2</v>
      </c>
      <c r="G173">
        <v>0</v>
      </c>
      <c r="H173">
        <v>2</v>
      </c>
      <c r="I173">
        <v>0</v>
      </c>
      <c r="J173">
        <v>2</v>
      </c>
      <c r="K173">
        <v>71.62</v>
      </c>
      <c r="L173">
        <v>71.489999999999995</v>
      </c>
      <c r="M173">
        <v>73.33</v>
      </c>
    </row>
    <row r="174" spans="1:13" x14ac:dyDescent="0.2">
      <c r="A174" s="1">
        <v>173</v>
      </c>
      <c r="B174" t="s">
        <v>136</v>
      </c>
      <c r="C174">
        <v>72.099999999999994</v>
      </c>
      <c r="D174">
        <v>13</v>
      </c>
      <c r="E174">
        <v>19</v>
      </c>
      <c r="F174">
        <v>73.150000000000006</v>
      </c>
      <c r="G174">
        <v>0</v>
      </c>
      <c r="H174">
        <v>2</v>
      </c>
      <c r="I174">
        <v>0</v>
      </c>
      <c r="J174">
        <v>3</v>
      </c>
      <c r="K174">
        <v>71.400000000000006</v>
      </c>
      <c r="L174">
        <v>72.48</v>
      </c>
      <c r="M174">
        <v>71.75</v>
      </c>
    </row>
    <row r="175" spans="1:13" x14ac:dyDescent="0.2">
      <c r="A175" s="1">
        <v>174</v>
      </c>
      <c r="B175" t="s">
        <v>66</v>
      </c>
      <c r="C175">
        <v>72.02</v>
      </c>
      <c r="D175">
        <v>16</v>
      </c>
      <c r="E175">
        <v>13</v>
      </c>
      <c r="F175">
        <v>71.42</v>
      </c>
      <c r="G175">
        <v>0</v>
      </c>
      <c r="H175">
        <v>0</v>
      </c>
      <c r="I175">
        <v>1</v>
      </c>
      <c r="J175">
        <v>2</v>
      </c>
      <c r="K175">
        <v>71.38</v>
      </c>
      <c r="L175">
        <v>72.69</v>
      </c>
      <c r="M175">
        <v>71.03</v>
      </c>
    </row>
    <row r="176" spans="1:13" x14ac:dyDescent="0.2">
      <c r="A176" s="1">
        <v>175</v>
      </c>
      <c r="B176" t="s">
        <v>816</v>
      </c>
      <c r="C176">
        <v>71.92</v>
      </c>
      <c r="D176">
        <v>17</v>
      </c>
      <c r="E176">
        <v>12</v>
      </c>
      <c r="F176">
        <v>67.37</v>
      </c>
      <c r="G176">
        <v>0</v>
      </c>
      <c r="H176">
        <v>2</v>
      </c>
      <c r="I176">
        <v>0</v>
      </c>
      <c r="J176">
        <v>2</v>
      </c>
      <c r="K176">
        <v>72.05</v>
      </c>
      <c r="L176">
        <v>72.239999999999995</v>
      </c>
      <c r="M176">
        <v>70.23</v>
      </c>
    </row>
    <row r="177" spans="1:13" x14ac:dyDescent="0.2">
      <c r="A177" s="1">
        <v>176</v>
      </c>
      <c r="B177" t="s">
        <v>231</v>
      </c>
      <c r="C177">
        <v>71.89</v>
      </c>
      <c r="D177">
        <v>17</v>
      </c>
      <c r="E177">
        <v>15</v>
      </c>
      <c r="F177">
        <v>69.17</v>
      </c>
      <c r="G177">
        <v>0</v>
      </c>
      <c r="H177">
        <v>2</v>
      </c>
      <c r="I177">
        <v>0</v>
      </c>
      <c r="J177">
        <v>2</v>
      </c>
      <c r="K177">
        <v>72.14</v>
      </c>
      <c r="L177">
        <v>71.849999999999994</v>
      </c>
      <c r="M177">
        <v>70.72</v>
      </c>
    </row>
    <row r="178" spans="1:13" x14ac:dyDescent="0.2">
      <c r="A178" s="1">
        <v>177</v>
      </c>
      <c r="B178" t="s">
        <v>41</v>
      </c>
      <c r="C178">
        <v>71.75</v>
      </c>
      <c r="D178">
        <v>9</v>
      </c>
      <c r="E178">
        <v>22</v>
      </c>
      <c r="F178">
        <v>77.88</v>
      </c>
      <c r="G178">
        <v>0</v>
      </c>
      <c r="H178">
        <v>6</v>
      </c>
      <c r="I178">
        <v>0</v>
      </c>
      <c r="J178">
        <v>1</v>
      </c>
      <c r="K178">
        <v>72.48</v>
      </c>
      <c r="L178">
        <v>72.510000000000005</v>
      </c>
      <c r="M178">
        <v>68.069999999999993</v>
      </c>
    </row>
    <row r="179" spans="1:13" x14ac:dyDescent="0.2">
      <c r="A179" s="1">
        <v>178</v>
      </c>
      <c r="B179" t="s">
        <v>166</v>
      </c>
      <c r="C179">
        <v>71.650000000000006</v>
      </c>
      <c r="D179">
        <v>18</v>
      </c>
      <c r="E179">
        <v>12</v>
      </c>
      <c r="F179">
        <v>67.42</v>
      </c>
      <c r="G179">
        <v>0</v>
      </c>
      <c r="H179">
        <v>0</v>
      </c>
      <c r="I179">
        <v>0</v>
      </c>
      <c r="J179">
        <v>0</v>
      </c>
      <c r="K179">
        <v>71.31</v>
      </c>
      <c r="L179">
        <v>70.83</v>
      </c>
      <c r="M179">
        <v>72.95</v>
      </c>
    </row>
    <row r="180" spans="1:13" x14ac:dyDescent="0.2">
      <c r="A180" s="1">
        <v>179</v>
      </c>
      <c r="B180" t="s">
        <v>172</v>
      </c>
      <c r="C180">
        <v>71.62</v>
      </c>
      <c r="D180">
        <v>12</v>
      </c>
      <c r="E180">
        <v>19</v>
      </c>
      <c r="F180">
        <v>76.040000000000006</v>
      </c>
      <c r="G180">
        <v>0</v>
      </c>
      <c r="H180">
        <v>3</v>
      </c>
      <c r="I180">
        <v>0</v>
      </c>
      <c r="J180">
        <v>3</v>
      </c>
      <c r="K180">
        <v>70.989999999999995</v>
      </c>
      <c r="L180">
        <v>71.510000000000005</v>
      </c>
      <c r="M180">
        <v>72.069999999999993</v>
      </c>
    </row>
    <row r="181" spans="1:13" x14ac:dyDescent="0.2">
      <c r="A181" s="1">
        <v>180</v>
      </c>
      <c r="B181" t="s">
        <v>904</v>
      </c>
      <c r="C181">
        <v>71.56</v>
      </c>
      <c r="D181">
        <v>14</v>
      </c>
      <c r="E181">
        <v>15</v>
      </c>
      <c r="F181">
        <v>71.11</v>
      </c>
      <c r="G181">
        <v>0</v>
      </c>
      <c r="H181">
        <v>0</v>
      </c>
      <c r="I181">
        <v>0</v>
      </c>
      <c r="J181">
        <v>2</v>
      </c>
      <c r="K181">
        <v>72.39</v>
      </c>
      <c r="L181">
        <v>71.349999999999994</v>
      </c>
      <c r="M181">
        <v>69.64</v>
      </c>
    </row>
    <row r="182" spans="1:13" x14ac:dyDescent="0.2">
      <c r="A182" s="1">
        <v>181</v>
      </c>
      <c r="B182" t="s">
        <v>807</v>
      </c>
      <c r="C182">
        <v>71.47</v>
      </c>
      <c r="D182">
        <v>9</v>
      </c>
      <c r="E182">
        <v>21</v>
      </c>
      <c r="F182">
        <v>79.09</v>
      </c>
      <c r="G182">
        <v>1</v>
      </c>
      <c r="H182">
        <v>2</v>
      </c>
      <c r="I182">
        <v>2</v>
      </c>
      <c r="J182">
        <v>0</v>
      </c>
      <c r="K182">
        <v>71.47</v>
      </c>
      <c r="L182">
        <v>71.5</v>
      </c>
      <c r="M182">
        <v>70.58</v>
      </c>
    </row>
    <row r="183" spans="1:13" x14ac:dyDescent="0.2">
      <c r="A183" s="1">
        <v>182</v>
      </c>
      <c r="B183" t="s">
        <v>123</v>
      </c>
      <c r="C183">
        <v>71.459999999999994</v>
      </c>
      <c r="D183">
        <v>17</v>
      </c>
      <c r="E183">
        <v>13</v>
      </c>
      <c r="F183">
        <v>68.19</v>
      </c>
      <c r="G183">
        <v>0</v>
      </c>
      <c r="H183">
        <v>1</v>
      </c>
      <c r="I183">
        <v>0</v>
      </c>
      <c r="J183">
        <v>4</v>
      </c>
      <c r="K183">
        <v>71.47</v>
      </c>
      <c r="L183">
        <v>70.260000000000005</v>
      </c>
      <c r="M183">
        <v>72.849999999999994</v>
      </c>
    </row>
    <row r="184" spans="1:13" x14ac:dyDescent="0.2">
      <c r="A184" s="1">
        <v>183</v>
      </c>
      <c r="B184" t="s">
        <v>898</v>
      </c>
      <c r="C184">
        <v>71.36</v>
      </c>
      <c r="D184">
        <v>16</v>
      </c>
      <c r="E184">
        <v>13</v>
      </c>
      <c r="F184">
        <v>65.36</v>
      </c>
      <c r="G184">
        <v>0</v>
      </c>
      <c r="H184">
        <v>3</v>
      </c>
      <c r="I184">
        <v>0</v>
      </c>
      <c r="J184">
        <v>4</v>
      </c>
      <c r="K184">
        <v>71.81</v>
      </c>
      <c r="L184">
        <v>70.05</v>
      </c>
      <c r="M184">
        <v>72.16</v>
      </c>
    </row>
    <row r="185" spans="1:13" x14ac:dyDescent="0.2">
      <c r="A185" s="1">
        <v>184</v>
      </c>
      <c r="B185" t="s">
        <v>71</v>
      </c>
      <c r="C185">
        <v>71.31</v>
      </c>
      <c r="D185">
        <v>11</v>
      </c>
      <c r="E185">
        <v>21</v>
      </c>
      <c r="F185">
        <v>76.37</v>
      </c>
      <c r="G185">
        <v>0</v>
      </c>
      <c r="H185">
        <v>7</v>
      </c>
      <c r="I185">
        <v>0</v>
      </c>
      <c r="J185">
        <v>2</v>
      </c>
      <c r="K185">
        <v>71.58</v>
      </c>
      <c r="L185">
        <v>70.64</v>
      </c>
      <c r="M185">
        <v>71.260000000000005</v>
      </c>
    </row>
    <row r="186" spans="1:13" x14ac:dyDescent="0.2">
      <c r="A186" s="1">
        <v>185</v>
      </c>
      <c r="B186" t="s">
        <v>285</v>
      </c>
      <c r="C186">
        <v>71.260000000000005</v>
      </c>
      <c r="D186">
        <v>17</v>
      </c>
      <c r="E186">
        <v>14</v>
      </c>
      <c r="F186">
        <v>71.010000000000005</v>
      </c>
      <c r="G186">
        <v>1</v>
      </c>
      <c r="H186">
        <v>0</v>
      </c>
      <c r="I186">
        <v>2</v>
      </c>
      <c r="J186">
        <v>3</v>
      </c>
      <c r="K186">
        <v>70.61</v>
      </c>
      <c r="L186">
        <v>71.38</v>
      </c>
      <c r="M186">
        <v>71.3</v>
      </c>
    </row>
    <row r="187" spans="1:13" x14ac:dyDescent="0.2">
      <c r="A187" s="1">
        <v>186</v>
      </c>
      <c r="B187" t="s">
        <v>279</v>
      </c>
      <c r="C187">
        <v>71.22</v>
      </c>
      <c r="D187">
        <v>18</v>
      </c>
      <c r="E187">
        <v>13</v>
      </c>
      <c r="F187">
        <v>68.900000000000006</v>
      </c>
      <c r="G187">
        <v>0</v>
      </c>
      <c r="H187">
        <v>0</v>
      </c>
      <c r="I187">
        <v>0</v>
      </c>
      <c r="J187">
        <v>0</v>
      </c>
      <c r="K187">
        <v>70.92</v>
      </c>
      <c r="L187">
        <v>69.680000000000007</v>
      </c>
      <c r="M187">
        <v>73.73</v>
      </c>
    </row>
    <row r="188" spans="1:13" x14ac:dyDescent="0.2">
      <c r="A188" s="1">
        <v>187</v>
      </c>
      <c r="B188" t="s">
        <v>791</v>
      </c>
      <c r="C188">
        <v>71.17</v>
      </c>
      <c r="D188">
        <v>14</v>
      </c>
      <c r="E188">
        <v>19</v>
      </c>
      <c r="F188">
        <v>75.510000000000005</v>
      </c>
      <c r="G188">
        <v>0</v>
      </c>
      <c r="H188">
        <v>4</v>
      </c>
      <c r="I188">
        <v>0</v>
      </c>
      <c r="J188">
        <v>5</v>
      </c>
      <c r="K188">
        <v>71.27</v>
      </c>
      <c r="L188">
        <v>70.430000000000007</v>
      </c>
      <c r="M188">
        <v>71.52</v>
      </c>
    </row>
    <row r="189" spans="1:13" x14ac:dyDescent="0.2">
      <c r="A189" s="1">
        <v>188</v>
      </c>
      <c r="B189" t="s">
        <v>298</v>
      </c>
      <c r="C189">
        <v>71.03</v>
      </c>
      <c r="D189">
        <v>14</v>
      </c>
      <c r="E189">
        <v>14</v>
      </c>
      <c r="F189">
        <v>70.02</v>
      </c>
      <c r="G189">
        <v>0</v>
      </c>
      <c r="H189">
        <v>0</v>
      </c>
      <c r="I189">
        <v>0</v>
      </c>
      <c r="J189">
        <v>3</v>
      </c>
      <c r="K189">
        <v>70.88</v>
      </c>
      <c r="L189">
        <v>72.05</v>
      </c>
      <c r="M189">
        <v>68.42</v>
      </c>
    </row>
    <row r="190" spans="1:13" x14ac:dyDescent="0.2">
      <c r="A190" s="1">
        <v>189</v>
      </c>
      <c r="B190" t="s">
        <v>868</v>
      </c>
      <c r="C190">
        <v>70.98</v>
      </c>
      <c r="D190">
        <v>15</v>
      </c>
      <c r="E190">
        <v>14</v>
      </c>
      <c r="F190">
        <v>69.209999999999994</v>
      </c>
      <c r="G190">
        <v>0</v>
      </c>
      <c r="H190">
        <v>1</v>
      </c>
      <c r="I190">
        <v>0</v>
      </c>
      <c r="J190">
        <v>3</v>
      </c>
      <c r="K190">
        <v>69.78</v>
      </c>
      <c r="L190">
        <v>70.47</v>
      </c>
      <c r="M190">
        <v>73.150000000000006</v>
      </c>
    </row>
    <row r="191" spans="1:13" x14ac:dyDescent="0.2">
      <c r="A191" s="1">
        <v>190</v>
      </c>
      <c r="B191" t="s">
        <v>91</v>
      </c>
      <c r="C191">
        <v>70.97</v>
      </c>
      <c r="D191">
        <v>14</v>
      </c>
      <c r="E191">
        <v>16</v>
      </c>
      <c r="F191">
        <v>72.849999999999994</v>
      </c>
      <c r="G191">
        <v>0</v>
      </c>
      <c r="H191">
        <v>2</v>
      </c>
      <c r="I191">
        <v>0</v>
      </c>
      <c r="J191">
        <v>3</v>
      </c>
      <c r="K191">
        <v>70.52</v>
      </c>
      <c r="L191">
        <v>71.010000000000005</v>
      </c>
      <c r="M191">
        <v>70.819999999999993</v>
      </c>
    </row>
    <row r="192" spans="1:13" x14ac:dyDescent="0.2">
      <c r="A192" s="1">
        <v>191</v>
      </c>
      <c r="B192" t="s">
        <v>831</v>
      </c>
      <c r="C192">
        <v>70.94</v>
      </c>
      <c r="D192">
        <v>12</v>
      </c>
      <c r="E192">
        <v>17</v>
      </c>
      <c r="F192">
        <v>72.03</v>
      </c>
      <c r="G192">
        <v>0</v>
      </c>
      <c r="H192">
        <v>1</v>
      </c>
      <c r="I192">
        <v>0</v>
      </c>
      <c r="J192">
        <v>2</v>
      </c>
      <c r="K192">
        <v>71.48</v>
      </c>
      <c r="L192">
        <v>71.02</v>
      </c>
      <c r="M192">
        <v>68.98</v>
      </c>
    </row>
    <row r="193" spans="1:13" x14ac:dyDescent="0.2">
      <c r="A193" s="1">
        <v>192</v>
      </c>
      <c r="B193" t="s">
        <v>850</v>
      </c>
      <c r="C193">
        <v>70.930000000000007</v>
      </c>
      <c r="D193">
        <v>12</v>
      </c>
      <c r="E193">
        <v>20</v>
      </c>
      <c r="F193">
        <v>74.06</v>
      </c>
      <c r="G193">
        <v>0</v>
      </c>
      <c r="H193">
        <v>3</v>
      </c>
      <c r="I193">
        <v>0</v>
      </c>
      <c r="J193">
        <v>5</v>
      </c>
      <c r="K193">
        <v>70.55</v>
      </c>
      <c r="L193">
        <v>71.05</v>
      </c>
      <c r="M193">
        <v>70.52</v>
      </c>
    </row>
    <row r="194" spans="1:13" x14ac:dyDescent="0.2">
      <c r="A194" s="1">
        <v>193</v>
      </c>
      <c r="B194" t="s">
        <v>146</v>
      </c>
      <c r="C194">
        <v>70.89</v>
      </c>
      <c r="D194">
        <v>18</v>
      </c>
      <c r="E194">
        <v>12</v>
      </c>
      <c r="F194">
        <v>69.2</v>
      </c>
      <c r="G194">
        <v>0</v>
      </c>
      <c r="H194">
        <v>1</v>
      </c>
      <c r="I194">
        <v>0</v>
      </c>
      <c r="J194">
        <v>2</v>
      </c>
      <c r="K194">
        <v>70.739999999999995</v>
      </c>
      <c r="L194">
        <v>68.989999999999995</v>
      </c>
      <c r="M194">
        <v>73.78</v>
      </c>
    </row>
    <row r="195" spans="1:13" x14ac:dyDescent="0.2">
      <c r="A195" s="1">
        <v>194</v>
      </c>
      <c r="B195" t="s">
        <v>160</v>
      </c>
      <c r="C195">
        <v>70.7</v>
      </c>
      <c r="D195">
        <v>15</v>
      </c>
      <c r="E195">
        <v>16</v>
      </c>
      <c r="F195">
        <v>68.930000000000007</v>
      </c>
      <c r="G195">
        <v>0</v>
      </c>
      <c r="H195">
        <v>3</v>
      </c>
      <c r="I195">
        <v>0</v>
      </c>
      <c r="J195">
        <v>5</v>
      </c>
      <c r="K195">
        <v>70.77</v>
      </c>
      <c r="L195">
        <v>70.900000000000006</v>
      </c>
      <c r="M195">
        <v>69.34</v>
      </c>
    </row>
    <row r="196" spans="1:13" x14ac:dyDescent="0.2">
      <c r="A196" s="1">
        <v>195</v>
      </c>
      <c r="B196" t="s">
        <v>837</v>
      </c>
      <c r="C196">
        <v>70.650000000000006</v>
      </c>
      <c r="D196">
        <v>22</v>
      </c>
      <c r="E196">
        <v>11</v>
      </c>
      <c r="F196">
        <v>66.64</v>
      </c>
      <c r="G196">
        <v>0</v>
      </c>
      <c r="H196">
        <v>0</v>
      </c>
      <c r="I196">
        <v>0</v>
      </c>
      <c r="J196">
        <v>1</v>
      </c>
      <c r="K196">
        <v>68.78</v>
      </c>
      <c r="L196">
        <v>69.94</v>
      </c>
      <c r="M196">
        <v>74.22</v>
      </c>
    </row>
    <row r="197" spans="1:13" x14ac:dyDescent="0.2">
      <c r="A197" s="1">
        <v>196</v>
      </c>
      <c r="B197" t="s">
        <v>183</v>
      </c>
      <c r="C197">
        <v>70.42</v>
      </c>
      <c r="D197">
        <v>12</v>
      </c>
      <c r="E197">
        <v>20</v>
      </c>
      <c r="F197">
        <v>75.61</v>
      </c>
      <c r="G197">
        <v>0</v>
      </c>
      <c r="H197">
        <v>7</v>
      </c>
      <c r="I197">
        <v>1</v>
      </c>
      <c r="J197">
        <v>0</v>
      </c>
      <c r="K197">
        <v>70.73</v>
      </c>
      <c r="L197">
        <v>70.430000000000007</v>
      </c>
      <c r="M197">
        <v>69.02</v>
      </c>
    </row>
    <row r="198" spans="1:13" x14ac:dyDescent="0.2">
      <c r="A198" s="1">
        <v>197</v>
      </c>
      <c r="B198" t="s">
        <v>803</v>
      </c>
      <c r="C198">
        <v>70.400000000000006</v>
      </c>
      <c r="D198">
        <v>15</v>
      </c>
      <c r="E198">
        <v>16</v>
      </c>
      <c r="F198">
        <v>71.19</v>
      </c>
      <c r="G198">
        <v>0</v>
      </c>
      <c r="H198">
        <v>0</v>
      </c>
      <c r="I198">
        <v>0</v>
      </c>
      <c r="J198">
        <v>0</v>
      </c>
      <c r="K198">
        <v>70.33</v>
      </c>
      <c r="L198">
        <v>70.31</v>
      </c>
      <c r="M198">
        <v>69.84</v>
      </c>
    </row>
    <row r="199" spans="1:13" x14ac:dyDescent="0.2">
      <c r="A199" s="1">
        <v>198</v>
      </c>
      <c r="B199" t="s">
        <v>878</v>
      </c>
      <c r="C199">
        <v>70.319999999999993</v>
      </c>
      <c r="D199">
        <v>11</v>
      </c>
      <c r="E199">
        <v>20</v>
      </c>
      <c r="F199">
        <v>74.900000000000006</v>
      </c>
      <c r="G199">
        <v>0</v>
      </c>
      <c r="H199">
        <v>3</v>
      </c>
      <c r="I199">
        <v>0</v>
      </c>
      <c r="J199">
        <v>4</v>
      </c>
      <c r="K199">
        <v>69.73</v>
      </c>
      <c r="L199">
        <v>70.53</v>
      </c>
      <c r="M199">
        <v>70.09</v>
      </c>
    </row>
    <row r="200" spans="1:13" x14ac:dyDescent="0.2">
      <c r="A200" s="1">
        <v>199</v>
      </c>
      <c r="B200" t="s">
        <v>288</v>
      </c>
      <c r="C200">
        <v>70.27</v>
      </c>
      <c r="D200">
        <v>10</v>
      </c>
      <c r="E200">
        <v>21</v>
      </c>
      <c r="F200">
        <v>76.83</v>
      </c>
      <c r="G200">
        <v>0</v>
      </c>
      <c r="H200">
        <v>1</v>
      </c>
      <c r="I200">
        <v>0</v>
      </c>
      <c r="J200">
        <v>1</v>
      </c>
      <c r="K200">
        <v>71.03</v>
      </c>
      <c r="L200">
        <v>69.59</v>
      </c>
      <c r="M200">
        <v>69.39</v>
      </c>
    </row>
    <row r="201" spans="1:13" x14ac:dyDescent="0.2">
      <c r="A201" s="1">
        <v>200</v>
      </c>
      <c r="B201" t="s">
        <v>49</v>
      </c>
      <c r="C201">
        <v>70.19</v>
      </c>
      <c r="D201">
        <v>8</v>
      </c>
      <c r="E201">
        <v>22</v>
      </c>
      <c r="F201">
        <v>80.86</v>
      </c>
      <c r="G201">
        <v>0</v>
      </c>
      <c r="H201">
        <v>9</v>
      </c>
      <c r="I201">
        <v>0</v>
      </c>
      <c r="J201">
        <v>7</v>
      </c>
      <c r="K201">
        <v>69.72</v>
      </c>
      <c r="L201">
        <v>69.89</v>
      </c>
      <c r="M201">
        <v>70.7</v>
      </c>
    </row>
    <row r="202" spans="1:13" x14ac:dyDescent="0.2">
      <c r="A202" s="1">
        <v>201</v>
      </c>
      <c r="B202" t="s">
        <v>892</v>
      </c>
      <c r="C202">
        <v>70.16</v>
      </c>
      <c r="D202">
        <v>17</v>
      </c>
      <c r="E202">
        <v>14</v>
      </c>
      <c r="F202">
        <v>68.599999999999994</v>
      </c>
      <c r="G202">
        <v>0</v>
      </c>
      <c r="H202">
        <v>1</v>
      </c>
      <c r="I202">
        <v>0</v>
      </c>
      <c r="J202">
        <v>2</v>
      </c>
      <c r="K202">
        <v>69.209999999999994</v>
      </c>
      <c r="L202">
        <v>69.989999999999995</v>
      </c>
      <c r="M202">
        <v>71.23</v>
      </c>
    </row>
    <row r="203" spans="1:13" x14ac:dyDescent="0.2">
      <c r="A203" s="1">
        <v>202</v>
      </c>
      <c r="B203" t="s">
        <v>550</v>
      </c>
      <c r="C203">
        <v>70.11</v>
      </c>
      <c r="D203">
        <v>11</v>
      </c>
      <c r="E203">
        <v>19</v>
      </c>
      <c r="F203">
        <v>73.14</v>
      </c>
      <c r="G203">
        <v>0</v>
      </c>
      <c r="H203">
        <v>1</v>
      </c>
      <c r="I203">
        <v>0</v>
      </c>
      <c r="J203">
        <v>1</v>
      </c>
      <c r="K203">
        <v>70.66</v>
      </c>
      <c r="L203">
        <v>70.38</v>
      </c>
      <c r="M203">
        <v>67.67</v>
      </c>
    </row>
    <row r="204" spans="1:13" x14ac:dyDescent="0.2">
      <c r="A204" s="1">
        <v>203</v>
      </c>
      <c r="B204" t="s">
        <v>194</v>
      </c>
      <c r="C204">
        <v>70.099999999999994</v>
      </c>
      <c r="D204">
        <v>11</v>
      </c>
      <c r="E204">
        <v>21</v>
      </c>
      <c r="F204">
        <v>73.42</v>
      </c>
      <c r="G204">
        <v>0</v>
      </c>
      <c r="H204">
        <v>0</v>
      </c>
      <c r="I204">
        <v>0</v>
      </c>
      <c r="J204">
        <v>3</v>
      </c>
      <c r="K204">
        <v>70.709999999999994</v>
      </c>
      <c r="L204">
        <v>69.989999999999995</v>
      </c>
      <c r="M204">
        <v>68.36</v>
      </c>
    </row>
    <row r="205" spans="1:13" x14ac:dyDescent="0.2">
      <c r="A205" s="1">
        <v>204</v>
      </c>
      <c r="B205" t="s">
        <v>253</v>
      </c>
      <c r="C205">
        <v>70.09</v>
      </c>
      <c r="D205">
        <v>18</v>
      </c>
      <c r="E205">
        <v>13</v>
      </c>
      <c r="F205">
        <v>65.959999999999994</v>
      </c>
      <c r="G205">
        <v>0</v>
      </c>
      <c r="H205">
        <v>1</v>
      </c>
      <c r="I205">
        <v>0</v>
      </c>
      <c r="J205">
        <v>1</v>
      </c>
      <c r="K205">
        <v>70.3</v>
      </c>
      <c r="L205">
        <v>69.290000000000006</v>
      </c>
      <c r="M205">
        <v>70.38</v>
      </c>
    </row>
    <row r="206" spans="1:13" x14ac:dyDescent="0.2">
      <c r="A206" s="1">
        <v>205</v>
      </c>
      <c r="B206" t="s">
        <v>175</v>
      </c>
      <c r="C206">
        <v>70.08</v>
      </c>
      <c r="D206">
        <v>17</v>
      </c>
      <c r="E206">
        <v>14</v>
      </c>
      <c r="F206">
        <v>68.709999999999994</v>
      </c>
      <c r="G206">
        <v>0</v>
      </c>
      <c r="H206">
        <v>2</v>
      </c>
      <c r="I206">
        <v>0</v>
      </c>
      <c r="J206">
        <v>3</v>
      </c>
      <c r="K206">
        <v>69.180000000000007</v>
      </c>
      <c r="L206">
        <v>69.48</v>
      </c>
      <c r="M206">
        <v>71.849999999999994</v>
      </c>
    </row>
    <row r="207" spans="1:13" x14ac:dyDescent="0.2">
      <c r="A207" s="1">
        <v>206</v>
      </c>
      <c r="B207" t="s">
        <v>234</v>
      </c>
      <c r="C207">
        <v>70.069999999999993</v>
      </c>
      <c r="D207">
        <v>12</v>
      </c>
      <c r="E207">
        <v>19</v>
      </c>
      <c r="F207">
        <v>73.66</v>
      </c>
      <c r="G207">
        <v>0</v>
      </c>
      <c r="H207">
        <v>3</v>
      </c>
      <c r="I207">
        <v>0</v>
      </c>
      <c r="J207">
        <v>3</v>
      </c>
      <c r="K207">
        <v>70.41</v>
      </c>
      <c r="L207">
        <v>69.14</v>
      </c>
      <c r="M207">
        <v>70.37</v>
      </c>
    </row>
    <row r="208" spans="1:13" x14ac:dyDescent="0.2">
      <c r="A208" s="1">
        <v>207</v>
      </c>
      <c r="B208" t="s">
        <v>157</v>
      </c>
      <c r="C208">
        <v>70.03</v>
      </c>
      <c r="D208">
        <v>13</v>
      </c>
      <c r="E208">
        <v>18</v>
      </c>
      <c r="F208">
        <v>71.13</v>
      </c>
      <c r="G208">
        <v>0</v>
      </c>
      <c r="H208">
        <v>2</v>
      </c>
      <c r="I208">
        <v>0</v>
      </c>
      <c r="J208">
        <v>3</v>
      </c>
      <c r="K208">
        <v>70.02</v>
      </c>
      <c r="L208">
        <v>70.72</v>
      </c>
      <c r="M208">
        <v>67.819999999999993</v>
      </c>
    </row>
    <row r="209" spans="1:13" x14ac:dyDescent="0.2">
      <c r="A209" s="1">
        <v>208</v>
      </c>
      <c r="B209" t="s">
        <v>202</v>
      </c>
      <c r="C209">
        <v>69.91</v>
      </c>
      <c r="D209">
        <v>16</v>
      </c>
      <c r="E209">
        <v>13</v>
      </c>
      <c r="F209">
        <v>69.489999999999995</v>
      </c>
      <c r="G209">
        <v>0</v>
      </c>
      <c r="H209">
        <v>1</v>
      </c>
      <c r="I209">
        <v>0</v>
      </c>
      <c r="J209">
        <v>2</v>
      </c>
      <c r="K209">
        <v>69.239999999999995</v>
      </c>
      <c r="L209">
        <v>69.430000000000007</v>
      </c>
      <c r="M209">
        <v>71.099999999999994</v>
      </c>
    </row>
    <row r="210" spans="1:13" x14ac:dyDescent="0.2">
      <c r="A210" s="1">
        <v>209</v>
      </c>
      <c r="B210" t="s">
        <v>140</v>
      </c>
      <c r="C210">
        <v>69.849999999999994</v>
      </c>
      <c r="D210">
        <v>12</v>
      </c>
      <c r="E210">
        <v>18</v>
      </c>
      <c r="F210">
        <v>69.97</v>
      </c>
      <c r="G210">
        <v>0</v>
      </c>
      <c r="H210">
        <v>1</v>
      </c>
      <c r="I210">
        <v>0</v>
      </c>
      <c r="J210">
        <v>1</v>
      </c>
      <c r="K210">
        <v>70.56</v>
      </c>
      <c r="L210">
        <v>70.87</v>
      </c>
      <c r="M210">
        <v>65.37</v>
      </c>
    </row>
    <row r="211" spans="1:13" x14ac:dyDescent="0.2">
      <c r="A211" s="1">
        <v>210</v>
      </c>
      <c r="B211" t="s">
        <v>159</v>
      </c>
      <c r="C211">
        <v>69.849999999999994</v>
      </c>
      <c r="D211">
        <v>18</v>
      </c>
      <c r="E211">
        <v>13</v>
      </c>
      <c r="F211">
        <v>67.489999999999995</v>
      </c>
      <c r="G211">
        <v>0</v>
      </c>
      <c r="H211">
        <v>1</v>
      </c>
      <c r="I211">
        <v>0</v>
      </c>
      <c r="J211">
        <v>2</v>
      </c>
      <c r="K211">
        <v>69.010000000000005</v>
      </c>
      <c r="L211">
        <v>69.11</v>
      </c>
      <c r="M211">
        <v>71.78</v>
      </c>
    </row>
    <row r="212" spans="1:13" x14ac:dyDescent="0.2">
      <c r="A212" s="1">
        <v>211</v>
      </c>
      <c r="B212" t="s">
        <v>236</v>
      </c>
      <c r="C212">
        <v>69.709999999999994</v>
      </c>
      <c r="D212">
        <v>14</v>
      </c>
      <c r="E212">
        <v>17</v>
      </c>
      <c r="F212">
        <v>71.069999999999993</v>
      </c>
      <c r="G212">
        <v>0</v>
      </c>
      <c r="H212">
        <v>1</v>
      </c>
      <c r="I212">
        <v>0</v>
      </c>
      <c r="J212">
        <v>2</v>
      </c>
      <c r="K212">
        <v>69.55</v>
      </c>
      <c r="L212">
        <v>68.97</v>
      </c>
      <c r="M212">
        <v>70.489999999999995</v>
      </c>
    </row>
    <row r="213" spans="1:13" x14ac:dyDescent="0.2">
      <c r="A213" s="1">
        <v>212</v>
      </c>
      <c r="B213" t="s">
        <v>195</v>
      </c>
      <c r="C213">
        <v>69.66</v>
      </c>
      <c r="D213">
        <v>14</v>
      </c>
      <c r="E213">
        <v>17</v>
      </c>
      <c r="F213">
        <v>71.78</v>
      </c>
      <c r="G213">
        <v>0</v>
      </c>
      <c r="H213">
        <v>1</v>
      </c>
      <c r="I213">
        <v>0</v>
      </c>
      <c r="J213">
        <v>1</v>
      </c>
      <c r="K213">
        <v>69.180000000000007</v>
      </c>
      <c r="L213">
        <v>69.349999999999994</v>
      </c>
      <c r="M213">
        <v>70.22</v>
      </c>
    </row>
    <row r="214" spans="1:13" x14ac:dyDescent="0.2">
      <c r="A214" s="1">
        <v>213</v>
      </c>
      <c r="B214" t="s">
        <v>873</v>
      </c>
      <c r="C214">
        <v>69.59</v>
      </c>
      <c r="D214">
        <v>13</v>
      </c>
      <c r="E214">
        <v>17</v>
      </c>
      <c r="F214">
        <v>72.91</v>
      </c>
      <c r="G214">
        <v>0</v>
      </c>
      <c r="H214">
        <v>0</v>
      </c>
      <c r="I214">
        <v>0</v>
      </c>
      <c r="J214">
        <v>2</v>
      </c>
      <c r="K214">
        <v>69.16</v>
      </c>
      <c r="L214">
        <v>68.17</v>
      </c>
      <c r="M214">
        <v>72.02</v>
      </c>
    </row>
    <row r="215" spans="1:13" x14ac:dyDescent="0.2">
      <c r="A215" s="1">
        <v>214</v>
      </c>
      <c r="B215" t="s">
        <v>549</v>
      </c>
      <c r="C215">
        <v>69.42</v>
      </c>
      <c r="D215">
        <v>14</v>
      </c>
      <c r="E215">
        <v>16</v>
      </c>
      <c r="F215">
        <v>69.709999999999994</v>
      </c>
      <c r="G215">
        <v>0</v>
      </c>
      <c r="H215">
        <v>0</v>
      </c>
      <c r="I215">
        <v>0</v>
      </c>
      <c r="J215">
        <v>0</v>
      </c>
      <c r="K215">
        <v>70.010000000000005</v>
      </c>
      <c r="L215">
        <v>67.81</v>
      </c>
      <c r="M215">
        <v>70.48</v>
      </c>
    </row>
    <row r="216" spans="1:13" x14ac:dyDescent="0.2">
      <c r="A216" s="1">
        <v>215</v>
      </c>
      <c r="B216" t="s">
        <v>191</v>
      </c>
      <c r="C216">
        <v>69.41</v>
      </c>
      <c r="D216">
        <v>13</v>
      </c>
      <c r="E216">
        <v>17</v>
      </c>
      <c r="F216">
        <v>72.05</v>
      </c>
      <c r="G216">
        <v>0</v>
      </c>
      <c r="H216">
        <v>1</v>
      </c>
      <c r="I216">
        <v>0</v>
      </c>
      <c r="J216">
        <v>3</v>
      </c>
      <c r="K216">
        <v>69.28</v>
      </c>
      <c r="L216">
        <v>68.78</v>
      </c>
      <c r="M216">
        <v>69.959999999999994</v>
      </c>
    </row>
    <row r="217" spans="1:13" x14ac:dyDescent="0.2">
      <c r="A217" s="1">
        <v>216</v>
      </c>
      <c r="B217" t="s">
        <v>155</v>
      </c>
      <c r="C217">
        <v>69.260000000000005</v>
      </c>
      <c r="D217">
        <v>17</v>
      </c>
      <c r="E217">
        <v>13</v>
      </c>
      <c r="F217">
        <v>68.16</v>
      </c>
      <c r="G217">
        <v>0</v>
      </c>
      <c r="H217">
        <v>0</v>
      </c>
      <c r="I217">
        <v>0</v>
      </c>
      <c r="J217">
        <v>2</v>
      </c>
      <c r="K217">
        <v>69.31</v>
      </c>
      <c r="L217">
        <v>68.06</v>
      </c>
      <c r="M217">
        <v>70.510000000000005</v>
      </c>
    </row>
    <row r="218" spans="1:13" x14ac:dyDescent="0.2">
      <c r="A218" s="1">
        <v>217</v>
      </c>
      <c r="B218" t="s">
        <v>213</v>
      </c>
      <c r="C218">
        <v>69.180000000000007</v>
      </c>
      <c r="D218">
        <v>16</v>
      </c>
      <c r="E218">
        <v>17</v>
      </c>
      <c r="F218">
        <v>69.28</v>
      </c>
      <c r="G218">
        <v>0</v>
      </c>
      <c r="H218">
        <v>2</v>
      </c>
      <c r="I218">
        <v>0</v>
      </c>
      <c r="J218">
        <v>2</v>
      </c>
      <c r="K218">
        <v>68.319999999999993</v>
      </c>
      <c r="L218">
        <v>68.349999999999994</v>
      </c>
      <c r="M218">
        <v>71.3</v>
      </c>
    </row>
    <row r="219" spans="1:13" x14ac:dyDescent="0.2">
      <c r="A219" s="1">
        <v>218</v>
      </c>
      <c r="B219" t="s">
        <v>889</v>
      </c>
      <c r="C219">
        <v>69.14</v>
      </c>
      <c r="D219">
        <v>16</v>
      </c>
      <c r="E219">
        <v>14</v>
      </c>
      <c r="F219">
        <v>66.88</v>
      </c>
      <c r="G219">
        <v>0</v>
      </c>
      <c r="H219">
        <v>0</v>
      </c>
      <c r="I219">
        <v>0</v>
      </c>
      <c r="J219">
        <v>2</v>
      </c>
      <c r="K219">
        <v>68.2</v>
      </c>
      <c r="L219">
        <v>68.319999999999993</v>
      </c>
      <c r="M219">
        <v>71.34</v>
      </c>
    </row>
    <row r="220" spans="1:13" x14ac:dyDescent="0.2">
      <c r="A220" s="1">
        <v>219</v>
      </c>
      <c r="B220" t="s">
        <v>190</v>
      </c>
      <c r="C220">
        <v>69.14</v>
      </c>
      <c r="D220">
        <v>12</v>
      </c>
      <c r="E220">
        <v>19</v>
      </c>
      <c r="F220">
        <v>72.23</v>
      </c>
      <c r="G220">
        <v>0</v>
      </c>
      <c r="H220">
        <v>0</v>
      </c>
      <c r="I220">
        <v>0</v>
      </c>
      <c r="J220">
        <v>3</v>
      </c>
      <c r="K220">
        <v>69.13</v>
      </c>
      <c r="L220">
        <v>68.89</v>
      </c>
      <c r="M220">
        <v>68.8</v>
      </c>
    </row>
    <row r="221" spans="1:13" x14ac:dyDescent="0.2">
      <c r="A221" s="1">
        <v>220</v>
      </c>
      <c r="B221" t="s">
        <v>114</v>
      </c>
      <c r="C221">
        <v>69.11</v>
      </c>
      <c r="D221">
        <v>12</v>
      </c>
      <c r="E221">
        <v>20</v>
      </c>
      <c r="F221">
        <v>71.739999999999995</v>
      </c>
      <c r="G221">
        <v>0</v>
      </c>
      <c r="H221">
        <v>2</v>
      </c>
      <c r="I221">
        <v>0</v>
      </c>
      <c r="J221">
        <v>3</v>
      </c>
      <c r="K221">
        <v>68.64</v>
      </c>
      <c r="L221">
        <v>69.239999999999995</v>
      </c>
      <c r="M221">
        <v>68.849999999999994</v>
      </c>
    </row>
    <row r="222" spans="1:13" x14ac:dyDescent="0.2">
      <c r="A222" s="1">
        <v>221</v>
      </c>
      <c r="B222" t="s">
        <v>207</v>
      </c>
      <c r="C222">
        <v>69.08</v>
      </c>
      <c r="D222">
        <v>11</v>
      </c>
      <c r="E222">
        <v>20</v>
      </c>
      <c r="F222">
        <v>72.87</v>
      </c>
      <c r="G222">
        <v>0</v>
      </c>
      <c r="H222">
        <v>1</v>
      </c>
      <c r="I222">
        <v>0</v>
      </c>
      <c r="J222">
        <v>2</v>
      </c>
      <c r="K222">
        <v>69.56</v>
      </c>
      <c r="L222">
        <v>69</v>
      </c>
      <c r="M222">
        <v>67.48</v>
      </c>
    </row>
    <row r="223" spans="1:13" x14ac:dyDescent="0.2">
      <c r="A223" s="1">
        <v>222</v>
      </c>
      <c r="B223" t="s">
        <v>841</v>
      </c>
      <c r="C223">
        <v>68.819999999999993</v>
      </c>
      <c r="D223">
        <v>15</v>
      </c>
      <c r="E223">
        <v>16</v>
      </c>
      <c r="F223">
        <v>68.41</v>
      </c>
      <c r="G223">
        <v>0</v>
      </c>
      <c r="H223">
        <v>1</v>
      </c>
      <c r="I223">
        <v>0</v>
      </c>
      <c r="J223">
        <v>3</v>
      </c>
      <c r="K223">
        <v>68.63</v>
      </c>
      <c r="L223">
        <v>68.150000000000006</v>
      </c>
      <c r="M223">
        <v>69.540000000000006</v>
      </c>
    </row>
    <row r="224" spans="1:13" x14ac:dyDescent="0.2">
      <c r="A224" s="1">
        <v>223</v>
      </c>
      <c r="B224" t="s">
        <v>552</v>
      </c>
      <c r="C224">
        <v>68.8</v>
      </c>
      <c r="D224">
        <v>13</v>
      </c>
      <c r="E224">
        <v>17</v>
      </c>
      <c r="F224">
        <v>72.11</v>
      </c>
      <c r="G224">
        <v>0</v>
      </c>
      <c r="H224">
        <v>1</v>
      </c>
      <c r="I224">
        <v>0</v>
      </c>
      <c r="J224">
        <v>3</v>
      </c>
      <c r="K224">
        <v>68.38</v>
      </c>
      <c r="L224">
        <v>68.23</v>
      </c>
      <c r="M224">
        <v>69.709999999999994</v>
      </c>
    </row>
    <row r="225" spans="1:13" x14ac:dyDescent="0.2">
      <c r="A225" s="1">
        <v>224</v>
      </c>
      <c r="B225" t="s">
        <v>192</v>
      </c>
      <c r="C225">
        <v>68.680000000000007</v>
      </c>
      <c r="D225">
        <v>15</v>
      </c>
      <c r="E225">
        <v>13</v>
      </c>
      <c r="F225">
        <v>67.72</v>
      </c>
      <c r="G225">
        <v>0</v>
      </c>
      <c r="H225">
        <v>0</v>
      </c>
      <c r="I225">
        <v>0</v>
      </c>
      <c r="J225">
        <v>1</v>
      </c>
      <c r="K225">
        <v>68.28</v>
      </c>
      <c r="L225">
        <v>68.459999999999994</v>
      </c>
      <c r="M225">
        <v>68.95</v>
      </c>
    </row>
    <row r="226" spans="1:13" x14ac:dyDescent="0.2">
      <c r="A226" s="1">
        <v>225</v>
      </c>
      <c r="B226" t="s">
        <v>127</v>
      </c>
      <c r="C226">
        <v>68.58</v>
      </c>
      <c r="D226">
        <v>14</v>
      </c>
      <c r="E226">
        <v>17</v>
      </c>
      <c r="F226">
        <v>71.2</v>
      </c>
      <c r="G226">
        <v>0</v>
      </c>
      <c r="H226">
        <v>0</v>
      </c>
      <c r="I226">
        <v>0</v>
      </c>
      <c r="J226">
        <v>0</v>
      </c>
      <c r="K226">
        <v>67.819999999999993</v>
      </c>
      <c r="L226">
        <v>68.28</v>
      </c>
      <c r="M226">
        <v>69.59</v>
      </c>
    </row>
    <row r="227" spans="1:13" x14ac:dyDescent="0.2">
      <c r="A227" s="1">
        <v>226</v>
      </c>
      <c r="B227" t="s">
        <v>248</v>
      </c>
      <c r="C227">
        <v>68.540000000000006</v>
      </c>
      <c r="D227">
        <v>15</v>
      </c>
      <c r="E227">
        <v>18</v>
      </c>
      <c r="F227">
        <v>70.16</v>
      </c>
      <c r="G227">
        <v>0</v>
      </c>
      <c r="H227">
        <v>0</v>
      </c>
      <c r="I227">
        <v>0</v>
      </c>
      <c r="J227">
        <v>0</v>
      </c>
      <c r="K227">
        <v>68.38</v>
      </c>
      <c r="L227">
        <v>68.33</v>
      </c>
      <c r="M227">
        <v>68.349999999999994</v>
      </c>
    </row>
    <row r="228" spans="1:13" x14ac:dyDescent="0.2">
      <c r="A228" s="1">
        <v>227</v>
      </c>
      <c r="B228" t="s">
        <v>887</v>
      </c>
      <c r="C228">
        <v>68.53</v>
      </c>
      <c r="D228">
        <v>17</v>
      </c>
      <c r="E228">
        <v>15</v>
      </c>
      <c r="F228">
        <v>66.400000000000006</v>
      </c>
      <c r="G228">
        <v>0</v>
      </c>
      <c r="H228">
        <v>1</v>
      </c>
      <c r="I228">
        <v>0</v>
      </c>
      <c r="J228">
        <v>3</v>
      </c>
      <c r="K228">
        <v>66.930000000000007</v>
      </c>
      <c r="L228">
        <v>67.44</v>
      </c>
      <c r="M228">
        <v>72.12</v>
      </c>
    </row>
    <row r="229" spans="1:13" x14ac:dyDescent="0.2">
      <c r="A229" s="1">
        <v>228</v>
      </c>
      <c r="B229" t="s">
        <v>222</v>
      </c>
      <c r="C229">
        <v>68.44</v>
      </c>
      <c r="D229">
        <v>17</v>
      </c>
      <c r="E229">
        <v>16</v>
      </c>
      <c r="F229">
        <v>67.930000000000007</v>
      </c>
      <c r="G229">
        <v>0</v>
      </c>
      <c r="H229">
        <v>1</v>
      </c>
      <c r="I229">
        <v>0</v>
      </c>
      <c r="J229">
        <v>1</v>
      </c>
      <c r="K229">
        <v>68.56</v>
      </c>
      <c r="L229">
        <v>67.790000000000006</v>
      </c>
      <c r="M229">
        <v>68.61</v>
      </c>
    </row>
    <row r="230" spans="1:13" x14ac:dyDescent="0.2">
      <c r="A230" s="1">
        <v>229</v>
      </c>
      <c r="B230" t="s">
        <v>226</v>
      </c>
      <c r="C230">
        <v>68.430000000000007</v>
      </c>
      <c r="D230">
        <v>16</v>
      </c>
      <c r="E230">
        <v>15</v>
      </c>
      <c r="F230">
        <v>68.36</v>
      </c>
      <c r="G230">
        <v>0</v>
      </c>
      <c r="H230">
        <v>0</v>
      </c>
      <c r="I230">
        <v>0</v>
      </c>
      <c r="J230">
        <v>1</v>
      </c>
      <c r="K230">
        <v>68.11</v>
      </c>
      <c r="L230">
        <v>67.7</v>
      </c>
      <c r="M230">
        <v>69.48</v>
      </c>
    </row>
    <row r="231" spans="1:13" x14ac:dyDescent="0.2">
      <c r="A231" s="1">
        <v>230</v>
      </c>
      <c r="B231" t="s">
        <v>799</v>
      </c>
      <c r="C231">
        <v>68.430000000000007</v>
      </c>
      <c r="D231">
        <v>18</v>
      </c>
      <c r="E231">
        <v>16</v>
      </c>
      <c r="F231">
        <v>67.930000000000007</v>
      </c>
      <c r="G231">
        <v>0</v>
      </c>
      <c r="H231">
        <v>0</v>
      </c>
      <c r="I231">
        <v>0</v>
      </c>
      <c r="J231">
        <v>0</v>
      </c>
      <c r="K231">
        <v>68.22</v>
      </c>
      <c r="L231">
        <v>67.62</v>
      </c>
      <c r="M231">
        <v>69.44</v>
      </c>
    </row>
    <row r="232" spans="1:13" x14ac:dyDescent="0.2">
      <c r="A232" s="1">
        <v>231</v>
      </c>
      <c r="B232" t="s">
        <v>268</v>
      </c>
      <c r="C232">
        <v>68.42</v>
      </c>
      <c r="D232">
        <v>9</v>
      </c>
      <c r="E232">
        <v>18</v>
      </c>
      <c r="F232">
        <v>69.069999999999993</v>
      </c>
      <c r="G232">
        <v>0</v>
      </c>
      <c r="H232">
        <v>1</v>
      </c>
      <c r="I232">
        <v>0</v>
      </c>
      <c r="J232">
        <v>3</v>
      </c>
      <c r="K232">
        <v>69.040000000000006</v>
      </c>
      <c r="L232">
        <v>69.33</v>
      </c>
      <c r="M232">
        <v>64.17</v>
      </c>
    </row>
    <row r="233" spans="1:13" x14ac:dyDescent="0.2">
      <c r="A233" s="1">
        <v>232</v>
      </c>
      <c r="B233" t="s">
        <v>210</v>
      </c>
      <c r="C233">
        <v>68.400000000000006</v>
      </c>
      <c r="D233">
        <v>12</v>
      </c>
      <c r="E233">
        <v>19</v>
      </c>
      <c r="F233">
        <v>69.08</v>
      </c>
      <c r="G233">
        <v>0</v>
      </c>
      <c r="H233">
        <v>0</v>
      </c>
      <c r="I233">
        <v>0</v>
      </c>
      <c r="J233">
        <v>0</v>
      </c>
      <c r="K233">
        <v>68.66</v>
      </c>
      <c r="L233">
        <v>68.209999999999994</v>
      </c>
      <c r="M233">
        <v>67.42</v>
      </c>
    </row>
    <row r="234" spans="1:13" x14ac:dyDescent="0.2">
      <c r="A234" s="1">
        <v>233</v>
      </c>
      <c r="B234" t="s">
        <v>881</v>
      </c>
      <c r="C234">
        <v>68.33</v>
      </c>
      <c r="D234">
        <v>13</v>
      </c>
      <c r="E234">
        <v>15</v>
      </c>
      <c r="F234">
        <v>70.59</v>
      </c>
      <c r="G234">
        <v>0</v>
      </c>
      <c r="H234">
        <v>1</v>
      </c>
      <c r="I234">
        <v>0</v>
      </c>
      <c r="J234">
        <v>2</v>
      </c>
      <c r="K234">
        <v>68.13</v>
      </c>
      <c r="L234">
        <v>67.61</v>
      </c>
      <c r="M234">
        <v>69.14</v>
      </c>
    </row>
    <row r="235" spans="1:13" x14ac:dyDescent="0.2">
      <c r="A235" s="1">
        <v>234</v>
      </c>
      <c r="B235" t="s">
        <v>216</v>
      </c>
      <c r="C235">
        <v>68.3</v>
      </c>
      <c r="D235">
        <v>10</v>
      </c>
      <c r="E235">
        <v>18</v>
      </c>
      <c r="F235">
        <v>73.83</v>
      </c>
      <c r="G235">
        <v>0</v>
      </c>
      <c r="H235">
        <v>2</v>
      </c>
      <c r="I235">
        <v>0</v>
      </c>
      <c r="J235">
        <v>3</v>
      </c>
      <c r="K235">
        <v>68.81</v>
      </c>
      <c r="L235">
        <v>67.63</v>
      </c>
      <c r="M235">
        <v>67.8</v>
      </c>
    </row>
    <row r="236" spans="1:13" x14ac:dyDescent="0.2">
      <c r="A236" s="1">
        <v>235</v>
      </c>
      <c r="B236" t="s">
        <v>83</v>
      </c>
      <c r="C236">
        <v>68.28</v>
      </c>
      <c r="D236">
        <v>14</v>
      </c>
      <c r="E236">
        <v>16</v>
      </c>
      <c r="F236">
        <v>70.87</v>
      </c>
      <c r="G236">
        <v>0</v>
      </c>
      <c r="H236">
        <v>0</v>
      </c>
      <c r="I236">
        <v>0</v>
      </c>
      <c r="J236">
        <v>2</v>
      </c>
      <c r="K236">
        <v>67.48</v>
      </c>
      <c r="L236">
        <v>67.81</v>
      </c>
      <c r="M236">
        <v>69.61</v>
      </c>
    </row>
    <row r="237" spans="1:13" x14ac:dyDescent="0.2">
      <c r="A237" s="1">
        <v>236</v>
      </c>
      <c r="B237" t="s">
        <v>211</v>
      </c>
      <c r="C237">
        <v>68.260000000000005</v>
      </c>
      <c r="D237">
        <v>14</v>
      </c>
      <c r="E237">
        <v>15</v>
      </c>
      <c r="F237">
        <v>69.45</v>
      </c>
      <c r="G237">
        <v>0</v>
      </c>
      <c r="H237">
        <v>1</v>
      </c>
      <c r="I237">
        <v>0</v>
      </c>
      <c r="J237">
        <v>3</v>
      </c>
      <c r="K237">
        <v>68.11</v>
      </c>
      <c r="L237">
        <v>67.09</v>
      </c>
      <c r="M237">
        <v>69.78</v>
      </c>
    </row>
    <row r="238" spans="1:13" x14ac:dyDescent="0.2">
      <c r="A238" s="1">
        <v>237</v>
      </c>
      <c r="B238" t="s">
        <v>182</v>
      </c>
      <c r="C238">
        <v>68.099999999999994</v>
      </c>
      <c r="D238">
        <v>14</v>
      </c>
      <c r="E238">
        <v>15</v>
      </c>
      <c r="F238">
        <v>69.06</v>
      </c>
      <c r="G238">
        <v>0</v>
      </c>
      <c r="H238">
        <v>2</v>
      </c>
      <c r="I238">
        <v>0</v>
      </c>
      <c r="J238">
        <v>2</v>
      </c>
      <c r="K238">
        <v>67.209999999999994</v>
      </c>
      <c r="L238">
        <v>67.760000000000005</v>
      </c>
      <c r="M238">
        <v>69.37</v>
      </c>
    </row>
    <row r="239" spans="1:13" x14ac:dyDescent="0.2">
      <c r="A239" s="1">
        <v>238</v>
      </c>
      <c r="B239" t="s">
        <v>275</v>
      </c>
      <c r="C239">
        <v>68.03</v>
      </c>
      <c r="D239">
        <v>13</v>
      </c>
      <c r="E239">
        <v>17</v>
      </c>
      <c r="F239">
        <v>70.510000000000005</v>
      </c>
      <c r="G239">
        <v>0</v>
      </c>
      <c r="H239">
        <v>1</v>
      </c>
      <c r="I239">
        <v>1</v>
      </c>
      <c r="J239">
        <v>1</v>
      </c>
      <c r="K239">
        <v>67.709999999999994</v>
      </c>
      <c r="L239">
        <v>67.959999999999994</v>
      </c>
      <c r="M239">
        <v>67.900000000000006</v>
      </c>
    </row>
    <row r="240" spans="1:13" x14ac:dyDescent="0.2">
      <c r="A240" s="1">
        <v>239</v>
      </c>
      <c r="B240" t="s">
        <v>173</v>
      </c>
      <c r="C240">
        <v>67.900000000000006</v>
      </c>
      <c r="D240">
        <v>10</v>
      </c>
      <c r="E240">
        <v>16</v>
      </c>
      <c r="F240">
        <v>70.72</v>
      </c>
      <c r="G240">
        <v>0</v>
      </c>
      <c r="H240">
        <v>0</v>
      </c>
      <c r="I240">
        <v>0</v>
      </c>
      <c r="J240">
        <v>2</v>
      </c>
      <c r="K240">
        <v>68.540000000000006</v>
      </c>
      <c r="L240">
        <v>68.569999999999993</v>
      </c>
      <c r="M240">
        <v>64.2</v>
      </c>
    </row>
    <row r="241" spans="1:13" x14ac:dyDescent="0.2">
      <c r="A241" s="1">
        <v>240</v>
      </c>
      <c r="B241" t="s">
        <v>291</v>
      </c>
      <c r="C241">
        <v>67.84</v>
      </c>
      <c r="D241">
        <v>15</v>
      </c>
      <c r="E241">
        <v>15</v>
      </c>
      <c r="F241">
        <v>67.34</v>
      </c>
      <c r="G241">
        <v>0</v>
      </c>
      <c r="H241">
        <v>1</v>
      </c>
      <c r="I241">
        <v>0</v>
      </c>
      <c r="J241">
        <v>1</v>
      </c>
      <c r="K241">
        <v>67.790000000000006</v>
      </c>
      <c r="L241">
        <v>67.349999999999994</v>
      </c>
      <c r="M241">
        <v>68.010000000000005</v>
      </c>
    </row>
    <row r="242" spans="1:13" x14ac:dyDescent="0.2">
      <c r="A242" s="1">
        <v>241</v>
      </c>
      <c r="B242" t="s">
        <v>890</v>
      </c>
      <c r="C242">
        <v>67.83</v>
      </c>
      <c r="D242">
        <v>9</v>
      </c>
      <c r="E242">
        <v>17</v>
      </c>
      <c r="F242">
        <v>72.73</v>
      </c>
      <c r="G242">
        <v>0</v>
      </c>
      <c r="H242">
        <v>2</v>
      </c>
      <c r="I242">
        <v>0</v>
      </c>
      <c r="J242">
        <v>3</v>
      </c>
      <c r="K242">
        <v>67.83</v>
      </c>
      <c r="L242">
        <v>67.319999999999993</v>
      </c>
      <c r="M242">
        <v>67.930000000000007</v>
      </c>
    </row>
    <row r="243" spans="1:13" x14ac:dyDescent="0.2">
      <c r="A243" s="1">
        <v>242</v>
      </c>
      <c r="B243" t="s">
        <v>105</v>
      </c>
      <c r="C243">
        <v>67.81</v>
      </c>
      <c r="D243">
        <v>12</v>
      </c>
      <c r="E243">
        <v>15</v>
      </c>
      <c r="F243">
        <v>70.06</v>
      </c>
      <c r="G243">
        <v>0</v>
      </c>
      <c r="H243">
        <v>0</v>
      </c>
      <c r="I243">
        <v>0</v>
      </c>
      <c r="J243">
        <v>2</v>
      </c>
      <c r="K243">
        <v>66.88</v>
      </c>
      <c r="L243">
        <v>67.260000000000005</v>
      </c>
      <c r="M243">
        <v>69.489999999999995</v>
      </c>
    </row>
    <row r="244" spans="1:13" x14ac:dyDescent="0.2">
      <c r="A244" s="1">
        <v>243</v>
      </c>
      <c r="B244" t="s">
        <v>257</v>
      </c>
      <c r="C244">
        <v>67.760000000000005</v>
      </c>
      <c r="D244">
        <v>15</v>
      </c>
      <c r="E244">
        <v>18</v>
      </c>
      <c r="F244">
        <v>69.34</v>
      </c>
      <c r="G244">
        <v>0</v>
      </c>
      <c r="H244">
        <v>0</v>
      </c>
      <c r="I244">
        <v>0</v>
      </c>
      <c r="J244">
        <v>1</v>
      </c>
      <c r="K244">
        <v>66.97</v>
      </c>
      <c r="L244">
        <v>66.849999999999994</v>
      </c>
      <c r="M244">
        <v>69.84</v>
      </c>
    </row>
    <row r="245" spans="1:13" x14ac:dyDescent="0.2">
      <c r="A245" s="1">
        <v>244</v>
      </c>
      <c r="B245" t="s">
        <v>209</v>
      </c>
      <c r="C245">
        <v>67.72</v>
      </c>
      <c r="D245">
        <v>14</v>
      </c>
      <c r="E245">
        <v>15</v>
      </c>
      <c r="F245">
        <v>69.56</v>
      </c>
      <c r="G245">
        <v>0</v>
      </c>
      <c r="H245">
        <v>0</v>
      </c>
      <c r="I245">
        <v>0</v>
      </c>
      <c r="J245">
        <v>0</v>
      </c>
      <c r="K245">
        <v>66.94</v>
      </c>
      <c r="L245">
        <v>66.13</v>
      </c>
      <c r="M245">
        <v>70.849999999999994</v>
      </c>
    </row>
    <row r="246" spans="1:13" x14ac:dyDescent="0.2">
      <c r="A246" s="1">
        <v>245</v>
      </c>
      <c r="B246" t="s">
        <v>181</v>
      </c>
      <c r="C246">
        <v>67.69</v>
      </c>
      <c r="D246">
        <v>9</v>
      </c>
      <c r="E246">
        <v>22</v>
      </c>
      <c r="F246">
        <v>71.650000000000006</v>
      </c>
      <c r="G246">
        <v>0</v>
      </c>
      <c r="H246">
        <v>0</v>
      </c>
      <c r="I246">
        <v>0</v>
      </c>
      <c r="J246">
        <v>1</v>
      </c>
      <c r="K246">
        <v>68.23</v>
      </c>
      <c r="L246">
        <v>68.19</v>
      </c>
      <c r="M246">
        <v>64.63</v>
      </c>
    </row>
    <row r="247" spans="1:13" x14ac:dyDescent="0.2">
      <c r="A247" s="1">
        <v>246</v>
      </c>
      <c r="B247" t="s">
        <v>237</v>
      </c>
      <c r="C247">
        <v>67.69</v>
      </c>
      <c r="D247">
        <v>14</v>
      </c>
      <c r="E247">
        <v>18</v>
      </c>
      <c r="F247">
        <v>70.34</v>
      </c>
      <c r="G247">
        <v>0</v>
      </c>
      <c r="H247">
        <v>1</v>
      </c>
      <c r="I247">
        <v>0</v>
      </c>
      <c r="J247">
        <v>2</v>
      </c>
      <c r="K247">
        <v>67.72</v>
      </c>
      <c r="L247">
        <v>66.86</v>
      </c>
      <c r="M247">
        <v>68.319999999999993</v>
      </c>
    </row>
    <row r="248" spans="1:13" x14ac:dyDescent="0.2">
      <c r="A248" s="1">
        <v>247</v>
      </c>
      <c r="B248" t="s">
        <v>303</v>
      </c>
      <c r="C248">
        <v>67.67</v>
      </c>
      <c r="D248">
        <v>9</v>
      </c>
      <c r="E248">
        <v>18</v>
      </c>
      <c r="F248">
        <v>73.069999999999993</v>
      </c>
      <c r="G248">
        <v>0</v>
      </c>
      <c r="H248">
        <v>0</v>
      </c>
      <c r="I248">
        <v>0</v>
      </c>
      <c r="J248">
        <v>1</v>
      </c>
      <c r="K248">
        <v>68.14</v>
      </c>
      <c r="L248">
        <v>66.400000000000006</v>
      </c>
      <c r="M248">
        <v>68.319999999999993</v>
      </c>
    </row>
    <row r="249" spans="1:13" x14ac:dyDescent="0.2">
      <c r="A249" s="1">
        <v>248</v>
      </c>
      <c r="B249" t="s">
        <v>293</v>
      </c>
      <c r="C249">
        <v>67.67</v>
      </c>
      <c r="D249">
        <v>16</v>
      </c>
      <c r="E249">
        <v>14</v>
      </c>
      <c r="F249">
        <v>66.7</v>
      </c>
      <c r="G249">
        <v>0</v>
      </c>
      <c r="H249">
        <v>0</v>
      </c>
      <c r="I249">
        <v>1</v>
      </c>
      <c r="J249">
        <v>0</v>
      </c>
      <c r="K249">
        <v>67.760000000000005</v>
      </c>
      <c r="L249">
        <v>67.819999999999993</v>
      </c>
      <c r="M249">
        <v>66.34</v>
      </c>
    </row>
    <row r="250" spans="1:13" x14ac:dyDescent="0.2">
      <c r="A250" s="1">
        <v>249</v>
      </c>
      <c r="B250" t="s">
        <v>220</v>
      </c>
      <c r="C250">
        <v>67.66</v>
      </c>
      <c r="D250">
        <v>15</v>
      </c>
      <c r="E250">
        <v>16</v>
      </c>
      <c r="F250">
        <v>69.459999999999994</v>
      </c>
      <c r="G250">
        <v>0</v>
      </c>
      <c r="H250">
        <v>1</v>
      </c>
      <c r="I250">
        <v>0</v>
      </c>
      <c r="J250">
        <v>1</v>
      </c>
      <c r="K250">
        <v>67.650000000000006</v>
      </c>
      <c r="L250">
        <v>65.84</v>
      </c>
      <c r="M250">
        <v>69.95</v>
      </c>
    </row>
    <row r="251" spans="1:13" x14ac:dyDescent="0.2">
      <c r="A251" s="1">
        <v>250</v>
      </c>
      <c r="B251" t="s">
        <v>142</v>
      </c>
      <c r="C251">
        <v>67.52</v>
      </c>
      <c r="D251">
        <v>10</v>
      </c>
      <c r="E251">
        <v>23</v>
      </c>
      <c r="F251">
        <v>71.760000000000005</v>
      </c>
      <c r="G251">
        <v>0</v>
      </c>
      <c r="H251">
        <v>1</v>
      </c>
      <c r="I251">
        <v>0</v>
      </c>
      <c r="J251">
        <v>3</v>
      </c>
      <c r="K251">
        <v>68.400000000000006</v>
      </c>
      <c r="L251">
        <v>66.849999999999994</v>
      </c>
      <c r="M251">
        <v>66.33</v>
      </c>
    </row>
    <row r="252" spans="1:13" x14ac:dyDescent="0.2">
      <c r="A252" s="1">
        <v>251</v>
      </c>
      <c r="B252" t="s">
        <v>223</v>
      </c>
      <c r="C252">
        <v>67.5</v>
      </c>
      <c r="D252">
        <v>19</v>
      </c>
      <c r="E252">
        <v>13</v>
      </c>
      <c r="F252">
        <v>66.45</v>
      </c>
      <c r="G252">
        <v>0</v>
      </c>
      <c r="H252">
        <v>0</v>
      </c>
      <c r="I252">
        <v>0</v>
      </c>
      <c r="J252">
        <v>1</v>
      </c>
      <c r="K252">
        <v>66.849999999999994</v>
      </c>
      <c r="L252">
        <v>66.62</v>
      </c>
      <c r="M252">
        <v>69.27</v>
      </c>
    </row>
    <row r="253" spans="1:13" x14ac:dyDescent="0.2">
      <c r="A253" s="1">
        <v>252</v>
      </c>
      <c r="B253" t="s">
        <v>184</v>
      </c>
      <c r="C253">
        <v>67.41</v>
      </c>
      <c r="D253">
        <v>13</v>
      </c>
      <c r="E253">
        <v>16</v>
      </c>
      <c r="F253">
        <v>68.41</v>
      </c>
      <c r="G253">
        <v>0</v>
      </c>
      <c r="H253">
        <v>1</v>
      </c>
      <c r="I253">
        <v>0</v>
      </c>
      <c r="J253">
        <v>1</v>
      </c>
      <c r="K253">
        <v>66.89</v>
      </c>
      <c r="L253">
        <v>67.86</v>
      </c>
      <c r="M253">
        <v>66.55</v>
      </c>
    </row>
    <row r="254" spans="1:13" x14ac:dyDescent="0.2">
      <c r="A254" s="1">
        <v>253</v>
      </c>
      <c r="B254" t="s">
        <v>174</v>
      </c>
      <c r="C254">
        <v>67.33</v>
      </c>
      <c r="D254">
        <v>11</v>
      </c>
      <c r="E254">
        <v>20</v>
      </c>
      <c r="F254">
        <v>72.12</v>
      </c>
      <c r="G254">
        <v>0</v>
      </c>
      <c r="H254">
        <v>1</v>
      </c>
      <c r="I254">
        <v>0</v>
      </c>
      <c r="J254">
        <v>1</v>
      </c>
      <c r="K254">
        <v>67.260000000000005</v>
      </c>
      <c r="L254">
        <v>66.260000000000005</v>
      </c>
      <c r="M254">
        <v>68.5</v>
      </c>
    </row>
    <row r="255" spans="1:13" x14ac:dyDescent="0.2">
      <c r="A255" s="1">
        <v>254</v>
      </c>
      <c r="B255" t="s">
        <v>843</v>
      </c>
      <c r="C255">
        <v>67.2</v>
      </c>
      <c r="D255">
        <v>16</v>
      </c>
      <c r="E255">
        <v>15</v>
      </c>
      <c r="F255">
        <v>66.989999999999995</v>
      </c>
      <c r="G255">
        <v>0</v>
      </c>
      <c r="H255">
        <v>1</v>
      </c>
      <c r="I255">
        <v>0</v>
      </c>
      <c r="J255">
        <v>1</v>
      </c>
      <c r="K255">
        <v>66.819999999999993</v>
      </c>
      <c r="L255">
        <v>67.06</v>
      </c>
      <c r="M255">
        <v>67.3</v>
      </c>
    </row>
    <row r="256" spans="1:13" x14ac:dyDescent="0.2">
      <c r="A256" s="1">
        <v>255</v>
      </c>
      <c r="B256" t="s">
        <v>269</v>
      </c>
      <c r="C256">
        <v>67.150000000000006</v>
      </c>
      <c r="D256">
        <v>9</v>
      </c>
      <c r="E256">
        <v>6</v>
      </c>
      <c r="F256">
        <v>64.430000000000007</v>
      </c>
      <c r="G256">
        <v>0</v>
      </c>
      <c r="H256">
        <v>0</v>
      </c>
      <c r="I256">
        <v>0</v>
      </c>
      <c r="J256">
        <v>0</v>
      </c>
      <c r="K256">
        <v>65.66</v>
      </c>
      <c r="L256">
        <v>66.03</v>
      </c>
      <c r="M256">
        <v>70.489999999999995</v>
      </c>
    </row>
    <row r="257" spans="1:13" x14ac:dyDescent="0.2">
      <c r="A257" s="1">
        <v>256</v>
      </c>
      <c r="B257" t="s">
        <v>152</v>
      </c>
      <c r="C257">
        <v>67.14</v>
      </c>
      <c r="D257">
        <v>11</v>
      </c>
      <c r="E257">
        <v>17</v>
      </c>
      <c r="F257">
        <v>69.19</v>
      </c>
      <c r="G257">
        <v>0</v>
      </c>
      <c r="H257">
        <v>0</v>
      </c>
      <c r="I257">
        <v>0</v>
      </c>
      <c r="J257">
        <v>0</v>
      </c>
      <c r="K257">
        <v>66.88</v>
      </c>
      <c r="L257">
        <v>67.510000000000005</v>
      </c>
      <c r="M257">
        <v>66.010000000000005</v>
      </c>
    </row>
    <row r="258" spans="1:13" x14ac:dyDescent="0.2">
      <c r="A258" s="1">
        <v>257</v>
      </c>
      <c r="B258" t="s">
        <v>244</v>
      </c>
      <c r="C258">
        <v>67.13</v>
      </c>
      <c r="D258">
        <v>10</v>
      </c>
      <c r="E258">
        <v>20</v>
      </c>
      <c r="F258">
        <v>70.98</v>
      </c>
      <c r="G258">
        <v>0</v>
      </c>
      <c r="H258">
        <v>1</v>
      </c>
      <c r="I258">
        <v>0</v>
      </c>
      <c r="J258">
        <v>1</v>
      </c>
      <c r="K258">
        <v>67.91</v>
      </c>
      <c r="L258">
        <v>66.8</v>
      </c>
      <c r="M258">
        <v>65.400000000000006</v>
      </c>
    </row>
    <row r="259" spans="1:13" x14ac:dyDescent="0.2">
      <c r="A259" s="1">
        <v>258</v>
      </c>
      <c r="B259" t="s">
        <v>158</v>
      </c>
      <c r="C259">
        <v>67.05</v>
      </c>
      <c r="D259">
        <v>8</v>
      </c>
      <c r="E259">
        <v>20</v>
      </c>
      <c r="F259">
        <v>72.319999999999993</v>
      </c>
      <c r="G259">
        <v>0</v>
      </c>
      <c r="H259">
        <v>1</v>
      </c>
      <c r="I259">
        <v>0</v>
      </c>
      <c r="J259">
        <v>3</v>
      </c>
      <c r="K259">
        <v>67.42</v>
      </c>
      <c r="L259">
        <v>67.77</v>
      </c>
      <c r="M259">
        <v>63.74</v>
      </c>
    </row>
    <row r="260" spans="1:13" x14ac:dyDescent="0.2">
      <c r="A260" s="1">
        <v>259</v>
      </c>
      <c r="B260" t="s">
        <v>50</v>
      </c>
      <c r="C260">
        <v>66.84</v>
      </c>
      <c r="D260">
        <v>9</v>
      </c>
      <c r="E260">
        <v>22</v>
      </c>
      <c r="F260">
        <v>71.56</v>
      </c>
      <c r="G260">
        <v>0</v>
      </c>
      <c r="H260">
        <v>2</v>
      </c>
      <c r="I260">
        <v>0</v>
      </c>
      <c r="J260">
        <v>2</v>
      </c>
      <c r="K260">
        <v>66.2</v>
      </c>
      <c r="L260">
        <v>67.430000000000007</v>
      </c>
      <c r="M260">
        <v>65.900000000000006</v>
      </c>
    </row>
    <row r="261" spans="1:13" x14ac:dyDescent="0.2">
      <c r="A261" s="1">
        <v>260</v>
      </c>
      <c r="B261" t="s">
        <v>880</v>
      </c>
      <c r="C261">
        <v>66.739999999999995</v>
      </c>
      <c r="D261">
        <v>14</v>
      </c>
      <c r="E261">
        <v>16</v>
      </c>
      <c r="F261">
        <v>70.239999999999995</v>
      </c>
      <c r="G261">
        <v>0</v>
      </c>
      <c r="H261">
        <v>3</v>
      </c>
      <c r="I261">
        <v>0</v>
      </c>
      <c r="J261">
        <v>3</v>
      </c>
      <c r="K261">
        <v>65.989999999999995</v>
      </c>
      <c r="L261">
        <v>66.42</v>
      </c>
      <c r="M261">
        <v>67.739999999999995</v>
      </c>
    </row>
    <row r="262" spans="1:13" x14ac:dyDescent="0.2">
      <c r="A262" s="1">
        <v>261</v>
      </c>
      <c r="B262" t="s">
        <v>265</v>
      </c>
      <c r="C262">
        <v>66.72</v>
      </c>
      <c r="D262">
        <v>15</v>
      </c>
      <c r="E262">
        <v>17</v>
      </c>
      <c r="F262">
        <v>68.89</v>
      </c>
      <c r="G262">
        <v>0</v>
      </c>
      <c r="H262">
        <v>1</v>
      </c>
      <c r="I262">
        <v>0</v>
      </c>
      <c r="J262">
        <v>2</v>
      </c>
      <c r="K262">
        <v>65.72</v>
      </c>
      <c r="L262">
        <v>66.23</v>
      </c>
      <c r="M262">
        <v>68.36</v>
      </c>
    </row>
    <row r="263" spans="1:13" x14ac:dyDescent="0.2">
      <c r="A263" s="1">
        <v>262</v>
      </c>
      <c r="B263" t="s">
        <v>169</v>
      </c>
      <c r="C263">
        <v>66.64</v>
      </c>
      <c r="D263">
        <v>11</v>
      </c>
      <c r="E263">
        <v>20</v>
      </c>
      <c r="F263">
        <v>71.37</v>
      </c>
      <c r="G263">
        <v>0</v>
      </c>
      <c r="H263">
        <v>0</v>
      </c>
      <c r="I263">
        <v>0</v>
      </c>
      <c r="J263">
        <v>0</v>
      </c>
      <c r="K263">
        <v>66.099999999999994</v>
      </c>
      <c r="L263">
        <v>67.13</v>
      </c>
      <c r="M263">
        <v>65.709999999999994</v>
      </c>
    </row>
    <row r="264" spans="1:13" x14ac:dyDescent="0.2">
      <c r="A264" s="1">
        <v>263</v>
      </c>
      <c r="B264" t="s">
        <v>110</v>
      </c>
      <c r="C264">
        <v>66.52</v>
      </c>
      <c r="D264">
        <v>16</v>
      </c>
      <c r="E264">
        <v>17</v>
      </c>
      <c r="F264">
        <v>70.349999999999994</v>
      </c>
      <c r="G264">
        <v>0</v>
      </c>
      <c r="H264">
        <v>0</v>
      </c>
      <c r="I264">
        <v>0</v>
      </c>
      <c r="J264">
        <v>2</v>
      </c>
      <c r="K264">
        <v>65.709999999999994</v>
      </c>
      <c r="L264">
        <v>64.260000000000005</v>
      </c>
      <c r="M264">
        <v>70.489999999999995</v>
      </c>
    </row>
    <row r="265" spans="1:13" x14ac:dyDescent="0.2">
      <c r="A265" s="1">
        <v>264</v>
      </c>
      <c r="B265" t="s">
        <v>299</v>
      </c>
      <c r="C265">
        <v>66.430000000000007</v>
      </c>
      <c r="D265">
        <v>18</v>
      </c>
      <c r="E265">
        <v>15</v>
      </c>
      <c r="F265">
        <v>64.69</v>
      </c>
      <c r="G265">
        <v>0</v>
      </c>
      <c r="H265">
        <v>0</v>
      </c>
      <c r="I265">
        <v>0</v>
      </c>
      <c r="J265">
        <v>1</v>
      </c>
      <c r="K265">
        <v>65.760000000000005</v>
      </c>
      <c r="L265">
        <v>66.03</v>
      </c>
      <c r="M265">
        <v>67.42</v>
      </c>
    </row>
    <row r="266" spans="1:13" x14ac:dyDescent="0.2">
      <c r="A266" s="1">
        <v>265</v>
      </c>
      <c r="B266" t="s">
        <v>254</v>
      </c>
      <c r="C266">
        <v>66.41</v>
      </c>
      <c r="D266">
        <v>14</v>
      </c>
      <c r="E266">
        <v>17</v>
      </c>
      <c r="F266">
        <v>68.13</v>
      </c>
      <c r="G266">
        <v>0</v>
      </c>
      <c r="H266">
        <v>1</v>
      </c>
      <c r="I266">
        <v>0</v>
      </c>
      <c r="J266">
        <v>1</v>
      </c>
      <c r="K266">
        <v>65.61</v>
      </c>
      <c r="L266">
        <v>66.75</v>
      </c>
      <c r="M266">
        <v>66.260000000000005</v>
      </c>
    </row>
    <row r="267" spans="1:13" x14ac:dyDescent="0.2">
      <c r="A267" s="1">
        <v>266</v>
      </c>
      <c r="B267" t="s">
        <v>148</v>
      </c>
      <c r="C267">
        <v>66.209999999999994</v>
      </c>
      <c r="D267">
        <v>8</v>
      </c>
      <c r="E267">
        <v>22</v>
      </c>
      <c r="F267">
        <v>71.94</v>
      </c>
      <c r="G267">
        <v>0</v>
      </c>
      <c r="H267">
        <v>1</v>
      </c>
      <c r="I267">
        <v>1</v>
      </c>
      <c r="J267">
        <v>3</v>
      </c>
      <c r="K267">
        <v>65.680000000000007</v>
      </c>
      <c r="L267">
        <v>67.430000000000007</v>
      </c>
      <c r="M267">
        <v>63.54</v>
      </c>
    </row>
    <row r="268" spans="1:13" x14ac:dyDescent="0.2">
      <c r="A268" s="1">
        <v>267</v>
      </c>
      <c r="B268" t="s">
        <v>180</v>
      </c>
      <c r="C268">
        <v>66.12</v>
      </c>
      <c r="D268">
        <v>7</v>
      </c>
      <c r="E268">
        <v>26</v>
      </c>
      <c r="F268">
        <v>72.5</v>
      </c>
      <c r="G268">
        <v>0</v>
      </c>
      <c r="H268">
        <v>0</v>
      </c>
      <c r="I268">
        <v>0</v>
      </c>
      <c r="J268">
        <v>0</v>
      </c>
      <c r="K268">
        <v>66.989999999999995</v>
      </c>
      <c r="L268">
        <v>65.94</v>
      </c>
      <c r="M268">
        <v>63.83</v>
      </c>
    </row>
    <row r="269" spans="1:13" x14ac:dyDescent="0.2">
      <c r="A269" s="1">
        <v>268</v>
      </c>
      <c r="B269" t="s">
        <v>161</v>
      </c>
      <c r="C269">
        <v>66.099999999999994</v>
      </c>
      <c r="D269">
        <v>11</v>
      </c>
      <c r="E269">
        <v>21</v>
      </c>
      <c r="F269">
        <v>71.11</v>
      </c>
      <c r="G269">
        <v>0</v>
      </c>
      <c r="H269">
        <v>0</v>
      </c>
      <c r="I269">
        <v>0</v>
      </c>
      <c r="J269">
        <v>0</v>
      </c>
      <c r="K269">
        <v>65.849999999999994</v>
      </c>
      <c r="L269">
        <v>66.56</v>
      </c>
      <c r="M269">
        <v>64.72</v>
      </c>
    </row>
    <row r="270" spans="1:13" x14ac:dyDescent="0.2">
      <c r="A270" s="1">
        <v>269</v>
      </c>
      <c r="B270" t="s">
        <v>294</v>
      </c>
      <c r="C270">
        <v>66.03</v>
      </c>
      <c r="D270">
        <v>9</v>
      </c>
      <c r="E270">
        <v>20</v>
      </c>
      <c r="F270">
        <v>70.59</v>
      </c>
      <c r="G270">
        <v>0</v>
      </c>
      <c r="H270">
        <v>0</v>
      </c>
      <c r="I270">
        <v>0</v>
      </c>
      <c r="J270">
        <v>1</v>
      </c>
      <c r="K270">
        <v>65.87</v>
      </c>
      <c r="L270">
        <v>67.02</v>
      </c>
      <c r="M270">
        <v>63.13</v>
      </c>
    </row>
    <row r="271" spans="1:13" x14ac:dyDescent="0.2">
      <c r="A271" s="1">
        <v>270</v>
      </c>
      <c r="B271" t="s">
        <v>188</v>
      </c>
      <c r="C271">
        <v>65.989999999999995</v>
      </c>
      <c r="D271">
        <v>7</v>
      </c>
      <c r="E271">
        <v>25</v>
      </c>
      <c r="F271">
        <v>72.81</v>
      </c>
      <c r="G271">
        <v>0</v>
      </c>
      <c r="H271">
        <v>1</v>
      </c>
      <c r="I271">
        <v>0</v>
      </c>
      <c r="J271">
        <v>2</v>
      </c>
      <c r="K271">
        <v>66.680000000000007</v>
      </c>
      <c r="L271">
        <v>66.3</v>
      </c>
      <c r="M271">
        <v>62.89</v>
      </c>
    </row>
    <row r="272" spans="1:13" x14ac:dyDescent="0.2">
      <c r="A272" s="1">
        <v>271</v>
      </c>
      <c r="B272" t="s">
        <v>206</v>
      </c>
      <c r="C272">
        <v>65.94</v>
      </c>
      <c r="D272">
        <v>7</v>
      </c>
      <c r="E272">
        <v>20</v>
      </c>
      <c r="F272">
        <v>72.040000000000006</v>
      </c>
      <c r="G272">
        <v>0</v>
      </c>
      <c r="H272">
        <v>0</v>
      </c>
      <c r="I272">
        <v>0</v>
      </c>
      <c r="J272">
        <v>0</v>
      </c>
      <c r="K272">
        <v>65.77</v>
      </c>
      <c r="L272">
        <v>65.83</v>
      </c>
      <c r="M272">
        <v>65.61</v>
      </c>
    </row>
    <row r="273" spans="1:13" x14ac:dyDescent="0.2">
      <c r="A273" s="1">
        <v>272</v>
      </c>
      <c r="B273" t="s">
        <v>287</v>
      </c>
      <c r="C273">
        <v>65.86</v>
      </c>
      <c r="D273">
        <v>8</v>
      </c>
      <c r="E273">
        <v>20</v>
      </c>
      <c r="F273">
        <v>72.98</v>
      </c>
      <c r="G273">
        <v>0</v>
      </c>
      <c r="H273">
        <v>1</v>
      </c>
      <c r="I273">
        <v>0</v>
      </c>
      <c r="J273">
        <v>5</v>
      </c>
      <c r="K273">
        <v>65.37</v>
      </c>
      <c r="L273">
        <v>66.510000000000005</v>
      </c>
      <c r="M273">
        <v>64.52</v>
      </c>
    </row>
    <row r="274" spans="1:13" x14ac:dyDescent="0.2">
      <c r="A274" s="1">
        <v>273</v>
      </c>
      <c r="B274" t="s">
        <v>830</v>
      </c>
      <c r="C274">
        <v>65.75</v>
      </c>
      <c r="D274">
        <v>9</v>
      </c>
      <c r="E274">
        <v>18</v>
      </c>
      <c r="F274">
        <v>67.849999999999994</v>
      </c>
      <c r="G274">
        <v>0</v>
      </c>
      <c r="H274">
        <v>0</v>
      </c>
      <c r="I274">
        <v>0</v>
      </c>
      <c r="J274">
        <v>2</v>
      </c>
      <c r="K274">
        <v>65.790000000000006</v>
      </c>
      <c r="L274">
        <v>66.55</v>
      </c>
      <c r="M274">
        <v>62.89</v>
      </c>
    </row>
    <row r="275" spans="1:13" x14ac:dyDescent="0.2">
      <c r="A275" s="1">
        <v>274</v>
      </c>
      <c r="B275" t="s">
        <v>168</v>
      </c>
      <c r="C275">
        <v>65.25</v>
      </c>
      <c r="D275">
        <v>8</v>
      </c>
      <c r="E275">
        <v>21</v>
      </c>
      <c r="F275">
        <v>70.34</v>
      </c>
      <c r="G275">
        <v>0</v>
      </c>
      <c r="H275">
        <v>1</v>
      </c>
      <c r="I275">
        <v>0</v>
      </c>
      <c r="J275">
        <v>1</v>
      </c>
      <c r="K275">
        <v>65.64</v>
      </c>
      <c r="L275">
        <v>65.010000000000005</v>
      </c>
      <c r="M275">
        <v>64.14</v>
      </c>
    </row>
    <row r="276" spans="1:13" x14ac:dyDescent="0.2">
      <c r="A276" s="1">
        <v>275</v>
      </c>
      <c r="B276" t="s">
        <v>154</v>
      </c>
      <c r="C276">
        <v>65.22</v>
      </c>
      <c r="D276">
        <v>7</v>
      </c>
      <c r="E276">
        <v>23</v>
      </c>
      <c r="F276">
        <v>72.75</v>
      </c>
      <c r="G276">
        <v>0</v>
      </c>
      <c r="H276">
        <v>1</v>
      </c>
      <c r="I276">
        <v>0</v>
      </c>
      <c r="J276">
        <v>3</v>
      </c>
      <c r="K276">
        <v>65.56</v>
      </c>
      <c r="L276">
        <v>65.06</v>
      </c>
      <c r="M276">
        <v>64.03</v>
      </c>
    </row>
    <row r="277" spans="1:13" x14ac:dyDescent="0.2">
      <c r="A277" s="1">
        <v>276</v>
      </c>
      <c r="B277" t="s">
        <v>825</v>
      </c>
      <c r="C277">
        <v>65.03</v>
      </c>
      <c r="D277">
        <v>15</v>
      </c>
      <c r="E277">
        <v>15</v>
      </c>
      <c r="F277">
        <v>66.78</v>
      </c>
      <c r="G277">
        <v>0</v>
      </c>
      <c r="H277">
        <v>0</v>
      </c>
      <c r="I277">
        <v>0</v>
      </c>
      <c r="J277">
        <v>0</v>
      </c>
      <c r="K277">
        <v>63.34</v>
      </c>
      <c r="L277">
        <v>64.8</v>
      </c>
      <c r="M277">
        <v>67.13</v>
      </c>
    </row>
    <row r="278" spans="1:13" x14ac:dyDescent="0.2">
      <c r="A278" s="1">
        <v>277</v>
      </c>
      <c r="B278" t="s">
        <v>85</v>
      </c>
      <c r="C278">
        <v>64.930000000000007</v>
      </c>
      <c r="D278">
        <v>15</v>
      </c>
      <c r="E278">
        <v>15</v>
      </c>
      <c r="F278">
        <v>66.400000000000006</v>
      </c>
      <c r="G278">
        <v>0</v>
      </c>
      <c r="H278">
        <v>1</v>
      </c>
      <c r="I278">
        <v>0</v>
      </c>
      <c r="J278">
        <v>1</v>
      </c>
      <c r="K278">
        <v>63.72</v>
      </c>
      <c r="L278">
        <v>63.6</v>
      </c>
      <c r="M278">
        <v>68.010000000000005</v>
      </c>
    </row>
    <row r="279" spans="1:13" x14ac:dyDescent="0.2">
      <c r="A279" s="1">
        <v>278</v>
      </c>
      <c r="B279" t="s">
        <v>822</v>
      </c>
      <c r="C279">
        <v>64.88</v>
      </c>
      <c r="D279">
        <v>12</v>
      </c>
      <c r="E279">
        <v>16</v>
      </c>
      <c r="F279">
        <v>67.34</v>
      </c>
      <c r="G279">
        <v>0</v>
      </c>
      <c r="H279">
        <v>1</v>
      </c>
      <c r="I279">
        <v>0</v>
      </c>
      <c r="J279">
        <v>1</v>
      </c>
      <c r="K279">
        <v>63.49</v>
      </c>
      <c r="L279">
        <v>65.260000000000005</v>
      </c>
      <c r="M279">
        <v>65.510000000000005</v>
      </c>
    </row>
    <row r="280" spans="1:13" x14ac:dyDescent="0.2">
      <c r="A280" s="1">
        <v>279</v>
      </c>
      <c r="B280" t="s">
        <v>558</v>
      </c>
      <c r="C280">
        <v>64.84</v>
      </c>
      <c r="D280">
        <v>10</v>
      </c>
      <c r="E280">
        <v>19</v>
      </c>
      <c r="F280">
        <v>70.430000000000007</v>
      </c>
      <c r="G280">
        <v>0</v>
      </c>
      <c r="H280">
        <v>3</v>
      </c>
      <c r="I280">
        <v>0</v>
      </c>
      <c r="J280">
        <v>3</v>
      </c>
      <c r="K280">
        <v>63.99</v>
      </c>
      <c r="L280">
        <v>64.41</v>
      </c>
      <c r="M280">
        <v>66.14</v>
      </c>
    </row>
    <row r="281" spans="1:13" x14ac:dyDescent="0.2">
      <c r="A281" s="1">
        <v>280</v>
      </c>
      <c r="B281" t="s">
        <v>861</v>
      </c>
      <c r="C281">
        <v>64.8</v>
      </c>
      <c r="D281">
        <v>6</v>
      </c>
      <c r="E281">
        <v>23</v>
      </c>
      <c r="F281">
        <v>71.63</v>
      </c>
      <c r="G281">
        <v>0</v>
      </c>
      <c r="H281">
        <v>0</v>
      </c>
      <c r="I281">
        <v>0</v>
      </c>
      <c r="J281">
        <v>3</v>
      </c>
      <c r="K281">
        <v>65.239999999999995</v>
      </c>
      <c r="L281">
        <v>65.17</v>
      </c>
      <c r="M281">
        <v>62.14</v>
      </c>
    </row>
    <row r="282" spans="1:13" x14ac:dyDescent="0.2">
      <c r="A282" s="1">
        <v>281</v>
      </c>
      <c r="B282" t="s">
        <v>228</v>
      </c>
      <c r="C282">
        <v>64.73</v>
      </c>
      <c r="D282">
        <v>10</v>
      </c>
      <c r="E282">
        <v>18</v>
      </c>
      <c r="F282">
        <v>68.099999999999994</v>
      </c>
      <c r="G282">
        <v>0</v>
      </c>
      <c r="H282">
        <v>0</v>
      </c>
      <c r="I282">
        <v>0</v>
      </c>
      <c r="J282">
        <v>1</v>
      </c>
      <c r="K282">
        <v>65.03</v>
      </c>
      <c r="L282">
        <v>63.76</v>
      </c>
      <c r="M282">
        <v>65.13</v>
      </c>
    </row>
    <row r="283" spans="1:13" x14ac:dyDescent="0.2">
      <c r="A283" s="1">
        <v>282</v>
      </c>
      <c r="B283" t="s">
        <v>243</v>
      </c>
      <c r="C283">
        <v>64.62</v>
      </c>
      <c r="D283">
        <v>8</v>
      </c>
      <c r="E283">
        <v>21</v>
      </c>
      <c r="F283">
        <v>70.77</v>
      </c>
      <c r="G283">
        <v>0</v>
      </c>
      <c r="H283">
        <v>0</v>
      </c>
      <c r="I283">
        <v>0</v>
      </c>
      <c r="J283">
        <v>1</v>
      </c>
      <c r="K283">
        <v>64.8</v>
      </c>
      <c r="L283">
        <v>63.9</v>
      </c>
      <c r="M283">
        <v>64.81</v>
      </c>
    </row>
    <row r="284" spans="1:13" x14ac:dyDescent="0.2">
      <c r="A284" s="1">
        <v>283</v>
      </c>
      <c r="B284" t="s">
        <v>221</v>
      </c>
      <c r="C284">
        <v>64.61</v>
      </c>
      <c r="D284">
        <v>4</v>
      </c>
      <c r="E284">
        <v>25</v>
      </c>
      <c r="F284">
        <v>73.48</v>
      </c>
      <c r="G284">
        <v>0</v>
      </c>
      <c r="H284">
        <v>0</v>
      </c>
      <c r="I284">
        <v>0</v>
      </c>
      <c r="J284">
        <v>2</v>
      </c>
      <c r="K284">
        <v>65.319999999999993</v>
      </c>
      <c r="L284">
        <v>65.89</v>
      </c>
      <c r="M284">
        <v>57.25</v>
      </c>
    </row>
    <row r="285" spans="1:13" x14ac:dyDescent="0.2">
      <c r="A285" s="1">
        <v>284</v>
      </c>
      <c r="B285" t="s">
        <v>844</v>
      </c>
      <c r="C285">
        <v>64.540000000000006</v>
      </c>
      <c r="D285">
        <v>11</v>
      </c>
      <c r="E285">
        <v>19</v>
      </c>
      <c r="F285">
        <v>67.31</v>
      </c>
      <c r="G285">
        <v>0</v>
      </c>
      <c r="H285">
        <v>3</v>
      </c>
      <c r="I285">
        <v>0</v>
      </c>
      <c r="J285">
        <v>5</v>
      </c>
      <c r="K285">
        <v>64.290000000000006</v>
      </c>
      <c r="L285">
        <v>64.84</v>
      </c>
      <c r="M285">
        <v>63.48</v>
      </c>
    </row>
    <row r="286" spans="1:13" x14ac:dyDescent="0.2">
      <c r="A286" s="1">
        <v>285</v>
      </c>
      <c r="B286" t="s">
        <v>217</v>
      </c>
      <c r="C286">
        <v>64.23</v>
      </c>
      <c r="D286">
        <v>10</v>
      </c>
      <c r="E286">
        <v>19</v>
      </c>
      <c r="F286">
        <v>70.400000000000006</v>
      </c>
      <c r="G286">
        <v>0</v>
      </c>
      <c r="H286">
        <v>1</v>
      </c>
      <c r="I286">
        <v>0</v>
      </c>
      <c r="J286">
        <v>2</v>
      </c>
      <c r="K286">
        <v>64.52</v>
      </c>
      <c r="L286">
        <v>62.95</v>
      </c>
      <c r="M286">
        <v>65.14</v>
      </c>
    </row>
    <row r="287" spans="1:13" x14ac:dyDescent="0.2">
      <c r="A287" s="1">
        <v>286</v>
      </c>
      <c r="B287" t="s">
        <v>824</v>
      </c>
      <c r="C287">
        <v>64.14</v>
      </c>
      <c r="D287">
        <v>11</v>
      </c>
      <c r="E287">
        <v>19</v>
      </c>
      <c r="F287">
        <v>70.510000000000005</v>
      </c>
      <c r="G287">
        <v>0</v>
      </c>
      <c r="H287">
        <v>2</v>
      </c>
      <c r="I287">
        <v>0</v>
      </c>
      <c r="J287">
        <v>2</v>
      </c>
      <c r="K287">
        <v>62.71</v>
      </c>
      <c r="L287">
        <v>63.28</v>
      </c>
      <c r="M287">
        <v>66.81</v>
      </c>
    </row>
    <row r="288" spans="1:13" x14ac:dyDescent="0.2">
      <c r="A288" s="1">
        <v>287</v>
      </c>
      <c r="B288" t="s">
        <v>836</v>
      </c>
      <c r="C288">
        <v>63.81</v>
      </c>
      <c r="D288">
        <v>4</v>
      </c>
      <c r="E288">
        <v>25</v>
      </c>
      <c r="F288">
        <v>72.430000000000007</v>
      </c>
      <c r="G288">
        <v>0</v>
      </c>
      <c r="H288">
        <v>2</v>
      </c>
      <c r="I288">
        <v>0</v>
      </c>
      <c r="J288">
        <v>2</v>
      </c>
      <c r="K288">
        <v>64.64</v>
      </c>
      <c r="L288">
        <v>64.44</v>
      </c>
      <c r="M288">
        <v>58.93</v>
      </c>
    </row>
    <row r="289" spans="1:13" x14ac:dyDescent="0.2">
      <c r="A289" s="1">
        <v>288</v>
      </c>
      <c r="B289" t="s">
        <v>296</v>
      </c>
      <c r="C289">
        <v>63.64</v>
      </c>
      <c r="D289">
        <v>10</v>
      </c>
      <c r="E289">
        <v>18</v>
      </c>
      <c r="F289">
        <v>69.040000000000006</v>
      </c>
      <c r="G289">
        <v>0</v>
      </c>
      <c r="H289">
        <v>1</v>
      </c>
      <c r="I289">
        <v>0</v>
      </c>
      <c r="J289">
        <v>2</v>
      </c>
      <c r="K289">
        <v>63.73</v>
      </c>
      <c r="L289">
        <v>62.4</v>
      </c>
      <c r="M289">
        <v>64.8</v>
      </c>
    </row>
    <row r="290" spans="1:13" x14ac:dyDescent="0.2">
      <c r="A290" s="1">
        <v>289</v>
      </c>
      <c r="B290" t="s">
        <v>266</v>
      </c>
      <c r="C290">
        <v>63.56</v>
      </c>
      <c r="D290">
        <v>9</v>
      </c>
      <c r="E290">
        <v>20</v>
      </c>
      <c r="F290">
        <v>70.22</v>
      </c>
      <c r="G290">
        <v>0</v>
      </c>
      <c r="H290">
        <v>1</v>
      </c>
      <c r="I290">
        <v>0</v>
      </c>
      <c r="J290">
        <v>2</v>
      </c>
      <c r="K290">
        <v>62.81</v>
      </c>
      <c r="L290">
        <v>63.62</v>
      </c>
      <c r="M290">
        <v>63.84</v>
      </c>
    </row>
    <row r="291" spans="1:13" x14ac:dyDescent="0.2">
      <c r="A291" s="1">
        <v>290</v>
      </c>
      <c r="B291" t="s">
        <v>137</v>
      </c>
      <c r="C291">
        <v>63.49</v>
      </c>
      <c r="D291">
        <v>8</v>
      </c>
      <c r="E291">
        <v>21</v>
      </c>
      <c r="F291">
        <v>67.86</v>
      </c>
      <c r="G291">
        <v>0</v>
      </c>
      <c r="H291">
        <v>1</v>
      </c>
      <c r="I291">
        <v>0</v>
      </c>
      <c r="J291">
        <v>1</v>
      </c>
      <c r="K291">
        <v>63.96</v>
      </c>
      <c r="L291">
        <v>64.2</v>
      </c>
      <c r="M291">
        <v>59.5</v>
      </c>
    </row>
    <row r="292" spans="1:13" x14ac:dyDescent="0.2">
      <c r="A292" s="1">
        <v>291</v>
      </c>
      <c r="B292" t="s">
        <v>200</v>
      </c>
      <c r="C292">
        <v>63.48</v>
      </c>
      <c r="D292">
        <v>12</v>
      </c>
      <c r="E292">
        <v>19</v>
      </c>
      <c r="F292">
        <v>66.010000000000005</v>
      </c>
      <c r="G292">
        <v>0</v>
      </c>
      <c r="H292">
        <v>0</v>
      </c>
      <c r="I292">
        <v>0</v>
      </c>
      <c r="J292">
        <v>0</v>
      </c>
      <c r="K292">
        <v>63.14</v>
      </c>
      <c r="L292">
        <v>63.15</v>
      </c>
      <c r="M292">
        <v>63.81</v>
      </c>
    </row>
    <row r="293" spans="1:13" x14ac:dyDescent="0.2">
      <c r="A293" s="1">
        <v>292</v>
      </c>
      <c r="B293" t="s">
        <v>834</v>
      </c>
      <c r="C293">
        <v>63.47</v>
      </c>
      <c r="D293">
        <v>16</v>
      </c>
      <c r="E293">
        <v>13</v>
      </c>
      <c r="F293">
        <v>64.23</v>
      </c>
      <c r="G293">
        <v>0</v>
      </c>
      <c r="H293">
        <v>0</v>
      </c>
      <c r="I293">
        <v>0</v>
      </c>
      <c r="J293">
        <v>0</v>
      </c>
      <c r="K293">
        <v>62.4</v>
      </c>
      <c r="L293">
        <v>61.27</v>
      </c>
      <c r="M293">
        <v>67.260000000000005</v>
      </c>
    </row>
    <row r="294" spans="1:13" x14ac:dyDescent="0.2">
      <c r="A294" s="1">
        <v>293</v>
      </c>
      <c r="B294" t="s">
        <v>271</v>
      </c>
      <c r="C294">
        <v>63.36</v>
      </c>
      <c r="D294">
        <v>9</v>
      </c>
      <c r="E294">
        <v>19</v>
      </c>
      <c r="F294">
        <v>70.31</v>
      </c>
      <c r="G294">
        <v>0</v>
      </c>
      <c r="H294">
        <v>0</v>
      </c>
      <c r="I294">
        <v>0</v>
      </c>
      <c r="J294">
        <v>0</v>
      </c>
      <c r="K294">
        <v>62.43</v>
      </c>
      <c r="L294">
        <v>62.47</v>
      </c>
      <c r="M294">
        <v>65.42</v>
      </c>
    </row>
    <row r="295" spans="1:13" x14ac:dyDescent="0.2">
      <c r="A295" s="1">
        <v>294</v>
      </c>
      <c r="B295" t="s">
        <v>290</v>
      </c>
      <c r="C295">
        <v>63.29</v>
      </c>
      <c r="D295">
        <v>9</v>
      </c>
      <c r="E295">
        <v>21</v>
      </c>
      <c r="F295">
        <v>68.34</v>
      </c>
      <c r="G295">
        <v>0</v>
      </c>
      <c r="H295">
        <v>1</v>
      </c>
      <c r="I295">
        <v>0</v>
      </c>
      <c r="J295">
        <v>2</v>
      </c>
      <c r="K295">
        <v>63.51</v>
      </c>
      <c r="L295">
        <v>62.93</v>
      </c>
      <c r="M295">
        <v>62.72</v>
      </c>
    </row>
    <row r="296" spans="1:13" x14ac:dyDescent="0.2">
      <c r="A296" s="1">
        <v>295</v>
      </c>
      <c r="B296" t="s">
        <v>902</v>
      </c>
      <c r="C296">
        <v>63.28</v>
      </c>
      <c r="D296">
        <v>9</v>
      </c>
      <c r="E296">
        <v>20</v>
      </c>
      <c r="F296">
        <v>68.61</v>
      </c>
      <c r="G296">
        <v>0</v>
      </c>
      <c r="H296">
        <v>0</v>
      </c>
      <c r="I296">
        <v>0</v>
      </c>
      <c r="J296">
        <v>2</v>
      </c>
      <c r="K296">
        <v>62.93</v>
      </c>
      <c r="L296">
        <v>63.51</v>
      </c>
      <c r="M296">
        <v>62.55</v>
      </c>
    </row>
    <row r="297" spans="1:13" x14ac:dyDescent="0.2">
      <c r="A297" s="1">
        <v>296</v>
      </c>
      <c r="B297" t="s">
        <v>828</v>
      </c>
      <c r="C297">
        <v>63.23</v>
      </c>
      <c r="D297">
        <v>5</v>
      </c>
      <c r="E297">
        <v>24</v>
      </c>
      <c r="F297">
        <v>75.680000000000007</v>
      </c>
      <c r="G297">
        <v>0</v>
      </c>
      <c r="H297">
        <v>2</v>
      </c>
      <c r="I297">
        <v>0</v>
      </c>
      <c r="J297">
        <v>4</v>
      </c>
      <c r="K297">
        <v>62.47</v>
      </c>
      <c r="L297">
        <v>64.08</v>
      </c>
      <c r="M297">
        <v>61.84</v>
      </c>
    </row>
    <row r="298" spans="1:13" x14ac:dyDescent="0.2">
      <c r="A298" s="1">
        <v>297</v>
      </c>
      <c r="B298" t="s">
        <v>247</v>
      </c>
      <c r="C298">
        <v>63.13</v>
      </c>
      <c r="D298">
        <v>12</v>
      </c>
      <c r="E298">
        <v>18</v>
      </c>
      <c r="F298">
        <v>66.91</v>
      </c>
      <c r="G298">
        <v>0</v>
      </c>
      <c r="H298">
        <v>0</v>
      </c>
      <c r="I298">
        <v>0</v>
      </c>
      <c r="J298">
        <v>0</v>
      </c>
      <c r="K298">
        <v>63.27</v>
      </c>
      <c r="L298">
        <v>61.85</v>
      </c>
      <c r="M298">
        <v>64.25</v>
      </c>
    </row>
    <row r="299" spans="1:13" x14ac:dyDescent="0.2">
      <c r="A299" s="1">
        <v>298</v>
      </c>
      <c r="B299" t="s">
        <v>823</v>
      </c>
      <c r="C299">
        <v>63.12</v>
      </c>
      <c r="D299">
        <v>12</v>
      </c>
      <c r="E299">
        <v>17</v>
      </c>
      <c r="F299">
        <v>67.27</v>
      </c>
      <c r="G299">
        <v>0</v>
      </c>
      <c r="H299">
        <v>0</v>
      </c>
      <c r="I299">
        <v>0</v>
      </c>
      <c r="J299">
        <v>0</v>
      </c>
      <c r="K299">
        <v>63.06</v>
      </c>
      <c r="L299">
        <v>62.33</v>
      </c>
      <c r="M299">
        <v>63.84</v>
      </c>
    </row>
    <row r="300" spans="1:13" x14ac:dyDescent="0.2">
      <c r="A300" s="1">
        <v>299</v>
      </c>
      <c r="B300" t="s">
        <v>832</v>
      </c>
      <c r="C300">
        <v>63.1</v>
      </c>
      <c r="D300">
        <v>11</v>
      </c>
      <c r="E300">
        <v>20</v>
      </c>
      <c r="F300">
        <v>68.78</v>
      </c>
      <c r="G300">
        <v>0</v>
      </c>
      <c r="H300">
        <v>2</v>
      </c>
      <c r="I300">
        <v>0</v>
      </c>
      <c r="J300">
        <v>2</v>
      </c>
      <c r="K300">
        <v>63.05</v>
      </c>
      <c r="L300">
        <v>63.09</v>
      </c>
      <c r="M300">
        <v>62.36</v>
      </c>
    </row>
    <row r="301" spans="1:13" x14ac:dyDescent="0.2">
      <c r="A301" s="1">
        <v>300</v>
      </c>
      <c r="B301" t="s">
        <v>813</v>
      </c>
      <c r="C301">
        <v>63.1</v>
      </c>
      <c r="D301">
        <v>3</v>
      </c>
      <c r="E301">
        <v>25</v>
      </c>
      <c r="F301">
        <v>74.09</v>
      </c>
      <c r="G301">
        <v>0</v>
      </c>
      <c r="H301">
        <v>0</v>
      </c>
      <c r="I301">
        <v>0</v>
      </c>
      <c r="J301">
        <v>1</v>
      </c>
      <c r="K301">
        <v>64.28</v>
      </c>
      <c r="L301">
        <v>62.61</v>
      </c>
      <c r="M301">
        <v>60.61</v>
      </c>
    </row>
    <row r="302" spans="1:13" x14ac:dyDescent="0.2">
      <c r="A302" s="1">
        <v>301</v>
      </c>
      <c r="B302" t="s">
        <v>838</v>
      </c>
      <c r="C302">
        <v>63.06</v>
      </c>
      <c r="D302">
        <v>11</v>
      </c>
      <c r="E302">
        <v>20</v>
      </c>
      <c r="F302">
        <v>66.41</v>
      </c>
      <c r="G302">
        <v>0</v>
      </c>
      <c r="H302">
        <v>0</v>
      </c>
      <c r="I302">
        <v>0</v>
      </c>
      <c r="J302">
        <v>2</v>
      </c>
      <c r="K302">
        <v>63.82</v>
      </c>
      <c r="L302">
        <v>62.24</v>
      </c>
      <c r="M302">
        <v>62.32</v>
      </c>
    </row>
    <row r="303" spans="1:13" x14ac:dyDescent="0.2">
      <c r="A303" s="1">
        <v>302</v>
      </c>
      <c r="B303" t="s">
        <v>897</v>
      </c>
      <c r="C303">
        <v>62.93</v>
      </c>
      <c r="D303">
        <v>8</v>
      </c>
      <c r="E303">
        <v>23</v>
      </c>
      <c r="F303">
        <v>69.38</v>
      </c>
      <c r="G303">
        <v>0</v>
      </c>
      <c r="H303">
        <v>0</v>
      </c>
      <c r="I303">
        <v>0</v>
      </c>
      <c r="J303">
        <v>1</v>
      </c>
      <c r="K303">
        <v>62.52</v>
      </c>
      <c r="L303">
        <v>62.76</v>
      </c>
      <c r="M303">
        <v>63.1</v>
      </c>
    </row>
    <row r="304" spans="1:13" x14ac:dyDescent="0.2">
      <c r="A304" s="1">
        <v>303</v>
      </c>
      <c r="B304" t="s">
        <v>845</v>
      </c>
      <c r="C304">
        <v>62.91</v>
      </c>
      <c r="D304">
        <v>13</v>
      </c>
      <c r="E304">
        <v>15</v>
      </c>
      <c r="F304">
        <v>66.38</v>
      </c>
      <c r="G304">
        <v>0</v>
      </c>
      <c r="H304">
        <v>0</v>
      </c>
      <c r="I304">
        <v>0</v>
      </c>
      <c r="J304">
        <v>1</v>
      </c>
      <c r="K304">
        <v>60.76</v>
      </c>
      <c r="L304">
        <v>61.55</v>
      </c>
      <c r="M304">
        <v>66.8</v>
      </c>
    </row>
    <row r="305" spans="1:13" x14ac:dyDescent="0.2">
      <c r="A305" s="1">
        <v>304</v>
      </c>
      <c r="B305" t="s">
        <v>278</v>
      </c>
      <c r="C305">
        <v>62.77</v>
      </c>
      <c r="D305">
        <v>11</v>
      </c>
      <c r="E305">
        <v>18</v>
      </c>
      <c r="F305">
        <v>67.63</v>
      </c>
      <c r="G305">
        <v>0</v>
      </c>
      <c r="H305">
        <v>0</v>
      </c>
      <c r="I305">
        <v>0</v>
      </c>
      <c r="J305">
        <v>2</v>
      </c>
      <c r="K305">
        <v>61.93</v>
      </c>
      <c r="L305">
        <v>61.26</v>
      </c>
      <c r="M305">
        <v>65.489999999999995</v>
      </c>
    </row>
    <row r="306" spans="1:13" x14ac:dyDescent="0.2">
      <c r="A306" s="1">
        <v>305</v>
      </c>
      <c r="B306" t="s">
        <v>260</v>
      </c>
      <c r="C306">
        <v>62.68</v>
      </c>
      <c r="D306">
        <v>12</v>
      </c>
      <c r="E306">
        <v>16</v>
      </c>
      <c r="F306">
        <v>64.739999999999995</v>
      </c>
      <c r="G306">
        <v>0</v>
      </c>
      <c r="H306">
        <v>0</v>
      </c>
      <c r="I306">
        <v>0</v>
      </c>
      <c r="J306">
        <v>1</v>
      </c>
      <c r="K306">
        <v>61.89</v>
      </c>
      <c r="L306">
        <v>60.97</v>
      </c>
      <c r="M306">
        <v>65.569999999999993</v>
      </c>
    </row>
    <row r="307" spans="1:13" x14ac:dyDescent="0.2">
      <c r="A307" s="1">
        <v>306</v>
      </c>
      <c r="B307" t="s">
        <v>829</v>
      </c>
      <c r="C307">
        <v>62.62</v>
      </c>
      <c r="D307">
        <v>8</v>
      </c>
      <c r="E307">
        <v>21</v>
      </c>
      <c r="F307">
        <v>69.349999999999994</v>
      </c>
      <c r="G307">
        <v>0</v>
      </c>
      <c r="H307">
        <v>0</v>
      </c>
      <c r="I307">
        <v>0</v>
      </c>
      <c r="J307">
        <v>1</v>
      </c>
      <c r="K307">
        <v>62.75</v>
      </c>
      <c r="L307">
        <v>62.15</v>
      </c>
      <c r="M307">
        <v>62.42</v>
      </c>
    </row>
    <row r="308" spans="1:13" x14ac:dyDescent="0.2">
      <c r="A308" s="1">
        <v>307</v>
      </c>
      <c r="B308" t="s">
        <v>882</v>
      </c>
      <c r="C308">
        <v>62.55</v>
      </c>
      <c r="D308">
        <v>9</v>
      </c>
      <c r="E308">
        <v>16</v>
      </c>
      <c r="F308">
        <v>67.5</v>
      </c>
      <c r="G308">
        <v>0</v>
      </c>
      <c r="H308">
        <v>0</v>
      </c>
      <c r="I308">
        <v>0</v>
      </c>
      <c r="J308">
        <v>0</v>
      </c>
      <c r="K308">
        <v>62.12</v>
      </c>
      <c r="L308">
        <v>62.06</v>
      </c>
      <c r="M308">
        <v>63.3</v>
      </c>
    </row>
    <row r="309" spans="1:13" x14ac:dyDescent="0.2">
      <c r="A309" s="1">
        <v>308</v>
      </c>
      <c r="B309" t="s">
        <v>884</v>
      </c>
      <c r="C309">
        <v>62.53</v>
      </c>
      <c r="D309">
        <v>10</v>
      </c>
      <c r="E309">
        <v>19</v>
      </c>
      <c r="F309">
        <v>68.430000000000007</v>
      </c>
      <c r="G309">
        <v>0</v>
      </c>
      <c r="H309">
        <v>1</v>
      </c>
      <c r="I309">
        <v>0</v>
      </c>
      <c r="J309">
        <v>1</v>
      </c>
      <c r="K309">
        <v>62.17</v>
      </c>
      <c r="L309">
        <v>61.88</v>
      </c>
      <c r="M309">
        <v>63.43</v>
      </c>
    </row>
    <row r="310" spans="1:13" x14ac:dyDescent="0.2">
      <c r="A310" s="1">
        <v>309</v>
      </c>
      <c r="B310" t="s">
        <v>227</v>
      </c>
      <c r="C310">
        <v>62.41</v>
      </c>
      <c r="D310">
        <v>10</v>
      </c>
      <c r="E310">
        <v>18</v>
      </c>
      <c r="F310">
        <v>66.3</v>
      </c>
      <c r="G310">
        <v>0</v>
      </c>
      <c r="H310">
        <v>0</v>
      </c>
      <c r="I310">
        <v>0</v>
      </c>
      <c r="J310">
        <v>1</v>
      </c>
      <c r="K310">
        <v>61.77</v>
      </c>
      <c r="L310">
        <v>61.38</v>
      </c>
      <c r="M310">
        <v>64.28</v>
      </c>
    </row>
    <row r="311" spans="1:13" x14ac:dyDescent="0.2">
      <c r="A311" s="1">
        <v>310</v>
      </c>
      <c r="B311" t="s">
        <v>893</v>
      </c>
      <c r="C311">
        <v>62.27</v>
      </c>
      <c r="D311">
        <v>10</v>
      </c>
      <c r="E311">
        <v>21</v>
      </c>
      <c r="F311">
        <v>69.510000000000005</v>
      </c>
      <c r="G311">
        <v>0</v>
      </c>
      <c r="H311">
        <v>0</v>
      </c>
      <c r="I311">
        <v>0</v>
      </c>
      <c r="J311">
        <v>1</v>
      </c>
      <c r="K311">
        <v>61.36</v>
      </c>
      <c r="L311">
        <v>61.07</v>
      </c>
      <c r="M311">
        <v>64.680000000000007</v>
      </c>
    </row>
    <row r="312" spans="1:13" x14ac:dyDescent="0.2">
      <c r="A312" s="1">
        <v>311</v>
      </c>
      <c r="B312" t="s">
        <v>833</v>
      </c>
      <c r="C312">
        <v>62.25</v>
      </c>
      <c r="D312">
        <v>9</v>
      </c>
      <c r="E312">
        <v>20</v>
      </c>
      <c r="F312">
        <v>70.09</v>
      </c>
      <c r="G312">
        <v>0</v>
      </c>
      <c r="H312">
        <v>2</v>
      </c>
      <c r="I312">
        <v>0</v>
      </c>
      <c r="J312">
        <v>4</v>
      </c>
      <c r="K312">
        <v>60.4</v>
      </c>
      <c r="L312">
        <v>61.36</v>
      </c>
      <c r="M312">
        <v>65.28</v>
      </c>
    </row>
    <row r="313" spans="1:13" x14ac:dyDescent="0.2">
      <c r="A313" s="1">
        <v>312</v>
      </c>
      <c r="B313" t="s">
        <v>300</v>
      </c>
      <c r="C313">
        <v>62.22</v>
      </c>
      <c r="D313">
        <v>5</v>
      </c>
      <c r="E313">
        <v>23</v>
      </c>
      <c r="F313">
        <v>72.260000000000005</v>
      </c>
      <c r="G313">
        <v>0</v>
      </c>
      <c r="H313">
        <v>0</v>
      </c>
      <c r="I313">
        <v>0</v>
      </c>
      <c r="J313">
        <v>4</v>
      </c>
      <c r="K313">
        <v>62.67</v>
      </c>
      <c r="L313">
        <v>62.82</v>
      </c>
      <c r="M313">
        <v>58.47</v>
      </c>
    </row>
    <row r="314" spans="1:13" x14ac:dyDescent="0.2">
      <c r="A314" s="1">
        <v>313</v>
      </c>
      <c r="B314" t="s">
        <v>554</v>
      </c>
      <c r="C314">
        <v>62.18</v>
      </c>
      <c r="D314">
        <v>9</v>
      </c>
      <c r="E314">
        <v>20</v>
      </c>
      <c r="F314">
        <v>68.87</v>
      </c>
      <c r="G314">
        <v>0</v>
      </c>
      <c r="H314">
        <v>0</v>
      </c>
      <c r="I314">
        <v>0</v>
      </c>
      <c r="J314">
        <v>0</v>
      </c>
      <c r="K314">
        <v>61.17</v>
      </c>
      <c r="L314">
        <v>60.83</v>
      </c>
      <c r="M314">
        <v>64.88</v>
      </c>
    </row>
    <row r="315" spans="1:13" x14ac:dyDescent="0.2">
      <c r="A315" s="1">
        <v>314</v>
      </c>
      <c r="B315" t="s">
        <v>232</v>
      </c>
      <c r="C315">
        <v>61.95</v>
      </c>
      <c r="D315">
        <v>6</v>
      </c>
      <c r="E315">
        <v>21</v>
      </c>
      <c r="F315">
        <v>71.2</v>
      </c>
      <c r="G315">
        <v>0</v>
      </c>
      <c r="H315">
        <v>0</v>
      </c>
      <c r="I315">
        <v>0</v>
      </c>
      <c r="J315">
        <v>2</v>
      </c>
      <c r="K315">
        <v>61.3</v>
      </c>
      <c r="L315">
        <v>62.14</v>
      </c>
      <c r="M315">
        <v>61.8</v>
      </c>
    </row>
    <row r="316" spans="1:13" x14ac:dyDescent="0.2">
      <c r="A316" s="1">
        <v>315</v>
      </c>
      <c r="B316" t="s">
        <v>270</v>
      </c>
      <c r="C316">
        <v>61.83</v>
      </c>
      <c r="D316">
        <v>11</v>
      </c>
      <c r="E316">
        <v>18</v>
      </c>
      <c r="F316">
        <v>67.13</v>
      </c>
      <c r="G316">
        <v>0</v>
      </c>
      <c r="H316">
        <v>2</v>
      </c>
      <c r="I316">
        <v>0</v>
      </c>
      <c r="J316">
        <v>4</v>
      </c>
      <c r="K316">
        <v>61.61</v>
      </c>
      <c r="L316">
        <v>59.25</v>
      </c>
      <c r="M316">
        <v>64.86</v>
      </c>
    </row>
    <row r="317" spans="1:13" x14ac:dyDescent="0.2">
      <c r="A317" s="1">
        <v>316</v>
      </c>
      <c r="B317" t="s">
        <v>208</v>
      </c>
      <c r="C317">
        <v>61.83</v>
      </c>
      <c r="D317">
        <v>9</v>
      </c>
      <c r="E317">
        <v>18</v>
      </c>
      <c r="F317">
        <v>69.59</v>
      </c>
      <c r="G317">
        <v>0</v>
      </c>
      <c r="H317">
        <v>2</v>
      </c>
      <c r="I317">
        <v>0</v>
      </c>
      <c r="J317">
        <v>2</v>
      </c>
      <c r="K317">
        <v>61.45</v>
      </c>
      <c r="L317">
        <v>60.48</v>
      </c>
      <c r="M317">
        <v>63.74</v>
      </c>
    </row>
    <row r="318" spans="1:13" x14ac:dyDescent="0.2">
      <c r="A318" s="1">
        <v>317</v>
      </c>
      <c r="B318" t="s">
        <v>189</v>
      </c>
      <c r="C318">
        <v>61.82</v>
      </c>
      <c r="D318">
        <v>9</v>
      </c>
      <c r="E318">
        <v>19</v>
      </c>
      <c r="F318">
        <v>67.510000000000005</v>
      </c>
      <c r="G318">
        <v>0</v>
      </c>
      <c r="H318">
        <v>1</v>
      </c>
      <c r="I318">
        <v>0</v>
      </c>
      <c r="J318">
        <v>1</v>
      </c>
      <c r="K318">
        <v>62.2</v>
      </c>
      <c r="L318">
        <v>60.29</v>
      </c>
      <c r="M318">
        <v>62.88</v>
      </c>
    </row>
    <row r="319" spans="1:13" x14ac:dyDescent="0.2">
      <c r="A319" s="1">
        <v>318</v>
      </c>
      <c r="B319" t="s">
        <v>283</v>
      </c>
      <c r="C319">
        <v>61.66</v>
      </c>
      <c r="D319">
        <v>8</v>
      </c>
      <c r="E319">
        <v>21</v>
      </c>
      <c r="F319">
        <v>69.209999999999994</v>
      </c>
      <c r="G319">
        <v>0</v>
      </c>
      <c r="H319">
        <v>1</v>
      </c>
      <c r="I319">
        <v>0</v>
      </c>
      <c r="J319">
        <v>1</v>
      </c>
      <c r="K319">
        <v>61.28</v>
      </c>
      <c r="L319">
        <v>61.63</v>
      </c>
      <c r="M319">
        <v>61.55</v>
      </c>
    </row>
    <row r="320" spans="1:13" x14ac:dyDescent="0.2">
      <c r="A320" s="1">
        <v>319</v>
      </c>
      <c r="B320" t="s">
        <v>301</v>
      </c>
      <c r="C320">
        <v>61.65</v>
      </c>
      <c r="D320">
        <v>7</v>
      </c>
      <c r="E320">
        <v>22</v>
      </c>
      <c r="F320">
        <v>70.34</v>
      </c>
      <c r="G320">
        <v>0</v>
      </c>
      <c r="H320">
        <v>0</v>
      </c>
      <c r="I320">
        <v>0</v>
      </c>
      <c r="J320">
        <v>2</v>
      </c>
      <c r="K320">
        <v>60.76</v>
      </c>
      <c r="L320">
        <v>61.44</v>
      </c>
      <c r="M320">
        <v>62.62</v>
      </c>
    </row>
    <row r="321" spans="1:13" x14ac:dyDescent="0.2">
      <c r="A321" s="1">
        <v>320</v>
      </c>
      <c r="B321" t="s">
        <v>289</v>
      </c>
      <c r="C321">
        <v>61.51</v>
      </c>
      <c r="D321">
        <v>10</v>
      </c>
      <c r="E321">
        <v>20</v>
      </c>
      <c r="F321">
        <v>67.7</v>
      </c>
      <c r="G321">
        <v>0</v>
      </c>
      <c r="H321">
        <v>0</v>
      </c>
      <c r="I321">
        <v>0</v>
      </c>
      <c r="J321">
        <v>0</v>
      </c>
      <c r="K321">
        <v>59.79</v>
      </c>
      <c r="L321">
        <v>60.04</v>
      </c>
      <c r="M321">
        <v>64.98</v>
      </c>
    </row>
    <row r="322" spans="1:13" x14ac:dyDescent="0.2">
      <c r="A322" s="1">
        <v>321</v>
      </c>
      <c r="B322" t="s">
        <v>219</v>
      </c>
      <c r="C322">
        <v>61.06</v>
      </c>
      <c r="D322">
        <v>9</v>
      </c>
      <c r="E322">
        <v>15</v>
      </c>
      <c r="F322">
        <v>68.290000000000006</v>
      </c>
      <c r="G322">
        <v>0</v>
      </c>
      <c r="H322">
        <v>1</v>
      </c>
      <c r="I322">
        <v>0</v>
      </c>
      <c r="J322">
        <v>2</v>
      </c>
      <c r="K322">
        <v>58.73</v>
      </c>
      <c r="L322">
        <v>59.66</v>
      </c>
      <c r="M322">
        <v>64.91</v>
      </c>
    </row>
    <row r="323" spans="1:13" x14ac:dyDescent="0.2">
      <c r="A323" s="1">
        <v>322</v>
      </c>
      <c r="B323" t="s">
        <v>835</v>
      </c>
      <c r="C323">
        <v>60.83</v>
      </c>
      <c r="D323">
        <v>7</v>
      </c>
      <c r="E323">
        <v>21</v>
      </c>
      <c r="F323">
        <v>66.56</v>
      </c>
      <c r="G323">
        <v>0</v>
      </c>
      <c r="H323">
        <v>1</v>
      </c>
      <c r="I323">
        <v>0</v>
      </c>
      <c r="J323">
        <v>3</v>
      </c>
      <c r="K323">
        <v>61.39</v>
      </c>
      <c r="L323">
        <v>61.01</v>
      </c>
      <c r="M323">
        <v>58.05</v>
      </c>
    </row>
    <row r="324" spans="1:13" x14ac:dyDescent="0.2">
      <c r="A324" s="1">
        <v>323</v>
      </c>
      <c r="B324" t="s">
        <v>246</v>
      </c>
      <c r="C324">
        <v>60.7</v>
      </c>
      <c r="D324">
        <v>5</v>
      </c>
      <c r="E324">
        <v>26</v>
      </c>
      <c r="F324">
        <v>69.02</v>
      </c>
      <c r="G324">
        <v>0</v>
      </c>
      <c r="H324">
        <v>0</v>
      </c>
      <c r="I324">
        <v>0</v>
      </c>
      <c r="J324">
        <v>0</v>
      </c>
      <c r="K324">
        <v>60.43</v>
      </c>
      <c r="L324">
        <v>61.87</v>
      </c>
      <c r="M324">
        <v>56.88</v>
      </c>
    </row>
    <row r="325" spans="1:13" x14ac:dyDescent="0.2">
      <c r="A325" s="1">
        <v>324</v>
      </c>
      <c r="B325" t="s">
        <v>891</v>
      </c>
      <c r="C325">
        <v>60.52</v>
      </c>
      <c r="D325">
        <v>6</v>
      </c>
      <c r="E325">
        <v>23</v>
      </c>
      <c r="F325">
        <v>68.650000000000006</v>
      </c>
      <c r="G325">
        <v>0</v>
      </c>
      <c r="H325">
        <v>0</v>
      </c>
      <c r="I325">
        <v>0</v>
      </c>
      <c r="J325">
        <v>2</v>
      </c>
      <c r="K325">
        <v>60.55</v>
      </c>
      <c r="L325">
        <v>60.95</v>
      </c>
      <c r="M325">
        <v>58.42</v>
      </c>
    </row>
    <row r="326" spans="1:13" x14ac:dyDescent="0.2">
      <c r="A326" s="1">
        <v>325</v>
      </c>
      <c r="B326" t="s">
        <v>193</v>
      </c>
      <c r="C326">
        <v>60.04</v>
      </c>
      <c r="D326">
        <v>8</v>
      </c>
      <c r="E326">
        <v>21</v>
      </c>
      <c r="F326">
        <v>67.92</v>
      </c>
      <c r="G326">
        <v>0</v>
      </c>
      <c r="H326">
        <v>0</v>
      </c>
      <c r="I326">
        <v>0</v>
      </c>
      <c r="J326">
        <v>2</v>
      </c>
      <c r="K326">
        <v>60.01</v>
      </c>
      <c r="L326">
        <v>60.08</v>
      </c>
      <c r="M326">
        <v>59.11</v>
      </c>
    </row>
    <row r="327" spans="1:13" x14ac:dyDescent="0.2">
      <c r="A327" s="1">
        <v>326</v>
      </c>
      <c r="B327" t="s">
        <v>842</v>
      </c>
      <c r="C327">
        <v>59.99</v>
      </c>
      <c r="D327">
        <v>9</v>
      </c>
      <c r="E327">
        <v>19</v>
      </c>
      <c r="F327">
        <v>65.87</v>
      </c>
      <c r="G327">
        <v>0</v>
      </c>
      <c r="H327">
        <v>1</v>
      </c>
      <c r="I327">
        <v>0</v>
      </c>
      <c r="J327">
        <v>1</v>
      </c>
      <c r="K327">
        <v>58.88</v>
      </c>
      <c r="L327">
        <v>59.02</v>
      </c>
      <c r="M327">
        <v>62.24</v>
      </c>
    </row>
    <row r="328" spans="1:13" x14ac:dyDescent="0.2">
      <c r="A328" s="1">
        <v>327</v>
      </c>
      <c r="B328" t="s">
        <v>235</v>
      </c>
      <c r="C328">
        <v>59.79</v>
      </c>
      <c r="D328">
        <v>10</v>
      </c>
      <c r="E328">
        <v>23</v>
      </c>
      <c r="F328">
        <v>66.45</v>
      </c>
      <c r="G328">
        <v>0</v>
      </c>
      <c r="H328">
        <v>2</v>
      </c>
      <c r="I328">
        <v>0</v>
      </c>
      <c r="J328">
        <v>2</v>
      </c>
      <c r="K328">
        <v>58.71</v>
      </c>
      <c r="L328">
        <v>58.33</v>
      </c>
      <c r="M328">
        <v>62.53</v>
      </c>
    </row>
    <row r="329" spans="1:13" x14ac:dyDescent="0.2">
      <c r="A329" s="1">
        <v>328</v>
      </c>
      <c r="B329" t="s">
        <v>826</v>
      </c>
      <c r="C329">
        <v>59.52</v>
      </c>
      <c r="D329">
        <v>5</v>
      </c>
      <c r="E329">
        <v>21</v>
      </c>
      <c r="F329">
        <v>67.099999999999994</v>
      </c>
      <c r="G329">
        <v>0</v>
      </c>
      <c r="H329">
        <v>1</v>
      </c>
      <c r="I329">
        <v>0</v>
      </c>
      <c r="J329">
        <v>1</v>
      </c>
      <c r="K329">
        <v>59.9</v>
      </c>
      <c r="L329">
        <v>58.98</v>
      </c>
      <c r="M329">
        <v>58.96</v>
      </c>
    </row>
    <row r="330" spans="1:13" x14ac:dyDescent="0.2">
      <c r="A330" s="1">
        <v>329</v>
      </c>
      <c r="B330" t="s">
        <v>233</v>
      </c>
      <c r="C330">
        <v>59.19</v>
      </c>
      <c r="D330">
        <v>7</v>
      </c>
      <c r="E330">
        <v>24</v>
      </c>
      <c r="F330">
        <v>69.2</v>
      </c>
      <c r="G330">
        <v>0</v>
      </c>
      <c r="H330">
        <v>0</v>
      </c>
      <c r="I330">
        <v>0</v>
      </c>
      <c r="J330">
        <v>0</v>
      </c>
      <c r="K330">
        <v>58.24</v>
      </c>
      <c r="L330">
        <v>57.95</v>
      </c>
      <c r="M330">
        <v>61.54</v>
      </c>
    </row>
    <row r="331" spans="1:13" x14ac:dyDescent="0.2">
      <c r="A331" s="1">
        <v>330</v>
      </c>
      <c r="B331" t="s">
        <v>256</v>
      </c>
      <c r="C331">
        <v>58.85</v>
      </c>
      <c r="D331">
        <v>6</v>
      </c>
      <c r="E331">
        <v>21</v>
      </c>
      <c r="F331">
        <v>68.319999999999993</v>
      </c>
      <c r="G331">
        <v>0</v>
      </c>
      <c r="H331">
        <v>0</v>
      </c>
      <c r="I331">
        <v>0</v>
      </c>
      <c r="J331">
        <v>2</v>
      </c>
      <c r="K331">
        <v>58.66</v>
      </c>
      <c r="L331">
        <v>58.51</v>
      </c>
      <c r="M331">
        <v>58.97</v>
      </c>
    </row>
    <row r="332" spans="1:13" x14ac:dyDescent="0.2">
      <c r="A332" s="1">
        <v>331</v>
      </c>
      <c r="B332" t="s">
        <v>197</v>
      </c>
      <c r="C332">
        <v>58.76</v>
      </c>
      <c r="D332">
        <v>5</v>
      </c>
      <c r="E332">
        <v>24</v>
      </c>
      <c r="F332">
        <v>68.69</v>
      </c>
      <c r="G332">
        <v>0</v>
      </c>
      <c r="H332">
        <v>0</v>
      </c>
      <c r="I332">
        <v>0</v>
      </c>
      <c r="J332">
        <v>0</v>
      </c>
      <c r="K332">
        <v>59.1</v>
      </c>
      <c r="L332">
        <v>59.82</v>
      </c>
      <c r="M332">
        <v>51.69</v>
      </c>
    </row>
    <row r="333" spans="1:13" x14ac:dyDescent="0.2">
      <c r="A333" s="1">
        <v>332</v>
      </c>
      <c r="B333" t="s">
        <v>272</v>
      </c>
      <c r="C333">
        <v>58.73</v>
      </c>
      <c r="D333">
        <v>3</v>
      </c>
      <c r="E333">
        <v>26</v>
      </c>
      <c r="F333">
        <v>72.5</v>
      </c>
      <c r="G333">
        <v>0</v>
      </c>
      <c r="H333">
        <v>0</v>
      </c>
      <c r="I333">
        <v>0</v>
      </c>
      <c r="J333">
        <v>0</v>
      </c>
      <c r="K333">
        <v>58.68</v>
      </c>
      <c r="L333">
        <v>59.26</v>
      </c>
      <c r="M333">
        <v>56.48</v>
      </c>
    </row>
    <row r="334" spans="1:13" x14ac:dyDescent="0.2">
      <c r="A334" s="1">
        <v>333</v>
      </c>
      <c r="B334" t="s">
        <v>865</v>
      </c>
      <c r="C334">
        <v>58.35</v>
      </c>
      <c r="D334">
        <v>4</v>
      </c>
      <c r="E334">
        <v>25</v>
      </c>
      <c r="F334">
        <v>69.900000000000006</v>
      </c>
      <c r="G334">
        <v>0</v>
      </c>
      <c r="H334">
        <v>1</v>
      </c>
      <c r="I334">
        <v>0</v>
      </c>
      <c r="J334">
        <v>1</v>
      </c>
      <c r="K334">
        <v>58.52</v>
      </c>
      <c r="L334">
        <v>58.07</v>
      </c>
      <c r="M334">
        <v>57.72</v>
      </c>
    </row>
    <row r="335" spans="1:13" x14ac:dyDescent="0.2">
      <c r="A335" s="1">
        <v>334</v>
      </c>
      <c r="B335" t="s">
        <v>224</v>
      </c>
      <c r="C335">
        <v>58.3</v>
      </c>
      <c r="D335">
        <v>6</v>
      </c>
      <c r="E335">
        <v>25</v>
      </c>
      <c r="F335">
        <v>69.72</v>
      </c>
      <c r="G335">
        <v>0</v>
      </c>
      <c r="H335">
        <v>1</v>
      </c>
      <c r="I335">
        <v>0</v>
      </c>
      <c r="J335">
        <v>2</v>
      </c>
      <c r="K335">
        <v>57.9</v>
      </c>
      <c r="L335">
        <v>57.99</v>
      </c>
      <c r="M335">
        <v>58.71</v>
      </c>
    </row>
    <row r="336" spans="1:13" x14ac:dyDescent="0.2">
      <c r="A336" s="1">
        <v>335</v>
      </c>
      <c r="B336" t="s">
        <v>901</v>
      </c>
      <c r="C336">
        <v>58.1</v>
      </c>
      <c r="D336">
        <v>7</v>
      </c>
      <c r="E336">
        <v>23</v>
      </c>
      <c r="F336">
        <v>67.89</v>
      </c>
      <c r="G336">
        <v>0</v>
      </c>
      <c r="H336">
        <v>1</v>
      </c>
      <c r="I336">
        <v>0</v>
      </c>
      <c r="J336">
        <v>2</v>
      </c>
      <c r="K336">
        <v>58</v>
      </c>
      <c r="L336">
        <v>58.2</v>
      </c>
      <c r="M336">
        <v>57.16</v>
      </c>
    </row>
    <row r="337" spans="1:13" x14ac:dyDescent="0.2">
      <c r="A337" s="1">
        <v>336</v>
      </c>
      <c r="B337" t="s">
        <v>295</v>
      </c>
      <c r="C337">
        <v>58</v>
      </c>
      <c r="D337">
        <v>1</v>
      </c>
      <c r="E337">
        <v>26</v>
      </c>
      <c r="F337">
        <v>73.680000000000007</v>
      </c>
      <c r="G337">
        <v>0</v>
      </c>
      <c r="H337">
        <v>2</v>
      </c>
      <c r="I337">
        <v>0</v>
      </c>
      <c r="J337">
        <v>4</v>
      </c>
      <c r="K337">
        <v>58.06</v>
      </c>
      <c r="L337">
        <v>59.05</v>
      </c>
      <c r="M337">
        <v>52.64</v>
      </c>
    </row>
    <row r="338" spans="1:13" x14ac:dyDescent="0.2">
      <c r="A338" s="1">
        <v>337</v>
      </c>
      <c r="B338" t="s">
        <v>262</v>
      </c>
      <c r="C338">
        <v>57.89</v>
      </c>
      <c r="D338">
        <v>4</v>
      </c>
      <c r="E338">
        <v>26</v>
      </c>
      <c r="F338">
        <v>68.02</v>
      </c>
      <c r="G338">
        <v>0</v>
      </c>
      <c r="H338">
        <v>0</v>
      </c>
      <c r="I338">
        <v>0</v>
      </c>
      <c r="J338">
        <v>1</v>
      </c>
      <c r="K338">
        <v>58.08</v>
      </c>
      <c r="L338">
        <v>57.57</v>
      </c>
      <c r="M338">
        <v>57.26</v>
      </c>
    </row>
    <row r="339" spans="1:13" x14ac:dyDescent="0.2">
      <c r="A339" s="1">
        <v>338</v>
      </c>
      <c r="B339" t="s">
        <v>267</v>
      </c>
      <c r="C339">
        <v>57.86</v>
      </c>
      <c r="D339">
        <v>5</v>
      </c>
      <c r="E339">
        <v>23</v>
      </c>
      <c r="F339">
        <v>69.03</v>
      </c>
      <c r="G339">
        <v>0</v>
      </c>
      <c r="H339">
        <v>1</v>
      </c>
      <c r="I339">
        <v>0</v>
      </c>
      <c r="J339">
        <v>3</v>
      </c>
      <c r="K339">
        <v>58.34</v>
      </c>
      <c r="L339">
        <v>57.55</v>
      </c>
      <c r="M339">
        <v>56.58</v>
      </c>
    </row>
    <row r="340" spans="1:13" x14ac:dyDescent="0.2">
      <c r="A340" s="1">
        <v>339</v>
      </c>
      <c r="B340" t="s">
        <v>229</v>
      </c>
      <c r="C340">
        <v>57.79</v>
      </c>
      <c r="D340">
        <v>8</v>
      </c>
      <c r="E340">
        <v>23</v>
      </c>
      <c r="F340">
        <v>66.94</v>
      </c>
      <c r="G340">
        <v>0</v>
      </c>
      <c r="H340">
        <v>0</v>
      </c>
      <c r="I340">
        <v>0</v>
      </c>
      <c r="J340">
        <v>1</v>
      </c>
      <c r="K340">
        <v>57.05</v>
      </c>
      <c r="L340">
        <v>57.87</v>
      </c>
      <c r="M340">
        <v>57.98</v>
      </c>
    </row>
    <row r="341" spans="1:13" x14ac:dyDescent="0.2">
      <c r="A341" s="1">
        <v>340</v>
      </c>
      <c r="B341" t="s">
        <v>886</v>
      </c>
      <c r="C341">
        <v>57.72</v>
      </c>
      <c r="D341">
        <v>5</v>
      </c>
      <c r="E341">
        <v>23</v>
      </c>
      <c r="F341">
        <v>67.13</v>
      </c>
      <c r="G341">
        <v>0</v>
      </c>
      <c r="H341">
        <v>0</v>
      </c>
      <c r="I341">
        <v>0</v>
      </c>
      <c r="J341">
        <v>1</v>
      </c>
      <c r="K341">
        <v>57.95</v>
      </c>
      <c r="L341">
        <v>57.71</v>
      </c>
      <c r="M341">
        <v>56.27</v>
      </c>
    </row>
    <row r="342" spans="1:13" x14ac:dyDescent="0.2">
      <c r="A342" s="1">
        <v>341</v>
      </c>
      <c r="B342" t="s">
        <v>95</v>
      </c>
      <c r="C342">
        <v>57.7</v>
      </c>
      <c r="D342">
        <v>7</v>
      </c>
      <c r="E342">
        <v>20</v>
      </c>
      <c r="F342">
        <v>66.989999999999995</v>
      </c>
      <c r="G342">
        <v>0</v>
      </c>
      <c r="H342">
        <v>0</v>
      </c>
      <c r="I342">
        <v>0</v>
      </c>
      <c r="J342">
        <v>0</v>
      </c>
      <c r="K342">
        <v>56.3</v>
      </c>
      <c r="L342">
        <v>56.6</v>
      </c>
      <c r="M342">
        <v>60.25</v>
      </c>
    </row>
    <row r="343" spans="1:13" x14ac:dyDescent="0.2">
      <c r="A343" s="1">
        <v>342</v>
      </c>
      <c r="B343" t="s">
        <v>895</v>
      </c>
      <c r="C343">
        <v>57.43</v>
      </c>
      <c r="D343">
        <v>5</v>
      </c>
      <c r="E343">
        <v>25</v>
      </c>
      <c r="F343">
        <v>67.739999999999995</v>
      </c>
      <c r="G343">
        <v>0</v>
      </c>
      <c r="H343">
        <v>0</v>
      </c>
      <c r="I343">
        <v>0</v>
      </c>
      <c r="J343">
        <v>0</v>
      </c>
      <c r="K343">
        <v>57.35</v>
      </c>
      <c r="L343">
        <v>57.9</v>
      </c>
      <c r="M343">
        <v>55.39</v>
      </c>
    </row>
    <row r="344" spans="1:13" x14ac:dyDescent="0.2">
      <c r="A344" s="1">
        <v>343</v>
      </c>
      <c r="B344" t="s">
        <v>900</v>
      </c>
      <c r="C344">
        <v>56.97</v>
      </c>
      <c r="D344">
        <v>7</v>
      </c>
      <c r="E344">
        <v>21</v>
      </c>
      <c r="F344">
        <v>67.63</v>
      </c>
      <c r="G344">
        <v>0</v>
      </c>
      <c r="H344">
        <v>1</v>
      </c>
      <c r="I344">
        <v>0</v>
      </c>
      <c r="J344">
        <v>1</v>
      </c>
      <c r="K344">
        <v>56.17</v>
      </c>
      <c r="L344">
        <v>57.03</v>
      </c>
      <c r="M344">
        <v>57.3</v>
      </c>
    </row>
    <row r="345" spans="1:13" x14ac:dyDescent="0.2">
      <c r="A345" s="1">
        <v>344</v>
      </c>
      <c r="B345" t="s">
        <v>198</v>
      </c>
      <c r="C345">
        <v>56.87</v>
      </c>
      <c r="D345">
        <v>4</v>
      </c>
      <c r="E345">
        <v>25</v>
      </c>
      <c r="F345">
        <v>67.98</v>
      </c>
      <c r="G345">
        <v>0</v>
      </c>
      <c r="H345">
        <v>1</v>
      </c>
      <c r="I345">
        <v>0</v>
      </c>
      <c r="J345">
        <v>1</v>
      </c>
      <c r="K345">
        <v>56.71</v>
      </c>
      <c r="L345">
        <v>56.79</v>
      </c>
      <c r="M345">
        <v>56.44</v>
      </c>
    </row>
    <row r="346" spans="1:13" x14ac:dyDescent="0.2">
      <c r="A346" s="1">
        <v>345</v>
      </c>
      <c r="B346" t="s">
        <v>261</v>
      </c>
      <c r="C346">
        <v>56.69</v>
      </c>
      <c r="D346">
        <v>4</v>
      </c>
      <c r="E346">
        <v>25</v>
      </c>
      <c r="F346">
        <v>68.83</v>
      </c>
      <c r="G346">
        <v>0</v>
      </c>
      <c r="H346">
        <v>1</v>
      </c>
      <c r="I346">
        <v>0</v>
      </c>
      <c r="J346">
        <v>2</v>
      </c>
      <c r="K346">
        <v>56.39</v>
      </c>
      <c r="L346">
        <v>56.96</v>
      </c>
      <c r="M346">
        <v>55.73</v>
      </c>
    </row>
    <row r="347" spans="1:13" x14ac:dyDescent="0.2">
      <c r="A347" s="1">
        <v>346</v>
      </c>
      <c r="B347" t="s">
        <v>132</v>
      </c>
      <c r="C347">
        <v>56.35</v>
      </c>
      <c r="D347">
        <v>2</v>
      </c>
      <c r="E347">
        <v>19</v>
      </c>
      <c r="F347">
        <v>70.38</v>
      </c>
      <c r="G347">
        <v>0</v>
      </c>
      <c r="H347">
        <v>0</v>
      </c>
      <c r="I347">
        <v>0</v>
      </c>
      <c r="J347">
        <v>2</v>
      </c>
      <c r="K347">
        <v>56.45</v>
      </c>
      <c r="L347">
        <v>55.73</v>
      </c>
      <c r="M347">
        <v>56.45</v>
      </c>
    </row>
    <row r="348" spans="1:13" x14ac:dyDescent="0.2">
      <c r="A348" s="1">
        <v>347</v>
      </c>
      <c r="B348" t="s">
        <v>905</v>
      </c>
      <c r="C348">
        <v>55.71</v>
      </c>
      <c r="D348">
        <v>6</v>
      </c>
      <c r="E348">
        <v>23</v>
      </c>
      <c r="F348">
        <v>66.489999999999995</v>
      </c>
      <c r="G348">
        <v>0</v>
      </c>
      <c r="H348">
        <v>1</v>
      </c>
      <c r="I348">
        <v>0</v>
      </c>
      <c r="J348">
        <v>1</v>
      </c>
      <c r="K348">
        <v>54.48</v>
      </c>
      <c r="L348">
        <v>54.51</v>
      </c>
      <c r="M348">
        <v>58.12</v>
      </c>
    </row>
    <row r="349" spans="1:13" x14ac:dyDescent="0.2">
      <c r="A349" s="1">
        <v>348</v>
      </c>
      <c r="B349" t="s">
        <v>170</v>
      </c>
      <c r="C349">
        <v>54.98</v>
      </c>
      <c r="D349">
        <v>4</v>
      </c>
      <c r="E349">
        <v>24</v>
      </c>
      <c r="F349">
        <v>68.959999999999994</v>
      </c>
      <c r="G349">
        <v>0</v>
      </c>
      <c r="H349">
        <v>0</v>
      </c>
      <c r="I349">
        <v>0</v>
      </c>
      <c r="J349">
        <v>1</v>
      </c>
      <c r="K349">
        <v>54.25</v>
      </c>
      <c r="L349">
        <v>55.21</v>
      </c>
      <c r="M349">
        <v>54.86</v>
      </c>
    </row>
    <row r="350" spans="1:13" x14ac:dyDescent="0.2">
      <c r="A350" s="1">
        <v>349</v>
      </c>
      <c r="B350" t="s">
        <v>883</v>
      </c>
      <c r="C350">
        <v>54.48</v>
      </c>
      <c r="D350">
        <v>4</v>
      </c>
      <c r="E350">
        <v>26</v>
      </c>
      <c r="F350">
        <v>67.38</v>
      </c>
      <c r="G350">
        <v>0</v>
      </c>
      <c r="H350">
        <v>0</v>
      </c>
      <c r="I350">
        <v>0</v>
      </c>
      <c r="J350">
        <v>0</v>
      </c>
      <c r="K350">
        <v>54.41</v>
      </c>
      <c r="L350">
        <v>54.23</v>
      </c>
      <c r="M350">
        <v>54.22</v>
      </c>
    </row>
    <row r="351" spans="1:13" x14ac:dyDescent="0.2">
      <c r="A351" s="1">
        <v>350</v>
      </c>
      <c r="B351" t="s">
        <v>164</v>
      </c>
      <c r="C351">
        <v>53.35</v>
      </c>
      <c r="D351">
        <v>1</v>
      </c>
      <c r="E351">
        <v>27</v>
      </c>
      <c r="F351">
        <v>69.209999999999994</v>
      </c>
      <c r="G351">
        <v>0</v>
      </c>
      <c r="H351">
        <v>1</v>
      </c>
      <c r="I351">
        <v>0</v>
      </c>
      <c r="J351">
        <v>1</v>
      </c>
      <c r="K351">
        <v>53.18</v>
      </c>
      <c r="L351">
        <v>53.85</v>
      </c>
      <c r="M351">
        <v>51.27</v>
      </c>
    </row>
    <row r="352" spans="1:13" x14ac:dyDescent="0.2">
      <c r="A352" s="2">
        <v>351</v>
      </c>
      <c r="B352" t="s">
        <v>867</v>
      </c>
      <c r="C352">
        <v>53.29</v>
      </c>
      <c r="D352">
        <v>4</v>
      </c>
      <c r="E352">
        <v>23</v>
      </c>
      <c r="F352">
        <v>66.19</v>
      </c>
      <c r="G352">
        <v>0</v>
      </c>
      <c r="H352">
        <v>0</v>
      </c>
      <c r="I352">
        <v>0</v>
      </c>
      <c r="J352">
        <v>1</v>
      </c>
      <c r="K352">
        <v>50.9</v>
      </c>
      <c r="L352">
        <v>51.46</v>
      </c>
      <c r="M352">
        <v>56.7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D55B-8BD6-492A-A7F6-1941FA416E2A}">
  <dimension ref="A1:L348"/>
  <sheetViews>
    <sheetView topLeftCell="A92" workbookViewId="0">
      <selection activeCell="B112" sqref="B112"/>
    </sheetView>
  </sheetViews>
  <sheetFormatPr baseColWidth="10" defaultColWidth="8.83203125" defaultRowHeight="15" x14ac:dyDescent="0.2"/>
  <sheetData>
    <row r="1" spans="1:12" x14ac:dyDescent="0.2">
      <c r="A1" t="s">
        <v>547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854</v>
      </c>
      <c r="L1" t="s">
        <v>28</v>
      </c>
    </row>
    <row r="2" spans="1:12" x14ac:dyDescent="0.2">
      <c r="A2" s="3">
        <v>1</v>
      </c>
      <c r="B2" t="s">
        <v>104</v>
      </c>
      <c r="C2">
        <f xml:space="preserve">  96.19</f>
        <v>96.19</v>
      </c>
      <c r="D2">
        <v>35</v>
      </c>
      <c r="E2">
        <v>5</v>
      </c>
      <c r="F2">
        <v>80.69</v>
      </c>
      <c r="G2">
        <v>8</v>
      </c>
      <c r="H2">
        <v>3</v>
      </c>
      <c r="I2">
        <v>6</v>
      </c>
      <c r="J2">
        <v>4</v>
      </c>
      <c r="K2">
        <v>96.23</v>
      </c>
      <c r="L2">
        <v>96.04</v>
      </c>
    </row>
    <row r="3" spans="1:12" x14ac:dyDescent="0.2">
      <c r="A3" s="3">
        <v>2</v>
      </c>
      <c r="B3" t="s">
        <v>39</v>
      </c>
      <c r="C3">
        <f xml:space="preserve">  92.6</f>
        <v>92.6</v>
      </c>
      <c r="D3">
        <v>30</v>
      </c>
      <c r="E3">
        <v>8</v>
      </c>
      <c r="F3">
        <v>81.010000000000005</v>
      </c>
      <c r="G3">
        <v>8</v>
      </c>
      <c r="H3">
        <v>7</v>
      </c>
      <c r="I3">
        <v>13</v>
      </c>
      <c r="J3">
        <v>7</v>
      </c>
      <c r="K3">
        <v>92.52</v>
      </c>
      <c r="L3">
        <v>92.57</v>
      </c>
    </row>
    <row r="4" spans="1:12" x14ac:dyDescent="0.2">
      <c r="A4" s="3">
        <v>3</v>
      </c>
      <c r="B4" t="s">
        <v>46</v>
      </c>
      <c r="C4">
        <f xml:space="preserve">  92.5</f>
        <v>92.5</v>
      </c>
      <c r="D4">
        <v>29</v>
      </c>
      <c r="E4">
        <v>7</v>
      </c>
      <c r="F4">
        <v>79.84</v>
      </c>
      <c r="G4">
        <v>7</v>
      </c>
      <c r="H4">
        <v>5</v>
      </c>
      <c r="I4">
        <v>12</v>
      </c>
      <c r="J4">
        <v>7</v>
      </c>
      <c r="K4">
        <v>91.47</v>
      </c>
      <c r="L4">
        <v>93.85</v>
      </c>
    </row>
    <row r="5" spans="1:12" x14ac:dyDescent="0.2">
      <c r="A5" s="3">
        <v>4</v>
      </c>
      <c r="B5" t="s">
        <v>60</v>
      </c>
      <c r="C5">
        <f xml:space="preserve">  92.19</f>
        <v>92.19</v>
      </c>
      <c r="D5">
        <v>29</v>
      </c>
      <c r="E5">
        <v>8</v>
      </c>
      <c r="F5">
        <v>78.400000000000006</v>
      </c>
      <c r="G5">
        <v>3</v>
      </c>
      <c r="H5">
        <v>2</v>
      </c>
      <c r="I5">
        <v>7</v>
      </c>
      <c r="J5">
        <v>6</v>
      </c>
      <c r="K5">
        <v>90.69</v>
      </c>
      <c r="L5">
        <v>94.66</v>
      </c>
    </row>
    <row r="6" spans="1:12" x14ac:dyDescent="0.2">
      <c r="A6" s="3">
        <v>5</v>
      </c>
      <c r="B6" t="s">
        <v>9</v>
      </c>
      <c r="C6">
        <f xml:space="preserve">  91.99</f>
        <v>91.99</v>
      </c>
      <c r="D6">
        <v>30</v>
      </c>
      <c r="E6">
        <v>6</v>
      </c>
      <c r="F6">
        <v>80.5</v>
      </c>
      <c r="G6">
        <v>7</v>
      </c>
      <c r="H6">
        <v>2</v>
      </c>
      <c r="I6">
        <v>12</v>
      </c>
      <c r="J6">
        <v>4</v>
      </c>
      <c r="K6">
        <v>92.06</v>
      </c>
      <c r="L6">
        <v>91.82</v>
      </c>
    </row>
    <row r="7" spans="1:12" x14ac:dyDescent="0.2">
      <c r="A7" s="3">
        <v>6</v>
      </c>
      <c r="B7" t="s">
        <v>73</v>
      </c>
      <c r="C7">
        <f xml:space="preserve">  91.46</f>
        <v>91.46</v>
      </c>
      <c r="D7">
        <v>30</v>
      </c>
      <c r="E7">
        <v>10</v>
      </c>
      <c r="F7">
        <v>80.23</v>
      </c>
      <c r="G7">
        <v>5</v>
      </c>
      <c r="H7">
        <v>7</v>
      </c>
      <c r="I7">
        <v>8</v>
      </c>
      <c r="J7">
        <v>9</v>
      </c>
      <c r="K7">
        <v>90.8</v>
      </c>
      <c r="L7">
        <v>92.16</v>
      </c>
    </row>
    <row r="8" spans="1:12" x14ac:dyDescent="0.2">
      <c r="A8" s="3">
        <v>7</v>
      </c>
      <c r="B8" t="s">
        <v>2</v>
      </c>
      <c r="C8">
        <f xml:space="preserve">  90.88</f>
        <v>90.88</v>
      </c>
      <c r="D8">
        <v>31</v>
      </c>
      <c r="E8">
        <v>6</v>
      </c>
      <c r="F8">
        <v>78.42</v>
      </c>
      <c r="G8">
        <v>5</v>
      </c>
      <c r="H8">
        <v>2</v>
      </c>
      <c r="I8">
        <v>14</v>
      </c>
      <c r="J8">
        <v>4</v>
      </c>
      <c r="K8">
        <v>91.12</v>
      </c>
      <c r="L8">
        <v>90.55</v>
      </c>
    </row>
    <row r="9" spans="1:12" x14ac:dyDescent="0.2">
      <c r="A9" s="3">
        <v>8</v>
      </c>
      <c r="B9" t="s">
        <v>0</v>
      </c>
      <c r="C9">
        <f xml:space="preserve">  90.74</f>
        <v>90.74</v>
      </c>
      <c r="D9">
        <v>31</v>
      </c>
      <c r="E9">
        <v>3</v>
      </c>
      <c r="F9">
        <v>76.16</v>
      </c>
      <c r="G9">
        <v>3</v>
      </c>
      <c r="H9">
        <v>1</v>
      </c>
      <c r="I9">
        <v>6</v>
      </c>
      <c r="J9">
        <v>3</v>
      </c>
      <c r="K9">
        <v>90.6</v>
      </c>
      <c r="L9">
        <v>90.79</v>
      </c>
    </row>
    <row r="10" spans="1:12" x14ac:dyDescent="0.2">
      <c r="A10" s="3">
        <v>9</v>
      </c>
      <c r="B10" t="s">
        <v>809</v>
      </c>
      <c r="C10">
        <f xml:space="preserve">  90.61</f>
        <v>90.61</v>
      </c>
      <c r="D10">
        <v>29</v>
      </c>
      <c r="E10">
        <v>8</v>
      </c>
      <c r="F10">
        <v>80.489999999999995</v>
      </c>
      <c r="G10">
        <v>9</v>
      </c>
      <c r="H10">
        <v>7</v>
      </c>
      <c r="I10">
        <v>11</v>
      </c>
      <c r="J10">
        <v>8</v>
      </c>
      <c r="K10">
        <v>90.39</v>
      </c>
      <c r="L10">
        <v>90.74</v>
      </c>
    </row>
    <row r="11" spans="1:12" x14ac:dyDescent="0.2">
      <c r="A11" s="3">
        <v>10</v>
      </c>
      <c r="B11" t="s">
        <v>794</v>
      </c>
      <c r="C11">
        <f xml:space="preserve">  89.8</f>
        <v>89.8</v>
      </c>
      <c r="D11">
        <v>26</v>
      </c>
      <c r="E11">
        <v>9</v>
      </c>
      <c r="F11">
        <v>81.569999999999993</v>
      </c>
      <c r="G11">
        <v>6</v>
      </c>
      <c r="H11">
        <v>8</v>
      </c>
      <c r="I11">
        <v>10</v>
      </c>
      <c r="J11">
        <v>9</v>
      </c>
      <c r="K11">
        <v>89.76</v>
      </c>
      <c r="L11">
        <v>89.74</v>
      </c>
    </row>
    <row r="12" spans="1:12" x14ac:dyDescent="0.2">
      <c r="A12" s="4">
        <v>11</v>
      </c>
      <c r="B12" t="s">
        <v>153</v>
      </c>
      <c r="C12">
        <f xml:space="preserve">  88.36</f>
        <v>88.36</v>
      </c>
      <c r="D12">
        <v>24</v>
      </c>
      <c r="E12">
        <v>9</v>
      </c>
      <c r="F12">
        <v>77.16</v>
      </c>
      <c r="G12">
        <v>2</v>
      </c>
      <c r="H12">
        <v>6</v>
      </c>
      <c r="I12">
        <v>4</v>
      </c>
      <c r="J12">
        <v>8</v>
      </c>
      <c r="K12">
        <v>87.49</v>
      </c>
      <c r="L12">
        <v>89.33</v>
      </c>
    </row>
    <row r="13" spans="1:12" x14ac:dyDescent="0.2">
      <c r="A13" s="4">
        <v>12</v>
      </c>
      <c r="B13" t="s">
        <v>872</v>
      </c>
      <c r="C13">
        <f xml:space="preserve">  88.2</f>
        <v>88.2</v>
      </c>
      <c r="D13">
        <v>29</v>
      </c>
      <c r="E13">
        <v>7</v>
      </c>
      <c r="F13">
        <v>79.319999999999993</v>
      </c>
      <c r="G13">
        <v>2</v>
      </c>
      <c r="H13">
        <v>3</v>
      </c>
      <c r="I13">
        <v>10</v>
      </c>
      <c r="J13">
        <v>3</v>
      </c>
      <c r="K13">
        <v>88.12</v>
      </c>
      <c r="L13">
        <v>88.16</v>
      </c>
    </row>
    <row r="14" spans="1:12" x14ac:dyDescent="0.2">
      <c r="A14" s="4">
        <v>13</v>
      </c>
      <c r="B14" t="s">
        <v>801</v>
      </c>
      <c r="C14">
        <f xml:space="preserve">  88.14</f>
        <v>88.14</v>
      </c>
      <c r="D14">
        <v>30</v>
      </c>
      <c r="E14">
        <v>9</v>
      </c>
      <c r="F14">
        <v>77.69</v>
      </c>
      <c r="G14">
        <v>5</v>
      </c>
      <c r="H14">
        <v>3</v>
      </c>
      <c r="I14">
        <v>7</v>
      </c>
      <c r="J14">
        <v>3</v>
      </c>
      <c r="K14">
        <v>88.69</v>
      </c>
      <c r="L14">
        <v>87.53</v>
      </c>
    </row>
    <row r="15" spans="1:12" x14ac:dyDescent="0.2">
      <c r="A15" s="4">
        <v>14</v>
      </c>
      <c r="B15" t="s">
        <v>6</v>
      </c>
      <c r="C15">
        <f xml:space="preserve">  88.08</f>
        <v>88.08</v>
      </c>
      <c r="D15">
        <v>27</v>
      </c>
      <c r="E15">
        <v>8</v>
      </c>
      <c r="F15">
        <v>78.77</v>
      </c>
      <c r="G15">
        <v>2</v>
      </c>
      <c r="H15">
        <v>2</v>
      </c>
      <c r="I15">
        <v>6</v>
      </c>
      <c r="J15">
        <v>6</v>
      </c>
      <c r="K15">
        <v>87.48</v>
      </c>
      <c r="L15">
        <v>88.66</v>
      </c>
    </row>
    <row r="16" spans="1:12" x14ac:dyDescent="0.2">
      <c r="A16" s="4">
        <v>15</v>
      </c>
      <c r="B16" t="s">
        <v>43</v>
      </c>
      <c r="C16">
        <f xml:space="preserve">  87.56</f>
        <v>87.56</v>
      </c>
      <c r="D16">
        <v>23</v>
      </c>
      <c r="E16">
        <v>12</v>
      </c>
      <c r="F16">
        <v>81.36</v>
      </c>
      <c r="G16">
        <v>6</v>
      </c>
      <c r="H16">
        <v>8</v>
      </c>
      <c r="I16">
        <v>9</v>
      </c>
      <c r="J16">
        <v>11</v>
      </c>
      <c r="K16">
        <v>86.4</v>
      </c>
      <c r="L16">
        <v>88.98</v>
      </c>
    </row>
    <row r="17" spans="1:12" x14ac:dyDescent="0.2">
      <c r="A17" s="4">
        <v>16</v>
      </c>
      <c r="B17" t="s">
        <v>52</v>
      </c>
      <c r="C17">
        <f xml:space="preserve">  87.31</f>
        <v>87.31</v>
      </c>
      <c r="D17">
        <v>28</v>
      </c>
      <c r="E17">
        <v>8</v>
      </c>
      <c r="F17">
        <v>77.28</v>
      </c>
      <c r="G17">
        <v>3</v>
      </c>
      <c r="H17">
        <v>3</v>
      </c>
      <c r="I17">
        <v>4</v>
      </c>
      <c r="J17">
        <v>3</v>
      </c>
      <c r="K17">
        <v>87.29</v>
      </c>
      <c r="L17">
        <v>87.22</v>
      </c>
    </row>
    <row r="18" spans="1:12" x14ac:dyDescent="0.2">
      <c r="A18" s="4">
        <v>17</v>
      </c>
      <c r="B18" t="s">
        <v>147</v>
      </c>
      <c r="C18">
        <f xml:space="preserve">  87.22</f>
        <v>87.22</v>
      </c>
      <c r="D18">
        <v>25</v>
      </c>
      <c r="E18">
        <v>7</v>
      </c>
      <c r="F18">
        <v>79</v>
      </c>
      <c r="G18">
        <v>4</v>
      </c>
      <c r="H18">
        <v>4</v>
      </c>
      <c r="I18">
        <v>9</v>
      </c>
      <c r="J18">
        <v>4</v>
      </c>
      <c r="K18">
        <v>88</v>
      </c>
      <c r="L18">
        <v>86.44</v>
      </c>
    </row>
    <row r="19" spans="1:12" x14ac:dyDescent="0.2">
      <c r="A19" s="4">
        <v>18</v>
      </c>
      <c r="B19" t="s">
        <v>876</v>
      </c>
      <c r="C19">
        <v>87.08</v>
      </c>
      <c r="D19">
        <v>27</v>
      </c>
      <c r="E19">
        <v>9</v>
      </c>
      <c r="F19">
        <v>76.95</v>
      </c>
      <c r="G19">
        <v>0</v>
      </c>
      <c r="H19">
        <v>5</v>
      </c>
      <c r="I19">
        <v>3</v>
      </c>
      <c r="J19">
        <v>8</v>
      </c>
      <c r="K19">
        <v>85.96</v>
      </c>
      <c r="L19">
        <v>88.42</v>
      </c>
    </row>
    <row r="20" spans="1:12" x14ac:dyDescent="0.2">
      <c r="A20" s="4">
        <v>19</v>
      </c>
      <c r="B20" t="s">
        <v>103</v>
      </c>
      <c r="C20">
        <f xml:space="preserve">  86.86</f>
        <v>86.86</v>
      </c>
      <c r="D20">
        <v>21</v>
      </c>
      <c r="E20">
        <v>13</v>
      </c>
      <c r="F20">
        <v>81.150000000000006</v>
      </c>
      <c r="G20">
        <v>3</v>
      </c>
      <c r="H20">
        <v>7</v>
      </c>
      <c r="I20">
        <v>7</v>
      </c>
      <c r="J20">
        <v>10</v>
      </c>
      <c r="K20">
        <v>86.04</v>
      </c>
      <c r="L20">
        <v>87.75</v>
      </c>
    </row>
    <row r="21" spans="1:12" x14ac:dyDescent="0.2">
      <c r="A21" s="4">
        <v>20</v>
      </c>
      <c r="B21" t="s">
        <v>74</v>
      </c>
      <c r="C21">
        <f xml:space="preserve">  86.26</f>
        <v>86.26</v>
      </c>
      <c r="D21">
        <v>28</v>
      </c>
      <c r="E21">
        <v>7</v>
      </c>
      <c r="F21">
        <v>76.3</v>
      </c>
      <c r="G21">
        <v>3</v>
      </c>
      <c r="H21">
        <v>2</v>
      </c>
      <c r="I21">
        <v>7</v>
      </c>
      <c r="J21">
        <v>3</v>
      </c>
      <c r="K21">
        <v>86.62</v>
      </c>
      <c r="L21">
        <v>85.82</v>
      </c>
    </row>
    <row r="22" spans="1:12" x14ac:dyDescent="0.2">
      <c r="A22" s="4">
        <v>21</v>
      </c>
      <c r="B22" t="s">
        <v>795</v>
      </c>
      <c r="C22">
        <f xml:space="preserve">  86.07</f>
        <v>86.07</v>
      </c>
      <c r="D22">
        <v>23</v>
      </c>
      <c r="E22">
        <v>12</v>
      </c>
      <c r="F22">
        <v>78.27</v>
      </c>
      <c r="G22">
        <v>0</v>
      </c>
      <c r="H22">
        <v>4</v>
      </c>
      <c r="I22">
        <v>5</v>
      </c>
      <c r="J22">
        <v>9</v>
      </c>
      <c r="K22">
        <v>85.96</v>
      </c>
      <c r="L22">
        <v>86.07</v>
      </c>
    </row>
    <row r="23" spans="1:12" x14ac:dyDescent="0.2">
      <c r="A23" s="4">
        <v>22</v>
      </c>
      <c r="B23" t="s">
        <v>65</v>
      </c>
      <c r="C23">
        <f xml:space="preserve">  85.99</f>
        <v>85.99</v>
      </c>
      <c r="D23">
        <v>26</v>
      </c>
      <c r="E23">
        <v>9</v>
      </c>
      <c r="F23">
        <v>80.09</v>
      </c>
      <c r="G23">
        <v>6</v>
      </c>
      <c r="H23">
        <v>4</v>
      </c>
      <c r="I23">
        <v>9</v>
      </c>
      <c r="J23">
        <v>7</v>
      </c>
      <c r="K23">
        <v>87.04</v>
      </c>
      <c r="L23">
        <v>84.99</v>
      </c>
    </row>
    <row r="24" spans="1:12" x14ac:dyDescent="0.2">
      <c r="A24" s="4">
        <v>23</v>
      </c>
      <c r="B24" t="s">
        <v>59</v>
      </c>
      <c r="C24">
        <f xml:space="preserve">  85.88</f>
        <v>85.88</v>
      </c>
      <c r="D24">
        <v>28</v>
      </c>
      <c r="E24">
        <v>9</v>
      </c>
      <c r="F24">
        <v>77.27</v>
      </c>
      <c r="G24">
        <v>2</v>
      </c>
      <c r="H24">
        <v>1</v>
      </c>
      <c r="I24">
        <v>6</v>
      </c>
      <c r="J24">
        <v>4</v>
      </c>
      <c r="K24">
        <v>86.16</v>
      </c>
      <c r="L24">
        <v>85.5</v>
      </c>
    </row>
    <row r="25" spans="1:12" x14ac:dyDescent="0.2">
      <c r="A25" s="4">
        <v>24</v>
      </c>
      <c r="B25" t="s">
        <v>276</v>
      </c>
      <c r="C25">
        <f xml:space="preserve">  85.67</f>
        <v>85.67</v>
      </c>
      <c r="D25">
        <v>29</v>
      </c>
      <c r="E25">
        <v>6</v>
      </c>
      <c r="F25">
        <v>78.61</v>
      </c>
      <c r="G25">
        <v>0</v>
      </c>
      <c r="H25">
        <v>1</v>
      </c>
      <c r="I25">
        <v>8</v>
      </c>
      <c r="J25">
        <v>3</v>
      </c>
      <c r="K25">
        <v>87.04</v>
      </c>
      <c r="L25">
        <v>84.45</v>
      </c>
    </row>
    <row r="26" spans="1:12" x14ac:dyDescent="0.2">
      <c r="A26" s="4">
        <v>25</v>
      </c>
      <c r="B26" t="s">
        <v>875</v>
      </c>
      <c r="C26">
        <f xml:space="preserve">  85.65</f>
        <v>85.65</v>
      </c>
      <c r="D26">
        <v>27</v>
      </c>
      <c r="E26">
        <v>7</v>
      </c>
      <c r="F26">
        <v>75.099999999999994</v>
      </c>
      <c r="G26">
        <v>1</v>
      </c>
      <c r="H26">
        <v>3</v>
      </c>
      <c r="I26">
        <v>2</v>
      </c>
      <c r="J26">
        <v>4</v>
      </c>
      <c r="K26">
        <v>85.4</v>
      </c>
      <c r="L26">
        <v>85.8</v>
      </c>
    </row>
    <row r="27" spans="1:12" x14ac:dyDescent="0.2">
      <c r="A27" s="4">
        <v>26</v>
      </c>
      <c r="B27" t="s">
        <v>790</v>
      </c>
      <c r="C27">
        <f xml:space="preserve">  85.6</f>
        <v>85.6</v>
      </c>
      <c r="D27">
        <v>24</v>
      </c>
      <c r="E27">
        <v>9</v>
      </c>
      <c r="F27">
        <v>77.88</v>
      </c>
      <c r="G27">
        <v>2</v>
      </c>
      <c r="H27">
        <v>4</v>
      </c>
      <c r="I27">
        <v>6</v>
      </c>
      <c r="J27">
        <v>7</v>
      </c>
      <c r="K27">
        <v>85.35</v>
      </c>
      <c r="L27">
        <v>85.76</v>
      </c>
    </row>
    <row r="28" spans="1:12" x14ac:dyDescent="0.2">
      <c r="A28" s="4">
        <v>27</v>
      </c>
      <c r="B28" t="s">
        <v>810</v>
      </c>
      <c r="C28">
        <f xml:space="preserve">  85.56</f>
        <v>85.56</v>
      </c>
      <c r="D28">
        <v>24</v>
      </c>
      <c r="E28">
        <v>9</v>
      </c>
      <c r="F28">
        <v>77.88</v>
      </c>
      <c r="G28">
        <v>0</v>
      </c>
      <c r="H28">
        <v>3</v>
      </c>
      <c r="I28">
        <v>3</v>
      </c>
      <c r="J28">
        <v>7</v>
      </c>
      <c r="K28">
        <v>85.87</v>
      </c>
      <c r="L28">
        <v>85.15</v>
      </c>
    </row>
    <row r="29" spans="1:12" x14ac:dyDescent="0.2">
      <c r="A29" s="4">
        <v>28</v>
      </c>
      <c r="B29" t="s">
        <v>32</v>
      </c>
      <c r="C29">
        <f xml:space="preserve">  85.46</f>
        <v>85.46</v>
      </c>
      <c r="D29">
        <v>25</v>
      </c>
      <c r="E29">
        <v>13</v>
      </c>
      <c r="F29">
        <v>78.290000000000006</v>
      </c>
      <c r="G29">
        <v>3</v>
      </c>
      <c r="H29">
        <v>9</v>
      </c>
      <c r="I29">
        <v>5</v>
      </c>
      <c r="J29">
        <v>10</v>
      </c>
      <c r="K29">
        <v>85.34</v>
      </c>
      <c r="L29">
        <v>85.48</v>
      </c>
    </row>
    <row r="30" spans="1:12" x14ac:dyDescent="0.2">
      <c r="A30" s="4">
        <v>29</v>
      </c>
      <c r="B30" t="s">
        <v>8</v>
      </c>
      <c r="C30">
        <f xml:space="preserve">  85.45</f>
        <v>85.45</v>
      </c>
      <c r="D30">
        <v>22</v>
      </c>
      <c r="E30">
        <v>14</v>
      </c>
      <c r="F30">
        <v>78.260000000000005</v>
      </c>
      <c r="G30">
        <v>1</v>
      </c>
      <c r="H30">
        <v>4</v>
      </c>
      <c r="I30">
        <v>4</v>
      </c>
      <c r="J30">
        <v>9</v>
      </c>
      <c r="K30">
        <v>84.65</v>
      </c>
      <c r="L30">
        <v>86.28</v>
      </c>
    </row>
    <row r="31" spans="1:12" x14ac:dyDescent="0.2">
      <c r="A31" s="4">
        <v>30</v>
      </c>
      <c r="B31" t="s">
        <v>802</v>
      </c>
      <c r="C31">
        <f xml:space="preserve">  85.36</f>
        <v>85.36</v>
      </c>
      <c r="D31">
        <v>26</v>
      </c>
      <c r="E31">
        <v>8</v>
      </c>
      <c r="F31">
        <v>78.03</v>
      </c>
      <c r="G31">
        <v>2</v>
      </c>
      <c r="H31">
        <v>6</v>
      </c>
      <c r="I31">
        <v>6</v>
      </c>
      <c r="J31">
        <v>8</v>
      </c>
      <c r="K31">
        <v>86.46</v>
      </c>
      <c r="L31">
        <v>84.32</v>
      </c>
    </row>
    <row r="32" spans="1:12" x14ac:dyDescent="0.2">
      <c r="A32" s="4">
        <v>31</v>
      </c>
      <c r="B32" t="s">
        <v>36</v>
      </c>
      <c r="C32">
        <f xml:space="preserve">  85.33</f>
        <v>85.33</v>
      </c>
      <c r="D32">
        <v>24</v>
      </c>
      <c r="E32">
        <v>11</v>
      </c>
      <c r="F32">
        <v>79.34</v>
      </c>
      <c r="G32">
        <v>0</v>
      </c>
      <c r="H32">
        <v>7</v>
      </c>
      <c r="I32">
        <v>3</v>
      </c>
      <c r="J32">
        <v>10</v>
      </c>
      <c r="K32">
        <v>85.5</v>
      </c>
      <c r="L32">
        <v>85.05</v>
      </c>
    </row>
    <row r="33" spans="1:12" x14ac:dyDescent="0.2">
      <c r="A33" s="4">
        <v>32</v>
      </c>
      <c r="B33" t="s">
        <v>100</v>
      </c>
      <c r="C33">
        <f xml:space="preserve">  85.26</f>
        <v>85.26</v>
      </c>
      <c r="D33">
        <v>27</v>
      </c>
      <c r="E33">
        <v>9</v>
      </c>
      <c r="F33">
        <v>75.39</v>
      </c>
      <c r="G33">
        <v>2</v>
      </c>
      <c r="H33">
        <v>1</v>
      </c>
      <c r="I33">
        <v>4</v>
      </c>
      <c r="J33">
        <v>5</v>
      </c>
      <c r="K33">
        <v>84.97</v>
      </c>
      <c r="L33">
        <v>85.45</v>
      </c>
    </row>
    <row r="34" spans="1:12" x14ac:dyDescent="0.2">
      <c r="A34" s="4">
        <v>33</v>
      </c>
      <c r="B34" t="s">
        <v>117</v>
      </c>
      <c r="C34">
        <f xml:space="preserve">  85.07</f>
        <v>85.07</v>
      </c>
      <c r="D34">
        <v>23</v>
      </c>
      <c r="E34">
        <v>11</v>
      </c>
      <c r="F34">
        <v>77.19</v>
      </c>
      <c r="G34">
        <v>2</v>
      </c>
      <c r="H34">
        <v>2</v>
      </c>
      <c r="I34">
        <v>4</v>
      </c>
      <c r="J34">
        <v>7</v>
      </c>
      <c r="K34">
        <v>84.5</v>
      </c>
      <c r="L34">
        <v>85.6</v>
      </c>
    </row>
    <row r="35" spans="1:12" x14ac:dyDescent="0.2">
      <c r="A35" s="4">
        <v>34</v>
      </c>
      <c r="B35" t="s">
        <v>40</v>
      </c>
      <c r="C35">
        <f xml:space="preserve">  84.69</f>
        <v>84.69</v>
      </c>
      <c r="D35">
        <v>31</v>
      </c>
      <c r="E35">
        <v>5</v>
      </c>
      <c r="F35">
        <v>74.650000000000006</v>
      </c>
      <c r="G35">
        <v>1</v>
      </c>
      <c r="H35">
        <v>4</v>
      </c>
      <c r="I35">
        <v>1</v>
      </c>
      <c r="J35">
        <v>4</v>
      </c>
      <c r="K35">
        <v>86.22</v>
      </c>
      <c r="L35">
        <v>83.35</v>
      </c>
    </row>
    <row r="36" spans="1:12" x14ac:dyDescent="0.2">
      <c r="A36" s="4">
        <v>35</v>
      </c>
      <c r="B36" t="s">
        <v>99</v>
      </c>
      <c r="C36">
        <f xml:space="preserve">  84.68</f>
        <v>84.68</v>
      </c>
      <c r="D36">
        <v>22</v>
      </c>
      <c r="E36">
        <v>12</v>
      </c>
      <c r="F36">
        <v>78.819999999999993</v>
      </c>
      <c r="G36">
        <v>4</v>
      </c>
      <c r="H36">
        <v>7</v>
      </c>
      <c r="I36">
        <v>5</v>
      </c>
      <c r="J36">
        <v>10</v>
      </c>
      <c r="K36">
        <v>84.39</v>
      </c>
      <c r="L36">
        <v>84.88</v>
      </c>
    </row>
    <row r="37" spans="1:12" x14ac:dyDescent="0.2">
      <c r="A37" s="4">
        <v>36</v>
      </c>
      <c r="B37" t="s">
        <v>870</v>
      </c>
      <c r="C37">
        <f xml:space="preserve">  84.52</f>
        <v>84.52</v>
      </c>
      <c r="D37">
        <v>24</v>
      </c>
      <c r="E37">
        <v>11</v>
      </c>
      <c r="F37">
        <v>78.02</v>
      </c>
      <c r="G37">
        <v>1</v>
      </c>
      <c r="H37">
        <v>4</v>
      </c>
      <c r="I37">
        <v>4</v>
      </c>
      <c r="J37">
        <v>8</v>
      </c>
      <c r="K37">
        <v>84.48</v>
      </c>
      <c r="L37">
        <v>84.44</v>
      </c>
    </row>
    <row r="38" spans="1:12" x14ac:dyDescent="0.2">
      <c r="A38" s="4">
        <v>37</v>
      </c>
      <c r="B38" t="s">
        <v>805</v>
      </c>
      <c r="C38">
        <f xml:space="preserve">  84.37</f>
        <v>84.37</v>
      </c>
      <c r="D38">
        <v>21</v>
      </c>
      <c r="E38">
        <v>11</v>
      </c>
      <c r="F38">
        <v>78.39</v>
      </c>
      <c r="G38">
        <v>1</v>
      </c>
      <c r="H38">
        <v>4</v>
      </c>
      <c r="I38">
        <v>3</v>
      </c>
      <c r="J38">
        <v>7</v>
      </c>
      <c r="K38">
        <v>84.17</v>
      </c>
      <c r="L38">
        <v>84.48</v>
      </c>
    </row>
    <row r="39" spans="1:12" x14ac:dyDescent="0.2">
      <c r="A39" s="4">
        <v>38</v>
      </c>
      <c r="B39" t="s">
        <v>54</v>
      </c>
      <c r="C39">
        <f xml:space="preserve">  84.36</f>
        <v>84.36</v>
      </c>
      <c r="D39">
        <v>25</v>
      </c>
      <c r="E39">
        <v>10</v>
      </c>
      <c r="F39">
        <v>78.36</v>
      </c>
      <c r="G39">
        <v>3</v>
      </c>
      <c r="H39">
        <v>6</v>
      </c>
      <c r="I39">
        <v>6</v>
      </c>
      <c r="J39">
        <v>7</v>
      </c>
      <c r="K39">
        <v>84.66</v>
      </c>
      <c r="L39">
        <v>83.96</v>
      </c>
    </row>
    <row r="40" spans="1:12" x14ac:dyDescent="0.2">
      <c r="A40" s="4">
        <v>39</v>
      </c>
      <c r="B40" t="s">
        <v>106</v>
      </c>
      <c r="C40">
        <f xml:space="preserve">  84.27</f>
        <v>84.27</v>
      </c>
      <c r="D40">
        <v>26</v>
      </c>
      <c r="E40">
        <v>9</v>
      </c>
      <c r="F40">
        <v>78.66</v>
      </c>
      <c r="G40">
        <v>3</v>
      </c>
      <c r="H40">
        <v>5</v>
      </c>
      <c r="I40">
        <v>6</v>
      </c>
      <c r="J40">
        <v>7</v>
      </c>
      <c r="K40">
        <v>85.96</v>
      </c>
      <c r="L40">
        <v>82.81</v>
      </c>
    </row>
    <row r="41" spans="1:12" x14ac:dyDescent="0.2">
      <c r="A41" s="4">
        <v>40</v>
      </c>
      <c r="B41" t="s">
        <v>34</v>
      </c>
      <c r="C41">
        <f xml:space="preserve">  84.22</f>
        <v>84.22</v>
      </c>
      <c r="D41">
        <v>22</v>
      </c>
      <c r="E41">
        <v>13</v>
      </c>
      <c r="F41">
        <v>80.959999999999994</v>
      </c>
      <c r="G41">
        <v>5</v>
      </c>
      <c r="H41">
        <v>9</v>
      </c>
      <c r="I41">
        <v>7</v>
      </c>
      <c r="J41">
        <v>11</v>
      </c>
      <c r="K41">
        <v>84.1</v>
      </c>
      <c r="L41">
        <v>84.23</v>
      </c>
    </row>
    <row r="42" spans="1:12" x14ac:dyDescent="0.2">
      <c r="A42" s="4">
        <v>41</v>
      </c>
      <c r="B42" t="s">
        <v>115</v>
      </c>
      <c r="C42">
        <f xml:space="preserve">  83.93</f>
        <v>83.93</v>
      </c>
      <c r="D42">
        <v>24</v>
      </c>
      <c r="E42">
        <v>10</v>
      </c>
      <c r="F42">
        <v>77.72</v>
      </c>
      <c r="G42">
        <v>2</v>
      </c>
      <c r="H42">
        <v>3</v>
      </c>
      <c r="I42">
        <v>6</v>
      </c>
      <c r="J42">
        <v>5</v>
      </c>
      <c r="K42">
        <v>83.98</v>
      </c>
      <c r="L42">
        <v>83.77</v>
      </c>
    </row>
    <row r="43" spans="1:12" x14ac:dyDescent="0.2">
      <c r="A43" s="4">
        <v>42</v>
      </c>
      <c r="B43" t="s">
        <v>37</v>
      </c>
      <c r="C43">
        <f xml:space="preserve">  83.26</f>
        <v>83.26</v>
      </c>
      <c r="D43">
        <v>20</v>
      </c>
      <c r="E43">
        <v>10</v>
      </c>
      <c r="F43">
        <v>78.8</v>
      </c>
      <c r="G43">
        <v>2</v>
      </c>
      <c r="H43">
        <v>5</v>
      </c>
      <c r="I43">
        <v>4</v>
      </c>
      <c r="J43">
        <v>7</v>
      </c>
      <c r="K43">
        <v>83.89</v>
      </c>
      <c r="L43">
        <v>82.57</v>
      </c>
    </row>
    <row r="44" spans="1:12" x14ac:dyDescent="0.2">
      <c r="A44" s="4">
        <v>43</v>
      </c>
      <c r="B44" t="s">
        <v>178</v>
      </c>
      <c r="C44">
        <f xml:space="preserve">  83.23</f>
        <v>83.23</v>
      </c>
      <c r="D44">
        <v>24</v>
      </c>
      <c r="E44">
        <v>10</v>
      </c>
      <c r="F44">
        <v>77.39</v>
      </c>
      <c r="G44">
        <v>1</v>
      </c>
      <c r="H44">
        <v>3</v>
      </c>
      <c r="I44">
        <v>4</v>
      </c>
      <c r="J44">
        <v>5</v>
      </c>
      <c r="K44">
        <v>83.96</v>
      </c>
      <c r="L44">
        <v>82.47</v>
      </c>
    </row>
    <row r="45" spans="1:12" x14ac:dyDescent="0.2">
      <c r="A45" s="4">
        <v>44</v>
      </c>
      <c r="B45" t="s">
        <v>69</v>
      </c>
      <c r="C45">
        <f xml:space="preserve">  82.88</f>
        <v>82.88</v>
      </c>
      <c r="D45">
        <v>21</v>
      </c>
      <c r="E45">
        <v>12</v>
      </c>
      <c r="F45">
        <v>79.540000000000006</v>
      </c>
      <c r="G45">
        <v>3</v>
      </c>
      <c r="H45">
        <v>3</v>
      </c>
      <c r="I45">
        <v>5</v>
      </c>
      <c r="J45">
        <v>5</v>
      </c>
      <c r="K45">
        <v>82.77</v>
      </c>
      <c r="L45">
        <v>82.88</v>
      </c>
    </row>
    <row r="46" spans="1:12" x14ac:dyDescent="0.2">
      <c r="A46" s="4">
        <v>45</v>
      </c>
      <c r="B46" t="s">
        <v>30</v>
      </c>
      <c r="C46">
        <f xml:space="preserve">  82.87</f>
        <v>82.87</v>
      </c>
      <c r="D46">
        <v>25</v>
      </c>
      <c r="E46">
        <v>10</v>
      </c>
      <c r="F46">
        <v>78.84</v>
      </c>
      <c r="G46">
        <v>3</v>
      </c>
      <c r="H46">
        <v>4</v>
      </c>
      <c r="I46">
        <v>5</v>
      </c>
      <c r="J46">
        <v>5</v>
      </c>
      <c r="K46">
        <v>82.9</v>
      </c>
      <c r="L46">
        <v>82.73</v>
      </c>
    </row>
    <row r="47" spans="1:12" x14ac:dyDescent="0.2">
      <c r="A47" s="4">
        <v>46</v>
      </c>
      <c r="B47" t="s">
        <v>87</v>
      </c>
      <c r="C47">
        <f xml:space="preserve">  82.87</f>
        <v>82.87</v>
      </c>
      <c r="D47">
        <v>24</v>
      </c>
      <c r="E47">
        <v>7</v>
      </c>
      <c r="F47">
        <v>72.89</v>
      </c>
      <c r="G47">
        <v>0</v>
      </c>
      <c r="H47">
        <v>3</v>
      </c>
      <c r="I47">
        <v>1</v>
      </c>
      <c r="J47">
        <v>3</v>
      </c>
      <c r="K47">
        <v>82.55</v>
      </c>
      <c r="L47">
        <v>83.09</v>
      </c>
    </row>
    <row r="48" spans="1:12" x14ac:dyDescent="0.2">
      <c r="A48" s="4">
        <v>47</v>
      </c>
      <c r="B48" t="s">
        <v>128</v>
      </c>
      <c r="C48">
        <f xml:space="preserve">  82.84</f>
        <v>82.84</v>
      </c>
      <c r="D48">
        <v>28</v>
      </c>
      <c r="E48">
        <v>6</v>
      </c>
      <c r="F48">
        <v>71.27</v>
      </c>
      <c r="G48">
        <v>0</v>
      </c>
      <c r="H48">
        <v>2</v>
      </c>
      <c r="I48">
        <v>1</v>
      </c>
      <c r="J48">
        <v>3</v>
      </c>
      <c r="K48">
        <v>82.19</v>
      </c>
      <c r="L48">
        <v>83.46</v>
      </c>
    </row>
    <row r="49" spans="1:12" x14ac:dyDescent="0.2">
      <c r="A49" s="4">
        <v>48</v>
      </c>
      <c r="B49" t="s">
        <v>70</v>
      </c>
      <c r="C49">
        <f xml:space="preserve">  82.69</f>
        <v>82.69</v>
      </c>
      <c r="D49">
        <v>23</v>
      </c>
      <c r="E49">
        <v>12</v>
      </c>
      <c r="F49">
        <v>75.27</v>
      </c>
      <c r="G49">
        <v>2</v>
      </c>
      <c r="H49">
        <v>1</v>
      </c>
      <c r="I49">
        <v>4</v>
      </c>
      <c r="J49">
        <v>4</v>
      </c>
      <c r="K49">
        <v>81.67</v>
      </c>
      <c r="L49">
        <v>83.77</v>
      </c>
    </row>
    <row r="50" spans="1:12" x14ac:dyDescent="0.2">
      <c r="A50" s="4">
        <v>49</v>
      </c>
      <c r="B50" t="s">
        <v>112</v>
      </c>
      <c r="C50">
        <f xml:space="preserve">  82.57</f>
        <v>82.57</v>
      </c>
      <c r="D50">
        <v>24</v>
      </c>
      <c r="E50">
        <v>10</v>
      </c>
      <c r="F50">
        <v>77.099999999999994</v>
      </c>
      <c r="G50">
        <v>3</v>
      </c>
      <c r="H50">
        <v>3</v>
      </c>
      <c r="I50">
        <v>5</v>
      </c>
      <c r="J50">
        <v>4</v>
      </c>
      <c r="K50">
        <v>83.55</v>
      </c>
      <c r="L50">
        <v>81.599999999999994</v>
      </c>
    </row>
    <row r="51" spans="1:12" x14ac:dyDescent="0.2">
      <c r="A51" s="4">
        <v>50</v>
      </c>
      <c r="B51" t="s">
        <v>15</v>
      </c>
      <c r="C51">
        <f xml:space="preserve">  82.5</f>
        <v>82.5</v>
      </c>
      <c r="D51">
        <v>21</v>
      </c>
      <c r="E51">
        <v>12</v>
      </c>
      <c r="F51">
        <v>76.52</v>
      </c>
      <c r="G51">
        <v>1</v>
      </c>
      <c r="H51">
        <v>3</v>
      </c>
      <c r="I51">
        <v>3</v>
      </c>
      <c r="J51">
        <v>5</v>
      </c>
      <c r="K51">
        <v>81.069999999999993</v>
      </c>
      <c r="L51">
        <v>84.18</v>
      </c>
    </row>
    <row r="52" spans="1:12" x14ac:dyDescent="0.2">
      <c r="A52" s="4">
        <v>51</v>
      </c>
      <c r="B52" t="s">
        <v>45</v>
      </c>
      <c r="C52">
        <f xml:space="preserve">  82.39</f>
        <v>82.39</v>
      </c>
      <c r="D52">
        <v>20</v>
      </c>
      <c r="E52">
        <v>12</v>
      </c>
      <c r="F52">
        <v>78.8</v>
      </c>
      <c r="G52">
        <v>2</v>
      </c>
      <c r="H52">
        <v>4</v>
      </c>
      <c r="I52">
        <v>5</v>
      </c>
      <c r="J52">
        <v>8</v>
      </c>
      <c r="K52">
        <v>82.6</v>
      </c>
      <c r="L52">
        <v>82.07</v>
      </c>
    </row>
    <row r="53" spans="1:12" x14ac:dyDescent="0.2">
      <c r="A53" s="4">
        <v>52</v>
      </c>
      <c r="B53" t="s">
        <v>11</v>
      </c>
      <c r="C53">
        <f xml:space="preserve">  82.32</f>
        <v>82.32</v>
      </c>
      <c r="D53">
        <v>19</v>
      </c>
      <c r="E53">
        <v>14</v>
      </c>
      <c r="F53">
        <v>80.05</v>
      </c>
      <c r="G53">
        <v>4</v>
      </c>
      <c r="H53">
        <v>4</v>
      </c>
      <c r="I53">
        <v>5</v>
      </c>
      <c r="J53">
        <v>9</v>
      </c>
      <c r="K53">
        <v>82.61</v>
      </c>
      <c r="L53">
        <v>81.93</v>
      </c>
    </row>
    <row r="54" spans="1:12" x14ac:dyDescent="0.2">
      <c r="A54" s="4">
        <v>53</v>
      </c>
      <c r="B54" t="s">
        <v>75</v>
      </c>
      <c r="C54">
        <f xml:space="preserve">  82.27</f>
        <v>82.27</v>
      </c>
      <c r="D54">
        <v>25</v>
      </c>
      <c r="E54">
        <v>13</v>
      </c>
      <c r="F54">
        <v>76.260000000000005</v>
      </c>
      <c r="G54">
        <v>2</v>
      </c>
      <c r="H54">
        <v>2</v>
      </c>
      <c r="I54">
        <v>3</v>
      </c>
      <c r="J54">
        <v>9</v>
      </c>
      <c r="K54">
        <v>82.08</v>
      </c>
      <c r="L54">
        <v>82.36</v>
      </c>
    </row>
    <row r="55" spans="1:12" x14ac:dyDescent="0.2">
      <c r="A55" s="4">
        <v>54</v>
      </c>
      <c r="B55" t="s">
        <v>58</v>
      </c>
      <c r="C55">
        <f xml:space="preserve">  82.17</f>
        <v>82.17</v>
      </c>
      <c r="D55">
        <v>23</v>
      </c>
      <c r="E55">
        <v>12</v>
      </c>
      <c r="F55">
        <v>75.17</v>
      </c>
      <c r="G55">
        <v>0</v>
      </c>
      <c r="H55">
        <v>5</v>
      </c>
      <c r="I55">
        <v>0</v>
      </c>
      <c r="J55">
        <v>8</v>
      </c>
      <c r="K55">
        <v>81.790000000000006</v>
      </c>
      <c r="L55">
        <v>82.47</v>
      </c>
    </row>
    <row r="56" spans="1:12" x14ac:dyDescent="0.2">
      <c r="A56" s="4">
        <v>55</v>
      </c>
      <c r="B56" t="s">
        <v>131</v>
      </c>
      <c r="C56">
        <f xml:space="preserve">  81.88</f>
        <v>81.88</v>
      </c>
      <c r="D56">
        <v>21</v>
      </c>
      <c r="E56">
        <v>12</v>
      </c>
      <c r="F56">
        <v>78.88</v>
      </c>
      <c r="G56">
        <v>3</v>
      </c>
      <c r="H56">
        <v>3</v>
      </c>
      <c r="I56">
        <v>6</v>
      </c>
      <c r="J56">
        <v>6</v>
      </c>
      <c r="K56">
        <v>81.94</v>
      </c>
      <c r="L56">
        <v>81.709999999999994</v>
      </c>
    </row>
    <row r="57" spans="1:12" x14ac:dyDescent="0.2">
      <c r="A57" s="4">
        <v>56</v>
      </c>
      <c r="B57" t="s">
        <v>797</v>
      </c>
      <c r="C57">
        <f xml:space="preserve">  81.68</f>
        <v>81.680000000000007</v>
      </c>
      <c r="D57">
        <v>19</v>
      </c>
      <c r="E57">
        <v>11</v>
      </c>
      <c r="F57">
        <v>77.63</v>
      </c>
      <c r="G57">
        <v>1</v>
      </c>
      <c r="H57">
        <v>3</v>
      </c>
      <c r="I57">
        <v>4</v>
      </c>
      <c r="J57">
        <v>8</v>
      </c>
      <c r="K57">
        <v>82.28</v>
      </c>
      <c r="L57">
        <v>81.010000000000005</v>
      </c>
    </row>
    <row r="58" spans="1:12" x14ac:dyDescent="0.2">
      <c r="A58" s="4">
        <v>57</v>
      </c>
      <c r="B58" t="s">
        <v>907</v>
      </c>
      <c r="C58">
        <f xml:space="preserve">  81.66</f>
        <v>81.66</v>
      </c>
      <c r="D58">
        <v>24</v>
      </c>
      <c r="E58">
        <v>8</v>
      </c>
      <c r="F58">
        <v>71.17</v>
      </c>
      <c r="G58">
        <v>0</v>
      </c>
      <c r="H58">
        <v>0</v>
      </c>
      <c r="I58">
        <v>0</v>
      </c>
      <c r="J58">
        <v>2</v>
      </c>
      <c r="K58">
        <v>82.33</v>
      </c>
      <c r="L58">
        <v>80.92</v>
      </c>
    </row>
    <row r="59" spans="1:12" x14ac:dyDescent="0.2">
      <c r="A59" s="4">
        <v>58</v>
      </c>
      <c r="B59" t="s">
        <v>98</v>
      </c>
      <c r="C59">
        <f xml:space="preserve">  81.61</f>
        <v>81.61</v>
      </c>
      <c r="D59">
        <v>19</v>
      </c>
      <c r="E59">
        <v>15</v>
      </c>
      <c r="F59">
        <v>78.73</v>
      </c>
      <c r="G59">
        <v>1</v>
      </c>
      <c r="H59">
        <v>3</v>
      </c>
      <c r="I59">
        <v>1</v>
      </c>
      <c r="J59">
        <v>10</v>
      </c>
      <c r="K59">
        <v>81.2</v>
      </c>
      <c r="L59">
        <v>81.95</v>
      </c>
    </row>
    <row r="60" spans="1:12" x14ac:dyDescent="0.2">
      <c r="A60" s="4">
        <v>59</v>
      </c>
      <c r="B60" t="s">
        <v>252</v>
      </c>
      <c r="C60">
        <f xml:space="preserve">  81.41</f>
        <v>81.41</v>
      </c>
      <c r="D60">
        <v>27</v>
      </c>
      <c r="E60">
        <v>6</v>
      </c>
      <c r="F60">
        <v>71.56</v>
      </c>
      <c r="G60">
        <v>0</v>
      </c>
      <c r="H60">
        <v>0</v>
      </c>
      <c r="I60">
        <v>1</v>
      </c>
      <c r="J60">
        <v>2</v>
      </c>
      <c r="K60">
        <v>82.5</v>
      </c>
      <c r="L60">
        <v>80.34</v>
      </c>
    </row>
    <row r="61" spans="1:12" x14ac:dyDescent="0.2">
      <c r="A61" s="4">
        <v>60</v>
      </c>
      <c r="B61" t="s">
        <v>241</v>
      </c>
      <c r="C61">
        <f xml:space="preserve">  80.75</f>
        <v>80.75</v>
      </c>
      <c r="D61">
        <v>22</v>
      </c>
      <c r="E61">
        <v>10</v>
      </c>
      <c r="F61">
        <v>72.86</v>
      </c>
      <c r="G61">
        <v>0</v>
      </c>
      <c r="H61">
        <v>0</v>
      </c>
      <c r="I61">
        <v>0</v>
      </c>
      <c r="J61">
        <v>1</v>
      </c>
      <c r="K61">
        <v>79.88</v>
      </c>
      <c r="L61">
        <v>81.61</v>
      </c>
    </row>
    <row r="62" spans="1:12" x14ac:dyDescent="0.2">
      <c r="A62" s="4">
        <v>61</v>
      </c>
      <c r="B62" t="s">
        <v>255</v>
      </c>
      <c r="C62">
        <f xml:space="preserve">  80.71</f>
        <v>80.709999999999994</v>
      </c>
      <c r="D62">
        <v>25</v>
      </c>
      <c r="E62">
        <v>10</v>
      </c>
      <c r="F62">
        <v>74.790000000000006</v>
      </c>
      <c r="G62">
        <v>0</v>
      </c>
      <c r="H62">
        <v>2</v>
      </c>
      <c r="I62">
        <v>0</v>
      </c>
      <c r="J62">
        <v>5</v>
      </c>
      <c r="K62">
        <v>80.209999999999994</v>
      </c>
      <c r="L62">
        <v>81.13</v>
      </c>
    </row>
    <row r="63" spans="1:12" x14ac:dyDescent="0.2">
      <c r="A63" s="4">
        <v>62</v>
      </c>
      <c r="B63" t="s">
        <v>139</v>
      </c>
      <c r="C63">
        <f xml:space="preserve">  80.68</f>
        <v>80.680000000000007</v>
      </c>
      <c r="D63">
        <v>23</v>
      </c>
      <c r="E63">
        <v>5</v>
      </c>
      <c r="F63">
        <v>68.45</v>
      </c>
      <c r="G63">
        <v>0</v>
      </c>
      <c r="H63">
        <v>0</v>
      </c>
      <c r="I63">
        <v>0</v>
      </c>
      <c r="J63">
        <v>0</v>
      </c>
      <c r="K63">
        <v>82.14</v>
      </c>
      <c r="L63">
        <v>79.3</v>
      </c>
    </row>
    <row r="64" spans="1:12" x14ac:dyDescent="0.2">
      <c r="A64" s="4">
        <v>63</v>
      </c>
      <c r="B64" t="s">
        <v>42</v>
      </c>
      <c r="C64">
        <f xml:space="preserve">  80.62</f>
        <v>80.62</v>
      </c>
      <c r="D64">
        <v>22</v>
      </c>
      <c r="E64">
        <v>13</v>
      </c>
      <c r="F64">
        <v>76.39</v>
      </c>
      <c r="G64">
        <v>0</v>
      </c>
      <c r="H64">
        <v>3</v>
      </c>
      <c r="I64">
        <v>1</v>
      </c>
      <c r="J64">
        <v>6</v>
      </c>
      <c r="K64">
        <v>79.91</v>
      </c>
      <c r="L64">
        <v>81.28</v>
      </c>
    </row>
    <row r="65" spans="1:12" x14ac:dyDescent="0.2">
      <c r="A65" s="4">
        <v>64</v>
      </c>
      <c r="B65" t="s">
        <v>811</v>
      </c>
      <c r="C65">
        <f xml:space="preserve">  80.47</f>
        <v>80.47</v>
      </c>
      <c r="D65">
        <v>22</v>
      </c>
      <c r="E65">
        <v>13</v>
      </c>
      <c r="F65">
        <v>76.040000000000006</v>
      </c>
      <c r="G65">
        <v>0</v>
      </c>
      <c r="H65">
        <v>4</v>
      </c>
      <c r="I65">
        <v>3</v>
      </c>
      <c r="J65">
        <v>7</v>
      </c>
      <c r="K65">
        <v>80.739999999999995</v>
      </c>
      <c r="L65">
        <v>80.11</v>
      </c>
    </row>
    <row r="66" spans="1:12" x14ac:dyDescent="0.2">
      <c r="A66" s="4">
        <v>65</v>
      </c>
      <c r="B66" t="s">
        <v>284</v>
      </c>
      <c r="C66">
        <f xml:space="preserve">  80.47</f>
        <v>80.47</v>
      </c>
      <c r="D66">
        <v>25</v>
      </c>
      <c r="E66">
        <v>8</v>
      </c>
      <c r="F66">
        <v>72.290000000000006</v>
      </c>
      <c r="G66">
        <v>0</v>
      </c>
      <c r="H66">
        <v>3</v>
      </c>
      <c r="I66">
        <v>0</v>
      </c>
      <c r="J66">
        <v>3</v>
      </c>
      <c r="K66">
        <v>80.69</v>
      </c>
      <c r="L66">
        <v>80.13</v>
      </c>
    </row>
    <row r="67" spans="1:12" x14ac:dyDescent="0.2">
      <c r="A67" s="4">
        <v>66</v>
      </c>
      <c r="B67" t="s">
        <v>62</v>
      </c>
      <c r="C67">
        <f xml:space="preserve">  80.33</f>
        <v>80.33</v>
      </c>
      <c r="D67">
        <v>17</v>
      </c>
      <c r="E67">
        <v>14</v>
      </c>
      <c r="F67">
        <v>75.94</v>
      </c>
      <c r="G67">
        <v>0</v>
      </c>
      <c r="H67">
        <v>2</v>
      </c>
      <c r="I67">
        <v>0</v>
      </c>
      <c r="J67">
        <v>7</v>
      </c>
      <c r="K67">
        <v>80.010000000000005</v>
      </c>
      <c r="L67">
        <v>80.569999999999993</v>
      </c>
    </row>
    <row r="68" spans="1:12" x14ac:dyDescent="0.2">
      <c r="A68" s="4">
        <v>67</v>
      </c>
      <c r="B68" t="s">
        <v>44</v>
      </c>
      <c r="C68">
        <f xml:space="preserve">  80.33</f>
        <v>80.33</v>
      </c>
      <c r="D68">
        <v>19</v>
      </c>
      <c r="E68">
        <v>15</v>
      </c>
      <c r="F68">
        <v>77.62</v>
      </c>
      <c r="G68">
        <v>0</v>
      </c>
      <c r="H68">
        <v>6</v>
      </c>
      <c r="I68">
        <v>2</v>
      </c>
      <c r="J68">
        <v>10</v>
      </c>
      <c r="K68">
        <v>79.989999999999995</v>
      </c>
      <c r="L68">
        <v>80.569999999999993</v>
      </c>
    </row>
    <row r="69" spans="1:12" x14ac:dyDescent="0.2">
      <c r="A69" s="4">
        <v>68</v>
      </c>
      <c r="B69" t="s">
        <v>133</v>
      </c>
      <c r="C69">
        <f xml:space="preserve">  80.11</f>
        <v>80.11</v>
      </c>
      <c r="D69">
        <v>25</v>
      </c>
      <c r="E69">
        <v>7</v>
      </c>
      <c r="F69">
        <v>72.45</v>
      </c>
      <c r="G69">
        <v>0</v>
      </c>
      <c r="H69">
        <v>2</v>
      </c>
      <c r="I69">
        <v>1</v>
      </c>
      <c r="J69">
        <v>3</v>
      </c>
      <c r="K69">
        <v>80.62</v>
      </c>
      <c r="L69">
        <v>79.510000000000005</v>
      </c>
    </row>
    <row r="70" spans="1:12" x14ac:dyDescent="0.2">
      <c r="A70" s="4">
        <v>69</v>
      </c>
      <c r="B70" t="s">
        <v>88</v>
      </c>
      <c r="C70">
        <f xml:space="preserve">  80.09</f>
        <v>80.09</v>
      </c>
      <c r="D70">
        <v>24</v>
      </c>
      <c r="E70">
        <v>12</v>
      </c>
      <c r="F70">
        <v>73.599999999999994</v>
      </c>
      <c r="G70">
        <v>1</v>
      </c>
      <c r="H70">
        <v>5</v>
      </c>
      <c r="I70">
        <v>1</v>
      </c>
      <c r="J70">
        <v>5</v>
      </c>
      <c r="K70">
        <v>80.8</v>
      </c>
      <c r="L70">
        <v>79.319999999999993</v>
      </c>
    </row>
    <row r="71" spans="1:12" x14ac:dyDescent="0.2">
      <c r="A71" s="4">
        <v>70</v>
      </c>
      <c r="B71" t="s">
        <v>818</v>
      </c>
      <c r="C71">
        <f xml:space="preserve">  80</f>
        <v>80</v>
      </c>
      <c r="D71">
        <v>18</v>
      </c>
      <c r="E71">
        <v>15</v>
      </c>
      <c r="F71">
        <v>76.08</v>
      </c>
      <c r="G71">
        <v>1</v>
      </c>
      <c r="H71">
        <v>5</v>
      </c>
      <c r="I71">
        <v>1</v>
      </c>
      <c r="J71">
        <v>5</v>
      </c>
      <c r="K71">
        <v>78.739999999999995</v>
      </c>
      <c r="L71">
        <v>81.349999999999994</v>
      </c>
    </row>
    <row r="72" spans="1:12" x14ac:dyDescent="0.2">
      <c r="A72" s="4">
        <v>71</v>
      </c>
      <c r="B72" t="s">
        <v>64</v>
      </c>
      <c r="C72">
        <f xml:space="preserve">  80</f>
        <v>80</v>
      </c>
      <c r="D72">
        <v>25</v>
      </c>
      <c r="E72">
        <v>8</v>
      </c>
      <c r="F72">
        <v>69.05</v>
      </c>
      <c r="G72">
        <v>0</v>
      </c>
      <c r="H72">
        <v>4</v>
      </c>
      <c r="I72">
        <v>0</v>
      </c>
      <c r="J72">
        <v>4</v>
      </c>
      <c r="K72">
        <v>79.540000000000006</v>
      </c>
      <c r="L72">
        <v>80.36</v>
      </c>
    </row>
    <row r="73" spans="1:12" x14ac:dyDescent="0.2">
      <c r="A73" s="4">
        <v>72</v>
      </c>
      <c r="B73" t="s">
        <v>816</v>
      </c>
      <c r="C73">
        <f xml:space="preserve">  79.71</f>
        <v>79.709999999999994</v>
      </c>
      <c r="D73">
        <v>28</v>
      </c>
      <c r="E73">
        <v>7</v>
      </c>
      <c r="F73">
        <v>67.7</v>
      </c>
      <c r="G73">
        <v>0</v>
      </c>
      <c r="H73">
        <v>0</v>
      </c>
      <c r="I73">
        <v>0</v>
      </c>
      <c r="J73">
        <v>0</v>
      </c>
      <c r="K73">
        <v>79.45</v>
      </c>
      <c r="L73">
        <v>79.87</v>
      </c>
    </row>
    <row r="74" spans="1:12" x14ac:dyDescent="0.2">
      <c r="A74" s="4">
        <v>73</v>
      </c>
      <c r="B74" t="s">
        <v>102</v>
      </c>
      <c r="C74">
        <f xml:space="preserve">  79.71</f>
        <v>79.709999999999994</v>
      </c>
      <c r="D74">
        <v>20</v>
      </c>
      <c r="E74">
        <v>15</v>
      </c>
      <c r="F74">
        <v>76.98</v>
      </c>
      <c r="G74">
        <v>3</v>
      </c>
      <c r="H74">
        <v>3</v>
      </c>
      <c r="I74">
        <v>3</v>
      </c>
      <c r="J74">
        <v>6</v>
      </c>
      <c r="K74">
        <v>79.680000000000007</v>
      </c>
      <c r="L74">
        <v>79.63</v>
      </c>
    </row>
    <row r="75" spans="1:12" x14ac:dyDescent="0.2">
      <c r="A75" s="4">
        <v>74</v>
      </c>
      <c r="B75" t="s">
        <v>35</v>
      </c>
      <c r="C75">
        <f xml:space="preserve">  79.51</f>
        <v>79.510000000000005</v>
      </c>
      <c r="D75">
        <v>19</v>
      </c>
      <c r="E75">
        <v>13</v>
      </c>
      <c r="F75">
        <v>76.150000000000006</v>
      </c>
      <c r="G75">
        <v>1</v>
      </c>
      <c r="H75">
        <v>4</v>
      </c>
      <c r="I75">
        <v>3</v>
      </c>
      <c r="J75">
        <v>6</v>
      </c>
      <c r="K75">
        <v>78.650000000000006</v>
      </c>
      <c r="L75">
        <v>80.33</v>
      </c>
    </row>
    <row r="76" spans="1:12" x14ac:dyDescent="0.2">
      <c r="A76" s="4">
        <v>75</v>
      </c>
      <c r="B76" t="s">
        <v>13</v>
      </c>
      <c r="C76">
        <f xml:space="preserve">  79.27</f>
        <v>79.27</v>
      </c>
      <c r="D76">
        <v>20</v>
      </c>
      <c r="E76">
        <v>13</v>
      </c>
      <c r="F76">
        <v>77.36</v>
      </c>
      <c r="G76">
        <v>2</v>
      </c>
      <c r="H76">
        <v>1</v>
      </c>
      <c r="I76">
        <v>4</v>
      </c>
      <c r="J76">
        <v>7</v>
      </c>
      <c r="K76">
        <v>79.05</v>
      </c>
      <c r="L76">
        <v>79.38</v>
      </c>
    </row>
    <row r="77" spans="1:12" x14ac:dyDescent="0.2">
      <c r="A77" s="4">
        <v>76</v>
      </c>
      <c r="B77" t="s">
        <v>16</v>
      </c>
      <c r="C77">
        <f xml:space="preserve">  79.22</f>
        <v>79.22</v>
      </c>
      <c r="D77">
        <v>16</v>
      </c>
      <c r="E77">
        <v>18</v>
      </c>
      <c r="F77">
        <v>78.88</v>
      </c>
      <c r="G77">
        <v>2</v>
      </c>
      <c r="H77">
        <v>7</v>
      </c>
      <c r="I77">
        <v>4</v>
      </c>
      <c r="J77">
        <v>10</v>
      </c>
      <c r="K77">
        <v>78.459999999999994</v>
      </c>
      <c r="L77">
        <v>79.94</v>
      </c>
    </row>
    <row r="78" spans="1:12" x14ac:dyDescent="0.2">
      <c r="A78" s="4">
        <v>77</v>
      </c>
      <c r="B78" t="s">
        <v>51</v>
      </c>
      <c r="C78">
        <f xml:space="preserve">  79.21</f>
        <v>79.209999999999994</v>
      </c>
      <c r="D78">
        <v>17</v>
      </c>
      <c r="E78">
        <v>14</v>
      </c>
      <c r="F78">
        <v>77.17</v>
      </c>
      <c r="G78">
        <v>1</v>
      </c>
      <c r="H78">
        <v>1</v>
      </c>
      <c r="I78">
        <v>5</v>
      </c>
      <c r="J78">
        <v>3</v>
      </c>
      <c r="K78">
        <v>79.27</v>
      </c>
      <c r="L78">
        <v>79.040000000000006</v>
      </c>
    </row>
    <row r="79" spans="1:12" x14ac:dyDescent="0.2">
      <c r="A79" s="4">
        <v>78</v>
      </c>
      <c r="B79" t="s">
        <v>550</v>
      </c>
      <c r="C79">
        <f xml:space="preserve">  79.19</f>
        <v>79.19</v>
      </c>
      <c r="D79">
        <v>18</v>
      </c>
      <c r="E79">
        <v>13</v>
      </c>
      <c r="F79">
        <v>75.05</v>
      </c>
      <c r="G79">
        <v>0</v>
      </c>
      <c r="H79">
        <v>4</v>
      </c>
      <c r="I79">
        <v>0</v>
      </c>
      <c r="J79">
        <v>5</v>
      </c>
      <c r="K79">
        <v>78.86</v>
      </c>
      <c r="L79">
        <v>79.44</v>
      </c>
    </row>
    <row r="80" spans="1:12" x14ac:dyDescent="0.2">
      <c r="A80" s="4">
        <v>79</v>
      </c>
      <c r="B80" t="s">
        <v>111</v>
      </c>
      <c r="C80">
        <f xml:space="preserve">  79.02</f>
        <v>79.02</v>
      </c>
      <c r="D80">
        <v>18</v>
      </c>
      <c r="E80">
        <v>16</v>
      </c>
      <c r="F80">
        <v>78.63</v>
      </c>
      <c r="G80">
        <v>1</v>
      </c>
      <c r="H80">
        <v>6</v>
      </c>
      <c r="I80">
        <v>2</v>
      </c>
      <c r="J80">
        <v>10</v>
      </c>
      <c r="K80">
        <v>79.19</v>
      </c>
      <c r="L80">
        <v>78.73</v>
      </c>
    </row>
    <row r="81" spans="1:12" x14ac:dyDescent="0.2">
      <c r="A81" s="4">
        <v>80</v>
      </c>
      <c r="B81" t="s">
        <v>862</v>
      </c>
      <c r="C81">
        <f xml:space="preserve">  79.01</f>
        <v>79.010000000000005</v>
      </c>
      <c r="D81">
        <v>22</v>
      </c>
      <c r="E81">
        <v>10</v>
      </c>
      <c r="F81">
        <v>70.38</v>
      </c>
      <c r="G81">
        <v>0</v>
      </c>
      <c r="H81">
        <v>2</v>
      </c>
      <c r="I81">
        <v>0</v>
      </c>
      <c r="J81">
        <v>2</v>
      </c>
      <c r="K81">
        <v>78.22</v>
      </c>
      <c r="L81">
        <v>79.760000000000005</v>
      </c>
    </row>
    <row r="82" spans="1:12" x14ac:dyDescent="0.2">
      <c r="A82" s="4">
        <v>81</v>
      </c>
      <c r="B82" t="s">
        <v>101</v>
      </c>
      <c r="C82">
        <f xml:space="preserve">  78.99</f>
        <v>78.989999999999995</v>
      </c>
      <c r="D82">
        <v>26</v>
      </c>
      <c r="E82">
        <v>7</v>
      </c>
      <c r="F82">
        <v>70.989999999999995</v>
      </c>
      <c r="G82">
        <v>0</v>
      </c>
      <c r="H82">
        <v>0</v>
      </c>
      <c r="I82">
        <v>0</v>
      </c>
      <c r="J82">
        <v>0</v>
      </c>
      <c r="K82">
        <v>79.459999999999994</v>
      </c>
      <c r="L82">
        <v>78.430000000000007</v>
      </c>
    </row>
    <row r="83" spans="1:12" x14ac:dyDescent="0.2">
      <c r="A83" s="4">
        <v>82</v>
      </c>
      <c r="B83" t="s">
        <v>126</v>
      </c>
      <c r="C83">
        <f xml:space="preserve">  78.96</f>
        <v>78.959999999999994</v>
      </c>
      <c r="D83">
        <v>24</v>
      </c>
      <c r="E83">
        <v>10</v>
      </c>
      <c r="F83">
        <v>71.510000000000005</v>
      </c>
      <c r="G83">
        <v>0</v>
      </c>
      <c r="H83">
        <v>0</v>
      </c>
      <c r="I83">
        <v>0</v>
      </c>
      <c r="J83">
        <v>2</v>
      </c>
      <c r="K83">
        <v>78.489999999999995</v>
      </c>
      <c r="L83">
        <v>79.349999999999994</v>
      </c>
    </row>
    <row r="84" spans="1:12" x14ac:dyDescent="0.2">
      <c r="A84" s="4">
        <v>83</v>
      </c>
      <c r="B84" t="s">
        <v>783</v>
      </c>
      <c r="C84">
        <f xml:space="preserve">  78.84</f>
        <v>78.84</v>
      </c>
      <c r="D84">
        <v>18</v>
      </c>
      <c r="E84">
        <v>14</v>
      </c>
      <c r="F84">
        <v>76.290000000000006</v>
      </c>
      <c r="G84">
        <v>0</v>
      </c>
      <c r="H84">
        <v>4</v>
      </c>
      <c r="I84">
        <v>2</v>
      </c>
      <c r="J84">
        <v>6</v>
      </c>
      <c r="K84">
        <v>78.2</v>
      </c>
      <c r="L84">
        <v>79.430000000000007</v>
      </c>
    </row>
    <row r="85" spans="1:12" x14ac:dyDescent="0.2">
      <c r="A85" s="4">
        <v>84</v>
      </c>
      <c r="B85" t="s">
        <v>176</v>
      </c>
      <c r="C85">
        <f xml:space="preserve">  78.45</f>
        <v>78.45</v>
      </c>
      <c r="D85">
        <v>24</v>
      </c>
      <c r="E85">
        <v>11</v>
      </c>
      <c r="F85">
        <v>71.319999999999993</v>
      </c>
      <c r="G85">
        <v>2</v>
      </c>
      <c r="H85">
        <v>4</v>
      </c>
      <c r="I85">
        <v>3</v>
      </c>
      <c r="J85">
        <v>4</v>
      </c>
      <c r="K85">
        <v>78.900000000000006</v>
      </c>
      <c r="L85">
        <v>77.900000000000006</v>
      </c>
    </row>
    <row r="86" spans="1:12" x14ac:dyDescent="0.2">
      <c r="A86" s="4">
        <v>85</v>
      </c>
      <c r="B86" t="s">
        <v>234</v>
      </c>
      <c r="C86">
        <f xml:space="preserve">  78.07</f>
        <v>78.069999999999993</v>
      </c>
      <c r="D86">
        <v>20</v>
      </c>
      <c r="E86">
        <v>15</v>
      </c>
      <c r="F86">
        <v>75.88</v>
      </c>
      <c r="G86">
        <v>2</v>
      </c>
      <c r="H86">
        <v>2</v>
      </c>
      <c r="I86">
        <v>2</v>
      </c>
      <c r="J86">
        <v>5</v>
      </c>
      <c r="K86">
        <v>78.63</v>
      </c>
      <c r="L86">
        <v>77.41</v>
      </c>
    </row>
    <row r="87" spans="1:12" x14ac:dyDescent="0.2">
      <c r="A87" s="4">
        <v>86</v>
      </c>
      <c r="B87" t="s">
        <v>237</v>
      </c>
      <c r="C87">
        <f xml:space="preserve">  78.02</f>
        <v>78.02</v>
      </c>
      <c r="D87">
        <v>20</v>
      </c>
      <c r="E87">
        <v>10</v>
      </c>
      <c r="F87">
        <v>70.680000000000007</v>
      </c>
      <c r="G87">
        <v>0</v>
      </c>
      <c r="H87">
        <v>2</v>
      </c>
      <c r="I87">
        <v>0</v>
      </c>
      <c r="J87">
        <v>3</v>
      </c>
      <c r="K87">
        <v>77.95</v>
      </c>
      <c r="L87">
        <v>77.98</v>
      </c>
    </row>
    <row r="88" spans="1:12" x14ac:dyDescent="0.2">
      <c r="A88" s="4">
        <v>87</v>
      </c>
      <c r="B88" t="s">
        <v>297</v>
      </c>
      <c r="C88">
        <f xml:space="preserve">  77.96</f>
        <v>77.959999999999994</v>
      </c>
      <c r="D88">
        <v>19</v>
      </c>
      <c r="E88">
        <v>10</v>
      </c>
      <c r="F88">
        <v>73.02</v>
      </c>
      <c r="G88">
        <v>1</v>
      </c>
      <c r="H88">
        <v>2</v>
      </c>
      <c r="I88">
        <v>1</v>
      </c>
      <c r="J88">
        <v>4</v>
      </c>
      <c r="K88">
        <v>78.849999999999994</v>
      </c>
      <c r="L88">
        <v>77.010000000000005</v>
      </c>
    </row>
    <row r="89" spans="1:12" x14ac:dyDescent="0.2">
      <c r="A89" s="4">
        <v>88</v>
      </c>
      <c r="B89" t="s">
        <v>80</v>
      </c>
      <c r="C89">
        <f xml:space="preserve">  77.94</f>
        <v>77.94</v>
      </c>
      <c r="D89">
        <v>19</v>
      </c>
      <c r="E89">
        <v>15</v>
      </c>
      <c r="F89">
        <v>75.61</v>
      </c>
      <c r="G89">
        <v>1</v>
      </c>
      <c r="H89">
        <v>4</v>
      </c>
      <c r="I89">
        <v>1</v>
      </c>
      <c r="J89">
        <v>7</v>
      </c>
      <c r="K89">
        <v>77.2</v>
      </c>
      <c r="L89">
        <v>78.63</v>
      </c>
    </row>
    <row r="90" spans="1:12" x14ac:dyDescent="0.2">
      <c r="A90" s="4">
        <v>89</v>
      </c>
      <c r="B90" t="s">
        <v>165</v>
      </c>
      <c r="C90">
        <f xml:space="preserve">  77.87</f>
        <v>77.87</v>
      </c>
      <c r="D90">
        <v>21</v>
      </c>
      <c r="E90">
        <v>12</v>
      </c>
      <c r="F90">
        <v>76.69</v>
      </c>
      <c r="G90">
        <v>0</v>
      </c>
      <c r="H90">
        <v>4</v>
      </c>
      <c r="I90">
        <v>2</v>
      </c>
      <c r="J90">
        <v>7</v>
      </c>
      <c r="K90">
        <v>78.28</v>
      </c>
      <c r="L90">
        <v>77.37</v>
      </c>
    </row>
    <row r="91" spans="1:12" x14ac:dyDescent="0.2">
      <c r="A91" s="4">
        <v>90</v>
      </c>
      <c r="B91" t="s">
        <v>548</v>
      </c>
      <c r="C91">
        <f xml:space="preserve">  77.73</f>
        <v>77.73</v>
      </c>
      <c r="D91">
        <v>20</v>
      </c>
      <c r="E91">
        <v>14</v>
      </c>
      <c r="F91">
        <v>73.97</v>
      </c>
      <c r="G91">
        <v>0</v>
      </c>
      <c r="H91">
        <v>1</v>
      </c>
      <c r="I91">
        <v>0</v>
      </c>
      <c r="J91">
        <v>2</v>
      </c>
      <c r="K91">
        <v>78.290000000000006</v>
      </c>
      <c r="L91">
        <v>77.069999999999993</v>
      </c>
    </row>
    <row r="92" spans="1:12" x14ac:dyDescent="0.2">
      <c r="A92" s="4">
        <v>91</v>
      </c>
      <c r="B92" t="s">
        <v>821</v>
      </c>
      <c r="C92">
        <f xml:space="preserve">  77.63</f>
        <v>77.63</v>
      </c>
      <c r="D92">
        <v>17</v>
      </c>
      <c r="E92">
        <v>15</v>
      </c>
      <c r="F92">
        <v>78.22</v>
      </c>
      <c r="G92">
        <v>3</v>
      </c>
      <c r="H92">
        <v>4</v>
      </c>
      <c r="I92">
        <v>4</v>
      </c>
      <c r="J92">
        <v>7</v>
      </c>
      <c r="K92">
        <v>77.97</v>
      </c>
      <c r="L92">
        <v>77.19</v>
      </c>
    </row>
    <row r="93" spans="1:12" x14ac:dyDescent="0.2">
      <c r="A93" s="4">
        <v>92</v>
      </c>
      <c r="B93" t="s">
        <v>55</v>
      </c>
      <c r="C93">
        <f xml:space="preserve">  77.63</f>
        <v>77.63</v>
      </c>
      <c r="D93">
        <v>17</v>
      </c>
      <c r="E93">
        <v>16</v>
      </c>
      <c r="F93">
        <v>78.53</v>
      </c>
      <c r="G93">
        <v>0</v>
      </c>
      <c r="H93">
        <v>6</v>
      </c>
      <c r="I93">
        <v>3</v>
      </c>
      <c r="J93">
        <v>9</v>
      </c>
      <c r="K93">
        <v>78.12</v>
      </c>
      <c r="L93">
        <v>77.040000000000006</v>
      </c>
    </row>
    <row r="94" spans="1:12" x14ac:dyDescent="0.2">
      <c r="A94" s="4">
        <v>93</v>
      </c>
      <c r="B94" t="s">
        <v>38</v>
      </c>
      <c r="C94">
        <f xml:space="preserve">  77.6</f>
        <v>77.599999999999994</v>
      </c>
      <c r="D94">
        <v>16</v>
      </c>
      <c r="E94">
        <v>17</v>
      </c>
      <c r="F94">
        <v>77.72</v>
      </c>
      <c r="G94">
        <v>1</v>
      </c>
      <c r="H94">
        <v>5</v>
      </c>
      <c r="I94">
        <v>3</v>
      </c>
      <c r="J94">
        <v>12</v>
      </c>
      <c r="K94">
        <v>77.510000000000005</v>
      </c>
      <c r="L94">
        <v>77.58</v>
      </c>
    </row>
    <row r="95" spans="1:12" x14ac:dyDescent="0.2">
      <c r="A95" s="4">
        <v>94</v>
      </c>
      <c r="B95" t="s">
        <v>216</v>
      </c>
      <c r="C95">
        <f xml:space="preserve">  77.55</f>
        <v>77.55</v>
      </c>
      <c r="D95">
        <v>16</v>
      </c>
      <c r="E95">
        <v>14</v>
      </c>
      <c r="F95">
        <v>77.91</v>
      </c>
      <c r="G95">
        <v>1</v>
      </c>
      <c r="H95">
        <v>3</v>
      </c>
      <c r="I95">
        <v>3</v>
      </c>
      <c r="J95">
        <v>9</v>
      </c>
      <c r="K95">
        <v>78.849999999999994</v>
      </c>
      <c r="L95">
        <v>76.25</v>
      </c>
    </row>
    <row r="96" spans="1:12" x14ac:dyDescent="0.2">
      <c r="A96" s="4">
        <v>95</v>
      </c>
      <c r="B96" t="s">
        <v>819</v>
      </c>
      <c r="C96">
        <f xml:space="preserve">  77.51</f>
        <v>77.510000000000005</v>
      </c>
      <c r="D96">
        <v>23</v>
      </c>
      <c r="E96">
        <v>11</v>
      </c>
      <c r="F96">
        <v>73.06</v>
      </c>
      <c r="G96">
        <v>0</v>
      </c>
      <c r="H96">
        <v>3</v>
      </c>
      <c r="I96">
        <v>0</v>
      </c>
      <c r="J96">
        <v>3</v>
      </c>
      <c r="K96">
        <v>77.87</v>
      </c>
      <c r="L96">
        <v>77.040000000000006</v>
      </c>
    </row>
    <row r="97" spans="1:12" x14ac:dyDescent="0.2">
      <c r="A97" s="4">
        <v>96</v>
      </c>
      <c r="B97" t="s">
        <v>273</v>
      </c>
      <c r="C97">
        <f xml:space="preserve">  77.46</f>
        <v>77.459999999999994</v>
      </c>
      <c r="D97">
        <v>19</v>
      </c>
      <c r="E97">
        <v>12</v>
      </c>
      <c r="F97">
        <v>75.42</v>
      </c>
      <c r="G97">
        <v>0</v>
      </c>
      <c r="H97">
        <v>3</v>
      </c>
      <c r="I97">
        <v>1</v>
      </c>
      <c r="J97">
        <v>6</v>
      </c>
      <c r="K97">
        <v>77.709999999999994</v>
      </c>
      <c r="L97">
        <v>77.09</v>
      </c>
    </row>
    <row r="98" spans="1:12" x14ac:dyDescent="0.2">
      <c r="A98" s="4">
        <v>97</v>
      </c>
      <c r="B98" t="s">
        <v>130</v>
      </c>
      <c r="C98">
        <f xml:space="preserve">  77.37</f>
        <v>77.37</v>
      </c>
      <c r="D98">
        <v>16</v>
      </c>
      <c r="E98">
        <v>15</v>
      </c>
      <c r="F98">
        <v>76.14</v>
      </c>
      <c r="G98">
        <v>2</v>
      </c>
      <c r="H98">
        <v>2</v>
      </c>
      <c r="I98">
        <v>3</v>
      </c>
      <c r="J98">
        <v>8</v>
      </c>
      <c r="K98">
        <v>76.86</v>
      </c>
      <c r="L98">
        <v>77.790000000000006</v>
      </c>
    </row>
    <row r="99" spans="1:12" x14ac:dyDescent="0.2">
      <c r="A99" s="4">
        <v>98</v>
      </c>
      <c r="B99" t="s">
        <v>57</v>
      </c>
      <c r="C99">
        <f xml:space="preserve">  77.33</f>
        <v>77.33</v>
      </c>
      <c r="D99">
        <v>18</v>
      </c>
      <c r="E99">
        <v>15</v>
      </c>
      <c r="F99">
        <v>76.16</v>
      </c>
      <c r="G99">
        <v>0</v>
      </c>
      <c r="H99">
        <v>2</v>
      </c>
      <c r="I99">
        <v>3</v>
      </c>
      <c r="J99">
        <v>5</v>
      </c>
      <c r="K99">
        <v>77.2</v>
      </c>
      <c r="L99">
        <v>77.34</v>
      </c>
    </row>
    <row r="100" spans="1:12" x14ac:dyDescent="0.2">
      <c r="A100" s="4">
        <v>99</v>
      </c>
      <c r="B100" t="s">
        <v>807</v>
      </c>
      <c r="C100">
        <f xml:space="preserve">  77.12</f>
        <v>77.12</v>
      </c>
      <c r="D100">
        <v>13</v>
      </c>
      <c r="E100">
        <v>19</v>
      </c>
      <c r="F100">
        <v>76.760000000000005</v>
      </c>
      <c r="G100">
        <v>0</v>
      </c>
      <c r="H100">
        <v>6</v>
      </c>
      <c r="I100">
        <v>1</v>
      </c>
      <c r="J100">
        <v>8</v>
      </c>
      <c r="K100">
        <v>76.39</v>
      </c>
      <c r="L100">
        <v>77.78</v>
      </c>
    </row>
    <row r="101" spans="1:12" x14ac:dyDescent="0.2">
      <c r="A101" s="4">
        <v>100</v>
      </c>
      <c r="B101" t="s">
        <v>877</v>
      </c>
      <c r="C101">
        <v>77.08</v>
      </c>
      <c r="D101">
        <v>14</v>
      </c>
      <c r="E101">
        <v>18</v>
      </c>
      <c r="F101">
        <v>79.64</v>
      </c>
      <c r="G101">
        <v>1</v>
      </c>
      <c r="H101">
        <v>5</v>
      </c>
      <c r="I101">
        <v>2</v>
      </c>
      <c r="J101">
        <v>9</v>
      </c>
      <c r="K101">
        <v>76.75</v>
      </c>
      <c r="L101">
        <v>77.31</v>
      </c>
    </row>
    <row r="102" spans="1:12" x14ac:dyDescent="0.2">
      <c r="A102" s="4">
        <v>101</v>
      </c>
      <c r="B102" t="s">
        <v>859</v>
      </c>
      <c r="C102">
        <f xml:space="preserve">  77.07</f>
        <v>77.069999999999993</v>
      </c>
      <c r="D102">
        <v>22</v>
      </c>
      <c r="E102">
        <v>10</v>
      </c>
      <c r="F102">
        <v>70.48</v>
      </c>
      <c r="G102">
        <v>1</v>
      </c>
      <c r="H102">
        <v>2</v>
      </c>
      <c r="I102">
        <v>1</v>
      </c>
      <c r="J102">
        <v>3</v>
      </c>
      <c r="K102">
        <v>77.53</v>
      </c>
      <c r="L102">
        <v>76.510000000000005</v>
      </c>
    </row>
    <row r="103" spans="1:12" x14ac:dyDescent="0.2">
      <c r="A103" s="4">
        <v>102</v>
      </c>
      <c r="B103" t="s">
        <v>92</v>
      </c>
      <c r="C103">
        <f xml:space="preserve">  76.96</f>
        <v>76.959999999999994</v>
      </c>
      <c r="D103">
        <v>18</v>
      </c>
      <c r="E103">
        <v>14</v>
      </c>
      <c r="F103">
        <v>76.709999999999994</v>
      </c>
      <c r="G103">
        <v>0</v>
      </c>
      <c r="H103">
        <v>3</v>
      </c>
      <c r="I103">
        <v>2</v>
      </c>
      <c r="J103">
        <v>8</v>
      </c>
      <c r="K103">
        <v>77.09</v>
      </c>
      <c r="L103">
        <v>76.73</v>
      </c>
    </row>
    <row r="104" spans="1:12" x14ac:dyDescent="0.2">
      <c r="A104" s="4">
        <v>103</v>
      </c>
      <c r="B104" t="s">
        <v>71</v>
      </c>
      <c r="C104">
        <f xml:space="preserve">  76.92</f>
        <v>76.92</v>
      </c>
      <c r="D104">
        <v>15</v>
      </c>
      <c r="E104">
        <v>16</v>
      </c>
      <c r="F104">
        <v>78.459999999999994</v>
      </c>
      <c r="G104">
        <v>1</v>
      </c>
      <c r="H104">
        <v>5</v>
      </c>
      <c r="I104">
        <v>1</v>
      </c>
      <c r="J104">
        <v>11</v>
      </c>
      <c r="K104">
        <v>76.63</v>
      </c>
      <c r="L104">
        <v>77.11</v>
      </c>
    </row>
    <row r="105" spans="1:12" x14ac:dyDescent="0.2">
      <c r="A105" s="4">
        <v>104</v>
      </c>
      <c r="B105" t="s">
        <v>812</v>
      </c>
      <c r="C105">
        <f xml:space="preserve">  76.85</f>
        <v>76.849999999999994</v>
      </c>
      <c r="D105">
        <v>14</v>
      </c>
      <c r="E105">
        <v>18</v>
      </c>
      <c r="F105">
        <v>76.72</v>
      </c>
      <c r="G105">
        <v>0</v>
      </c>
      <c r="H105">
        <v>4</v>
      </c>
      <c r="I105">
        <v>1</v>
      </c>
      <c r="J105">
        <v>7</v>
      </c>
      <c r="K105">
        <v>76.48</v>
      </c>
      <c r="L105">
        <v>77.13</v>
      </c>
    </row>
    <row r="106" spans="1:12" x14ac:dyDescent="0.2">
      <c r="A106" s="4">
        <v>105</v>
      </c>
      <c r="B106" t="s">
        <v>124</v>
      </c>
      <c r="C106">
        <f xml:space="preserve">  76.77</f>
        <v>76.77</v>
      </c>
      <c r="D106">
        <v>16</v>
      </c>
      <c r="E106">
        <v>11</v>
      </c>
      <c r="F106">
        <v>71.959999999999994</v>
      </c>
      <c r="G106">
        <v>0</v>
      </c>
      <c r="H106">
        <v>1</v>
      </c>
      <c r="I106">
        <v>0</v>
      </c>
      <c r="J106">
        <v>1</v>
      </c>
      <c r="K106">
        <v>76.37</v>
      </c>
      <c r="L106">
        <v>77.08</v>
      </c>
    </row>
    <row r="107" spans="1:12" x14ac:dyDescent="0.2">
      <c r="A107" s="4">
        <v>106</v>
      </c>
      <c r="B107" t="s">
        <v>122</v>
      </c>
      <c r="C107">
        <f xml:space="preserve">  76.77</f>
        <v>76.77</v>
      </c>
      <c r="D107">
        <v>16</v>
      </c>
      <c r="E107">
        <v>17</v>
      </c>
      <c r="F107">
        <v>77.77</v>
      </c>
      <c r="G107">
        <v>0</v>
      </c>
      <c r="H107">
        <v>5</v>
      </c>
      <c r="I107">
        <v>1</v>
      </c>
      <c r="J107">
        <v>10</v>
      </c>
      <c r="K107">
        <v>76.59</v>
      </c>
      <c r="L107">
        <v>76.84</v>
      </c>
    </row>
    <row r="108" spans="1:12" x14ac:dyDescent="0.2">
      <c r="A108" s="4">
        <v>107</v>
      </c>
      <c r="B108" t="s">
        <v>212</v>
      </c>
      <c r="C108">
        <f xml:space="preserve">  76.73</f>
        <v>76.73</v>
      </c>
      <c r="D108">
        <v>20</v>
      </c>
      <c r="E108">
        <v>14</v>
      </c>
      <c r="F108">
        <v>73.13</v>
      </c>
      <c r="G108">
        <v>0</v>
      </c>
      <c r="H108">
        <v>1</v>
      </c>
      <c r="I108">
        <v>1</v>
      </c>
      <c r="J108">
        <v>2</v>
      </c>
      <c r="K108">
        <v>77.22</v>
      </c>
      <c r="L108">
        <v>76.150000000000006</v>
      </c>
    </row>
    <row r="109" spans="1:12" x14ac:dyDescent="0.2">
      <c r="A109" s="4">
        <v>108</v>
      </c>
      <c r="B109" t="s">
        <v>76</v>
      </c>
      <c r="C109">
        <f xml:space="preserve">  76.61</f>
        <v>76.61</v>
      </c>
      <c r="D109">
        <v>16</v>
      </c>
      <c r="E109">
        <v>17</v>
      </c>
      <c r="F109">
        <v>76.89</v>
      </c>
      <c r="G109">
        <v>0</v>
      </c>
      <c r="H109">
        <v>2</v>
      </c>
      <c r="I109">
        <v>1</v>
      </c>
      <c r="J109">
        <v>9</v>
      </c>
      <c r="K109">
        <v>76.209999999999994</v>
      </c>
      <c r="L109">
        <v>76.900000000000006</v>
      </c>
    </row>
    <row r="110" spans="1:12" x14ac:dyDescent="0.2">
      <c r="A110" s="4">
        <v>109</v>
      </c>
      <c r="B110" t="s">
        <v>285</v>
      </c>
      <c r="C110">
        <f xml:space="preserve">  76.5</f>
        <v>76.5</v>
      </c>
      <c r="D110">
        <v>21</v>
      </c>
      <c r="E110">
        <v>12</v>
      </c>
      <c r="F110">
        <v>75.209999999999994</v>
      </c>
      <c r="G110">
        <v>0</v>
      </c>
      <c r="H110">
        <v>4</v>
      </c>
      <c r="I110">
        <v>2</v>
      </c>
      <c r="J110">
        <v>6</v>
      </c>
      <c r="K110">
        <v>77.86</v>
      </c>
      <c r="L110">
        <v>75.13</v>
      </c>
    </row>
    <row r="111" spans="1:12" x14ac:dyDescent="0.2">
      <c r="A111" s="4">
        <v>110</v>
      </c>
      <c r="B111" t="s">
        <v>275</v>
      </c>
      <c r="C111">
        <f xml:space="preserve">  76.5</f>
        <v>76.5</v>
      </c>
      <c r="D111">
        <v>19</v>
      </c>
      <c r="E111">
        <v>12</v>
      </c>
      <c r="F111">
        <v>73.209999999999994</v>
      </c>
      <c r="G111">
        <v>0</v>
      </c>
      <c r="H111">
        <v>0</v>
      </c>
      <c r="I111">
        <v>0</v>
      </c>
      <c r="J111">
        <v>3</v>
      </c>
      <c r="K111">
        <v>76.67</v>
      </c>
      <c r="L111">
        <v>76.22</v>
      </c>
    </row>
    <row r="112" spans="1:12" x14ac:dyDescent="0.2">
      <c r="A112" s="4">
        <v>111</v>
      </c>
      <c r="B112" t="s">
        <v>163</v>
      </c>
      <c r="C112">
        <f xml:space="preserve">  76.44</f>
        <v>76.44</v>
      </c>
      <c r="D112">
        <v>18</v>
      </c>
      <c r="E112">
        <v>14</v>
      </c>
      <c r="F112">
        <v>74.239999999999995</v>
      </c>
      <c r="G112">
        <v>1</v>
      </c>
      <c r="H112">
        <v>1</v>
      </c>
      <c r="I112">
        <v>1</v>
      </c>
      <c r="J112">
        <v>4</v>
      </c>
      <c r="K112">
        <v>76.45</v>
      </c>
      <c r="L112">
        <v>76.319999999999993</v>
      </c>
    </row>
    <row r="113" spans="1:12" x14ac:dyDescent="0.2">
      <c r="A113" s="4">
        <v>112</v>
      </c>
      <c r="B113" t="s">
        <v>793</v>
      </c>
      <c r="C113">
        <f xml:space="preserve">  76.37</f>
        <v>76.37</v>
      </c>
      <c r="D113">
        <v>18</v>
      </c>
      <c r="E113">
        <v>16</v>
      </c>
      <c r="F113">
        <v>78.349999999999994</v>
      </c>
      <c r="G113">
        <v>0</v>
      </c>
      <c r="H113">
        <v>5</v>
      </c>
      <c r="I113">
        <v>2</v>
      </c>
      <c r="J113">
        <v>10</v>
      </c>
      <c r="K113">
        <v>76.599999999999994</v>
      </c>
      <c r="L113">
        <v>76.040000000000006</v>
      </c>
    </row>
    <row r="114" spans="1:12" x14ac:dyDescent="0.2">
      <c r="A114" s="4">
        <v>113</v>
      </c>
      <c r="B114" t="s">
        <v>48</v>
      </c>
      <c r="C114">
        <f xml:space="preserve">  76.34</f>
        <v>76.34</v>
      </c>
      <c r="D114">
        <v>15</v>
      </c>
      <c r="E114">
        <v>18</v>
      </c>
      <c r="F114">
        <v>77.900000000000006</v>
      </c>
      <c r="G114">
        <v>0</v>
      </c>
      <c r="H114">
        <v>8</v>
      </c>
      <c r="I114">
        <v>0</v>
      </c>
      <c r="J114">
        <v>11</v>
      </c>
      <c r="K114">
        <v>75.62</v>
      </c>
      <c r="L114">
        <v>77</v>
      </c>
    </row>
    <row r="115" spans="1:12" x14ac:dyDescent="0.2">
      <c r="A115" s="4">
        <v>114</v>
      </c>
      <c r="B115" t="s">
        <v>199</v>
      </c>
      <c r="C115">
        <f xml:space="preserve">  76.33</f>
        <v>76.33</v>
      </c>
      <c r="D115">
        <v>23</v>
      </c>
      <c r="E115">
        <v>10</v>
      </c>
      <c r="F115">
        <v>70.239999999999995</v>
      </c>
      <c r="G115">
        <v>0</v>
      </c>
      <c r="H115">
        <v>0</v>
      </c>
      <c r="I115">
        <v>0</v>
      </c>
      <c r="J115">
        <v>3</v>
      </c>
      <c r="K115">
        <v>76.8</v>
      </c>
      <c r="L115">
        <v>75.77</v>
      </c>
    </row>
    <row r="116" spans="1:12" x14ac:dyDescent="0.2">
      <c r="A116" s="4">
        <v>115</v>
      </c>
      <c r="B116" t="s">
        <v>286</v>
      </c>
      <c r="C116">
        <f xml:space="preserve">  76.31</f>
        <v>76.31</v>
      </c>
      <c r="D116">
        <v>15</v>
      </c>
      <c r="E116">
        <v>17</v>
      </c>
      <c r="F116">
        <v>76.739999999999995</v>
      </c>
      <c r="G116">
        <v>0</v>
      </c>
      <c r="H116">
        <v>3</v>
      </c>
      <c r="I116">
        <v>1</v>
      </c>
      <c r="J116">
        <v>6</v>
      </c>
      <c r="K116">
        <v>76.38</v>
      </c>
      <c r="L116">
        <v>76.13</v>
      </c>
    </row>
    <row r="117" spans="1:12" x14ac:dyDescent="0.2">
      <c r="A117" s="4">
        <v>116</v>
      </c>
      <c r="B117" t="s">
        <v>113</v>
      </c>
      <c r="C117">
        <f xml:space="preserve">  76.22</f>
        <v>76.22</v>
      </c>
      <c r="D117">
        <v>13</v>
      </c>
      <c r="E117">
        <v>18</v>
      </c>
      <c r="F117">
        <v>78.33</v>
      </c>
      <c r="G117">
        <v>1</v>
      </c>
      <c r="H117">
        <v>4</v>
      </c>
      <c r="I117">
        <v>2</v>
      </c>
      <c r="J117">
        <v>6</v>
      </c>
      <c r="K117">
        <v>76.38</v>
      </c>
      <c r="L117">
        <v>75.95</v>
      </c>
    </row>
    <row r="118" spans="1:12" x14ac:dyDescent="0.2">
      <c r="A118" s="4">
        <v>117</v>
      </c>
      <c r="B118" t="s">
        <v>282</v>
      </c>
      <c r="C118">
        <f xml:space="preserve">  76.17</f>
        <v>76.17</v>
      </c>
      <c r="D118">
        <v>22</v>
      </c>
      <c r="E118">
        <v>12</v>
      </c>
      <c r="F118">
        <v>70.349999999999994</v>
      </c>
      <c r="G118">
        <v>0</v>
      </c>
      <c r="H118">
        <v>1</v>
      </c>
      <c r="I118">
        <v>0</v>
      </c>
      <c r="J118">
        <v>1</v>
      </c>
      <c r="K118">
        <v>77.03</v>
      </c>
      <c r="L118">
        <v>75.239999999999995</v>
      </c>
    </row>
    <row r="119" spans="1:12" x14ac:dyDescent="0.2">
      <c r="A119" s="4">
        <v>118</v>
      </c>
      <c r="B119" t="s">
        <v>217</v>
      </c>
      <c r="C119">
        <f xml:space="preserve">  76.12</f>
        <v>76.12</v>
      </c>
      <c r="D119">
        <v>23</v>
      </c>
      <c r="E119">
        <v>12</v>
      </c>
      <c r="F119">
        <v>72.349999999999994</v>
      </c>
      <c r="G119">
        <v>0</v>
      </c>
      <c r="H119">
        <v>0</v>
      </c>
      <c r="I119">
        <v>0</v>
      </c>
      <c r="J119">
        <v>1</v>
      </c>
      <c r="K119">
        <v>76.86</v>
      </c>
      <c r="L119">
        <v>75.31</v>
      </c>
    </row>
    <row r="120" spans="1:12" x14ac:dyDescent="0.2">
      <c r="A120" s="4">
        <v>119</v>
      </c>
      <c r="B120" t="s">
        <v>78</v>
      </c>
      <c r="C120">
        <f xml:space="preserve">  76.11</f>
        <v>76.11</v>
      </c>
      <c r="D120">
        <v>13</v>
      </c>
      <c r="E120">
        <v>18</v>
      </c>
      <c r="F120">
        <v>76.38</v>
      </c>
      <c r="G120">
        <v>0</v>
      </c>
      <c r="H120">
        <v>5</v>
      </c>
      <c r="I120">
        <v>1</v>
      </c>
      <c r="J120">
        <v>9</v>
      </c>
      <c r="K120">
        <v>75.08</v>
      </c>
      <c r="L120">
        <v>77.099999999999994</v>
      </c>
    </row>
    <row r="121" spans="1:12" x14ac:dyDescent="0.2">
      <c r="A121" s="4">
        <v>120</v>
      </c>
      <c r="B121" t="s">
        <v>187</v>
      </c>
      <c r="C121">
        <f xml:space="preserve">  76.09</f>
        <v>76.09</v>
      </c>
      <c r="D121">
        <v>13</v>
      </c>
      <c r="E121">
        <v>17</v>
      </c>
      <c r="F121">
        <v>76.62</v>
      </c>
      <c r="G121">
        <v>0</v>
      </c>
      <c r="H121">
        <v>2</v>
      </c>
      <c r="I121">
        <v>0</v>
      </c>
      <c r="J121">
        <v>8</v>
      </c>
      <c r="K121">
        <v>75.55</v>
      </c>
      <c r="L121">
        <v>76.55</v>
      </c>
    </row>
    <row r="122" spans="1:12" x14ac:dyDescent="0.2">
      <c r="A122" s="4">
        <v>121</v>
      </c>
      <c r="B122" t="s">
        <v>796</v>
      </c>
      <c r="C122">
        <f xml:space="preserve">  76.06</f>
        <v>76.06</v>
      </c>
      <c r="D122">
        <v>20</v>
      </c>
      <c r="E122">
        <v>10</v>
      </c>
      <c r="F122">
        <v>71.290000000000006</v>
      </c>
      <c r="G122">
        <v>0</v>
      </c>
      <c r="H122">
        <v>1</v>
      </c>
      <c r="I122">
        <v>0</v>
      </c>
      <c r="J122">
        <v>1</v>
      </c>
      <c r="K122">
        <v>76.08</v>
      </c>
      <c r="L122">
        <v>75.94</v>
      </c>
    </row>
    <row r="123" spans="1:12" x14ac:dyDescent="0.2">
      <c r="A123" s="4">
        <v>122</v>
      </c>
      <c r="B123" t="s">
        <v>68</v>
      </c>
      <c r="C123">
        <f xml:space="preserve">  75.98</f>
        <v>75.98</v>
      </c>
      <c r="D123">
        <v>14</v>
      </c>
      <c r="E123">
        <v>15</v>
      </c>
      <c r="F123">
        <v>75.81</v>
      </c>
      <c r="G123">
        <v>0</v>
      </c>
      <c r="H123">
        <v>2</v>
      </c>
      <c r="I123">
        <v>1</v>
      </c>
      <c r="J123">
        <v>6</v>
      </c>
      <c r="K123">
        <v>75.97</v>
      </c>
      <c r="L123">
        <v>75.88</v>
      </c>
    </row>
    <row r="124" spans="1:12" x14ac:dyDescent="0.2">
      <c r="A124" s="4">
        <v>123</v>
      </c>
      <c r="B124" t="s">
        <v>804</v>
      </c>
      <c r="C124">
        <f xml:space="preserve">  75.68</f>
        <v>75.680000000000007</v>
      </c>
      <c r="D124">
        <v>9</v>
      </c>
      <c r="E124">
        <v>19</v>
      </c>
      <c r="F124">
        <v>79.17</v>
      </c>
      <c r="G124">
        <v>0</v>
      </c>
      <c r="H124">
        <v>2</v>
      </c>
      <c r="I124">
        <v>2</v>
      </c>
      <c r="J124">
        <v>9</v>
      </c>
      <c r="K124">
        <v>75.87</v>
      </c>
      <c r="L124">
        <v>75.39</v>
      </c>
    </row>
    <row r="125" spans="1:12" x14ac:dyDescent="0.2">
      <c r="A125" s="4">
        <v>124</v>
      </c>
      <c r="B125" t="s">
        <v>72</v>
      </c>
      <c r="C125">
        <f xml:space="preserve">  75.65</f>
        <v>75.650000000000006</v>
      </c>
      <c r="D125">
        <v>13</v>
      </c>
      <c r="E125">
        <v>19</v>
      </c>
      <c r="F125">
        <v>78.14</v>
      </c>
      <c r="G125">
        <v>0</v>
      </c>
      <c r="H125">
        <v>6</v>
      </c>
      <c r="I125">
        <v>0</v>
      </c>
      <c r="J125">
        <v>12</v>
      </c>
      <c r="K125">
        <v>75.17</v>
      </c>
      <c r="L125">
        <v>76.040000000000006</v>
      </c>
    </row>
    <row r="126" spans="1:12" x14ac:dyDescent="0.2">
      <c r="A126" s="4">
        <v>125</v>
      </c>
      <c r="B126" t="s">
        <v>79</v>
      </c>
      <c r="C126">
        <f xml:space="preserve">  75.64</f>
        <v>75.64</v>
      </c>
      <c r="D126">
        <v>13</v>
      </c>
      <c r="E126">
        <v>19</v>
      </c>
      <c r="F126">
        <v>79.64</v>
      </c>
      <c r="G126">
        <v>1</v>
      </c>
      <c r="H126">
        <v>8</v>
      </c>
      <c r="I126">
        <v>3</v>
      </c>
      <c r="J126">
        <v>13</v>
      </c>
      <c r="K126">
        <v>75.28</v>
      </c>
      <c r="L126">
        <v>75.89</v>
      </c>
    </row>
    <row r="127" spans="1:12" x14ac:dyDescent="0.2">
      <c r="A127" s="4">
        <v>126</v>
      </c>
      <c r="B127" t="s">
        <v>91</v>
      </c>
      <c r="C127">
        <f xml:space="preserve">  75.56</f>
        <v>75.56</v>
      </c>
      <c r="D127">
        <v>14</v>
      </c>
      <c r="E127">
        <v>17</v>
      </c>
      <c r="F127">
        <v>77.17</v>
      </c>
      <c r="G127">
        <v>1</v>
      </c>
      <c r="H127">
        <v>6</v>
      </c>
      <c r="I127">
        <v>1</v>
      </c>
      <c r="J127">
        <v>6</v>
      </c>
      <c r="K127">
        <v>75.81</v>
      </c>
      <c r="L127">
        <v>75.209999999999994</v>
      </c>
    </row>
    <row r="128" spans="1:12" x14ac:dyDescent="0.2">
      <c r="A128" s="4">
        <v>127</v>
      </c>
      <c r="B128" t="s">
        <v>798</v>
      </c>
      <c r="C128">
        <f xml:space="preserve">  75.53</f>
        <v>75.53</v>
      </c>
      <c r="D128">
        <v>19</v>
      </c>
      <c r="E128">
        <v>10</v>
      </c>
      <c r="F128">
        <v>70.78</v>
      </c>
      <c r="G128">
        <v>0</v>
      </c>
      <c r="H128">
        <v>0</v>
      </c>
      <c r="I128">
        <v>1</v>
      </c>
      <c r="J128">
        <v>2</v>
      </c>
      <c r="K128">
        <v>76.28</v>
      </c>
      <c r="L128">
        <v>74.69</v>
      </c>
    </row>
    <row r="129" spans="1:12" x14ac:dyDescent="0.2">
      <c r="A129" s="4">
        <v>128</v>
      </c>
      <c r="B129" t="s">
        <v>874</v>
      </c>
      <c r="C129">
        <v>75.5</v>
      </c>
      <c r="D129">
        <v>18</v>
      </c>
      <c r="E129">
        <v>11</v>
      </c>
      <c r="F129">
        <v>72.930000000000007</v>
      </c>
      <c r="G129">
        <v>0</v>
      </c>
      <c r="H129">
        <v>2</v>
      </c>
      <c r="I129">
        <v>1</v>
      </c>
      <c r="J129">
        <v>5</v>
      </c>
      <c r="K129">
        <v>75.67</v>
      </c>
      <c r="L129">
        <v>75.23</v>
      </c>
    </row>
    <row r="130" spans="1:12" x14ac:dyDescent="0.2">
      <c r="A130" s="4">
        <v>129</v>
      </c>
      <c r="B130" t="s">
        <v>120</v>
      </c>
      <c r="C130">
        <f xml:space="preserve">  75.47</f>
        <v>75.47</v>
      </c>
      <c r="D130">
        <v>15</v>
      </c>
      <c r="E130">
        <v>18</v>
      </c>
      <c r="F130">
        <v>80.599999999999994</v>
      </c>
      <c r="G130">
        <v>1</v>
      </c>
      <c r="H130">
        <v>12</v>
      </c>
      <c r="I130">
        <v>2</v>
      </c>
      <c r="J130">
        <v>15</v>
      </c>
      <c r="K130">
        <v>75.87</v>
      </c>
      <c r="L130">
        <v>74.97</v>
      </c>
    </row>
    <row r="131" spans="1:12" x14ac:dyDescent="0.2">
      <c r="A131" s="4">
        <v>130</v>
      </c>
      <c r="B131" t="s">
        <v>118</v>
      </c>
      <c r="C131">
        <f xml:space="preserve">  75.43</f>
        <v>75.430000000000007</v>
      </c>
      <c r="D131">
        <v>22</v>
      </c>
      <c r="E131">
        <v>16</v>
      </c>
      <c r="F131">
        <v>72.849999999999994</v>
      </c>
      <c r="G131">
        <v>0</v>
      </c>
      <c r="H131">
        <v>1</v>
      </c>
      <c r="I131">
        <v>1</v>
      </c>
      <c r="J131">
        <v>1</v>
      </c>
      <c r="K131">
        <v>75.53</v>
      </c>
      <c r="L131">
        <v>75.22</v>
      </c>
    </row>
    <row r="132" spans="1:12" x14ac:dyDescent="0.2">
      <c r="A132" s="4">
        <v>131</v>
      </c>
      <c r="B132" t="s">
        <v>814</v>
      </c>
      <c r="C132">
        <f xml:space="preserve">  75.42</f>
        <v>75.42</v>
      </c>
      <c r="D132">
        <v>22</v>
      </c>
      <c r="E132">
        <v>13</v>
      </c>
      <c r="F132">
        <v>72.09</v>
      </c>
      <c r="G132">
        <v>0</v>
      </c>
      <c r="H132">
        <v>0</v>
      </c>
      <c r="I132">
        <v>0</v>
      </c>
      <c r="J132">
        <v>1</v>
      </c>
      <c r="K132">
        <v>75.05</v>
      </c>
      <c r="L132">
        <v>75.69</v>
      </c>
    </row>
    <row r="133" spans="1:12" x14ac:dyDescent="0.2">
      <c r="A133" s="4">
        <v>132</v>
      </c>
      <c r="B133" t="s">
        <v>868</v>
      </c>
      <c r="C133">
        <f xml:space="preserve">  75.4</f>
        <v>75.400000000000006</v>
      </c>
      <c r="D133">
        <v>19</v>
      </c>
      <c r="E133">
        <v>9</v>
      </c>
      <c r="F133">
        <v>70.64</v>
      </c>
      <c r="G133">
        <v>0</v>
      </c>
      <c r="H133">
        <v>1</v>
      </c>
      <c r="I133">
        <v>0</v>
      </c>
      <c r="J133">
        <v>1</v>
      </c>
      <c r="K133">
        <v>76.77</v>
      </c>
      <c r="L133">
        <v>73.989999999999995</v>
      </c>
    </row>
    <row r="134" spans="1:12" x14ac:dyDescent="0.2">
      <c r="A134" s="4">
        <v>133</v>
      </c>
      <c r="B134" t="s">
        <v>218</v>
      </c>
      <c r="C134">
        <f xml:space="preserve">  75.03</f>
        <v>75.03</v>
      </c>
      <c r="D134">
        <v>20</v>
      </c>
      <c r="E134">
        <v>13</v>
      </c>
      <c r="F134">
        <v>73.52</v>
      </c>
      <c r="G134">
        <v>1</v>
      </c>
      <c r="H134">
        <v>3</v>
      </c>
      <c r="I134">
        <v>1</v>
      </c>
      <c r="J134">
        <v>3</v>
      </c>
      <c r="K134">
        <v>76.290000000000006</v>
      </c>
      <c r="L134">
        <v>73.7</v>
      </c>
    </row>
    <row r="135" spans="1:12" x14ac:dyDescent="0.2">
      <c r="A135" s="4">
        <v>134</v>
      </c>
      <c r="B135" t="s">
        <v>259</v>
      </c>
      <c r="C135">
        <f xml:space="preserve">  75.02</f>
        <v>75.02</v>
      </c>
      <c r="D135">
        <v>17</v>
      </c>
      <c r="E135">
        <v>16</v>
      </c>
      <c r="F135">
        <v>73.209999999999994</v>
      </c>
      <c r="G135">
        <v>1</v>
      </c>
      <c r="H135">
        <v>1</v>
      </c>
      <c r="I135">
        <v>1</v>
      </c>
      <c r="J135">
        <v>2</v>
      </c>
      <c r="K135">
        <v>74.989999999999995</v>
      </c>
      <c r="L135">
        <v>74.95</v>
      </c>
    </row>
    <row r="136" spans="1:12" x14ac:dyDescent="0.2">
      <c r="A136" s="4">
        <v>135</v>
      </c>
      <c r="B136" t="s">
        <v>160</v>
      </c>
      <c r="C136">
        <f xml:space="preserve">  74.88</f>
        <v>74.88</v>
      </c>
      <c r="D136">
        <v>19</v>
      </c>
      <c r="E136">
        <v>15</v>
      </c>
      <c r="F136">
        <v>71.23</v>
      </c>
      <c r="G136">
        <v>0</v>
      </c>
      <c r="H136">
        <v>1</v>
      </c>
      <c r="I136">
        <v>0</v>
      </c>
      <c r="J136">
        <v>3</v>
      </c>
      <c r="K136">
        <v>75.61</v>
      </c>
      <c r="L136">
        <v>74.06</v>
      </c>
    </row>
    <row r="137" spans="1:12" x14ac:dyDescent="0.2">
      <c r="A137" s="4">
        <v>136</v>
      </c>
      <c r="B137" t="s">
        <v>183</v>
      </c>
      <c r="C137">
        <f xml:space="preserve">  74.84</f>
        <v>74.84</v>
      </c>
      <c r="D137">
        <v>12</v>
      </c>
      <c r="E137">
        <v>19</v>
      </c>
      <c r="F137">
        <v>79.069999999999993</v>
      </c>
      <c r="G137">
        <v>1</v>
      </c>
      <c r="H137">
        <v>6</v>
      </c>
      <c r="I137">
        <v>2</v>
      </c>
      <c r="J137">
        <v>10</v>
      </c>
      <c r="K137">
        <v>74.790000000000006</v>
      </c>
      <c r="L137">
        <v>74.790000000000006</v>
      </c>
    </row>
    <row r="138" spans="1:12" x14ac:dyDescent="0.2">
      <c r="A138" s="4">
        <v>137</v>
      </c>
      <c r="B138" t="s">
        <v>803</v>
      </c>
      <c r="C138">
        <f xml:space="preserve">  74.81</f>
        <v>74.81</v>
      </c>
      <c r="D138">
        <v>20</v>
      </c>
      <c r="E138">
        <v>14</v>
      </c>
      <c r="F138">
        <v>72.39</v>
      </c>
      <c r="G138">
        <v>0</v>
      </c>
      <c r="H138">
        <v>0</v>
      </c>
      <c r="I138">
        <v>0</v>
      </c>
      <c r="J138">
        <v>1</v>
      </c>
      <c r="K138">
        <v>74.78</v>
      </c>
      <c r="L138">
        <v>74.73</v>
      </c>
    </row>
    <row r="139" spans="1:12" x14ac:dyDescent="0.2">
      <c r="A139" s="4">
        <v>138</v>
      </c>
      <c r="B139" t="s">
        <v>89</v>
      </c>
      <c r="C139">
        <f xml:space="preserve">  74.77</f>
        <v>74.77</v>
      </c>
      <c r="D139">
        <v>21</v>
      </c>
      <c r="E139">
        <v>12</v>
      </c>
      <c r="F139">
        <v>70.22</v>
      </c>
      <c r="G139">
        <v>0</v>
      </c>
      <c r="H139">
        <v>0</v>
      </c>
      <c r="I139">
        <v>0</v>
      </c>
      <c r="J139">
        <v>1</v>
      </c>
      <c r="K139">
        <v>75.260000000000005</v>
      </c>
      <c r="L139">
        <v>74.180000000000007</v>
      </c>
    </row>
    <row r="140" spans="1:12" x14ac:dyDescent="0.2">
      <c r="A140" s="4">
        <v>139</v>
      </c>
      <c r="B140" t="s">
        <v>53</v>
      </c>
      <c r="C140">
        <f xml:space="preserve">  74.69</f>
        <v>74.69</v>
      </c>
      <c r="D140">
        <v>13</v>
      </c>
      <c r="E140">
        <v>18</v>
      </c>
      <c r="F140">
        <v>77.41</v>
      </c>
      <c r="G140">
        <v>1</v>
      </c>
      <c r="H140">
        <v>2</v>
      </c>
      <c r="I140">
        <v>3</v>
      </c>
      <c r="J140">
        <v>5</v>
      </c>
      <c r="K140">
        <v>74.72</v>
      </c>
      <c r="L140">
        <v>74.540000000000006</v>
      </c>
    </row>
    <row r="141" spans="1:12" x14ac:dyDescent="0.2">
      <c r="A141" s="4">
        <v>140</v>
      </c>
      <c r="B141" t="s">
        <v>251</v>
      </c>
      <c r="C141">
        <f xml:space="preserve">  74.56</f>
        <v>74.56</v>
      </c>
      <c r="D141">
        <v>24</v>
      </c>
      <c r="E141">
        <v>11</v>
      </c>
      <c r="F141">
        <v>69.28</v>
      </c>
      <c r="G141">
        <v>0</v>
      </c>
      <c r="H141">
        <v>0</v>
      </c>
      <c r="I141">
        <v>1</v>
      </c>
      <c r="J141">
        <v>0</v>
      </c>
      <c r="K141">
        <v>74.77</v>
      </c>
      <c r="L141">
        <v>74.25</v>
      </c>
    </row>
    <row r="142" spans="1:12" x14ac:dyDescent="0.2">
      <c r="A142" s="4">
        <v>141</v>
      </c>
      <c r="B142" t="s">
        <v>180</v>
      </c>
      <c r="C142">
        <f xml:space="preserve">  74.55</f>
        <v>74.55</v>
      </c>
      <c r="D142">
        <v>19</v>
      </c>
      <c r="E142">
        <v>14</v>
      </c>
      <c r="F142">
        <v>72.95</v>
      </c>
      <c r="G142">
        <v>0</v>
      </c>
      <c r="H142">
        <v>0</v>
      </c>
      <c r="I142">
        <v>0</v>
      </c>
      <c r="J142">
        <v>1</v>
      </c>
      <c r="K142">
        <v>75.02</v>
      </c>
      <c r="L142">
        <v>73.98</v>
      </c>
    </row>
    <row r="143" spans="1:12" x14ac:dyDescent="0.2">
      <c r="A143" s="4">
        <v>142</v>
      </c>
      <c r="B143" t="s">
        <v>245</v>
      </c>
      <c r="C143">
        <f xml:space="preserve">  74.49</f>
        <v>74.489999999999995</v>
      </c>
      <c r="D143">
        <v>21</v>
      </c>
      <c r="E143">
        <v>13</v>
      </c>
      <c r="F143">
        <v>71.709999999999994</v>
      </c>
      <c r="G143">
        <v>0</v>
      </c>
      <c r="H143">
        <v>1</v>
      </c>
      <c r="I143">
        <v>0</v>
      </c>
      <c r="J143">
        <v>2</v>
      </c>
      <c r="K143">
        <v>74.790000000000006</v>
      </c>
      <c r="L143">
        <v>74.099999999999994</v>
      </c>
    </row>
    <row r="144" spans="1:12" x14ac:dyDescent="0.2">
      <c r="A144" s="4">
        <v>143</v>
      </c>
      <c r="B144" t="s">
        <v>894</v>
      </c>
      <c r="C144">
        <f xml:space="preserve">  74.44</f>
        <v>74.44</v>
      </c>
      <c r="D144">
        <v>17</v>
      </c>
      <c r="E144">
        <v>13</v>
      </c>
      <c r="F144">
        <v>70.989999999999995</v>
      </c>
      <c r="G144">
        <v>0</v>
      </c>
      <c r="H144">
        <v>0</v>
      </c>
      <c r="I144">
        <v>0</v>
      </c>
      <c r="J144">
        <v>1</v>
      </c>
      <c r="K144">
        <v>75.03</v>
      </c>
      <c r="L144">
        <v>73.75</v>
      </c>
    </row>
    <row r="145" spans="1:12" x14ac:dyDescent="0.2">
      <c r="A145" s="4">
        <v>144</v>
      </c>
      <c r="B145" t="s">
        <v>47</v>
      </c>
      <c r="C145">
        <f xml:space="preserve">  74.4</f>
        <v>74.400000000000006</v>
      </c>
      <c r="D145">
        <v>13</v>
      </c>
      <c r="E145">
        <v>16</v>
      </c>
      <c r="F145">
        <v>74.83</v>
      </c>
      <c r="G145">
        <v>0</v>
      </c>
      <c r="H145">
        <v>4</v>
      </c>
      <c r="I145">
        <v>0</v>
      </c>
      <c r="J145">
        <v>6</v>
      </c>
      <c r="K145">
        <v>74.36</v>
      </c>
      <c r="L145">
        <v>74.33</v>
      </c>
    </row>
    <row r="146" spans="1:12" x14ac:dyDescent="0.2">
      <c r="A146" s="4">
        <v>145</v>
      </c>
      <c r="B146" t="s">
        <v>903</v>
      </c>
      <c r="C146">
        <f xml:space="preserve">  74.11</f>
        <v>74.11</v>
      </c>
      <c r="D146">
        <v>24</v>
      </c>
      <c r="E146">
        <v>11</v>
      </c>
      <c r="F146">
        <v>69.56</v>
      </c>
      <c r="G146">
        <v>0</v>
      </c>
      <c r="H146">
        <v>2</v>
      </c>
      <c r="I146">
        <v>0</v>
      </c>
      <c r="J146">
        <v>2</v>
      </c>
      <c r="K146">
        <v>74.64</v>
      </c>
      <c r="L146">
        <v>73.48</v>
      </c>
    </row>
    <row r="147" spans="1:12" x14ac:dyDescent="0.2">
      <c r="A147" s="4">
        <v>146</v>
      </c>
      <c r="B147" t="s">
        <v>114</v>
      </c>
      <c r="C147">
        <f xml:space="preserve">  73.87</f>
        <v>73.87</v>
      </c>
      <c r="D147">
        <v>18</v>
      </c>
      <c r="E147">
        <v>17</v>
      </c>
      <c r="F147">
        <v>74.42</v>
      </c>
      <c r="G147">
        <v>0</v>
      </c>
      <c r="H147">
        <v>5</v>
      </c>
      <c r="I147">
        <v>0</v>
      </c>
      <c r="J147">
        <v>5</v>
      </c>
      <c r="K147">
        <v>74.23</v>
      </c>
      <c r="L147">
        <v>73.400000000000006</v>
      </c>
    </row>
    <row r="148" spans="1:12" x14ac:dyDescent="0.2">
      <c r="A148" s="4">
        <v>147</v>
      </c>
      <c r="B148" t="s">
        <v>188</v>
      </c>
      <c r="C148">
        <f xml:space="preserve">  73.77</f>
        <v>73.77</v>
      </c>
      <c r="D148">
        <v>19</v>
      </c>
      <c r="E148">
        <v>16</v>
      </c>
      <c r="F148">
        <v>72.34</v>
      </c>
      <c r="G148">
        <v>0</v>
      </c>
      <c r="H148">
        <v>0</v>
      </c>
      <c r="I148">
        <v>0</v>
      </c>
      <c r="J148">
        <v>1</v>
      </c>
      <c r="K148">
        <v>73.69</v>
      </c>
      <c r="L148">
        <v>73.73</v>
      </c>
    </row>
    <row r="149" spans="1:12" x14ac:dyDescent="0.2">
      <c r="A149" s="4">
        <v>148</v>
      </c>
      <c r="B149" t="s">
        <v>134</v>
      </c>
      <c r="C149">
        <f xml:space="preserve">  73.69</f>
        <v>73.69</v>
      </c>
      <c r="D149">
        <v>19</v>
      </c>
      <c r="E149">
        <v>16</v>
      </c>
      <c r="F149">
        <v>72.599999999999994</v>
      </c>
      <c r="G149">
        <v>0</v>
      </c>
      <c r="H149">
        <v>0</v>
      </c>
      <c r="I149">
        <v>0</v>
      </c>
      <c r="J149">
        <v>2</v>
      </c>
      <c r="K149">
        <v>74.47</v>
      </c>
      <c r="L149">
        <v>72.819999999999993</v>
      </c>
    </row>
    <row r="150" spans="1:12" x14ac:dyDescent="0.2">
      <c r="A150" s="4">
        <v>149</v>
      </c>
      <c r="B150" t="s">
        <v>195</v>
      </c>
      <c r="C150">
        <f xml:space="preserve">  73.58</f>
        <v>73.58</v>
      </c>
      <c r="D150">
        <v>19</v>
      </c>
      <c r="E150">
        <v>15</v>
      </c>
      <c r="F150">
        <v>72.900000000000006</v>
      </c>
      <c r="G150">
        <v>0</v>
      </c>
      <c r="H150">
        <v>0</v>
      </c>
      <c r="I150">
        <v>0</v>
      </c>
      <c r="J150">
        <v>1</v>
      </c>
      <c r="K150">
        <v>74.599999999999994</v>
      </c>
      <c r="L150">
        <v>72.47</v>
      </c>
    </row>
    <row r="151" spans="1:12" x14ac:dyDescent="0.2">
      <c r="A151" s="4">
        <v>150</v>
      </c>
      <c r="B151" t="s">
        <v>192</v>
      </c>
      <c r="C151">
        <f xml:space="preserve">  73.51</f>
        <v>73.510000000000005</v>
      </c>
      <c r="D151">
        <v>23</v>
      </c>
      <c r="E151">
        <v>7</v>
      </c>
      <c r="F151">
        <v>68.56</v>
      </c>
      <c r="G151">
        <v>0</v>
      </c>
      <c r="H151">
        <v>1</v>
      </c>
      <c r="I151">
        <v>0</v>
      </c>
      <c r="J151">
        <v>2</v>
      </c>
      <c r="K151">
        <v>75.41</v>
      </c>
      <c r="L151">
        <v>71.56</v>
      </c>
    </row>
    <row r="152" spans="1:12" x14ac:dyDescent="0.2">
      <c r="A152" s="4">
        <v>151</v>
      </c>
      <c r="B152" t="s">
        <v>110</v>
      </c>
      <c r="C152">
        <f xml:space="preserve">  73.5</f>
        <v>73.5</v>
      </c>
      <c r="D152">
        <v>19</v>
      </c>
      <c r="E152">
        <v>15</v>
      </c>
      <c r="F152">
        <v>70.44</v>
      </c>
      <c r="G152">
        <v>0</v>
      </c>
      <c r="H152">
        <v>0</v>
      </c>
      <c r="I152">
        <v>0</v>
      </c>
      <c r="J152">
        <v>2</v>
      </c>
      <c r="K152">
        <v>72.7</v>
      </c>
      <c r="L152">
        <v>74.19</v>
      </c>
    </row>
    <row r="153" spans="1:12" x14ac:dyDescent="0.2">
      <c r="A153" s="4">
        <v>152</v>
      </c>
      <c r="B153" t="s">
        <v>815</v>
      </c>
      <c r="C153">
        <f xml:space="preserve">  73.35</f>
        <v>73.349999999999994</v>
      </c>
      <c r="D153">
        <v>18</v>
      </c>
      <c r="E153">
        <v>12</v>
      </c>
      <c r="F153">
        <v>68.989999999999995</v>
      </c>
      <c r="G153">
        <v>0</v>
      </c>
      <c r="H153">
        <v>0</v>
      </c>
      <c r="I153">
        <v>1</v>
      </c>
      <c r="J153">
        <v>1</v>
      </c>
      <c r="K153">
        <v>72.489999999999995</v>
      </c>
      <c r="L153">
        <v>74.11</v>
      </c>
    </row>
    <row r="154" spans="1:12" x14ac:dyDescent="0.2">
      <c r="A154" s="4">
        <v>153</v>
      </c>
      <c r="B154" t="s">
        <v>41</v>
      </c>
      <c r="C154">
        <f xml:space="preserve">  73.23</f>
        <v>73.23</v>
      </c>
      <c r="D154">
        <v>13</v>
      </c>
      <c r="E154">
        <v>19</v>
      </c>
      <c r="F154">
        <v>77.83</v>
      </c>
      <c r="G154">
        <v>0</v>
      </c>
      <c r="H154">
        <v>4</v>
      </c>
      <c r="I154">
        <v>2</v>
      </c>
      <c r="J154">
        <v>10</v>
      </c>
      <c r="K154">
        <v>73.38</v>
      </c>
      <c r="L154">
        <v>72.959999999999994</v>
      </c>
    </row>
    <row r="155" spans="1:12" x14ac:dyDescent="0.2">
      <c r="A155" s="4">
        <v>154</v>
      </c>
      <c r="B155" t="s">
        <v>206</v>
      </c>
      <c r="C155">
        <f xml:space="preserve">  73.17</f>
        <v>73.17</v>
      </c>
      <c r="D155">
        <v>20</v>
      </c>
      <c r="E155">
        <v>9</v>
      </c>
      <c r="F155">
        <v>68.94</v>
      </c>
      <c r="G155">
        <v>0</v>
      </c>
      <c r="H155">
        <v>0</v>
      </c>
      <c r="I155">
        <v>0</v>
      </c>
      <c r="J155">
        <v>0</v>
      </c>
      <c r="K155">
        <v>73.569999999999993</v>
      </c>
      <c r="L155">
        <v>72.650000000000006</v>
      </c>
    </row>
    <row r="156" spans="1:12" x14ac:dyDescent="0.2">
      <c r="A156" s="4">
        <v>155</v>
      </c>
      <c r="B156" t="s">
        <v>817</v>
      </c>
      <c r="C156">
        <f xml:space="preserve">  73.14</f>
        <v>73.14</v>
      </c>
      <c r="D156">
        <v>10</v>
      </c>
      <c r="E156">
        <v>21</v>
      </c>
      <c r="F156">
        <v>80.760000000000005</v>
      </c>
      <c r="G156">
        <v>1</v>
      </c>
      <c r="H156">
        <v>9</v>
      </c>
      <c r="I156">
        <v>1</v>
      </c>
      <c r="J156">
        <v>14</v>
      </c>
      <c r="K156">
        <v>72.72</v>
      </c>
      <c r="L156">
        <v>73.45</v>
      </c>
    </row>
    <row r="157" spans="1:12" x14ac:dyDescent="0.2">
      <c r="A157" s="4">
        <v>156</v>
      </c>
      <c r="B157" t="s">
        <v>157</v>
      </c>
      <c r="C157">
        <v>73.14</v>
      </c>
      <c r="D157">
        <v>24</v>
      </c>
      <c r="E157">
        <v>10</v>
      </c>
      <c r="F157">
        <v>68.33</v>
      </c>
      <c r="G157">
        <v>0</v>
      </c>
      <c r="H157">
        <v>1</v>
      </c>
      <c r="I157">
        <v>1</v>
      </c>
      <c r="J157">
        <v>1</v>
      </c>
      <c r="K157">
        <v>73.2</v>
      </c>
      <c r="L157">
        <v>72.959999999999994</v>
      </c>
    </row>
    <row r="158" spans="1:12" x14ac:dyDescent="0.2">
      <c r="A158" s="4">
        <v>157</v>
      </c>
      <c r="B158" t="s">
        <v>150</v>
      </c>
      <c r="C158">
        <f xml:space="preserve">  73.09</f>
        <v>73.09</v>
      </c>
      <c r="D158">
        <v>19</v>
      </c>
      <c r="E158">
        <v>14</v>
      </c>
      <c r="F158">
        <v>72.010000000000005</v>
      </c>
      <c r="G158">
        <v>0</v>
      </c>
      <c r="H158">
        <v>2</v>
      </c>
      <c r="I158">
        <v>1</v>
      </c>
      <c r="J158">
        <v>5</v>
      </c>
      <c r="K158">
        <v>73.61</v>
      </c>
      <c r="L158">
        <v>72.45</v>
      </c>
    </row>
    <row r="159" spans="1:12" x14ac:dyDescent="0.2">
      <c r="A159" s="4">
        <v>158</v>
      </c>
      <c r="B159" t="s">
        <v>191</v>
      </c>
      <c r="C159">
        <f xml:space="preserve">  72.87</f>
        <v>72.87</v>
      </c>
      <c r="D159">
        <v>19</v>
      </c>
      <c r="E159">
        <v>14</v>
      </c>
      <c r="F159">
        <v>71.760000000000005</v>
      </c>
      <c r="G159">
        <v>0</v>
      </c>
      <c r="H159">
        <v>0</v>
      </c>
      <c r="I159">
        <v>0</v>
      </c>
      <c r="J159">
        <v>1</v>
      </c>
      <c r="K159">
        <v>72.819999999999993</v>
      </c>
      <c r="L159">
        <v>72.81</v>
      </c>
    </row>
    <row r="160" spans="1:12" x14ac:dyDescent="0.2">
      <c r="A160" s="4">
        <v>159</v>
      </c>
      <c r="B160" t="s">
        <v>839</v>
      </c>
      <c r="C160">
        <f xml:space="preserve">  72.8</f>
        <v>72.8</v>
      </c>
      <c r="D160">
        <v>17</v>
      </c>
      <c r="E160">
        <v>14</v>
      </c>
      <c r="F160">
        <v>74.489999999999995</v>
      </c>
      <c r="G160">
        <v>0</v>
      </c>
      <c r="H160">
        <v>3</v>
      </c>
      <c r="I160">
        <v>0</v>
      </c>
      <c r="J160">
        <v>6</v>
      </c>
      <c r="K160">
        <v>74.290000000000006</v>
      </c>
      <c r="L160">
        <v>71.209999999999994</v>
      </c>
    </row>
    <row r="161" spans="1:12" x14ac:dyDescent="0.2">
      <c r="A161" s="4">
        <v>160</v>
      </c>
      <c r="B161" t="s">
        <v>66</v>
      </c>
      <c r="C161">
        <f xml:space="preserve">  72.72</f>
        <v>72.72</v>
      </c>
      <c r="D161">
        <v>15</v>
      </c>
      <c r="E161">
        <v>17</v>
      </c>
      <c r="F161">
        <v>74.16</v>
      </c>
      <c r="G161">
        <v>0</v>
      </c>
      <c r="H161">
        <v>1</v>
      </c>
      <c r="I161">
        <v>0</v>
      </c>
      <c r="J161">
        <v>5</v>
      </c>
      <c r="K161">
        <v>72.63</v>
      </c>
      <c r="L161">
        <v>72.7</v>
      </c>
    </row>
    <row r="162" spans="1:12" x14ac:dyDescent="0.2">
      <c r="A162" s="4">
        <v>161</v>
      </c>
      <c r="B162" t="s">
        <v>214</v>
      </c>
      <c r="C162">
        <f xml:space="preserve">  72.67</f>
        <v>72.67</v>
      </c>
      <c r="D162">
        <v>14</v>
      </c>
      <c r="E162">
        <v>18</v>
      </c>
      <c r="F162">
        <v>73.94</v>
      </c>
      <c r="G162">
        <v>0</v>
      </c>
      <c r="H162">
        <v>1</v>
      </c>
      <c r="I162">
        <v>0</v>
      </c>
      <c r="J162">
        <v>1</v>
      </c>
      <c r="K162">
        <v>73.13</v>
      </c>
      <c r="L162">
        <v>72.11</v>
      </c>
    </row>
    <row r="163" spans="1:12" x14ac:dyDescent="0.2">
      <c r="A163" s="4">
        <v>162</v>
      </c>
      <c r="B163" t="s">
        <v>136</v>
      </c>
      <c r="C163">
        <f xml:space="preserve">  72.64</f>
        <v>72.64</v>
      </c>
      <c r="D163">
        <v>13</v>
      </c>
      <c r="E163">
        <v>17</v>
      </c>
      <c r="F163">
        <v>75.569999999999993</v>
      </c>
      <c r="G163">
        <v>1</v>
      </c>
      <c r="H163">
        <v>4</v>
      </c>
      <c r="I163">
        <v>1</v>
      </c>
      <c r="J163">
        <v>4</v>
      </c>
      <c r="K163">
        <v>73.260000000000005</v>
      </c>
      <c r="L163">
        <v>71.900000000000006</v>
      </c>
    </row>
    <row r="164" spans="1:12" x14ac:dyDescent="0.2">
      <c r="A164" s="4">
        <v>163</v>
      </c>
      <c r="B164" t="s">
        <v>50</v>
      </c>
      <c r="C164">
        <f xml:space="preserve">  72.6</f>
        <v>72.599999999999994</v>
      </c>
      <c r="D164">
        <v>14</v>
      </c>
      <c r="E164">
        <v>16</v>
      </c>
      <c r="F164">
        <v>71.45</v>
      </c>
      <c r="G164">
        <v>0</v>
      </c>
      <c r="H164">
        <v>1</v>
      </c>
      <c r="I164">
        <v>0</v>
      </c>
      <c r="J164">
        <v>1</v>
      </c>
      <c r="K164">
        <v>72.61</v>
      </c>
      <c r="L164">
        <v>72.47</v>
      </c>
    </row>
    <row r="165" spans="1:12" x14ac:dyDescent="0.2">
      <c r="A165" s="4">
        <v>164</v>
      </c>
      <c r="B165" t="s">
        <v>850</v>
      </c>
      <c r="C165">
        <f xml:space="preserve">  72.57</f>
        <v>72.569999999999993</v>
      </c>
      <c r="D165">
        <v>16</v>
      </c>
      <c r="E165">
        <v>14</v>
      </c>
      <c r="F165">
        <v>72.42</v>
      </c>
      <c r="G165">
        <v>0</v>
      </c>
      <c r="H165">
        <v>1</v>
      </c>
      <c r="I165">
        <v>1</v>
      </c>
      <c r="J165">
        <v>1</v>
      </c>
      <c r="K165">
        <v>73.709999999999994</v>
      </c>
      <c r="L165">
        <v>71.319999999999993</v>
      </c>
    </row>
    <row r="166" spans="1:12" x14ac:dyDescent="0.2">
      <c r="A166" s="4">
        <v>165</v>
      </c>
      <c r="B166" t="s">
        <v>240</v>
      </c>
      <c r="C166">
        <f xml:space="preserve">  72.54</f>
        <v>72.540000000000006</v>
      </c>
      <c r="D166">
        <v>19</v>
      </c>
      <c r="E166">
        <v>9</v>
      </c>
      <c r="F166">
        <v>67.28</v>
      </c>
      <c r="G166">
        <v>0</v>
      </c>
      <c r="H166">
        <v>2</v>
      </c>
      <c r="I166">
        <v>0</v>
      </c>
      <c r="J166">
        <v>2</v>
      </c>
      <c r="K166">
        <v>72.37</v>
      </c>
      <c r="L166">
        <v>72.599999999999994</v>
      </c>
    </row>
    <row r="167" spans="1:12" x14ac:dyDescent="0.2">
      <c r="A167" s="4">
        <v>166</v>
      </c>
      <c r="B167" t="s">
        <v>836</v>
      </c>
      <c r="C167">
        <f xml:space="preserve">  72.46</f>
        <v>72.459999999999994</v>
      </c>
      <c r="D167">
        <v>16</v>
      </c>
      <c r="E167">
        <v>15</v>
      </c>
      <c r="F167">
        <v>72.62</v>
      </c>
      <c r="G167">
        <v>0</v>
      </c>
      <c r="H167">
        <v>1</v>
      </c>
      <c r="I167">
        <v>1</v>
      </c>
      <c r="J167">
        <v>5</v>
      </c>
      <c r="K167">
        <v>73.31</v>
      </c>
      <c r="L167">
        <v>71.5</v>
      </c>
    </row>
    <row r="168" spans="1:12" x14ac:dyDescent="0.2">
      <c r="A168" s="4">
        <v>167</v>
      </c>
      <c r="B168" t="s">
        <v>221</v>
      </c>
      <c r="C168">
        <f xml:space="preserve">  72.43</f>
        <v>72.430000000000007</v>
      </c>
      <c r="D168">
        <v>17</v>
      </c>
      <c r="E168">
        <v>16</v>
      </c>
      <c r="F168">
        <v>72.88</v>
      </c>
      <c r="G168">
        <v>0</v>
      </c>
      <c r="H168">
        <v>1</v>
      </c>
      <c r="I168">
        <v>1</v>
      </c>
      <c r="J168">
        <v>1</v>
      </c>
      <c r="K168">
        <v>73.260000000000005</v>
      </c>
      <c r="L168">
        <v>71.48</v>
      </c>
    </row>
    <row r="169" spans="1:12" x14ac:dyDescent="0.2">
      <c r="A169" s="4">
        <v>168</v>
      </c>
      <c r="B169" t="s">
        <v>97</v>
      </c>
      <c r="C169">
        <f xml:space="preserve">  72.4</f>
        <v>72.400000000000006</v>
      </c>
      <c r="D169">
        <v>11</v>
      </c>
      <c r="E169">
        <v>21</v>
      </c>
      <c r="F169">
        <v>77.459999999999994</v>
      </c>
      <c r="G169">
        <v>0</v>
      </c>
      <c r="H169">
        <v>7</v>
      </c>
      <c r="I169">
        <v>0</v>
      </c>
      <c r="J169">
        <v>12</v>
      </c>
      <c r="K169">
        <v>71.459999999999994</v>
      </c>
      <c r="L169">
        <v>73.239999999999995</v>
      </c>
    </row>
    <row r="170" spans="1:12" x14ac:dyDescent="0.2">
      <c r="A170" s="4">
        <v>169</v>
      </c>
      <c r="B170" t="s">
        <v>898</v>
      </c>
      <c r="C170">
        <f xml:space="preserve">  72.37</f>
        <v>72.37</v>
      </c>
      <c r="D170">
        <v>20</v>
      </c>
      <c r="E170">
        <v>10</v>
      </c>
      <c r="F170">
        <v>64.25</v>
      </c>
      <c r="G170">
        <v>0</v>
      </c>
      <c r="H170">
        <v>2</v>
      </c>
      <c r="I170">
        <v>0</v>
      </c>
      <c r="J170">
        <v>2</v>
      </c>
      <c r="K170">
        <v>71.3</v>
      </c>
      <c r="L170">
        <v>73.319999999999993</v>
      </c>
    </row>
    <row r="171" spans="1:12" x14ac:dyDescent="0.2">
      <c r="A171" s="4">
        <v>170</v>
      </c>
      <c r="B171" t="s">
        <v>174</v>
      </c>
      <c r="C171">
        <f xml:space="preserve">  72.28</f>
        <v>72.28</v>
      </c>
      <c r="D171">
        <v>21</v>
      </c>
      <c r="E171">
        <v>15</v>
      </c>
      <c r="F171">
        <v>70.62</v>
      </c>
      <c r="G171">
        <v>0</v>
      </c>
      <c r="H171">
        <v>1</v>
      </c>
      <c r="I171">
        <v>0</v>
      </c>
      <c r="J171">
        <v>2</v>
      </c>
      <c r="K171">
        <v>72.59</v>
      </c>
      <c r="L171">
        <v>71.86</v>
      </c>
    </row>
    <row r="172" spans="1:12" x14ac:dyDescent="0.2">
      <c r="A172" s="4">
        <v>171</v>
      </c>
      <c r="B172" t="s">
        <v>108</v>
      </c>
      <c r="C172">
        <f xml:space="preserve">  72.27</f>
        <v>72.27</v>
      </c>
      <c r="D172">
        <v>17</v>
      </c>
      <c r="E172">
        <v>13</v>
      </c>
      <c r="F172">
        <v>71.569999999999993</v>
      </c>
      <c r="G172">
        <v>0</v>
      </c>
      <c r="H172">
        <v>1</v>
      </c>
      <c r="I172">
        <v>0</v>
      </c>
      <c r="J172">
        <v>2</v>
      </c>
      <c r="K172">
        <v>72.489999999999995</v>
      </c>
      <c r="L172">
        <v>71.959999999999994</v>
      </c>
    </row>
    <row r="173" spans="1:12" x14ac:dyDescent="0.2">
      <c r="A173" s="4">
        <v>172</v>
      </c>
      <c r="B173" t="s">
        <v>121</v>
      </c>
      <c r="C173">
        <f xml:space="preserve">  72.27</f>
        <v>72.27</v>
      </c>
      <c r="D173">
        <v>19</v>
      </c>
      <c r="E173">
        <v>16</v>
      </c>
      <c r="F173">
        <v>71.16</v>
      </c>
      <c r="G173">
        <v>0</v>
      </c>
      <c r="H173">
        <v>3</v>
      </c>
      <c r="I173">
        <v>0</v>
      </c>
      <c r="J173">
        <v>6</v>
      </c>
      <c r="K173">
        <v>71.900000000000006</v>
      </c>
      <c r="L173">
        <v>72.540000000000006</v>
      </c>
    </row>
    <row r="174" spans="1:12" x14ac:dyDescent="0.2">
      <c r="A174" s="4">
        <v>173</v>
      </c>
      <c r="B174" t="s">
        <v>549</v>
      </c>
      <c r="C174">
        <f xml:space="preserve">  72.19</f>
        <v>72.19</v>
      </c>
      <c r="D174">
        <v>15</v>
      </c>
      <c r="E174">
        <v>15</v>
      </c>
      <c r="F174">
        <v>69.900000000000006</v>
      </c>
      <c r="G174">
        <v>0</v>
      </c>
      <c r="H174">
        <v>0</v>
      </c>
      <c r="I174">
        <v>0</v>
      </c>
      <c r="J174">
        <v>0</v>
      </c>
      <c r="K174">
        <v>71.760000000000005</v>
      </c>
      <c r="L174">
        <v>72.510000000000005</v>
      </c>
    </row>
    <row r="175" spans="1:12" x14ac:dyDescent="0.2">
      <c r="A175" s="4">
        <v>174</v>
      </c>
      <c r="B175" t="s">
        <v>119</v>
      </c>
      <c r="C175">
        <f xml:space="preserve">  72.18</f>
        <v>72.180000000000007</v>
      </c>
      <c r="D175">
        <v>11</v>
      </c>
      <c r="E175">
        <v>19</v>
      </c>
      <c r="F175">
        <v>77.53</v>
      </c>
      <c r="G175">
        <v>0</v>
      </c>
      <c r="H175">
        <v>3</v>
      </c>
      <c r="I175">
        <v>0</v>
      </c>
      <c r="J175">
        <v>9</v>
      </c>
      <c r="K175">
        <v>72.290000000000006</v>
      </c>
      <c r="L175">
        <v>71.97</v>
      </c>
    </row>
    <row r="176" spans="1:12" x14ac:dyDescent="0.2">
      <c r="A176" s="4">
        <v>175</v>
      </c>
      <c r="B176" t="s">
        <v>302</v>
      </c>
      <c r="C176">
        <f xml:space="preserve">  72.18</f>
        <v>72.180000000000007</v>
      </c>
      <c r="D176">
        <v>14</v>
      </c>
      <c r="E176">
        <v>18</v>
      </c>
      <c r="F176">
        <v>74.89</v>
      </c>
      <c r="G176">
        <v>0</v>
      </c>
      <c r="H176">
        <v>5</v>
      </c>
      <c r="I176">
        <v>0</v>
      </c>
      <c r="J176">
        <v>6</v>
      </c>
      <c r="K176">
        <v>72.599999999999994</v>
      </c>
      <c r="L176">
        <v>71.650000000000006</v>
      </c>
    </row>
    <row r="177" spans="1:12" x14ac:dyDescent="0.2">
      <c r="A177" s="4">
        <v>176</v>
      </c>
      <c r="B177" t="s">
        <v>166</v>
      </c>
      <c r="C177">
        <f xml:space="preserve">  72.15</f>
        <v>72.150000000000006</v>
      </c>
      <c r="D177">
        <v>19</v>
      </c>
      <c r="E177">
        <v>12</v>
      </c>
      <c r="F177">
        <v>69.39</v>
      </c>
      <c r="G177">
        <v>0</v>
      </c>
      <c r="H177">
        <v>1</v>
      </c>
      <c r="I177">
        <v>0</v>
      </c>
      <c r="J177">
        <v>2</v>
      </c>
      <c r="K177">
        <v>73.08</v>
      </c>
      <c r="L177">
        <v>71.099999999999994</v>
      </c>
    </row>
    <row r="178" spans="1:12" x14ac:dyDescent="0.2">
      <c r="A178" s="4">
        <v>177</v>
      </c>
      <c r="B178" t="s">
        <v>194</v>
      </c>
      <c r="C178">
        <f xml:space="preserve">  72.1</f>
        <v>72.099999999999994</v>
      </c>
      <c r="D178">
        <v>20</v>
      </c>
      <c r="E178">
        <v>13</v>
      </c>
      <c r="F178">
        <v>71.38</v>
      </c>
      <c r="G178">
        <v>0</v>
      </c>
      <c r="H178">
        <v>0</v>
      </c>
      <c r="I178">
        <v>1</v>
      </c>
      <c r="J178">
        <v>1</v>
      </c>
      <c r="K178">
        <v>72.650000000000006</v>
      </c>
      <c r="L178">
        <v>71.430000000000007</v>
      </c>
    </row>
    <row r="179" spans="1:12" x14ac:dyDescent="0.2">
      <c r="A179" s="4">
        <v>178</v>
      </c>
      <c r="B179" t="s">
        <v>162</v>
      </c>
      <c r="C179">
        <f xml:space="preserve">  72.09</f>
        <v>72.09</v>
      </c>
      <c r="D179">
        <v>13</v>
      </c>
      <c r="E179">
        <v>18</v>
      </c>
      <c r="F179">
        <v>72.48</v>
      </c>
      <c r="G179">
        <v>0</v>
      </c>
      <c r="H179">
        <v>1</v>
      </c>
      <c r="I179">
        <v>0</v>
      </c>
      <c r="J179">
        <v>1</v>
      </c>
      <c r="K179">
        <v>71.819999999999993</v>
      </c>
      <c r="L179">
        <v>72.260000000000005</v>
      </c>
    </row>
    <row r="180" spans="1:12" x14ac:dyDescent="0.2">
      <c r="A180" s="4">
        <v>179</v>
      </c>
      <c r="B180" t="s">
        <v>175</v>
      </c>
      <c r="C180">
        <f xml:space="preserve">  72.03</f>
        <v>72.03</v>
      </c>
      <c r="D180">
        <v>19</v>
      </c>
      <c r="E180">
        <v>12</v>
      </c>
      <c r="F180">
        <v>69.13</v>
      </c>
      <c r="G180">
        <v>0</v>
      </c>
      <c r="H180">
        <v>1</v>
      </c>
      <c r="I180">
        <v>0</v>
      </c>
      <c r="J180">
        <v>1</v>
      </c>
      <c r="K180">
        <v>72.41</v>
      </c>
      <c r="L180">
        <v>71.55</v>
      </c>
    </row>
    <row r="181" spans="1:12" x14ac:dyDescent="0.2">
      <c r="A181" s="4">
        <v>180</v>
      </c>
      <c r="B181" t="s">
        <v>881</v>
      </c>
      <c r="C181">
        <f xml:space="preserve">  71.99</f>
        <v>71.989999999999995</v>
      </c>
      <c r="D181">
        <v>18</v>
      </c>
      <c r="E181">
        <v>14</v>
      </c>
      <c r="F181">
        <v>71.209999999999994</v>
      </c>
      <c r="G181">
        <v>0</v>
      </c>
      <c r="H181">
        <v>1</v>
      </c>
      <c r="I181">
        <v>1</v>
      </c>
      <c r="J181">
        <v>3</v>
      </c>
      <c r="K181">
        <v>72.25</v>
      </c>
      <c r="L181">
        <v>71.62</v>
      </c>
    </row>
    <row r="182" spans="1:12" x14ac:dyDescent="0.2">
      <c r="A182" s="4">
        <v>181</v>
      </c>
      <c r="B182" t="s">
        <v>149</v>
      </c>
      <c r="C182">
        <f xml:space="preserve">  71.95</f>
        <v>71.95</v>
      </c>
      <c r="D182">
        <v>16</v>
      </c>
      <c r="E182">
        <v>16</v>
      </c>
      <c r="F182">
        <v>73.67</v>
      </c>
      <c r="G182">
        <v>0</v>
      </c>
      <c r="H182">
        <v>2</v>
      </c>
      <c r="I182">
        <v>0</v>
      </c>
      <c r="J182">
        <v>4</v>
      </c>
      <c r="K182">
        <v>72.44</v>
      </c>
      <c r="L182">
        <v>71.34</v>
      </c>
    </row>
    <row r="183" spans="1:12" x14ac:dyDescent="0.2">
      <c r="A183" s="4">
        <v>182</v>
      </c>
      <c r="B183" t="s">
        <v>831</v>
      </c>
      <c r="C183">
        <f xml:space="preserve">  71.92</f>
        <v>71.92</v>
      </c>
      <c r="D183">
        <v>15</v>
      </c>
      <c r="E183">
        <v>16</v>
      </c>
      <c r="F183">
        <v>72.78</v>
      </c>
      <c r="G183">
        <v>0</v>
      </c>
      <c r="H183">
        <v>0</v>
      </c>
      <c r="I183">
        <v>0</v>
      </c>
      <c r="J183">
        <v>0</v>
      </c>
      <c r="K183">
        <v>72.44</v>
      </c>
      <c r="L183">
        <v>71.290000000000006</v>
      </c>
    </row>
    <row r="184" spans="1:12" x14ac:dyDescent="0.2">
      <c r="A184" s="4">
        <v>183</v>
      </c>
      <c r="B184" t="s">
        <v>61</v>
      </c>
      <c r="C184">
        <f xml:space="preserve">  71.66</f>
        <v>71.66</v>
      </c>
      <c r="D184">
        <v>14</v>
      </c>
      <c r="E184">
        <v>17</v>
      </c>
      <c r="F184">
        <v>71.5</v>
      </c>
      <c r="G184">
        <v>0</v>
      </c>
      <c r="H184">
        <v>0</v>
      </c>
      <c r="I184">
        <v>0</v>
      </c>
      <c r="J184">
        <v>1</v>
      </c>
      <c r="K184">
        <v>71.239999999999995</v>
      </c>
      <c r="L184">
        <v>71.97</v>
      </c>
    </row>
    <row r="185" spans="1:12" x14ac:dyDescent="0.2">
      <c r="A185" s="4">
        <v>184</v>
      </c>
      <c r="B185" t="s">
        <v>93</v>
      </c>
      <c r="C185">
        <f xml:space="preserve">  71.62</f>
        <v>71.62</v>
      </c>
      <c r="D185">
        <v>15</v>
      </c>
      <c r="E185">
        <v>13</v>
      </c>
      <c r="F185">
        <v>70.42</v>
      </c>
      <c r="G185">
        <v>0</v>
      </c>
      <c r="H185">
        <v>1</v>
      </c>
      <c r="I185">
        <v>0</v>
      </c>
      <c r="J185">
        <v>1</v>
      </c>
      <c r="K185">
        <v>71.97</v>
      </c>
      <c r="L185">
        <v>71.17</v>
      </c>
    </row>
    <row r="186" spans="1:12" x14ac:dyDescent="0.2">
      <c r="A186" s="4">
        <v>185</v>
      </c>
      <c r="B186" t="s">
        <v>4</v>
      </c>
      <c r="C186">
        <f xml:space="preserve">  71.59</f>
        <v>71.59</v>
      </c>
      <c r="D186">
        <v>19</v>
      </c>
      <c r="E186">
        <v>13</v>
      </c>
      <c r="F186">
        <v>69.010000000000005</v>
      </c>
      <c r="G186">
        <v>0</v>
      </c>
      <c r="H186">
        <v>0</v>
      </c>
      <c r="I186">
        <v>0</v>
      </c>
      <c r="J186">
        <v>1</v>
      </c>
      <c r="K186">
        <v>70.87</v>
      </c>
      <c r="L186">
        <v>72.2</v>
      </c>
    </row>
    <row r="187" spans="1:12" x14ac:dyDescent="0.2">
      <c r="A187" s="4">
        <v>186</v>
      </c>
      <c r="B187" t="s">
        <v>268</v>
      </c>
      <c r="C187">
        <v>71.290000000000006</v>
      </c>
      <c r="D187">
        <v>16</v>
      </c>
      <c r="E187">
        <v>13</v>
      </c>
      <c r="F187">
        <v>67.75</v>
      </c>
      <c r="G187">
        <v>0</v>
      </c>
      <c r="H187">
        <v>2</v>
      </c>
      <c r="I187">
        <v>0</v>
      </c>
      <c r="J187">
        <v>2</v>
      </c>
      <c r="K187">
        <v>70.260000000000005</v>
      </c>
      <c r="L187">
        <v>72.2</v>
      </c>
    </row>
    <row r="188" spans="1:12" x14ac:dyDescent="0.2">
      <c r="A188" s="4">
        <v>187</v>
      </c>
      <c r="B188" t="s">
        <v>299</v>
      </c>
      <c r="C188">
        <f xml:space="preserve">  71.21</f>
        <v>71.209999999999994</v>
      </c>
      <c r="D188">
        <v>17</v>
      </c>
      <c r="E188">
        <v>14</v>
      </c>
      <c r="F188">
        <v>66.72</v>
      </c>
      <c r="G188">
        <v>0</v>
      </c>
      <c r="H188">
        <v>1</v>
      </c>
      <c r="I188">
        <v>0</v>
      </c>
      <c r="J188">
        <v>5</v>
      </c>
      <c r="K188">
        <v>69.709999999999994</v>
      </c>
      <c r="L188">
        <v>72.56</v>
      </c>
    </row>
    <row r="189" spans="1:12" x14ac:dyDescent="0.2">
      <c r="A189" s="4">
        <v>188</v>
      </c>
      <c r="B189" t="s">
        <v>116</v>
      </c>
      <c r="C189">
        <f xml:space="preserve">  71.13</f>
        <v>71.13</v>
      </c>
      <c r="D189">
        <v>12</v>
      </c>
      <c r="E189">
        <v>20</v>
      </c>
      <c r="F189">
        <v>73.010000000000005</v>
      </c>
      <c r="G189">
        <v>0</v>
      </c>
      <c r="H189">
        <v>0</v>
      </c>
      <c r="I189">
        <v>0</v>
      </c>
      <c r="J189">
        <v>1</v>
      </c>
      <c r="K189">
        <v>71.150000000000006</v>
      </c>
      <c r="L189">
        <v>71</v>
      </c>
    </row>
    <row r="190" spans="1:12" x14ac:dyDescent="0.2">
      <c r="A190" s="4">
        <v>189</v>
      </c>
      <c r="B190" t="s">
        <v>244</v>
      </c>
      <c r="C190">
        <f xml:space="preserve">  71.12</f>
        <v>71.12</v>
      </c>
      <c r="D190">
        <v>18</v>
      </c>
      <c r="E190">
        <v>15</v>
      </c>
      <c r="F190">
        <v>71.099999999999994</v>
      </c>
      <c r="G190">
        <v>0</v>
      </c>
      <c r="H190">
        <v>1</v>
      </c>
      <c r="I190">
        <v>0</v>
      </c>
      <c r="J190">
        <v>2</v>
      </c>
      <c r="K190">
        <v>71.25</v>
      </c>
      <c r="L190">
        <v>70.89</v>
      </c>
    </row>
    <row r="191" spans="1:12" x14ac:dyDescent="0.2">
      <c r="A191" s="4">
        <v>190</v>
      </c>
      <c r="B191" t="s">
        <v>129</v>
      </c>
      <c r="C191">
        <f xml:space="preserve">  70.87</f>
        <v>70.87</v>
      </c>
      <c r="D191">
        <v>8</v>
      </c>
      <c r="E191">
        <v>21</v>
      </c>
      <c r="F191">
        <v>76.75</v>
      </c>
      <c r="G191">
        <v>1</v>
      </c>
      <c r="H191">
        <v>3</v>
      </c>
      <c r="I191">
        <v>1</v>
      </c>
      <c r="J191">
        <v>6</v>
      </c>
      <c r="K191">
        <v>70.430000000000007</v>
      </c>
      <c r="L191">
        <v>71.2</v>
      </c>
    </row>
    <row r="192" spans="1:12" x14ac:dyDescent="0.2">
      <c r="A192" s="4">
        <v>191</v>
      </c>
      <c r="B192" t="s">
        <v>808</v>
      </c>
      <c r="C192">
        <f xml:space="preserve">  70.83</f>
        <v>70.83</v>
      </c>
      <c r="D192">
        <v>14</v>
      </c>
      <c r="E192">
        <v>16</v>
      </c>
      <c r="F192">
        <v>70.599999999999994</v>
      </c>
      <c r="G192">
        <v>0</v>
      </c>
      <c r="H192">
        <v>1</v>
      </c>
      <c r="I192">
        <v>0</v>
      </c>
      <c r="J192">
        <v>1</v>
      </c>
      <c r="K192">
        <v>70.209999999999994</v>
      </c>
      <c r="L192">
        <v>71.34</v>
      </c>
    </row>
    <row r="193" spans="1:12" x14ac:dyDescent="0.2">
      <c r="A193" s="4">
        <v>192</v>
      </c>
      <c r="B193" t="s">
        <v>554</v>
      </c>
      <c r="C193">
        <f xml:space="preserve">  70.79</f>
        <v>70.790000000000006</v>
      </c>
      <c r="D193">
        <v>20</v>
      </c>
      <c r="E193">
        <v>14</v>
      </c>
      <c r="F193">
        <v>68.62</v>
      </c>
      <c r="G193">
        <v>0</v>
      </c>
      <c r="H193">
        <v>0</v>
      </c>
      <c r="I193">
        <v>0</v>
      </c>
      <c r="J193">
        <v>1</v>
      </c>
      <c r="K193">
        <v>71.22</v>
      </c>
      <c r="L193">
        <v>70.260000000000005</v>
      </c>
    </row>
    <row r="194" spans="1:12" x14ac:dyDescent="0.2">
      <c r="A194" s="4">
        <v>193</v>
      </c>
      <c r="B194" t="s">
        <v>158</v>
      </c>
      <c r="C194">
        <f xml:space="preserve">  70.74</f>
        <v>70.739999999999995</v>
      </c>
      <c r="D194">
        <v>16</v>
      </c>
      <c r="E194">
        <v>13</v>
      </c>
      <c r="F194">
        <v>70.44</v>
      </c>
      <c r="G194">
        <v>0</v>
      </c>
      <c r="H194">
        <v>0</v>
      </c>
      <c r="I194">
        <v>0</v>
      </c>
      <c r="J194">
        <v>2</v>
      </c>
      <c r="K194">
        <v>71.03</v>
      </c>
      <c r="L194">
        <v>70.33</v>
      </c>
    </row>
    <row r="195" spans="1:12" x14ac:dyDescent="0.2">
      <c r="A195" s="4">
        <v>194</v>
      </c>
      <c r="B195" t="s">
        <v>213</v>
      </c>
      <c r="C195">
        <f xml:space="preserve">  70.68</f>
        <v>70.680000000000007</v>
      </c>
      <c r="D195">
        <v>18</v>
      </c>
      <c r="E195">
        <v>14</v>
      </c>
      <c r="F195">
        <v>70.53</v>
      </c>
      <c r="G195">
        <v>0</v>
      </c>
      <c r="H195">
        <v>3</v>
      </c>
      <c r="I195">
        <v>0</v>
      </c>
      <c r="J195">
        <v>3</v>
      </c>
      <c r="K195">
        <v>72.38</v>
      </c>
      <c r="L195">
        <v>68.790000000000006</v>
      </c>
    </row>
    <row r="196" spans="1:12" x14ac:dyDescent="0.2">
      <c r="A196" s="4">
        <v>195</v>
      </c>
      <c r="B196" t="s">
        <v>33</v>
      </c>
      <c r="C196">
        <f xml:space="preserve">  70.59</f>
        <v>70.59</v>
      </c>
      <c r="D196">
        <v>9</v>
      </c>
      <c r="E196">
        <v>23</v>
      </c>
      <c r="F196">
        <v>75.900000000000006</v>
      </c>
      <c r="G196">
        <v>0</v>
      </c>
      <c r="H196">
        <v>1</v>
      </c>
      <c r="I196">
        <v>0</v>
      </c>
      <c r="J196">
        <v>7</v>
      </c>
      <c r="K196">
        <v>69.599999999999994</v>
      </c>
      <c r="L196">
        <v>71.45</v>
      </c>
    </row>
    <row r="197" spans="1:12" x14ac:dyDescent="0.2">
      <c r="A197" s="4">
        <v>196</v>
      </c>
      <c r="B197" t="s">
        <v>231</v>
      </c>
      <c r="C197">
        <f xml:space="preserve">  70.52</f>
        <v>70.52</v>
      </c>
      <c r="D197">
        <v>14</v>
      </c>
      <c r="E197">
        <v>17</v>
      </c>
      <c r="F197">
        <v>69.7</v>
      </c>
      <c r="G197">
        <v>0</v>
      </c>
      <c r="H197">
        <v>1</v>
      </c>
      <c r="I197">
        <v>0</v>
      </c>
      <c r="J197">
        <v>3</v>
      </c>
      <c r="K197">
        <v>70.06</v>
      </c>
      <c r="L197">
        <v>70.86</v>
      </c>
    </row>
    <row r="198" spans="1:12" x14ac:dyDescent="0.2">
      <c r="A198" s="4">
        <v>197</v>
      </c>
      <c r="B198" t="s">
        <v>843</v>
      </c>
      <c r="C198">
        <f xml:space="preserve">  70.42</f>
        <v>70.42</v>
      </c>
      <c r="D198">
        <v>21</v>
      </c>
      <c r="E198">
        <v>12</v>
      </c>
      <c r="F198">
        <v>67.81</v>
      </c>
      <c r="G198">
        <v>0</v>
      </c>
      <c r="H198">
        <v>0</v>
      </c>
      <c r="I198">
        <v>0</v>
      </c>
      <c r="J198">
        <v>3</v>
      </c>
      <c r="K198">
        <v>71.41</v>
      </c>
      <c r="L198">
        <v>69.290000000000006</v>
      </c>
    </row>
    <row r="199" spans="1:12" x14ac:dyDescent="0.2">
      <c r="A199" s="4">
        <v>198</v>
      </c>
      <c r="B199" t="s">
        <v>291</v>
      </c>
      <c r="C199">
        <f xml:space="preserve">  70.4</f>
        <v>70.400000000000006</v>
      </c>
      <c r="D199">
        <v>18</v>
      </c>
      <c r="E199">
        <v>13</v>
      </c>
      <c r="F199">
        <v>67.459999999999994</v>
      </c>
      <c r="G199">
        <v>0</v>
      </c>
      <c r="H199">
        <v>0</v>
      </c>
      <c r="I199">
        <v>0</v>
      </c>
      <c r="J199">
        <v>3</v>
      </c>
      <c r="K199">
        <v>69.77</v>
      </c>
      <c r="L199">
        <v>70.92</v>
      </c>
    </row>
    <row r="200" spans="1:12" x14ac:dyDescent="0.2">
      <c r="A200" s="4">
        <v>199</v>
      </c>
      <c r="B200" t="s">
        <v>264</v>
      </c>
      <c r="C200">
        <f xml:space="preserve">  70.38</f>
        <v>70.38</v>
      </c>
      <c r="D200">
        <v>10</v>
      </c>
      <c r="E200">
        <v>16</v>
      </c>
      <c r="F200">
        <v>70.42</v>
      </c>
      <c r="G200">
        <v>0</v>
      </c>
      <c r="H200">
        <v>0</v>
      </c>
      <c r="I200">
        <v>0</v>
      </c>
      <c r="J200">
        <v>0</v>
      </c>
      <c r="K200">
        <v>69.89</v>
      </c>
      <c r="L200">
        <v>70.75</v>
      </c>
    </row>
    <row r="201" spans="1:12" ht="13" customHeight="1" x14ac:dyDescent="0.2">
      <c r="A201" s="4">
        <v>200</v>
      </c>
      <c r="B201" t="s">
        <v>203</v>
      </c>
      <c r="C201">
        <f xml:space="preserve">  70.34</f>
        <v>70.34</v>
      </c>
      <c r="D201">
        <v>15</v>
      </c>
      <c r="E201">
        <v>16</v>
      </c>
      <c r="F201">
        <v>70.290000000000006</v>
      </c>
      <c r="G201">
        <v>0</v>
      </c>
      <c r="H201">
        <v>0</v>
      </c>
      <c r="I201">
        <v>0</v>
      </c>
      <c r="J201">
        <v>1</v>
      </c>
      <c r="K201">
        <v>70.89</v>
      </c>
      <c r="L201">
        <v>69.680000000000007</v>
      </c>
    </row>
    <row r="202" spans="1:12" x14ac:dyDescent="0.2">
      <c r="A202" s="4">
        <v>201</v>
      </c>
      <c r="B202" t="s">
        <v>878</v>
      </c>
      <c r="C202">
        <f xml:space="preserve">  70.33</f>
        <v>70.33</v>
      </c>
      <c r="D202">
        <v>14</v>
      </c>
      <c r="E202">
        <v>17</v>
      </c>
      <c r="F202">
        <v>73.11</v>
      </c>
      <c r="G202">
        <v>0</v>
      </c>
      <c r="H202">
        <v>2</v>
      </c>
      <c r="I202">
        <v>0</v>
      </c>
      <c r="J202">
        <v>2</v>
      </c>
      <c r="K202">
        <v>70.459999999999994</v>
      </c>
      <c r="L202">
        <v>70.09</v>
      </c>
    </row>
    <row r="203" spans="1:12" x14ac:dyDescent="0.2">
      <c r="A203" s="4">
        <v>202</v>
      </c>
      <c r="B203" t="s">
        <v>829</v>
      </c>
      <c r="C203">
        <f xml:space="preserve">  70.27</f>
        <v>70.27</v>
      </c>
      <c r="D203">
        <v>15</v>
      </c>
      <c r="E203">
        <v>11</v>
      </c>
      <c r="F203">
        <v>69.8</v>
      </c>
      <c r="G203">
        <v>0</v>
      </c>
      <c r="H203">
        <v>1</v>
      </c>
      <c r="I203">
        <v>0</v>
      </c>
      <c r="J203">
        <v>4</v>
      </c>
      <c r="K203">
        <v>70.64</v>
      </c>
      <c r="L203">
        <v>69.8</v>
      </c>
    </row>
    <row r="204" spans="1:12" x14ac:dyDescent="0.2">
      <c r="A204" s="4">
        <v>203</v>
      </c>
      <c r="B204" t="s">
        <v>169</v>
      </c>
      <c r="C204">
        <f xml:space="preserve">  70.24</f>
        <v>70.239999999999995</v>
      </c>
      <c r="D204">
        <v>12</v>
      </c>
      <c r="E204">
        <v>18</v>
      </c>
      <c r="F204">
        <v>70.62</v>
      </c>
      <c r="G204">
        <v>0</v>
      </c>
      <c r="H204">
        <v>0</v>
      </c>
      <c r="I204">
        <v>0</v>
      </c>
      <c r="J204">
        <v>0</v>
      </c>
      <c r="K204">
        <v>70.400000000000006</v>
      </c>
      <c r="L204">
        <v>69.97</v>
      </c>
    </row>
    <row r="205" spans="1:12" x14ac:dyDescent="0.2">
      <c r="A205" s="4">
        <v>204</v>
      </c>
      <c r="B205" t="s">
        <v>844</v>
      </c>
      <c r="C205">
        <f xml:space="preserve">  70.2</f>
        <v>70.2</v>
      </c>
      <c r="D205">
        <v>17</v>
      </c>
      <c r="E205">
        <v>15</v>
      </c>
      <c r="F205">
        <v>69.22</v>
      </c>
      <c r="G205">
        <v>0</v>
      </c>
      <c r="H205">
        <v>4</v>
      </c>
      <c r="I205">
        <v>0</v>
      </c>
      <c r="J205">
        <v>5</v>
      </c>
      <c r="K205">
        <v>70.569999999999993</v>
      </c>
      <c r="L205">
        <v>69.72</v>
      </c>
    </row>
    <row r="206" spans="1:12" x14ac:dyDescent="0.2">
      <c r="A206" s="4">
        <v>205</v>
      </c>
      <c r="B206" t="s">
        <v>96</v>
      </c>
      <c r="C206">
        <f xml:space="preserve">  70.17</f>
        <v>70.17</v>
      </c>
      <c r="D206">
        <v>14</v>
      </c>
      <c r="E206">
        <v>18</v>
      </c>
      <c r="F206">
        <v>73.22</v>
      </c>
      <c r="G206">
        <v>0</v>
      </c>
      <c r="H206">
        <v>1</v>
      </c>
      <c r="I206">
        <v>1</v>
      </c>
      <c r="J206">
        <v>4</v>
      </c>
      <c r="K206">
        <v>70.2</v>
      </c>
      <c r="L206">
        <v>70.03</v>
      </c>
    </row>
    <row r="207" spans="1:12" x14ac:dyDescent="0.2">
      <c r="A207" s="4">
        <v>206</v>
      </c>
      <c r="B207" t="s">
        <v>257</v>
      </c>
      <c r="C207">
        <f xml:space="preserve">  70.14</f>
        <v>70.14</v>
      </c>
      <c r="D207">
        <v>11</v>
      </c>
      <c r="E207">
        <v>18</v>
      </c>
      <c r="F207">
        <v>72.959999999999994</v>
      </c>
      <c r="G207">
        <v>0</v>
      </c>
      <c r="H207">
        <v>1</v>
      </c>
      <c r="I207">
        <v>0</v>
      </c>
      <c r="J207">
        <v>1</v>
      </c>
      <c r="K207">
        <v>69.73</v>
      </c>
      <c r="L207">
        <v>70.44</v>
      </c>
    </row>
    <row r="208" spans="1:12" x14ac:dyDescent="0.2">
      <c r="A208" s="4">
        <v>207</v>
      </c>
      <c r="B208" t="s">
        <v>277</v>
      </c>
      <c r="C208">
        <f xml:space="preserve">  70.12</f>
        <v>70.12</v>
      </c>
      <c r="D208">
        <v>16</v>
      </c>
      <c r="E208">
        <v>15</v>
      </c>
      <c r="F208">
        <v>70.03</v>
      </c>
      <c r="G208">
        <v>0</v>
      </c>
      <c r="H208">
        <v>1</v>
      </c>
      <c r="I208">
        <v>0</v>
      </c>
      <c r="J208">
        <v>4</v>
      </c>
      <c r="K208">
        <v>70.25</v>
      </c>
      <c r="L208">
        <v>69.89</v>
      </c>
    </row>
    <row r="209" spans="1:12" x14ac:dyDescent="0.2">
      <c r="A209" s="4">
        <v>208</v>
      </c>
      <c r="B209" t="s">
        <v>144</v>
      </c>
      <c r="C209">
        <f xml:space="preserve">  70.06</f>
        <v>70.06</v>
      </c>
      <c r="D209">
        <v>12</v>
      </c>
      <c r="E209">
        <v>17</v>
      </c>
      <c r="F209">
        <v>72.989999999999995</v>
      </c>
      <c r="G209">
        <v>0</v>
      </c>
      <c r="H209">
        <v>3</v>
      </c>
      <c r="I209">
        <v>0</v>
      </c>
      <c r="J209">
        <v>3</v>
      </c>
      <c r="K209">
        <v>70.180000000000007</v>
      </c>
      <c r="L209">
        <v>69.83</v>
      </c>
    </row>
    <row r="210" spans="1:12" x14ac:dyDescent="0.2">
      <c r="A210" s="4">
        <v>209</v>
      </c>
      <c r="B210" t="s">
        <v>860</v>
      </c>
      <c r="C210">
        <f xml:space="preserve">  69.95</f>
        <v>69.95</v>
      </c>
      <c r="D210">
        <v>9</v>
      </c>
      <c r="E210">
        <v>22</v>
      </c>
      <c r="F210">
        <v>77.3</v>
      </c>
      <c r="G210">
        <v>0</v>
      </c>
      <c r="H210">
        <v>5</v>
      </c>
      <c r="I210">
        <v>0</v>
      </c>
      <c r="J210">
        <v>7</v>
      </c>
      <c r="K210">
        <v>70.5</v>
      </c>
      <c r="L210">
        <v>69.28</v>
      </c>
    </row>
    <row r="211" spans="1:12" x14ac:dyDescent="0.2">
      <c r="A211" s="4">
        <v>210</v>
      </c>
      <c r="B211" t="s">
        <v>248</v>
      </c>
      <c r="C211">
        <f xml:space="preserve">  69.71</f>
        <v>69.709999999999994</v>
      </c>
      <c r="D211">
        <v>12</v>
      </c>
      <c r="E211">
        <v>17</v>
      </c>
      <c r="F211">
        <v>71.39</v>
      </c>
      <c r="G211">
        <v>0</v>
      </c>
      <c r="H211">
        <v>0</v>
      </c>
      <c r="I211">
        <v>0</v>
      </c>
      <c r="J211">
        <v>1</v>
      </c>
      <c r="K211">
        <v>70.22</v>
      </c>
      <c r="L211">
        <v>69.08</v>
      </c>
    </row>
    <row r="212" spans="1:12" x14ac:dyDescent="0.2">
      <c r="A212" s="4">
        <v>211</v>
      </c>
      <c r="B212" t="s">
        <v>202</v>
      </c>
      <c r="C212">
        <f xml:space="preserve">  69.7</f>
        <v>69.7</v>
      </c>
      <c r="D212">
        <v>19</v>
      </c>
      <c r="E212">
        <v>12</v>
      </c>
      <c r="F212">
        <v>67.650000000000006</v>
      </c>
      <c r="G212">
        <v>0</v>
      </c>
      <c r="H212">
        <v>1</v>
      </c>
      <c r="I212">
        <v>0</v>
      </c>
      <c r="J212">
        <v>2</v>
      </c>
      <c r="K212">
        <v>69.290000000000006</v>
      </c>
      <c r="L212">
        <v>69.989999999999995</v>
      </c>
    </row>
    <row r="213" spans="1:12" x14ac:dyDescent="0.2">
      <c r="A213" s="4">
        <v>212</v>
      </c>
      <c r="B213" t="s">
        <v>182</v>
      </c>
      <c r="C213">
        <f xml:space="preserve">  69.66</f>
        <v>69.66</v>
      </c>
      <c r="D213">
        <v>13</v>
      </c>
      <c r="E213">
        <v>16</v>
      </c>
      <c r="F213">
        <v>69.28</v>
      </c>
      <c r="G213">
        <v>0</v>
      </c>
      <c r="H213">
        <v>1</v>
      </c>
      <c r="I213">
        <v>0</v>
      </c>
      <c r="J213">
        <v>2</v>
      </c>
      <c r="K213">
        <v>68.89</v>
      </c>
      <c r="L213">
        <v>70.3</v>
      </c>
    </row>
    <row r="214" spans="1:12" x14ac:dyDescent="0.2">
      <c r="A214" s="4">
        <v>213</v>
      </c>
      <c r="B214" t="s">
        <v>172</v>
      </c>
      <c r="C214">
        <f xml:space="preserve">  69.58</f>
        <v>69.58</v>
      </c>
      <c r="D214">
        <v>10</v>
      </c>
      <c r="E214">
        <v>22</v>
      </c>
      <c r="F214">
        <v>75.069999999999993</v>
      </c>
      <c r="G214">
        <v>0</v>
      </c>
      <c r="H214">
        <v>6</v>
      </c>
      <c r="I214">
        <v>0</v>
      </c>
      <c r="J214">
        <v>7</v>
      </c>
      <c r="K214">
        <v>69.88</v>
      </c>
      <c r="L214">
        <v>69.16</v>
      </c>
    </row>
    <row r="215" spans="1:12" x14ac:dyDescent="0.2">
      <c r="A215" s="4">
        <v>214</v>
      </c>
      <c r="B215" t="s">
        <v>841</v>
      </c>
      <c r="C215">
        <f xml:space="preserve">  69.55</f>
        <v>69.55</v>
      </c>
      <c r="D215">
        <v>17</v>
      </c>
      <c r="E215">
        <v>15</v>
      </c>
      <c r="F215">
        <v>67.459999999999994</v>
      </c>
      <c r="G215">
        <v>0</v>
      </c>
      <c r="H215">
        <v>0</v>
      </c>
      <c r="I215">
        <v>0</v>
      </c>
      <c r="J215">
        <v>1</v>
      </c>
      <c r="K215">
        <v>69.3</v>
      </c>
      <c r="L215">
        <v>69.69</v>
      </c>
    </row>
    <row r="216" spans="1:12" x14ac:dyDescent="0.2">
      <c r="A216" s="4">
        <v>215</v>
      </c>
      <c r="B216" t="s">
        <v>201</v>
      </c>
      <c r="C216">
        <f xml:space="preserve">  69.55</f>
        <v>69.55</v>
      </c>
      <c r="D216">
        <v>11</v>
      </c>
      <c r="E216">
        <v>18</v>
      </c>
      <c r="F216">
        <v>73.66</v>
      </c>
      <c r="G216">
        <v>0</v>
      </c>
      <c r="H216">
        <v>4</v>
      </c>
      <c r="I216">
        <v>0</v>
      </c>
      <c r="J216">
        <v>4</v>
      </c>
      <c r="K216">
        <v>69.73</v>
      </c>
      <c r="L216">
        <v>69.25</v>
      </c>
    </row>
    <row r="217" spans="1:12" x14ac:dyDescent="0.2">
      <c r="A217" s="4">
        <v>216</v>
      </c>
      <c r="B217" t="s">
        <v>301</v>
      </c>
      <c r="C217">
        <f xml:space="preserve">  69.51</f>
        <v>69.510000000000005</v>
      </c>
      <c r="D217">
        <v>14</v>
      </c>
      <c r="E217">
        <v>17</v>
      </c>
      <c r="F217">
        <v>70.61</v>
      </c>
      <c r="G217">
        <v>0</v>
      </c>
      <c r="H217">
        <v>0</v>
      </c>
      <c r="I217">
        <v>0</v>
      </c>
      <c r="J217">
        <v>1</v>
      </c>
      <c r="K217">
        <v>69.98</v>
      </c>
      <c r="L217">
        <v>68.930000000000007</v>
      </c>
    </row>
    <row r="218" spans="1:12" x14ac:dyDescent="0.2">
      <c r="A218" s="4">
        <v>217</v>
      </c>
      <c r="B218" t="s">
        <v>820</v>
      </c>
      <c r="C218">
        <f xml:space="preserve">  69.44</f>
        <v>69.44</v>
      </c>
      <c r="D218">
        <v>13</v>
      </c>
      <c r="E218">
        <v>18</v>
      </c>
      <c r="F218">
        <v>72.45</v>
      </c>
      <c r="G218">
        <v>0</v>
      </c>
      <c r="H218">
        <v>0</v>
      </c>
      <c r="I218">
        <v>0</v>
      </c>
      <c r="J218">
        <v>3</v>
      </c>
      <c r="K218">
        <v>70.09</v>
      </c>
      <c r="L218">
        <v>68.67</v>
      </c>
    </row>
    <row r="219" spans="1:12" x14ac:dyDescent="0.2">
      <c r="A219" s="4">
        <v>218</v>
      </c>
      <c r="B219" t="s">
        <v>181</v>
      </c>
      <c r="C219">
        <f xml:space="preserve">  69.43</f>
        <v>69.430000000000007</v>
      </c>
      <c r="D219">
        <v>12</v>
      </c>
      <c r="E219">
        <v>19</v>
      </c>
      <c r="F219">
        <v>73.59</v>
      </c>
      <c r="G219">
        <v>0</v>
      </c>
      <c r="H219">
        <v>0</v>
      </c>
      <c r="I219">
        <v>0</v>
      </c>
      <c r="J219">
        <v>4</v>
      </c>
      <c r="K219">
        <v>69.78</v>
      </c>
      <c r="L219">
        <v>68.97</v>
      </c>
    </row>
    <row r="220" spans="1:12" x14ac:dyDescent="0.2">
      <c r="A220" s="4">
        <v>219</v>
      </c>
      <c r="B220" t="s">
        <v>552</v>
      </c>
      <c r="C220">
        <f xml:space="preserve">  69.4</f>
        <v>69.400000000000006</v>
      </c>
      <c r="D220">
        <v>16</v>
      </c>
      <c r="E220">
        <v>15</v>
      </c>
      <c r="F220">
        <v>70.39</v>
      </c>
      <c r="G220">
        <v>0</v>
      </c>
      <c r="H220">
        <v>0</v>
      </c>
      <c r="I220">
        <v>0</v>
      </c>
      <c r="J220">
        <v>4</v>
      </c>
      <c r="K220">
        <v>70.12</v>
      </c>
      <c r="L220">
        <v>68.55</v>
      </c>
    </row>
    <row r="221" spans="1:12" x14ac:dyDescent="0.2">
      <c r="A221" s="4">
        <v>220</v>
      </c>
      <c r="B221" t="s">
        <v>892</v>
      </c>
      <c r="C221">
        <f xml:space="preserve">  69.36</f>
        <v>69.36</v>
      </c>
      <c r="D221">
        <v>12</v>
      </c>
      <c r="E221">
        <v>18</v>
      </c>
      <c r="F221">
        <v>70.83</v>
      </c>
      <c r="G221">
        <v>0</v>
      </c>
      <c r="H221">
        <v>0</v>
      </c>
      <c r="I221">
        <v>0</v>
      </c>
      <c r="J221">
        <v>1</v>
      </c>
      <c r="K221">
        <v>69.58</v>
      </c>
      <c r="L221">
        <v>69.03</v>
      </c>
    </row>
    <row r="222" spans="1:12" x14ac:dyDescent="0.2">
      <c r="A222" s="4">
        <v>221</v>
      </c>
      <c r="B222" t="s">
        <v>258</v>
      </c>
      <c r="C222">
        <f xml:space="preserve">  69.28</f>
        <v>69.28</v>
      </c>
      <c r="D222">
        <v>12</v>
      </c>
      <c r="E222">
        <v>17</v>
      </c>
      <c r="F222">
        <v>70.28</v>
      </c>
      <c r="G222">
        <v>0</v>
      </c>
      <c r="H222">
        <v>0</v>
      </c>
      <c r="I222">
        <v>0</v>
      </c>
      <c r="J222">
        <v>0</v>
      </c>
      <c r="K222">
        <v>68.77</v>
      </c>
      <c r="L222">
        <v>69.66</v>
      </c>
    </row>
    <row r="223" spans="1:12" x14ac:dyDescent="0.2">
      <c r="A223" s="4">
        <v>222</v>
      </c>
      <c r="B223" t="s">
        <v>207</v>
      </c>
      <c r="C223">
        <f xml:space="preserve">  69.12</f>
        <v>69.12</v>
      </c>
      <c r="D223">
        <v>11</v>
      </c>
      <c r="E223">
        <v>19</v>
      </c>
      <c r="F223">
        <v>71.38</v>
      </c>
      <c r="G223">
        <v>0</v>
      </c>
      <c r="H223">
        <v>1</v>
      </c>
      <c r="I223">
        <v>0</v>
      </c>
      <c r="J223">
        <v>2</v>
      </c>
      <c r="K223">
        <v>68.34</v>
      </c>
      <c r="L223">
        <v>69.760000000000005</v>
      </c>
    </row>
    <row r="224" spans="1:12" x14ac:dyDescent="0.2">
      <c r="A224" s="4">
        <v>223</v>
      </c>
      <c r="B224" t="s">
        <v>222</v>
      </c>
      <c r="C224">
        <f xml:space="preserve">  69.06</f>
        <v>69.06</v>
      </c>
      <c r="D224">
        <v>17</v>
      </c>
      <c r="E224">
        <v>14</v>
      </c>
      <c r="F224">
        <v>69.8</v>
      </c>
      <c r="G224">
        <v>0</v>
      </c>
      <c r="H224">
        <v>0</v>
      </c>
      <c r="I224">
        <v>0</v>
      </c>
      <c r="J224">
        <v>2</v>
      </c>
      <c r="K224">
        <v>69.900000000000006</v>
      </c>
      <c r="L224">
        <v>68.09</v>
      </c>
    </row>
    <row r="225" spans="1:12" x14ac:dyDescent="0.2">
      <c r="A225" s="4">
        <v>224</v>
      </c>
      <c r="B225" t="s">
        <v>143</v>
      </c>
      <c r="C225">
        <f xml:space="preserve">  68.94</f>
        <v>68.94</v>
      </c>
      <c r="D225">
        <v>9</v>
      </c>
      <c r="E225">
        <v>20</v>
      </c>
      <c r="F225">
        <v>73.59</v>
      </c>
      <c r="G225">
        <v>0</v>
      </c>
      <c r="H225">
        <v>0</v>
      </c>
      <c r="I225">
        <v>0</v>
      </c>
      <c r="J225">
        <v>1</v>
      </c>
      <c r="K225">
        <v>69.239999999999995</v>
      </c>
      <c r="L225">
        <v>68.53</v>
      </c>
    </row>
    <row r="226" spans="1:12" x14ac:dyDescent="0.2">
      <c r="A226" s="4">
        <v>225</v>
      </c>
      <c r="B226" t="s">
        <v>233</v>
      </c>
      <c r="C226">
        <f xml:space="preserve">  68.61</f>
        <v>68.61</v>
      </c>
      <c r="D226">
        <v>14</v>
      </c>
      <c r="E226">
        <v>16</v>
      </c>
      <c r="F226">
        <v>69.760000000000005</v>
      </c>
      <c r="G226">
        <v>0</v>
      </c>
      <c r="H226">
        <v>2</v>
      </c>
      <c r="I226">
        <v>0</v>
      </c>
      <c r="J226">
        <v>2</v>
      </c>
      <c r="K226">
        <v>69.02</v>
      </c>
      <c r="L226">
        <v>68.08</v>
      </c>
    </row>
    <row r="227" spans="1:12" x14ac:dyDescent="0.2">
      <c r="A227" s="4">
        <v>226</v>
      </c>
      <c r="B227" t="s">
        <v>211</v>
      </c>
      <c r="C227">
        <f xml:space="preserve">  68.4</f>
        <v>68.400000000000006</v>
      </c>
      <c r="D227">
        <v>15</v>
      </c>
      <c r="E227">
        <v>14</v>
      </c>
      <c r="F227">
        <v>66.63</v>
      </c>
      <c r="G227">
        <v>0</v>
      </c>
      <c r="H227">
        <v>0</v>
      </c>
      <c r="I227">
        <v>0</v>
      </c>
      <c r="J227">
        <v>0</v>
      </c>
      <c r="K227">
        <v>67.34</v>
      </c>
      <c r="L227">
        <v>69.290000000000006</v>
      </c>
    </row>
    <row r="228" spans="1:12" x14ac:dyDescent="0.2">
      <c r="A228" s="4">
        <v>227</v>
      </c>
      <c r="B228" t="s">
        <v>31</v>
      </c>
      <c r="C228">
        <f xml:space="preserve">  68.36</f>
        <v>68.36</v>
      </c>
      <c r="D228">
        <v>11</v>
      </c>
      <c r="E228">
        <v>20</v>
      </c>
      <c r="F228">
        <v>76.56</v>
      </c>
      <c r="G228">
        <v>1</v>
      </c>
      <c r="H228">
        <v>5</v>
      </c>
      <c r="I228">
        <v>1</v>
      </c>
      <c r="J228">
        <v>11</v>
      </c>
      <c r="K228">
        <v>68.819999999999993</v>
      </c>
      <c r="L228">
        <v>67.790000000000006</v>
      </c>
    </row>
    <row r="229" spans="1:12" x14ac:dyDescent="0.2">
      <c r="A229" s="4">
        <v>228</v>
      </c>
      <c r="B229" t="s">
        <v>837</v>
      </c>
      <c r="C229">
        <f xml:space="preserve">  68.3</f>
        <v>68.3</v>
      </c>
      <c r="D229">
        <v>14</v>
      </c>
      <c r="E229">
        <v>17</v>
      </c>
      <c r="F229">
        <v>68.94</v>
      </c>
      <c r="G229">
        <v>0</v>
      </c>
      <c r="H229">
        <v>1</v>
      </c>
      <c r="I229">
        <v>0</v>
      </c>
      <c r="J229">
        <v>1</v>
      </c>
      <c r="K229">
        <v>68.63</v>
      </c>
      <c r="L229">
        <v>67.86</v>
      </c>
    </row>
    <row r="230" spans="1:12" x14ac:dyDescent="0.2">
      <c r="A230" s="4">
        <v>229</v>
      </c>
      <c r="B230" t="s">
        <v>889</v>
      </c>
      <c r="C230">
        <v>68.3</v>
      </c>
      <c r="D230">
        <v>15</v>
      </c>
      <c r="E230">
        <v>16</v>
      </c>
      <c r="F230">
        <v>67.680000000000007</v>
      </c>
      <c r="G230">
        <v>0</v>
      </c>
      <c r="H230">
        <v>1</v>
      </c>
      <c r="I230">
        <v>0</v>
      </c>
      <c r="J230">
        <v>3</v>
      </c>
      <c r="K230">
        <v>68.08</v>
      </c>
      <c r="L230">
        <v>68.42</v>
      </c>
    </row>
    <row r="231" spans="1:12" x14ac:dyDescent="0.2">
      <c r="A231" s="4">
        <v>230</v>
      </c>
      <c r="B231" t="s">
        <v>551</v>
      </c>
      <c r="C231">
        <v>68.09</v>
      </c>
      <c r="D231">
        <v>12</v>
      </c>
      <c r="E231">
        <v>20</v>
      </c>
      <c r="F231">
        <v>70.95</v>
      </c>
      <c r="G231">
        <v>0</v>
      </c>
      <c r="H231">
        <v>1</v>
      </c>
      <c r="I231">
        <v>0</v>
      </c>
      <c r="J231">
        <v>4</v>
      </c>
      <c r="K231">
        <v>67.64</v>
      </c>
      <c r="L231">
        <v>68.41</v>
      </c>
    </row>
    <row r="232" spans="1:12" x14ac:dyDescent="0.2">
      <c r="A232" s="4">
        <v>231</v>
      </c>
      <c r="B232" t="s">
        <v>298</v>
      </c>
      <c r="C232">
        <f xml:space="preserve">  68.07</f>
        <v>68.069999999999993</v>
      </c>
      <c r="D232">
        <v>12</v>
      </c>
      <c r="E232">
        <v>15</v>
      </c>
      <c r="F232">
        <v>70.94</v>
      </c>
      <c r="G232">
        <v>0</v>
      </c>
      <c r="H232">
        <v>0</v>
      </c>
      <c r="I232">
        <v>0</v>
      </c>
      <c r="J232">
        <v>1</v>
      </c>
      <c r="K232">
        <v>68.569999999999993</v>
      </c>
      <c r="L232">
        <v>67.44</v>
      </c>
    </row>
    <row r="233" spans="1:12" x14ac:dyDescent="0.2">
      <c r="A233" s="4">
        <v>232</v>
      </c>
      <c r="B233" t="s">
        <v>148</v>
      </c>
      <c r="C233">
        <f xml:space="preserve">  68.05</f>
        <v>68.05</v>
      </c>
      <c r="D233">
        <v>13</v>
      </c>
      <c r="E233">
        <v>18</v>
      </c>
      <c r="F233">
        <v>70.28</v>
      </c>
      <c r="G233">
        <v>0</v>
      </c>
      <c r="H233">
        <v>1</v>
      </c>
      <c r="I233">
        <v>0</v>
      </c>
      <c r="J233">
        <v>4</v>
      </c>
      <c r="K233">
        <v>68.569999999999993</v>
      </c>
      <c r="L233">
        <v>67.41</v>
      </c>
    </row>
    <row r="234" spans="1:12" x14ac:dyDescent="0.2">
      <c r="A234" s="4">
        <v>233</v>
      </c>
      <c r="B234" t="s">
        <v>190</v>
      </c>
      <c r="C234">
        <f xml:space="preserve">  67.99</f>
        <v>67.989999999999995</v>
      </c>
      <c r="D234">
        <v>10</v>
      </c>
      <c r="E234">
        <v>21</v>
      </c>
      <c r="F234">
        <v>72.739999999999995</v>
      </c>
      <c r="G234">
        <v>0</v>
      </c>
      <c r="H234">
        <v>0</v>
      </c>
      <c r="I234">
        <v>0</v>
      </c>
      <c r="J234">
        <v>0</v>
      </c>
      <c r="K234">
        <v>68.55</v>
      </c>
      <c r="L234">
        <v>67.31</v>
      </c>
    </row>
    <row r="235" spans="1:12" x14ac:dyDescent="0.2">
      <c r="A235" s="4">
        <v>234</v>
      </c>
      <c r="B235" t="s">
        <v>205</v>
      </c>
      <c r="C235">
        <f xml:space="preserve">  67.96</f>
        <v>67.959999999999994</v>
      </c>
      <c r="D235">
        <v>8</v>
      </c>
      <c r="E235">
        <v>22</v>
      </c>
      <c r="F235">
        <v>76.22</v>
      </c>
      <c r="G235">
        <v>0</v>
      </c>
      <c r="H235">
        <v>4</v>
      </c>
      <c r="I235">
        <v>1</v>
      </c>
      <c r="J235">
        <v>6</v>
      </c>
      <c r="K235">
        <v>67.72</v>
      </c>
      <c r="L235">
        <v>68.069999999999993</v>
      </c>
    </row>
    <row r="236" spans="1:12" x14ac:dyDescent="0.2">
      <c r="A236" s="4">
        <v>235</v>
      </c>
      <c r="B236" t="s">
        <v>840</v>
      </c>
      <c r="C236">
        <f xml:space="preserve">  67.95</f>
        <v>67.95</v>
      </c>
      <c r="D236">
        <v>11</v>
      </c>
      <c r="E236">
        <v>18</v>
      </c>
      <c r="F236">
        <v>74.14</v>
      </c>
      <c r="G236">
        <v>0</v>
      </c>
      <c r="H236">
        <v>1</v>
      </c>
      <c r="I236">
        <v>0</v>
      </c>
      <c r="J236">
        <v>2</v>
      </c>
      <c r="K236">
        <v>69.27</v>
      </c>
      <c r="L236">
        <v>66.41</v>
      </c>
    </row>
    <row r="237" spans="1:12" x14ac:dyDescent="0.2">
      <c r="A237" s="4">
        <v>236</v>
      </c>
      <c r="B237" t="s">
        <v>229</v>
      </c>
      <c r="C237">
        <f xml:space="preserve">  67.92</f>
        <v>67.92</v>
      </c>
      <c r="D237">
        <v>19</v>
      </c>
      <c r="E237">
        <v>17</v>
      </c>
      <c r="F237">
        <v>67.849999999999994</v>
      </c>
      <c r="G237">
        <v>0</v>
      </c>
      <c r="H237">
        <v>2</v>
      </c>
      <c r="I237">
        <v>0</v>
      </c>
      <c r="J237">
        <v>3</v>
      </c>
      <c r="K237">
        <v>67.78</v>
      </c>
      <c r="L237">
        <v>67.95</v>
      </c>
    </row>
    <row r="238" spans="1:12" x14ac:dyDescent="0.2">
      <c r="A238" s="4">
        <v>237</v>
      </c>
      <c r="B238" t="s">
        <v>263</v>
      </c>
      <c r="C238">
        <f xml:space="preserve">  67.92</f>
        <v>67.92</v>
      </c>
      <c r="D238">
        <v>12</v>
      </c>
      <c r="E238">
        <v>18</v>
      </c>
      <c r="F238">
        <v>71.099999999999994</v>
      </c>
      <c r="G238">
        <v>0</v>
      </c>
      <c r="H238">
        <v>0</v>
      </c>
      <c r="I238">
        <v>0</v>
      </c>
      <c r="J238">
        <v>0</v>
      </c>
      <c r="K238">
        <v>67.989999999999995</v>
      </c>
      <c r="L238">
        <v>67.73</v>
      </c>
    </row>
    <row r="239" spans="1:12" x14ac:dyDescent="0.2">
      <c r="A239" s="4">
        <v>238</v>
      </c>
      <c r="B239" t="s">
        <v>880</v>
      </c>
      <c r="C239">
        <f xml:space="preserve">  67.86</f>
        <v>67.86</v>
      </c>
      <c r="D239">
        <v>12</v>
      </c>
      <c r="E239">
        <v>19</v>
      </c>
      <c r="F239">
        <v>71.31</v>
      </c>
      <c r="G239">
        <v>0</v>
      </c>
      <c r="H239">
        <v>2</v>
      </c>
      <c r="I239">
        <v>0</v>
      </c>
      <c r="J239">
        <v>5</v>
      </c>
      <c r="K239">
        <v>68.23</v>
      </c>
      <c r="L239">
        <v>67.38</v>
      </c>
    </row>
    <row r="240" spans="1:12" x14ac:dyDescent="0.2">
      <c r="A240" s="4">
        <v>239</v>
      </c>
      <c r="B240" t="s">
        <v>238</v>
      </c>
      <c r="C240">
        <f xml:space="preserve">  67.84</f>
        <v>67.84</v>
      </c>
      <c r="D240">
        <v>13</v>
      </c>
      <c r="E240">
        <v>18</v>
      </c>
      <c r="F240">
        <v>71.14</v>
      </c>
      <c r="G240">
        <v>0</v>
      </c>
      <c r="H240">
        <v>2</v>
      </c>
      <c r="I240">
        <v>0</v>
      </c>
      <c r="J240">
        <v>3</v>
      </c>
      <c r="K240">
        <v>68.459999999999994</v>
      </c>
      <c r="L240">
        <v>67.09</v>
      </c>
    </row>
    <row r="241" spans="1:12" x14ac:dyDescent="0.2">
      <c r="A241" s="4">
        <v>240</v>
      </c>
      <c r="B241" t="s">
        <v>791</v>
      </c>
      <c r="C241">
        <f xml:space="preserve">  67.73</f>
        <v>67.73</v>
      </c>
      <c r="D241">
        <v>10</v>
      </c>
      <c r="E241">
        <v>22</v>
      </c>
      <c r="F241">
        <v>76.17</v>
      </c>
      <c r="G241">
        <v>0</v>
      </c>
      <c r="H241">
        <v>3</v>
      </c>
      <c r="I241">
        <v>1</v>
      </c>
      <c r="J241">
        <v>7</v>
      </c>
      <c r="K241">
        <v>68.36</v>
      </c>
      <c r="L241">
        <v>66.97</v>
      </c>
    </row>
    <row r="242" spans="1:12" x14ac:dyDescent="0.2">
      <c r="A242" s="4">
        <v>241</v>
      </c>
      <c r="B242" t="s">
        <v>159</v>
      </c>
      <c r="C242">
        <f xml:space="preserve">  67.64</f>
        <v>67.64</v>
      </c>
      <c r="D242">
        <v>11</v>
      </c>
      <c r="E242">
        <v>15</v>
      </c>
      <c r="F242">
        <v>68.38</v>
      </c>
      <c r="G242">
        <v>0</v>
      </c>
      <c r="H242">
        <v>0</v>
      </c>
      <c r="I242">
        <v>0</v>
      </c>
      <c r="J242">
        <v>1</v>
      </c>
      <c r="K242">
        <v>66.489999999999995</v>
      </c>
      <c r="L242">
        <v>68.599999999999994</v>
      </c>
    </row>
    <row r="243" spans="1:12" x14ac:dyDescent="0.2">
      <c r="A243" s="4">
        <v>242</v>
      </c>
      <c r="B243" t="s">
        <v>873</v>
      </c>
      <c r="C243">
        <f xml:space="preserve">  67.42</f>
        <v>67.42</v>
      </c>
      <c r="D243">
        <v>8</v>
      </c>
      <c r="E243">
        <v>22</v>
      </c>
      <c r="F243">
        <v>73.52</v>
      </c>
      <c r="G243">
        <v>0</v>
      </c>
      <c r="H243">
        <v>1</v>
      </c>
      <c r="I243">
        <v>0</v>
      </c>
      <c r="J243">
        <v>2</v>
      </c>
      <c r="K243">
        <v>67.72</v>
      </c>
      <c r="L243">
        <v>67.010000000000005</v>
      </c>
    </row>
    <row r="244" spans="1:12" x14ac:dyDescent="0.2">
      <c r="A244" s="4">
        <v>243</v>
      </c>
      <c r="B244" t="s">
        <v>884</v>
      </c>
      <c r="C244">
        <v>67.36</v>
      </c>
      <c r="D244">
        <v>13</v>
      </c>
      <c r="E244">
        <v>17</v>
      </c>
      <c r="F244">
        <v>70.150000000000006</v>
      </c>
      <c r="G244">
        <v>0</v>
      </c>
      <c r="H244">
        <v>2</v>
      </c>
      <c r="I244">
        <v>1</v>
      </c>
      <c r="J244">
        <v>2</v>
      </c>
      <c r="K244">
        <v>68.08</v>
      </c>
      <c r="L244">
        <v>66.489999999999995</v>
      </c>
    </row>
    <row r="245" spans="1:12" x14ac:dyDescent="0.2">
      <c r="A245" s="4">
        <v>244</v>
      </c>
      <c r="B245" t="s">
        <v>290</v>
      </c>
      <c r="C245">
        <f xml:space="preserve">  67.34</f>
        <v>67.34</v>
      </c>
      <c r="D245">
        <v>11</v>
      </c>
      <c r="E245">
        <v>16</v>
      </c>
      <c r="F245">
        <v>69.5</v>
      </c>
      <c r="G245">
        <v>0</v>
      </c>
      <c r="H245">
        <v>1</v>
      </c>
      <c r="I245">
        <v>0</v>
      </c>
      <c r="J245">
        <v>1</v>
      </c>
      <c r="K245">
        <v>67.67</v>
      </c>
      <c r="L245">
        <v>66.89</v>
      </c>
    </row>
    <row r="246" spans="1:12" x14ac:dyDescent="0.2">
      <c r="A246" s="4">
        <v>245</v>
      </c>
      <c r="B246" t="s">
        <v>210</v>
      </c>
      <c r="C246">
        <f xml:space="preserve">  67.11</f>
        <v>67.11</v>
      </c>
      <c r="D246">
        <v>10</v>
      </c>
      <c r="E246">
        <v>16</v>
      </c>
      <c r="F246">
        <v>71.349999999999994</v>
      </c>
      <c r="G246">
        <v>0</v>
      </c>
      <c r="H246">
        <v>0</v>
      </c>
      <c r="I246">
        <v>0</v>
      </c>
      <c r="J246">
        <v>3</v>
      </c>
      <c r="K246">
        <v>66.81</v>
      </c>
      <c r="L246">
        <v>67.3</v>
      </c>
    </row>
    <row r="247" spans="1:12" x14ac:dyDescent="0.2">
      <c r="A247" s="4">
        <v>246</v>
      </c>
      <c r="B247" t="s">
        <v>243</v>
      </c>
      <c r="C247">
        <f xml:space="preserve">  67.09</f>
        <v>67.09</v>
      </c>
      <c r="D247">
        <v>10</v>
      </c>
      <c r="E247">
        <v>20</v>
      </c>
      <c r="F247">
        <v>72.11</v>
      </c>
      <c r="G247">
        <v>0</v>
      </c>
      <c r="H247">
        <v>1</v>
      </c>
      <c r="I247">
        <v>0</v>
      </c>
      <c r="J247">
        <v>2</v>
      </c>
      <c r="K247">
        <v>66.5</v>
      </c>
      <c r="L247">
        <v>67.540000000000006</v>
      </c>
    </row>
    <row r="248" spans="1:12" x14ac:dyDescent="0.2">
      <c r="A248" s="4">
        <v>247</v>
      </c>
      <c r="B248" t="s">
        <v>288</v>
      </c>
      <c r="C248">
        <f xml:space="preserve">  66.95</f>
        <v>66.95</v>
      </c>
      <c r="D248">
        <v>7</v>
      </c>
      <c r="E248">
        <v>24</v>
      </c>
      <c r="F248">
        <v>77.94</v>
      </c>
      <c r="G248">
        <v>0</v>
      </c>
      <c r="H248">
        <v>3</v>
      </c>
      <c r="I248">
        <v>0</v>
      </c>
      <c r="J248">
        <v>8</v>
      </c>
      <c r="K248">
        <v>67.239999999999995</v>
      </c>
      <c r="L248">
        <v>66.540000000000006</v>
      </c>
    </row>
    <row r="249" spans="1:12" x14ac:dyDescent="0.2">
      <c r="A249" s="4">
        <v>248</v>
      </c>
      <c r="B249" t="s">
        <v>557</v>
      </c>
      <c r="C249">
        <f xml:space="preserve">  66.89</f>
        <v>66.89</v>
      </c>
      <c r="D249">
        <v>14</v>
      </c>
      <c r="E249">
        <v>17</v>
      </c>
      <c r="F249">
        <v>68.97</v>
      </c>
      <c r="G249">
        <v>0</v>
      </c>
      <c r="H249">
        <v>0</v>
      </c>
      <c r="I249">
        <v>0</v>
      </c>
      <c r="J249">
        <v>1</v>
      </c>
      <c r="K249">
        <v>66.62</v>
      </c>
      <c r="L249">
        <v>67.06</v>
      </c>
    </row>
    <row r="250" spans="1:12" x14ac:dyDescent="0.2">
      <c r="A250" s="4">
        <v>249</v>
      </c>
      <c r="B250" t="s">
        <v>813</v>
      </c>
      <c r="C250">
        <f xml:space="preserve">  66.77</f>
        <v>66.77</v>
      </c>
      <c r="D250">
        <v>14</v>
      </c>
      <c r="E250">
        <v>15</v>
      </c>
      <c r="F250">
        <v>70.03</v>
      </c>
      <c r="G250">
        <v>0</v>
      </c>
      <c r="H250">
        <v>1</v>
      </c>
      <c r="I250">
        <v>0</v>
      </c>
      <c r="J250">
        <v>2</v>
      </c>
      <c r="K250">
        <v>67.25</v>
      </c>
      <c r="L250">
        <v>66.17</v>
      </c>
    </row>
    <row r="251" spans="1:12" x14ac:dyDescent="0.2">
      <c r="A251" s="4">
        <v>250</v>
      </c>
      <c r="B251" t="s">
        <v>303</v>
      </c>
      <c r="C251">
        <f xml:space="preserve">  66.75</f>
        <v>66.75</v>
      </c>
      <c r="D251">
        <v>8</v>
      </c>
      <c r="E251">
        <v>20</v>
      </c>
      <c r="F251">
        <v>71.3</v>
      </c>
      <c r="G251">
        <v>0</v>
      </c>
      <c r="H251">
        <v>1</v>
      </c>
      <c r="I251">
        <v>0</v>
      </c>
      <c r="J251">
        <v>3</v>
      </c>
      <c r="K251">
        <v>66.739999999999995</v>
      </c>
      <c r="L251">
        <v>66.650000000000006</v>
      </c>
    </row>
    <row r="252" spans="1:12" x14ac:dyDescent="0.2">
      <c r="A252" s="4">
        <v>251</v>
      </c>
      <c r="B252" t="s">
        <v>152</v>
      </c>
      <c r="C252">
        <f xml:space="preserve">  66.74</f>
        <v>66.739999999999995</v>
      </c>
      <c r="D252">
        <v>7</v>
      </c>
      <c r="E252">
        <v>22</v>
      </c>
      <c r="F252">
        <v>71.010000000000005</v>
      </c>
      <c r="G252">
        <v>0</v>
      </c>
      <c r="H252">
        <v>0</v>
      </c>
      <c r="I252">
        <v>0</v>
      </c>
      <c r="J252">
        <v>1</v>
      </c>
      <c r="K252">
        <v>65.33</v>
      </c>
      <c r="L252">
        <v>67.91</v>
      </c>
    </row>
    <row r="253" spans="1:12" x14ac:dyDescent="0.2">
      <c r="A253" s="4">
        <v>252</v>
      </c>
      <c r="B253" t="s">
        <v>123</v>
      </c>
      <c r="C253">
        <f xml:space="preserve">  66.56</f>
        <v>66.56</v>
      </c>
      <c r="D253">
        <v>12</v>
      </c>
      <c r="E253">
        <v>19</v>
      </c>
      <c r="F253">
        <v>68.83</v>
      </c>
      <c r="G253">
        <v>0</v>
      </c>
      <c r="H253">
        <v>0</v>
      </c>
      <c r="I253">
        <v>0</v>
      </c>
      <c r="J253">
        <v>2</v>
      </c>
      <c r="K253">
        <v>65.86</v>
      </c>
      <c r="L253">
        <v>67.12</v>
      </c>
    </row>
    <row r="254" spans="1:12" x14ac:dyDescent="0.2">
      <c r="A254" s="4">
        <v>253</v>
      </c>
      <c r="B254" t="s">
        <v>49</v>
      </c>
      <c r="C254">
        <f xml:space="preserve">  66.54</f>
        <v>66.540000000000006</v>
      </c>
      <c r="D254">
        <v>10</v>
      </c>
      <c r="E254">
        <v>21</v>
      </c>
      <c r="F254">
        <v>75.88</v>
      </c>
      <c r="G254">
        <v>1</v>
      </c>
      <c r="H254">
        <v>3</v>
      </c>
      <c r="I254">
        <v>1</v>
      </c>
      <c r="J254">
        <v>9</v>
      </c>
      <c r="K254">
        <v>66.48</v>
      </c>
      <c r="L254">
        <v>66.489999999999995</v>
      </c>
    </row>
    <row r="255" spans="1:12" x14ac:dyDescent="0.2">
      <c r="A255" s="4">
        <v>254</v>
      </c>
      <c r="B255" t="s">
        <v>295</v>
      </c>
      <c r="C255">
        <f xml:space="preserve">  66.53</f>
        <v>66.53</v>
      </c>
      <c r="D255">
        <v>12</v>
      </c>
      <c r="E255">
        <v>18</v>
      </c>
      <c r="F255">
        <v>71.16</v>
      </c>
      <c r="G255">
        <v>0</v>
      </c>
      <c r="H255">
        <v>2</v>
      </c>
      <c r="I255">
        <v>0</v>
      </c>
      <c r="J255">
        <v>2</v>
      </c>
      <c r="K255">
        <v>66.61</v>
      </c>
      <c r="L255">
        <v>66.34</v>
      </c>
    </row>
    <row r="256" spans="1:12" x14ac:dyDescent="0.2">
      <c r="A256" s="4">
        <v>255</v>
      </c>
      <c r="B256" t="s">
        <v>293</v>
      </c>
      <c r="C256">
        <f xml:space="preserve">  66.5</f>
        <v>66.5</v>
      </c>
      <c r="D256">
        <v>11</v>
      </c>
      <c r="E256">
        <v>18</v>
      </c>
      <c r="F256">
        <v>68.28</v>
      </c>
      <c r="G256">
        <v>0</v>
      </c>
      <c r="H256">
        <v>1</v>
      </c>
      <c r="I256">
        <v>0</v>
      </c>
      <c r="J256">
        <v>2</v>
      </c>
      <c r="K256">
        <v>66.540000000000006</v>
      </c>
      <c r="L256">
        <v>66.37</v>
      </c>
    </row>
    <row r="257" spans="1:12" x14ac:dyDescent="0.2">
      <c r="A257" s="4">
        <v>256</v>
      </c>
      <c r="B257" t="s">
        <v>232</v>
      </c>
      <c r="C257">
        <v>66.5</v>
      </c>
      <c r="D257">
        <v>10</v>
      </c>
      <c r="E257">
        <v>22</v>
      </c>
      <c r="F257">
        <v>71.83</v>
      </c>
      <c r="G257">
        <v>0</v>
      </c>
      <c r="H257">
        <v>1</v>
      </c>
      <c r="I257">
        <v>0</v>
      </c>
      <c r="J257">
        <v>1</v>
      </c>
      <c r="K257">
        <v>66.17</v>
      </c>
      <c r="L257">
        <v>66.72</v>
      </c>
    </row>
    <row r="258" spans="1:12" x14ac:dyDescent="0.2">
      <c r="A258" s="4">
        <v>257</v>
      </c>
      <c r="B258" t="s">
        <v>267</v>
      </c>
      <c r="C258">
        <f xml:space="preserve">  66.46</f>
        <v>66.459999999999994</v>
      </c>
      <c r="D258">
        <v>10</v>
      </c>
      <c r="E258">
        <v>19</v>
      </c>
      <c r="F258">
        <v>71.099999999999994</v>
      </c>
      <c r="G258">
        <v>0</v>
      </c>
      <c r="H258">
        <v>0</v>
      </c>
      <c r="I258">
        <v>0</v>
      </c>
      <c r="J258">
        <v>0</v>
      </c>
      <c r="K258">
        <v>67.489999999999995</v>
      </c>
      <c r="L258">
        <v>65.239999999999995</v>
      </c>
    </row>
    <row r="259" spans="1:12" x14ac:dyDescent="0.2">
      <c r="A259" s="4">
        <v>258</v>
      </c>
      <c r="B259" t="s">
        <v>287</v>
      </c>
      <c r="C259">
        <f xml:space="preserve">  66.32</f>
        <v>66.319999999999993</v>
      </c>
      <c r="D259">
        <v>9</v>
      </c>
      <c r="E259">
        <v>22</v>
      </c>
      <c r="F259">
        <v>72.36</v>
      </c>
      <c r="G259">
        <v>0</v>
      </c>
      <c r="H259">
        <v>0</v>
      </c>
      <c r="I259">
        <v>0</v>
      </c>
      <c r="J259">
        <v>3</v>
      </c>
      <c r="K259">
        <v>65.989999999999995</v>
      </c>
      <c r="L259">
        <v>66.540000000000006</v>
      </c>
    </row>
    <row r="260" spans="1:12" x14ac:dyDescent="0.2">
      <c r="A260" s="4">
        <v>259</v>
      </c>
      <c r="B260" t="s">
        <v>226</v>
      </c>
      <c r="C260">
        <f xml:space="preserve">  66.27</f>
        <v>66.27</v>
      </c>
      <c r="D260">
        <v>12</v>
      </c>
      <c r="E260">
        <v>19</v>
      </c>
      <c r="F260">
        <v>68.39</v>
      </c>
      <c r="G260">
        <v>0</v>
      </c>
      <c r="H260">
        <v>2</v>
      </c>
      <c r="I260">
        <v>0</v>
      </c>
      <c r="J260">
        <v>3</v>
      </c>
      <c r="K260">
        <v>64.53</v>
      </c>
      <c r="L260">
        <v>67.680000000000007</v>
      </c>
    </row>
    <row r="261" spans="1:12" x14ac:dyDescent="0.2">
      <c r="A261" s="4">
        <v>260</v>
      </c>
      <c r="B261" t="s">
        <v>83</v>
      </c>
      <c r="C261">
        <f xml:space="preserve">  66.26</f>
        <v>66.260000000000005</v>
      </c>
      <c r="D261">
        <v>11</v>
      </c>
      <c r="E261">
        <v>19</v>
      </c>
      <c r="F261">
        <v>70.040000000000006</v>
      </c>
      <c r="G261">
        <v>0</v>
      </c>
      <c r="H261">
        <v>2</v>
      </c>
      <c r="I261">
        <v>0</v>
      </c>
      <c r="J261">
        <v>5</v>
      </c>
      <c r="K261">
        <v>65.36</v>
      </c>
      <c r="L261">
        <v>66.98</v>
      </c>
    </row>
    <row r="262" spans="1:12" x14ac:dyDescent="0.2">
      <c r="A262" s="4">
        <v>261</v>
      </c>
      <c r="B262" t="s">
        <v>177</v>
      </c>
      <c r="C262">
        <f xml:space="preserve">  66.25</f>
        <v>66.25</v>
      </c>
      <c r="D262">
        <v>9</v>
      </c>
      <c r="E262">
        <v>21</v>
      </c>
      <c r="F262">
        <v>75.650000000000006</v>
      </c>
      <c r="G262">
        <v>0</v>
      </c>
      <c r="H262">
        <v>5</v>
      </c>
      <c r="I262">
        <v>0</v>
      </c>
      <c r="J262">
        <v>8</v>
      </c>
      <c r="K262">
        <v>66.209999999999994</v>
      </c>
      <c r="L262">
        <v>66.17</v>
      </c>
    </row>
    <row r="263" spans="1:12" x14ac:dyDescent="0.2">
      <c r="A263" s="4">
        <v>262</v>
      </c>
      <c r="B263" t="s">
        <v>197</v>
      </c>
      <c r="C263">
        <f xml:space="preserve">  66.21</f>
        <v>66.209999999999994</v>
      </c>
      <c r="D263">
        <v>8</v>
      </c>
      <c r="E263">
        <v>20</v>
      </c>
      <c r="F263">
        <v>70.95</v>
      </c>
      <c r="G263">
        <v>0</v>
      </c>
      <c r="H263">
        <v>0</v>
      </c>
      <c r="I263">
        <v>0</v>
      </c>
      <c r="J263">
        <v>1</v>
      </c>
      <c r="K263">
        <v>66.319999999999993</v>
      </c>
      <c r="L263">
        <v>66</v>
      </c>
    </row>
    <row r="264" spans="1:12" x14ac:dyDescent="0.2">
      <c r="A264" s="4">
        <v>263</v>
      </c>
      <c r="B264" t="s">
        <v>265</v>
      </c>
      <c r="C264">
        <f xml:space="preserve">  66.13</f>
        <v>66.13</v>
      </c>
      <c r="D264">
        <v>14</v>
      </c>
      <c r="E264">
        <v>17</v>
      </c>
      <c r="F264">
        <v>68.17</v>
      </c>
      <c r="G264">
        <v>0</v>
      </c>
      <c r="H264">
        <v>0</v>
      </c>
      <c r="I264">
        <v>0</v>
      </c>
      <c r="J264">
        <v>1</v>
      </c>
      <c r="K264">
        <v>66.260000000000005</v>
      </c>
      <c r="L264">
        <v>65.89</v>
      </c>
    </row>
    <row r="265" spans="1:12" x14ac:dyDescent="0.2">
      <c r="A265" s="4">
        <v>264</v>
      </c>
      <c r="B265" t="s">
        <v>861</v>
      </c>
      <c r="C265">
        <f xml:space="preserve">  65.95</f>
        <v>65.95</v>
      </c>
      <c r="D265">
        <v>11</v>
      </c>
      <c r="E265">
        <v>22</v>
      </c>
      <c r="F265">
        <v>71.67</v>
      </c>
      <c r="G265">
        <v>0</v>
      </c>
      <c r="H265">
        <v>0</v>
      </c>
      <c r="I265">
        <v>0</v>
      </c>
      <c r="J265">
        <v>0</v>
      </c>
      <c r="K265">
        <v>65.45</v>
      </c>
      <c r="L265">
        <v>66.31</v>
      </c>
    </row>
    <row r="266" spans="1:12" x14ac:dyDescent="0.2">
      <c r="A266" s="4">
        <v>265</v>
      </c>
      <c r="B266" t="s">
        <v>882</v>
      </c>
      <c r="C266">
        <v>65.930000000000007</v>
      </c>
      <c r="D266">
        <v>12</v>
      </c>
      <c r="E266">
        <v>13</v>
      </c>
      <c r="F266">
        <v>64.95</v>
      </c>
      <c r="G266">
        <v>0</v>
      </c>
      <c r="H266">
        <v>0</v>
      </c>
      <c r="I266">
        <v>0</v>
      </c>
      <c r="J266">
        <v>0</v>
      </c>
      <c r="K266">
        <v>65.650000000000006</v>
      </c>
      <c r="L266">
        <v>66.09</v>
      </c>
    </row>
    <row r="267" spans="1:12" x14ac:dyDescent="0.2">
      <c r="A267" s="4">
        <v>266</v>
      </c>
      <c r="B267" t="s">
        <v>140</v>
      </c>
      <c r="C267">
        <f xml:space="preserve">  65.78</f>
        <v>65.78</v>
      </c>
      <c r="D267">
        <v>11</v>
      </c>
      <c r="E267">
        <v>21</v>
      </c>
      <c r="F267">
        <v>71.61</v>
      </c>
      <c r="G267">
        <v>0</v>
      </c>
      <c r="H267">
        <v>2</v>
      </c>
      <c r="I267">
        <v>0</v>
      </c>
      <c r="J267">
        <v>3</v>
      </c>
      <c r="K267">
        <v>65.69</v>
      </c>
      <c r="L267">
        <v>65.760000000000005</v>
      </c>
    </row>
    <row r="268" spans="1:12" x14ac:dyDescent="0.2">
      <c r="A268" s="4">
        <v>267</v>
      </c>
      <c r="B268" t="s">
        <v>826</v>
      </c>
      <c r="C268">
        <f xml:space="preserve">  65.76</f>
        <v>65.760000000000005</v>
      </c>
      <c r="D268">
        <v>13</v>
      </c>
      <c r="E268">
        <v>16</v>
      </c>
      <c r="F268">
        <v>67.319999999999993</v>
      </c>
      <c r="G268">
        <v>0</v>
      </c>
      <c r="H268">
        <v>0</v>
      </c>
      <c r="I268">
        <v>0</v>
      </c>
      <c r="J268">
        <v>1</v>
      </c>
      <c r="K268">
        <v>65.430000000000007</v>
      </c>
      <c r="L268">
        <v>65.97</v>
      </c>
    </row>
    <row r="269" spans="1:12" x14ac:dyDescent="0.2">
      <c r="A269" s="4">
        <v>268</v>
      </c>
      <c r="B269" t="s">
        <v>246</v>
      </c>
      <c r="C269">
        <f xml:space="preserve">  65.71</f>
        <v>65.709999999999994</v>
      </c>
      <c r="D269">
        <v>9</v>
      </c>
      <c r="E269">
        <v>20</v>
      </c>
      <c r="F269">
        <v>71.58</v>
      </c>
      <c r="G269">
        <v>0</v>
      </c>
      <c r="H269">
        <v>0</v>
      </c>
      <c r="I269">
        <v>0</v>
      </c>
      <c r="J269">
        <v>1</v>
      </c>
      <c r="K269">
        <v>66.260000000000005</v>
      </c>
      <c r="L269">
        <v>65.02</v>
      </c>
    </row>
    <row r="270" spans="1:12" x14ac:dyDescent="0.2">
      <c r="A270" s="4">
        <v>269</v>
      </c>
      <c r="B270" t="s">
        <v>220</v>
      </c>
      <c r="C270">
        <f xml:space="preserve">  65.65</f>
        <v>65.650000000000006</v>
      </c>
      <c r="D270">
        <v>10</v>
      </c>
      <c r="E270">
        <v>17</v>
      </c>
      <c r="F270">
        <v>70.97</v>
      </c>
      <c r="G270">
        <v>0</v>
      </c>
      <c r="H270">
        <v>0</v>
      </c>
      <c r="I270">
        <v>0</v>
      </c>
      <c r="J270">
        <v>3</v>
      </c>
      <c r="K270">
        <v>66.819999999999993</v>
      </c>
      <c r="L270">
        <v>64.239999999999995</v>
      </c>
    </row>
    <row r="271" spans="1:12" x14ac:dyDescent="0.2">
      <c r="A271" s="4">
        <v>270</v>
      </c>
      <c r="B271" t="s">
        <v>250</v>
      </c>
      <c r="C271">
        <f xml:space="preserve">  65.45</f>
        <v>65.45</v>
      </c>
      <c r="D271">
        <v>10</v>
      </c>
      <c r="E271">
        <v>20</v>
      </c>
      <c r="F271">
        <v>71.209999999999994</v>
      </c>
      <c r="G271">
        <v>0</v>
      </c>
      <c r="H271">
        <v>3</v>
      </c>
      <c r="I271">
        <v>0</v>
      </c>
      <c r="J271">
        <v>3</v>
      </c>
      <c r="K271">
        <v>65.55</v>
      </c>
      <c r="L271">
        <v>65.239999999999995</v>
      </c>
    </row>
    <row r="272" spans="1:12" x14ac:dyDescent="0.2">
      <c r="A272" s="4">
        <v>271</v>
      </c>
      <c r="B272" t="s">
        <v>253</v>
      </c>
      <c r="C272">
        <f xml:space="preserve">  65.25</f>
        <v>65.25</v>
      </c>
      <c r="D272">
        <v>14</v>
      </c>
      <c r="E272">
        <v>17</v>
      </c>
      <c r="F272">
        <v>66.67</v>
      </c>
      <c r="G272">
        <v>0</v>
      </c>
      <c r="H272">
        <v>0</v>
      </c>
      <c r="I272">
        <v>0</v>
      </c>
      <c r="J272">
        <v>0</v>
      </c>
      <c r="K272">
        <v>65.28</v>
      </c>
      <c r="L272">
        <v>65.11</v>
      </c>
    </row>
    <row r="273" spans="1:12" x14ac:dyDescent="0.2">
      <c r="A273" s="4">
        <v>272</v>
      </c>
      <c r="B273" t="s">
        <v>895</v>
      </c>
      <c r="C273">
        <f xml:space="preserve">  65.2</f>
        <v>65.2</v>
      </c>
      <c r="D273">
        <v>12</v>
      </c>
      <c r="E273">
        <v>20</v>
      </c>
      <c r="F273">
        <v>68.489999999999995</v>
      </c>
      <c r="G273">
        <v>0</v>
      </c>
      <c r="H273">
        <v>1</v>
      </c>
      <c r="I273">
        <v>0</v>
      </c>
      <c r="J273">
        <v>1</v>
      </c>
      <c r="K273">
        <v>65.03</v>
      </c>
      <c r="L273">
        <v>65.260000000000005</v>
      </c>
    </row>
    <row r="274" spans="1:12" x14ac:dyDescent="0.2">
      <c r="A274" s="4">
        <v>273</v>
      </c>
      <c r="B274" t="s">
        <v>155</v>
      </c>
      <c r="C274">
        <f xml:space="preserve">  65.09</f>
        <v>65.09</v>
      </c>
      <c r="D274">
        <v>11</v>
      </c>
      <c r="E274">
        <v>17</v>
      </c>
      <c r="F274">
        <v>68.88</v>
      </c>
      <c r="G274">
        <v>0</v>
      </c>
      <c r="H274">
        <v>2</v>
      </c>
      <c r="I274">
        <v>0</v>
      </c>
      <c r="J274">
        <v>2</v>
      </c>
      <c r="K274">
        <v>64.45</v>
      </c>
      <c r="L274">
        <v>65.59</v>
      </c>
    </row>
    <row r="275" spans="1:12" x14ac:dyDescent="0.2">
      <c r="A275" s="4">
        <v>274</v>
      </c>
      <c r="B275" t="s">
        <v>296</v>
      </c>
      <c r="C275">
        <f xml:space="preserve">  65.03</f>
        <v>65.03</v>
      </c>
      <c r="D275">
        <v>12</v>
      </c>
      <c r="E275">
        <v>18</v>
      </c>
      <c r="F275">
        <v>69.56</v>
      </c>
      <c r="G275">
        <v>0</v>
      </c>
      <c r="H275">
        <v>2</v>
      </c>
      <c r="I275">
        <v>0</v>
      </c>
      <c r="J275">
        <v>2</v>
      </c>
      <c r="K275">
        <v>65.67</v>
      </c>
      <c r="L275">
        <v>64.239999999999995</v>
      </c>
    </row>
    <row r="276" spans="1:12" x14ac:dyDescent="0.2">
      <c r="A276" s="4">
        <v>275</v>
      </c>
      <c r="B276" t="s">
        <v>127</v>
      </c>
      <c r="C276">
        <f xml:space="preserve">  65.01</f>
        <v>65.010000000000005</v>
      </c>
      <c r="D276">
        <v>9</v>
      </c>
      <c r="E276">
        <v>21</v>
      </c>
      <c r="F276">
        <v>71.7</v>
      </c>
      <c r="G276">
        <v>0</v>
      </c>
      <c r="H276">
        <v>0</v>
      </c>
      <c r="I276">
        <v>0</v>
      </c>
      <c r="J276">
        <v>0</v>
      </c>
      <c r="K276">
        <v>65.209999999999994</v>
      </c>
      <c r="L276">
        <v>64.7</v>
      </c>
    </row>
    <row r="277" spans="1:12" x14ac:dyDescent="0.2">
      <c r="A277" s="4">
        <v>276</v>
      </c>
      <c r="B277" t="s">
        <v>196</v>
      </c>
      <c r="C277">
        <f xml:space="preserve">  64.93</f>
        <v>64.930000000000007</v>
      </c>
      <c r="D277">
        <v>8</v>
      </c>
      <c r="E277">
        <v>24</v>
      </c>
      <c r="F277">
        <v>72.47</v>
      </c>
      <c r="G277">
        <v>0</v>
      </c>
      <c r="H277">
        <v>0</v>
      </c>
      <c r="I277">
        <v>0</v>
      </c>
      <c r="J277">
        <v>1</v>
      </c>
      <c r="K277">
        <v>66.05</v>
      </c>
      <c r="L277">
        <v>63.57</v>
      </c>
    </row>
    <row r="278" spans="1:12" x14ac:dyDescent="0.2">
      <c r="A278" s="4">
        <v>277</v>
      </c>
      <c r="B278" t="s">
        <v>271</v>
      </c>
      <c r="C278">
        <f xml:space="preserve">  64.91</f>
        <v>64.91</v>
      </c>
      <c r="D278">
        <v>11</v>
      </c>
      <c r="E278">
        <v>20</v>
      </c>
      <c r="F278">
        <v>68.989999999999995</v>
      </c>
      <c r="G278">
        <v>0</v>
      </c>
      <c r="H278">
        <v>1</v>
      </c>
      <c r="I278">
        <v>0</v>
      </c>
      <c r="J278">
        <v>2</v>
      </c>
      <c r="K278">
        <v>64.790000000000006</v>
      </c>
      <c r="L278">
        <v>64.92</v>
      </c>
    </row>
    <row r="279" spans="1:12" x14ac:dyDescent="0.2">
      <c r="A279" s="4">
        <v>278</v>
      </c>
      <c r="B279" t="s">
        <v>227</v>
      </c>
      <c r="C279">
        <f xml:space="preserve">  64.88</f>
        <v>64.88</v>
      </c>
      <c r="D279">
        <v>11</v>
      </c>
      <c r="E279">
        <v>18</v>
      </c>
      <c r="F279">
        <v>70.510000000000005</v>
      </c>
      <c r="G279">
        <v>0</v>
      </c>
      <c r="H279">
        <v>3</v>
      </c>
      <c r="I279">
        <v>0</v>
      </c>
      <c r="J279">
        <v>3</v>
      </c>
      <c r="K279">
        <v>65.55</v>
      </c>
      <c r="L279">
        <v>64.06</v>
      </c>
    </row>
    <row r="280" spans="1:12" x14ac:dyDescent="0.2">
      <c r="A280" s="4">
        <v>279</v>
      </c>
      <c r="B280" t="s">
        <v>835</v>
      </c>
      <c r="C280">
        <f xml:space="preserve">  64.86</f>
        <v>64.86</v>
      </c>
      <c r="D280">
        <v>13</v>
      </c>
      <c r="E280">
        <v>18</v>
      </c>
      <c r="F280">
        <v>68.489999999999995</v>
      </c>
      <c r="G280">
        <v>0</v>
      </c>
      <c r="H280">
        <v>1</v>
      </c>
      <c r="I280">
        <v>0</v>
      </c>
      <c r="J280">
        <v>1</v>
      </c>
      <c r="K280">
        <v>65.84</v>
      </c>
      <c r="L280">
        <v>63.68</v>
      </c>
    </row>
    <row r="281" spans="1:12" x14ac:dyDescent="0.2">
      <c r="A281" s="4">
        <v>280</v>
      </c>
      <c r="B281" t="s">
        <v>294</v>
      </c>
      <c r="C281">
        <f xml:space="preserve">  64.82</f>
        <v>64.819999999999993</v>
      </c>
      <c r="D281">
        <v>12</v>
      </c>
      <c r="E281">
        <v>21</v>
      </c>
      <c r="F281">
        <v>69.12</v>
      </c>
      <c r="G281">
        <v>0</v>
      </c>
      <c r="H281">
        <v>0</v>
      </c>
      <c r="I281">
        <v>0</v>
      </c>
      <c r="J281">
        <v>2</v>
      </c>
      <c r="K281">
        <v>65.06</v>
      </c>
      <c r="L281">
        <v>64.47</v>
      </c>
    </row>
    <row r="282" spans="1:12" x14ac:dyDescent="0.2">
      <c r="A282" s="4">
        <v>281</v>
      </c>
      <c r="B282" t="s">
        <v>822</v>
      </c>
      <c r="C282">
        <f xml:space="preserve">  64.77</f>
        <v>64.77</v>
      </c>
      <c r="D282">
        <v>12</v>
      </c>
      <c r="E282">
        <v>15</v>
      </c>
      <c r="F282">
        <v>66.78</v>
      </c>
      <c r="G282">
        <v>0</v>
      </c>
      <c r="H282">
        <v>0</v>
      </c>
      <c r="I282">
        <v>0</v>
      </c>
      <c r="J282">
        <v>0</v>
      </c>
      <c r="K282">
        <v>64.91</v>
      </c>
      <c r="L282">
        <v>64.52</v>
      </c>
    </row>
    <row r="283" spans="1:12" x14ac:dyDescent="0.2">
      <c r="A283" s="4">
        <v>282</v>
      </c>
      <c r="B283" t="s">
        <v>209</v>
      </c>
      <c r="C283">
        <f xml:space="preserve">  64.72</f>
        <v>64.72</v>
      </c>
      <c r="D283">
        <v>11</v>
      </c>
      <c r="E283">
        <v>18</v>
      </c>
      <c r="F283">
        <v>70.930000000000007</v>
      </c>
      <c r="G283">
        <v>0</v>
      </c>
      <c r="H283">
        <v>0</v>
      </c>
      <c r="I283">
        <v>0</v>
      </c>
      <c r="J283">
        <v>5</v>
      </c>
      <c r="K283">
        <v>65.989999999999995</v>
      </c>
      <c r="L283">
        <v>63.16</v>
      </c>
    </row>
    <row r="284" spans="1:12" x14ac:dyDescent="0.2">
      <c r="A284" s="4">
        <v>283</v>
      </c>
      <c r="B284" t="s">
        <v>173</v>
      </c>
      <c r="C284">
        <f xml:space="preserve">  64.7</f>
        <v>64.7</v>
      </c>
      <c r="D284">
        <v>8</v>
      </c>
      <c r="E284">
        <v>19</v>
      </c>
      <c r="F284">
        <v>70.95</v>
      </c>
      <c r="G284">
        <v>0</v>
      </c>
      <c r="H284">
        <v>0</v>
      </c>
      <c r="I284">
        <v>0</v>
      </c>
      <c r="J284">
        <v>0</v>
      </c>
      <c r="K284">
        <v>64.52</v>
      </c>
      <c r="L284">
        <v>64.77</v>
      </c>
    </row>
    <row r="285" spans="1:12" x14ac:dyDescent="0.2">
      <c r="A285" s="4">
        <v>284</v>
      </c>
      <c r="B285" t="s">
        <v>137</v>
      </c>
      <c r="C285">
        <f xml:space="preserve">  64.61</f>
        <v>64.61</v>
      </c>
      <c r="D285">
        <v>12</v>
      </c>
      <c r="E285">
        <v>21</v>
      </c>
      <c r="F285">
        <v>67.8</v>
      </c>
      <c r="G285">
        <v>0</v>
      </c>
      <c r="H285">
        <v>1</v>
      </c>
      <c r="I285">
        <v>0</v>
      </c>
      <c r="J285">
        <v>1</v>
      </c>
      <c r="K285">
        <v>63.9</v>
      </c>
      <c r="L285">
        <v>65.16</v>
      </c>
    </row>
    <row r="286" spans="1:12" x14ac:dyDescent="0.2">
      <c r="A286" s="4">
        <v>285</v>
      </c>
      <c r="B286" t="s">
        <v>154</v>
      </c>
      <c r="C286">
        <f xml:space="preserve">  64.4</f>
        <v>64.400000000000006</v>
      </c>
      <c r="D286">
        <v>9</v>
      </c>
      <c r="E286">
        <v>20</v>
      </c>
      <c r="F286">
        <v>71.06</v>
      </c>
      <c r="G286">
        <v>0</v>
      </c>
      <c r="H286">
        <v>0</v>
      </c>
      <c r="I286">
        <v>0</v>
      </c>
      <c r="J286">
        <v>0</v>
      </c>
      <c r="K286">
        <v>65.010000000000005</v>
      </c>
      <c r="L286">
        <v>63.65</v>
      </c>
    </row>
    <row r="287" spans="1:12" x14ac:dyDescent="0.2">
      <c r="A287" s="4">
        <v>286</v>
      </c>
      <c r="B287" t="s">
        <v>280</v>
      </c>
      <c r="C287">
        <f xml:space="preserve">  64.39</f>
        <v>64.39</v>
      </c>
      <c r="D287">
        <v>5</v>
      </c>
      <c r="E287">
        <v>25</v>
      </c>
      <c r="F287">
        <v>71.209999999999994</v>
      </c>
      <c r="G287">
        <v>0</v>
      </c>
      <c r="H287">
        <v>1</v>
      </c>
      <c r="I287">
        <v>1</v>
      </c>
      <c r="J287">
        <v>1</v>
      </c>
      <c r="K287">
        <v>63.42</v>
      </c>
      <c r="L287">
        <v>65.150000000000006</v>
      </c>
    </row>
    <row r="288" spans="1:12" x14ac:dyDescent="0.2">
      <c r="A288" s="4">
        <v>287</v>
      </c>
      <c r="B288" t="s">
        <v>200</v>
      </c>
      <c r="C288">
        <f xml:space="preserve">  64.35</f>
        <v>64.349999999999994</v>
      </c>
      <c r="D288">
        <v>12</v>
      </c>
      <c r="E288">
        <v>19</v>
      </c>
      <c r="F288">
        <v>68.58</v>
      </c>
      <c r="G288">
        <v>0</v>
      </c>
      <c r="H288">
        <v>0</v>
      </c>
      <c r="I288">
        <v>0</v>
      </c>
      <c r="J288">
        <v>0</v>
      </c>
      <c r="K288">
        <v>64.17</v>
      </c>
      <c r="L288">
        <v>64.42</v>
      </c>
    </row>
    <row r="289" spans="1:12" x14ac:dyDescent="0.2">
      <c r="A289" s="4">
        <v>288</v>
      </c>
      <c r="B289" t="s">
        <v>270</v>
      </c>
      <c r="C289">
        <f xml:space="preserve">  64.15</f>
        <v>64.150000000000006</v>
      </c>
      <c r="D289">
        <v>16</v>
      </c>
      <c r="E289">
        <v>14</v>
      </c>
      <c r="F289">
        <v>66.400000000000006</v>
      </c>
      <c r="G289">
        <v>0</v>
      </c>
      <c r="H289">
        <v>2</v>
      </c>
      <c r="I289">
        <v>0</v>
      </c>
      <c r="J289">
        <v>3</v>
      </c>
      <c r="K289">
        <v>64.959999999999994</v>
      </c>
      <c r="L289">
        <v>63.16</v>
      </c>
    </row>
    <row r="290" spans="1:12" x14ac:dyDescent="0.2">
      <c r="A290" s="4">
        <v>289</v>
      </c>
      <c r="B290" t="s">
        <v>833</v>
      </c>
      <c r="C290">
        <f xml:space="preserve">  63.98</f>
        <v>63.98</v>
      </c>
      <c r="D290">
        <v>11</v>
      </c>
      <c r="E290">
        <v>17</v>
      </c>
      <c r="F290">
        <v>69.77</v>
      </c>
      <c r="G290">
        <v>0</v>
      </c>
      <c r="H290">
        <v>0</v>
      </c>
      <c r="I290">
        <v>0</v>
      </c>
      <c r="J290">
        <v>2</v>
      </c>
      <c r="K290">
        <v>64.900000000000006</v>
      </c>
      <c r="L290">
        <v>62.85</v>
      </c>
    </row>
    <row r="291" spans="1:12" x14ac:dyDescent="0.2">
      <c r="A291" s="4">
        <v>290</v>
      </c>
      <c r="B291" t="s">
        <v>249</v>
      </c>
      <c r="C291">
        <f xml:space="preserve">  63.76</f>
        <v>63.76</v>
      </c>
      <c r="D291">
        <v>6</v>
      </c>
      <c r="E291">
        <v>24</v>
      </c>
      <c r="F291">
        <v>73.63</v>
      </c>
      <c r="G291">
        <v>0</v>
      </c>
      <c r="H291">
        <v>1</v>
      </c>
      <c r="I291">
        <v>0</v>
      </c>
      <c r="J291">
        <v>1</v>
      </c>
      <c r="K291">
        <v>64.180000000000007</v>
      </c>
      <c r="L291">
        <v>63.22</v>
      </c>
    </row>
    <row r="292" spans="1:12" x14ac:dyDescent="0.2">
      <c r="A292" s="4">
        <v>291</v>
      </c>
      <c r="B292" t="s">
        <v>845</v>
      </c>
      <c r="C292">
        <f xml:space="preserve">  63.75</f>
        <v>63.75</v>
      </c>
      <c r="D292">
        <v>9</v>
      </c>
      <c r="E292">
        <v>21</v>
      </c>
      <c r="F292">
        <v>69.81</v>
      </c>
      <c r="G292">
        <v>0</v>
      </c>
      <c r="H292">
        <v>1</v>
      </c>
      <c r="I292">
        <v>0</v>
      </c>
      <c r="J292">
        <v>2</v>
      </c>
      <c r="K292">
        <v>63.61</v>
      </c>
      <c r="L292">
        <v>63.78</v>
      </c>
    </row>
    <row r="293" spans="1:12" x14ac:dyDescent="0.2">
      <c r="A293" s="4">
        <v>292</v>
      </c>
      <c r="B293" t="s">
        <v>828</v>
      </c>
      <c r="C293">
        <f xml:space="preserve">  63.73</f>
        <v>63.73</v>
      </c>
      <c r="D293">
        <v>8</v>
      </c>
      <c r="E293">
        <v>20</v>
      </c>
      <c r="F293">
        <v>71.84</v>
      </c>
      <c r="G293">
        <v>0</v>
      </c>
      <c r="H293">
        <v>1</v>
      </c>
      <c r="I293">
        <v>0</v>
      </c>
      <c r="J293">
        <v>1</v>
      </c>
      <c r="K293">
        <v>64.2</v>
      </c>
      <c r="L293">
        <v>63.13</v>
      </c>
    </row>
    <row r="294" spans="1:12" x14ac:dyDescent="0.2">
      <c r="A294" s="4">
        <v>293</v>
      </c>
      <c r="B294" t="s">
        <v>279</v>
      </c>
      <c r="C294">
        <f xml:space="preserve">  63.65</f>
        <v>63.65</v>
      </c>
      <c r="D294">
        <v>11</v>
      </c>
      <c r="E294">
        <v>17</v>
      </c>
      <c r="F294">
        <v>67.09</v>
      </c>
      <c r="G294">
        <v>0</v>
      </c>
      <c r="H294">
        <v>0</v>
      </c>
      <c r="I294">
        <v>0</v>
      </c>
      <c r="J294">
        <v>0</v>
      </c>
      <c r="K294">
        <v>63.49</v>
      </c>
      <c r="L294">
        <v>63.69</v>
      </c>
    </row>
    <row r="295" spans="1:12" x14ac:dyDescent="0.2">
      <c r="A295" s="4">
        <v>294</v>
      </c>
      <c r="B295" t="s">
        <v>189</v>
      </c>
      <c r="C295">
        <f xml:space="preserve">  63.44</f>
        <v>63.44</v>
      </c>
      <c r="D295">
        <v>11</v>
      </c>
      <c r="E295">
        <v>19</v>
      </c>
      <c r="F295">
        <v>67.38</v>
      </c>
      <c r="G295">
        <v>0</v>
      </c>
      <c r="H295">
        <v>2</v>
      </c>
      <c r="I295">
        <v>0</v>
      </c>
      <c r="J295">
        <v>3</v>
      </c>
      <c r="K295">
        <v>62.96</v>
      </c>
      <c r="L295">
        <v>63.79</v>
      </c>
    </row>
    <row r="296" spans="1:12" x14ac:dyDescent="0.2">
      <c r="A296" s="4">
        <v>295</v>
      </c>
      <c r="B296" t="s">
        <v>256</v>
      </c>
      <c r="C296">
        <f xml:space="preserve">  63.41</f>
        <v>63.41</v>
      </c>
      <c r="D296">
        <v>11</v>
      </c>
      <c r="E296">
        <v>17</v>
      </c>
      <c r="F296">
        <v>68</v>
      </c>
      <c r="G296">
        <v>0</v>
      </c>
      <c r="H296">
        <v>0</v>
      </c>
      <c r="I296">
        <v>0</v>
      </c>
      <c r="J296">
        <v>1</v>
      </c>
      <c r="K296">
        <v>63.47</v>
      </c>
      <c r="L296">
        <v>63.23</v>
      </c>
    </row>
    <row r="297" spans="1:12" x14ac:dyDescent="0.2">
      <c r="A297" s="4">
        <v>296</v>
      </c>
      <c r="B297" t="s">
        <v>289</v>
      </c>
      <c r="C297">
        <f xml:space="preserve">  63.4</f>
        <v>63.4</v>
      </c>
      <c r="D297">
        <v>10</v>
      </c>
      <c r="E297">
        <v>21</v>
      </c>
      <c r="F297">
        <v>67.989999999999995</v>
      </c>
      <c r="G297">
        <v>0</v>
      </c>
      <c r="H297">
        <v>2</v>
      </c>
      <c r="I297">
        <v>0</v>
      </c>
      <c r="J297">
        <v>4</v>
      </c>
      <c r="K297">
        <v>62.62</v>
      </c>
      <c r="L297">
        <v>64</v>
      </c>
    </row>
    <row r="298" spans="1:12" x14ac:dyDescent="0.2">
      <c r="A298" s="4">
        <v>297</v>
      </c>
      <c r="B298" t="s">
        <v>146</v>
      </c>
      <c r="C298">
        <f xml:space="preserve">  63.37</f>
        <v>63.37</v>
      </c>
      <c r="D298">
        <v>10</v>
      </c>
      <c r="E298">
        <v>18</v>
      </c>
      <c r="F298">
        <v>67.33</v>
      </c>
      <c r="G298">
        <v>0</v>
      </c>
      <c r="H298">
        <v>0</v>
      </c>
      <c r="I298">
        <v>0</v>
      </c>
      <c r="J298">
        <v>0</v>
      </c>
      <c r="K298">
        <v>63.37</v>
      </c>
      <c r="L298">
        <v>63.27</v>
      </c>
    </row>
    <row r="299" spans="1:12" x14ac:dyDescent="0.2">
      <c r="A299" s="4">
        <v>298</v>
      </c>
      <c r="B299" t="s">
        <v>161</v>
      </c>
      <c r="C299">
        <f xml:space="preserve">  63.37</f>
        <v>63.37</v>
      </c>
      <c r="D299">
        <v>10</v>
      </c>
      <c r="E299">
        <v>21</v>
      </c>
      <c r="F299">
        <v>70.239999999999995</v>
      </c>
      <c r="G299">
        <v>0</v>
      </c>
      <c r="H299">
        <v>1</v>
      </c>
      <c r="I299">
        <v>0</v>
      </c>
      <c r="J299">
        <v>2</v>
      </c>
      <c r="K299">
        <v>64.2</v>
      </c>
      <c r="L299">
        <v>62.35</v>
      </c>
    </row>
    <row r="300" spans="1:12" x14ac:dyDescent="0.2">
      <c r="A300" s="4">
        <v>299</v>
      </c>
      <c r="B300" t="s">
        <v>223</v>
      </c>
      <c r="C300">
        <f xml:space="preserve">  63.26</f>
        <v>63.26</v>
      </c>
      <c r="D300">
        <v>10</v>
      </c>
      <c r="E300">
        <v>19</v>
      </c>
      <c r="F300">
        <v>67.27</v>
      </c>
      <c r="G300">
        <v>0</v>
      </c>
      <c r="H300">
        <v>0</v>
      </c>
      <c r="I300">
        <v>0</v>
      </c>
      <c r="J300">
        <v>0</v>
      </c>
      <c r="K300">
        <v>62.36</v>
      </c>
      <c r="L300">
        <v>63.95</v>
      </c>
    </row>
    <row r="301" spans="1:12" x14ac:dyDescent="0.2">
      <c r="A301" s="4">
        <v>300</v>
      </c>
      <c r="B301" t="s">
        <v>254</v>
      </c>
      <c r="C301">
        <f xml:space="preserve">  63.04</f>
        <v>63.04</v>
      </c>
      <c r="D301">
        <v>11</v>
      </c>
      <c r="E301">
        <v>21</v>
      </c>
      <c r="F301">
        <v>69.45</v>
      </c>
      <c r="G301">
        <v>0</v>
      </c>
      <c r="H301">
        <v>2</v>
      </c>
      <c r="I301">
        <v>0</v>
      </c>
      <c r="J301">
        <v>4</v>
      </c>
      <c r="K301">
        <v>63.64</v>
      </c>
      <c r="L301">
        <v>62.28</v>
      </c>
    </row>
    <row r="302" spans="1:12" x14ac:dyDescent="0.2">
      <c r="A302" s="4">
        <v>301</v>
      </c>
      <c r="B302" t="s">
        <v>142</v>
      </c>
      <c r="C302">
        <f xml:space="preserve">  62.95</f>
        <v>62.95</v>
      </c>
      <c r="D302">
        <v>6</v>
      </c>
      <c r="E302">
        <v>25</v>
      </c>
      <c r="F302">
        <v>71.63</v>
      </c>
      <c r="G302">
        <v>0</v>
      </c>
      <c r="H302">
        <v>0</v>
      </c>
      <c r="I302">
        <v>0</v>
      </c>
      <c r="J302">
        <v>0</v>
      </c>
      <c r="K302">
        <v>63.32</v>
      </c>
      <c r="L302">
        <v>62.45</v>
      </c>
    </row>
    <row r="303" spans="1:12" x14ac:dyDescent="0.2">
      <c r="A303" s="4">
        <v>302</v>
      </c>
      <c r="B303" t="s">
        <v>902</v>
      </c>
      <c r="C303">
        <f xml:space="preserve">  62.8</f>
        <v>62.8</v>
      </c>
      <c r="D303">
        <v>7</v>
      </c>
      <c r="E303">
        <v>18</v>
      </c>
      <c r="F303">
        <v>69.14</v>
      </c>
      <c r="G303">
        <v>0</v>
      </c>
      <c r="H303">
        <v>1</v>
      </c>
      <c r="I303">
        <v>0</v>
      </c>
      <c r="J303">
        <v>3</v>
      </c>
      <c r="K303">
        <v>62.57</v>
      </c>
      <c r="L303">
        <v>62.92</v>
      </c>
    </row>
    <row r="304" spans="1:12" x14ac:dyDescent="0.2">
      <c r="A304" s="4">
        <v>303</v>
      </c>
      <c r="B304" t="s">
        <v>278</v>
      </c>
      <c r="C304">
        <f xml:space="preserve">  62.75</f>
        <v>62.75</v>
      </c>
      <c r="D304">
        <v>7</v>
      </c>
      <c r="E304">
        <v>22</v>
      </c>
      <c r="F304">
        <v>67.72</v>
      </c>
      <c r="G304">
        <v>0</v>
      </c>
      <c r="H304">
        <v>0</v>
      </c>
      <c r="I304">
        <v>0</v>
      </c>
      <c r="J304">
        <v>1</v>
      </c>
      <c r="K304">
        <v>60.55</v>
      </c>
      <c r="L304">
        <v>64.34</v>
      </c>
    </row>
    <row r="305" spans="1:12" x14ac:dyDescent="0.2">
      <c r="A305" s="4">
        <v>304</v>
      </c>
      <c r="B305" t="s">
        <v>824</v>
      </c>
      <c r="C305">
        <f xml:space="preserve">  62.74</f>
        <v>62.74</v>
      </c>
      <c r="D305">
        <v>7</v>
      </c>
      <c r="E305">
        <v>22</v>
      </c>
      <c r="F305">
        <v>69.11</v>
      </c>
      <c r="G305">
        <v>0</v>
      </c>
      <c r="H305">
        <v>1</v>
      </c>
      <c r="I305">
        <v>0</v>
      </c>
      <c r="J305">
        <v>3</v>
      </c>
      <c r="K305">
        <v>62.37</v>
      </c>
      <c r="L305">
        <v>62.98</v>
      </c>
    </row>
    <row r="306" spans="1:12" x14ac:dyDescent="0.2">
      <c r="A306" s="4">
        <v>305</v>
      </c>
      <c r="B306" t="s">
        <v>193</v>
      </c>
      <c r="C306">
        <f xml:space="preserve">  62.66</f>
        <v>62.66</v>
      </c>
      <c r="D306">
        <v>7</v>
      </c>
      <c r="E306">
        <v>23</v>
      </c>
      <c r="F306">
        <v>71.36</v>
      </c>
      <c r="G306">
        <v>0</v>
      </c>
      <c r="H306">
        <v>1</v>
      </c>
      <c r="I306">
        <v>0</v>
      </c>
      <c r="J306">
        <v>1</v>
      </c>
      <c r="K306">
        <v>63.07</v>
      </c>
      <c r="L306">
        <v>62.13</v>
      </c>
    </row>
    <row r="307" spans="1:12" x14ac:dyDescent="0.2">
      <c r="A307" s="4">
        <v>306</v>
      </c>
      <c r="B307" t="s">
        <v>553</v>
      </c>
      <c r="C307">
        <v>62.65</v>
      </c>
      <c r="D307">
        <v>9</v>
      </c>
      <c r="E307">
        <v>22</v>
      </c>
      <c r="F307">
        <v>71.930000000000007</v>
      </c>
      <c r="G307">
        <v>0</v>
      </c>
      <c r="H307">
        <v>2</v>
      </c>
      <c r="I307">
        <v>0</v>
      </c>
      <c r="J307">
        <v>4</v>
      </c>
      <c r="K307">
        <v>63.81</v>
      </c>
      <c r="L307">
        <v>61.19</v>
      </c>
    </row>
    <row r="308" spans="1:12" x14ac:dyDescent="0.2">
      <c r="A308" s="4">
        <v>307</v>
      </c>
      <c r="B308" t="s">
        <v>283</v>
      </c>
      <c r="C308">
        <f xml:space="preserve">  62.62</f>
        <v>62.62</v>
      </c>
      <c r="D308">
        <v>7</v>
      </c>
      <c r="E308">
        <v>23</v>
      </c>
      <c r="F308">
        <v>70.03</v>
      </c>
      <c r="G308">
        <v>0</v>
      </c>
      <c r="H308">
        <v>0</v>
      </c>
      <c r="I308">
        <v>0</v>
      </c>
      <c r="J308">
        <v>0</v>
      </c>
      <c r="K308">
        <v>62.76</v>
      </c>
      <c r="L308">
        <v>62.38</v>
      </c>
    </row>
    <row r="309" spans="1:12" x14ac:dyDescent="0.2">
      <c r="A309" s="4">
        <v>308</v>
      </c>
      <c r="B309" t="s">
        <v>184</v>
      </c>
      <c r="C309">
        <f xml:space="preserve">  62.52</f>
        <v>62.52</v>
      </c>
      <c r="D309">
        <v>10</v>
      </c>
      <c r="E309">
        <v>21</v>
      </c>
      <c r="F309">
        <v>67.650000000000006</v>
      </c>
      <c r="G309">
        <v>0</v>
      </c>
      <c r="H309">
        <v>1</v>
      </c>
      <c r="I309">
        <v>0</v>
      </c>
      <c r="J309">
        <v>1</v>
      </c>
      <c r="K309">
        <v>62</v>
      </c>
      <c r="L309">
        <v>62.9</v>
      </c>
    </row>
    <row r="310" spans="1:12" x14ac:dyDescent="0.2">
      <c r="A310" s="4">
        <v>309</v>
      </c>
      <c r="B310" t="s">
        <v>85</v>
      </c>
      <c r="C310">
        <f xml:space="preserve">  62.37</f>
        <v>62.37</v>
      </c>
      <c r="D310">
        <v>11</v>
      </c>
      <c r="E310">
        <v>19</v>
      </c>
      <c r="F310">
        <v>67.459999999999994</v>
      </c>
      <c r="G310">
        <v>0</v>
      </c>
      <c r="H310">
        <v>1</v>
      </c>
      <c r="I310">
        <v>0</v>
      </c>
      <c r="J310">
        <v>1</v>
      </c>
      <c r="K310">
        <v>61.61</v>
      </c>
      <c r="L310">
        <v>62.95</v>
      </c>
    </row>
    <row r="311" spans="1:12" x14ac:dyDescent="0.2">
      <c r="A311" s="4">
        <v>310</v>
      </c>
      <c r="B311" t="s">
        <v>823</v>
      </c>
      <c r="C311">
        <f xml:space="preserve">  62.33</f>
        <v>62.33</v>
      </c>
      <c r="D311">
        <v>11</v>
      </c>
      <c r="E311">
        <v>17</v>
      </c>
      <c r="F311">
        <v>66.36</v>
      </c>
      <c r="G311">
        <v>0</v>
      </c>
      <c r="H311">
        <v>0</v>
      </c>
      <c r="I311">
        <v>0</v>
      </c>
      <c r="J311">
        <v>0</v>
      </c>
      <c r="K311">
        <v>61.79</v>
      </c>
      <c r="L311">
        <v>62.72</v>
      </c>
    </row>
    <row r="312" spans="1:12" x14ac:dyDescent="0.2">
      <c r="A312" s="4">
        <v>311</v>
      </c>
      <c r="B312" t="s">
        <v>164</v>
      </c>
      <c r="C312">
        <f xml:space="preserve">  61.99</f>
        <v>61.99</v>
      </c>
      <c r="D312">
        <v>9</v>
      </c>
      <c r="E312">
        <v>20</v>
      </c>
      <c r="F312">
        <v>68.05</v>
      </c>
      <c r="G312">
        <v>0</v>
      </c>
      <c r="H312">
        <v>1</v>
      </c>
      <c r="I312">
        <v>0</v>
      </c>
      <c r="J312">
        <v>1</v>
      </c>
      <c r="K312">
        <v>61.99</v>
      </c>
      <c r="L312">
        <v>61.88</v>
      </c>
    </row>
    <row r="313" spans="1:12" x14ac:dyDescent="0.2">
      <c r="A313" s="4">
        <v>312</v>
      </c>
      <c r="B313" t="s">
        <v>832</v>
      </c>
      <c r="C313">
        <f xml:space="preserve">  61.91</f>
        <v>61.91</v>
      </c>
      <c r="D313">
        <v>7</v>
      </c>
      <c r="E313">
        <v>24</v>
      </c>
      <c r="F313">
        <v>70.36</v>
      </c>
      <c r="G313">
        <v>0</v>
      </c>
      <c r="H313">
        <v>1</v>
      </c>
      <c r="I313">
        <v>0</v>
      </c>
      <c r="J313">
        <v>2</v>
      </c>
      <c r="K313">
        <v>61.56</v>
      </c>
      <c r="L313">
        <v>62.14</v>
      </c>
    </row>
    <row r="314" spans="1:12" x14ac:dyDescent="0.2">
      <c r="A314" s="4">
        <v>313</v>
      </c>
      <c r="B314" t="s">
        <v>228</v>
      </c>
      <c r="C314">
        <f xml:space="preserve">  61.89</f>
        <v>61.89</v>
      </c>
      <c r="D314">
        <v>6</v>
      </c>
      <c r="E314">
        <v>23</v>
      </c>
      <c r="F314">
        <v>69.64</v>
      </c>
      <c r="G314">
        <v>0</v>
      </c>
      <c r="H314">
        <v>0</v>
      </c>
      <c r="I314">
        <v>0</v>
      </c>
      <c r="J314">
        <v>2</v>
      </c>
      <c r="K314">
        <v>61.45</v>
      </c>
      <c r="L314">
        <v>62.19</v>
      </c>
    </row>
    <row r="315" spans="1:12" x14ac:dyDescent="0.2">
      <c r="A315" s="4">
        <v>314</v>
      </c>
      <c r="B315" t="s">
        <v>825</v>
      </c>
      <c r="C315">
        <f xml:space="preserve">  61.83</f>
        <v>61.83</v>
      </c>
      <c r="D315">
        <v>6</v>
      </c>
      <c r="E315">
        <v>20</v>
      </c>
      <c r="F315">
        <v>67.53</v>
      </c>
      <c r="G315">
        <v>0</v>
      </c>
      <c r="H315">
        <v>1</v>
      </c>
      <c r="I315">
        <v>0</v>
      </c>
      <c r="J315">
        <v>2</v>
      </c>
      <c r="K315">
        <v>60.53</v>
      </c>
      <c r="L315">
        <v>62.8</v>
      </c>
    </row>
    <row r="316" spans="1:12" x14ac:dyDescent="0.2">
      <c r="A316" s="4">
        <v>315</v>
      </c>
      <c r="B316" t="s">
        <v>168</v>
      </c>
      <c r="C316">
        <f xml:space="preserve">  61.75</f>
        <v>61.75</v>
      </c>
      <c r="D316">
        <v>4</v>
      </c>
      <c r="E316">
        <v>24</v>
      </c>
      <c r="F316">
        <v>71.569999999999993</v>
      </c>
      <c r="G316">
        <v>0</v>
      </c>
      <c r="H316">
        <v>0</v>
      </c>
      <c r="I316">
        <v>0</v>
      </c>
      <c r="J316">
        <v>0</v>
      </c>
      <c r="K316">
        <v>62.48</v>
      </c>
      <c r="L316">
        <v>60.83</v>
      </c>
    </row>
    <row r="317" spans="1:12" x14ac:dyDescent="0.2">
      <c r="A317" s="4">
        <v>316</v>
      </c>
      <c r="B317" t="s">
        <v>897</v>
      </c>
      <c r="C317">
        <f xml:space="preserve">  61.74</f>
        <v>61.74</v>
      </c>
      <c r="D317">
        <v>12</v>
      </c>
      <c r="E317">
        <v>16</v>
      </c>
      <c r="F317">
        <v>65.98</v>
      </c>
      <c r="G317">
        <v>0</v>
      </c>
      <c r="H317">
        <v>0</v>
      </c>
      <c r="I317">
        <v>0</v>
      </c>
      <c r="J317">
        <v>1</v>
      </c>
      <c r="K317">
        <v>62.4</v>
      </c>
      <c r="L317">
        <v>60.91</v>
      </c>
    </row>
    <row r="318" spans="1:12" x14ac:dyDescent="0.2">
      <c r="A318" s="4">
        <v>317</v>
      </c>
      <c r="B318" t="s">
        <v>887</v>
      </c>
      <c r="C318">
        <v>61.57</v>
      </c>
      <c r="D318">
        <v>5</v>
      </c>
      <c r="E318">
        <v>23</v>
      </c>
      <c r="F318">
        <v>70.81</v>
      </c>
      <c r="G318">
        <v>0</v>
      </c>
      <c r="H318">
        <v>0</v>
      </c>
      <c r="I318">
        <v>0</v>
      </c>
      <c r="J318">
        <v>1</v>
      </c>
      <c r="K318">
        <v>60.6</v>
      </c>
      <c r="L318">
        <v>62.31</v>
      </c>
    </row>
    <row r="319" spans="1:12" x14ac:dyDescent="0.2">
      <c r="A319" s="4">
        <v>318</v>
      </c>
      <c r="B319" t="s">
        <v>904</v>
      </c>
      <c r="C319">
        <f xml:space="preserve">  61.44</f>
        <v>61.44</v>
      </c>
      <c r="D319">
        <v>10</v>
      </c>
      <c r="E319">
        <v>19</v>
      </c>
      <c r="F319">
        <v>70</v>
      </c>
      <c r="G319">
        <v>0</v>
      </c>
      <c r="H319">
        <v>2</v>
      </c>
      <c r="I319">
        <v>0</v>
      </c>
      <c r="J319">
        <v>2</v>
      </c>
      <c r="K319">
        <v>62.63</v>
      </c>
      <c r="L319">
        <v>59.9</v>
      </c>
    </row>
    <row r="320" spans="1:12" x14ac:dyDescent="0.2">
      <c r="A320" s="4">
        <v>319</v>
      </c>
      <c r="B320" t="s">
        <v>558</v>
      </c>
      <c r="C320">
        <f xml:space="preserve">  61.21</f>
        <v>61.21</v>
      </c>
      <c r="D320">
        <v>7</v>
      </c>
      <c r="E320">
        <v>24</v>
      </c>
      <c r="F320">
        <v>70.989999999999995</v>
      </c>
      <c r="G320">
        <v>0</v>
      </c>
      <c r="H320">
        <v>3</v>
      </c>
      <c r="I320">
        <v>0</v>
      </c>
      <c r="J320">
        <v>4</v>
      </c>
      <c r="K320">
        <v>61.68</v>
      </c>
      <c r="L320">
        <v>60.59</v>
      </c>
    </row>
    <row r="321" spans="1:12" x14ac:dyDescent="0.2">
      <c r="A321" s="4">
        <v>320</v>
      </c>
      <c r="B321" t="s">
        <v>838</v>
      </c>
      <c r="C321">
        <f xml:space="preserve">  61.1</f>
        <v>61.1</v>
      </c>
      <c r="D321">
        <v>11</v>
      </c>
      <c r="E321">
        <v>18</v>
      </c>
      <c r="F321">
        <v>65.52</v>
      </c>
      <c r="G321">
        <v>0</v>
      </c>
      <c r="H321">
        <v>1</v>
      </c>
      <c r="I321">
        <v>0</v>
      </c>
      <c r="J321">
        <v>2</v>
      </c>
      <c r="K321">
        <v>60.92</v>
      </c>
      <c r="L321">
        <v>61.17</v>
      </c>
    </row>
    <row r="322" spans="1:12" x14ac:dyDescent="0.2">
      <c r="A322" s="4">
        <v>321</v>
      </c>
      <c r="B322" t="s">
        <v>236</v>
      </c>
      <c r="C322">
        <f xml:space="preserve">  60.8</f>
        <v>60.8</v>
      </c>
      <c r="D322">
        <v>4</v>
      </c>
      <c r="E322">
        <v>25</v>
      </c>
      <c r="F322">
        <v>71.239999999999995</v>
      </c>
      <c r="G322">
        <v>0</v>
      </c>
      <c r="H322">
        <v>0</v>
      </c>
      <c r="I322">
        <v>0</v>
      </c>
      <c r="J322">
        <v>0</v>
      </c>
      <c r="K322">
        <v>60.83</v>
      </c>
      <c r="L322">
        <v>60.67</v>
      </c>
    </row>
    <row r="323" spans="1:12" x14ac:dyDescent="0.2">
      <c r="A323" s="4">
        <v>322</v>
      </c>
      <c r="B323" t="s">
        <v>300</v>
      </c>
      <c r="C323">
        <f xml:space="preserve">  60.65</f>
        <v>60.65</v>
      </c>
      <c r="D323">
        <v>4</v>
      </c>
      <c r="E323">
        <v>25</v>
      </c>
      <c r="F323">
        <v>72.8</v>
      </c>
      <c r="G323">
        <v>0</v>
      </c>
      <c r="H323">
        <v>0</v>
      </c>
      <c r="I323">
        <v>0</v>
      </c>
      <c r="J323">
        <v>2</v>
      </c>
      <c r="K323">
        <v>59.89</v>
      </c>
      <c r="L323">
        <v>61.21</v>
      </c>
    </row>
    <row r="324" spans="1:12" x14ac:dyDescent="0.2">
      <c r="A324" s="4">
        <v>323</v>
      </c>
      <c r="B324" t="s">
        <v>261</v>
      </c>
      <c r="C324">
        <f xml:space="preserve">  60.54</f>
        <v>60.54</v>
      </c>
      <c r="D324">
        <v>11</v>
      </c>
      <c r="E324">
        <v>17</v>
      </c>
      <c r="F324">
        <v>66.19</v>
      </c>
      <c r="G324">
        <v>0</v>
      </c>
      <c r="H324">
        <v>1</v>
      </c>
      <c r="I324">
        <v>0</v>
      </c>
      <c r="J324">
        <v>1</v>
      </c>
      <c r="K324">
        <v>61.34</v>
      </c>
      <c r="L324">
        <v>59.54</v>
      </c>
    </row>
    <row r="325" spans="1:12" x14ac:dyDescent="0.2">
      <c r="A325" s="4">
        <v>324</v>
      </c>
      <c r="B325" t="s">
        <v>235</v>
      </c>
      <c r="C325">
        <f xml:space="preserve">  60.03</f>
        <v>60.03</v>
      </c>
      <c r="D325">
        <v>12</v>
      </c>
      <c r="E325">
        <v>19</v>
      </c>
      <c r="F325">
        <v>64.84</v>
      </c>
      <c r="G325">
        <v>0</v>
      </c>
      <c r="H325">
        <v>0</v>
      </c>
      <c r="I325">
        <v>0</v>
      </c>
      <c r="J325">
        <v>1</v>
      </c>
      <c r="K325">
        <v>60.17</v>
      </c>
      <c r="L325">
        <v>59.78</v>
      </c>
    </row>
    <row r="326" spans="1:12" x14ac:dyDescent="0.2">
      <c r="A326" s="4">
        <v>325</v>
      </c>
      <c r="B326" t="s">
        <v>890</v>
      </c>
      <c r="C326">
        <f xml:space="preserve">  59.84</f>
        <v>59.84</v>
      </c>
      <c r="D326">
        <v>4</v>
      </c>
      <c r="E326">
        <v>23</v>
      </c>
      <c r="F326">
        <v>71.75</v>
      </c>
      <c r="G326">
        <v>0</v>
      </c>
      <c r="H326">
        <v>0</v>
      </c>
      <c r="I326">
        <v>0</v>
      </c>
      <c r="J326">
        <v>2</v>
      </c>
      <c r="K326">
        <v>59.94</v>
      </c>
      <c r="L326">
        <v>59.64</v>
      </c>
    </row>
    <row r="327" spans="1:12" x14ac:dyDescent="0.2">
      <c r="A327" s="4">
        <v>326</v>
      </c>
      <c r="B327" t="s">
        <v>893</v>
      </c>
      <c r="C327">
        <f xml:space="preserve">  59.83</f>
        <v>59.83</v>
      </c>
      <c r="D327">
        <v>5</v>
      </c>
      <c r="E327">
        <v>24</v>
      </c>
      <c r="F327">
        <v>70.58</v>
      </c>
      <c r="G327">
        <v>0</v>
      </c>
      <c r="H327">
        <v>0</v>
      </c>
      <c r="I327">
        <v>0</v>
      </c>
      <c r="J327">
        <v>1</v>
      </c>
      <c r="K327">
        <v>60.03</v>
      </c>
      <c r="L327">
        <v>59.52</v>
      </c>
    </row>
    <row r="328" spans="1:12" x14ac:dyDescent="0.2">
      <c r="A328" s="4">
        <v>327</v>
      </c>
      <c r="B328" t="s">
        <v>842</v>
      </c>
      <c r="C328">
        <f xml:space="preserve">  59.8</f>
        <v>59.8</v>
      </c>
      <c r="D328">
        <v>9</v>
      </c>
      <c r="E328">
        <v>23</v>
      </c>
      <c r="F328">
        <v>67.67</v>
      </c>
      <c r="G328">
        <v>0</v>
      </c>
      <c r="H328">
        <v>1</v>
      </c>
      <c r="I328">
        <v>0</v>
      </c>
      <c r="J328">
        <v>3</v>
      </c>
      <c r="K328">
        <v>58.33</v>
      </c>
      <c r="L328">
        <v>60.86</v>
      </c>
    </row>
    <row r="329" spans="1:12" x14ac:dyDescent="0.2">
      <c r="A329" s="4">
        <v>328</v>
      </c>
      <c r="B329" t="s">
        <v>830</v>
      </c>
      <c r="C329">
        <f xml:space="preserve">  59.75</f>
        <v>59.75</v>
      </c>
      <c r="D329">
        <v>5</v>
      </c>
      <c r="E329">
        <v>24</v>
      </c>
      <c r="F329">
        <v>68.75</v>
      </c>
      <c r="G329">
        <v>0</v>
      </c>
      <c r="H329">
        <v>1</v>
      </c>
      <c r="I329">
        <v>0</v>
      </c>
      <c r="J329">
        <v>1</v>
      </c>
      <c r="K329">
        <v>58.86</v>
      </c>
      <c r="L329">
        <v>60.41</v>
      </c>
    </row>
    <row r="330" spans="1:12" x14ac:dyDescent="0.2">
      <c r="A330" s="4">
        <v>329</v>
      </c>
      <c r="B330" t="s">
        <v>224</v>
      </c>
      <c r="C330">
        <f xml:space="preserve">  59.55</f>
        <v>59.55</v>
      </c>
      <c r="D330">
        <v>6</v>
      </c>
      <c r="E330">
        <v>23</v>
      </c>
      <c r="F330">
        <v>68.459999999999994</v>
      </c>
      <c r="G330">
        <v>0</v>
      </c>
      <c r="H330">
        <v>2</v>
      </c>
      <c r="I330">
        <v>0</v>
      </c>
      <c r="J330">
        <v>3</v>
      </c>
      <c r="K330">
        <v>59.43</v>
      </c>
      <c r="L330">
        <v>59.55</v>
      </c>
    </row>
    <row r="331" spans="1:12" x14ac:dyDescent="0.2">
      <c r="A331" s="4">
        <v>330</v>
      </c>
      <c r="B331" t="s">
        <v>266</v>
      </c>
      <c r="C331">
        <v>59.5</v>
      </c>
      <c r="D331">
        <v>7</v>
      </c>
      <c r="E331">
        <v>24</v>
      </c>
      <c r="F331">
        <v>70.05</v>
      </c>
      <c r="G331">
        <v>0</v>
      </c>
      <c r="H331">
        <v>1</v>
      </c>
      <c r="I331">
        <v>0</v>
      </c>
      <c r="J331">
        <v>1</v>
      </c>
      <c r="K331">
        <v>60.82</v>
      </c>
      <c r="L331">
        <v>57.7</v>
      </c>
    </row>
    <row r="332" spans="1:12" x14ac:dyDescent="0.2">
      <c r="A332" s="4">
        <v>331</v>
      </c>
      <c r="B332" t="s">
        <v>247</v>
      </c>
      <c r="C332">
        <f xml:space="preserve">  59.15</f>
        <v>59.15</v>
      </c>
      <c r="D332">
        <v>6</v>
      </c>
      <c r="E332">
        <v>23</v>
      </c>
      <c r="F332">
        <v>69.38</v>
      </c>
      <c r="G332">
        <v>0</v>
      </c>
      <c r="H332">
        <v>0</v>
      </c>
      <c r="I332">
        <v>0</v>
      </c>
      <c r="J332">
        <v>0</v>
      </c>
      <c r="K332">
        <v>58.75</v>
      </c>
      <c r="L332">
        <v>59.41</v>
      </c>
    </row>
    <row r="333" spans="1:12" x14ac:dyDescent="0.2">
      <c r="A333" s="4">
        <v>332</v>
      </c>
      <c r="B333" t="s">
        <v>272</v>
      </c>
      <c r="C333">
        <f xml:space="preserve">  58.67</f>
        <v>58.67</v>
      </c>
      <c r="D333">
        <v>4</v>
      </c>
      <c r="E333">
        <v>26</v>
      </c>
      <c r="F333">
        <v>71.14</v>
      </c>
      <c r="G333">
        <v>0</v>
      </c>
      <c r="H333">
        <v>1</v>
      </c>
      <c r="I333">
        <v>0</v>
      </c>
      <c r="J333">
        <v>2</v>
      </c>
      <c r="K333">
        <v>58.44</v>
      </c>
      <c r="L333">
        <v>58.77</v>
      </c>
    </row>
    <row r="334" spans="1:12" x14ac:dyDescent="0.2">
      <c r="A334" s="4">
        <v>333</v>
      </c>
      <c r="B334" t="s">
        <v>891</v>
      </c>
      <c r="C334">
        <f xml:space="preserve">  58.65</f>
        <v>58.65</v>
      </c>
      <c r="D334">
        <v>7</v>
      </c>
      <c r="E334">
        <v>21</v>
      </c>
      <c r="F334">
        <v>69.599999999999994</v>
      </c>
      <c r="G334">
        <v>0</v>
      </c>
      <c r="H334">
        <v>1</v>
      </c>
      <c r="I334">
        <v>0</v>
      </c>
      <c r="J334">
        <v>4</v>
      </c>
      <c r="K334">
        <v>58.93</v>
      </c>
      <c r="L334">
        <v>58.26</v>
      </c>
    </row>
    <row r="335" spans="1:12" x14ac:dyDescent="0.2">
      <c r="A335" s="4">
        <v>334</v>
      </c>
      <c r="B335" t="s">
        <v>865</v>
      </c>
      <c r="C335">
        <f xml:space="preserve">  58.01</f>
        <v>58.01</v>
      </c>
      <c r="D335">
        <v>3</v>
      </c>
      <c r="E335">
        <v>27</v>
      </c>
      <c r="F335">
        <v>69.680000000000007</v>
      </c>
      <c r="G335">
        <v>0</v>
      </c>
      <c r="H335">
        <v>1</v>
      </c>
      <c r="I335">
        <v>0</v>
      </c>
      <c r="J335">
        <v>2</v>
      </c>
      <c r="K335">
        <v>56.38</v>
      </c>
      <c r="L335">
        <v>59.12</v>
      </c>
    </row>
    <row r="336" spans="1:12" x14ac:dyDescent="0.2">
      <c r="A336" s="4">
        <v>335</v>
      </c>
      <c r="B336" t="s">
        <v>834</v>
      </c>
      <c r="C336">
        <f xml:space="preserve">  57.72</f>
        <v>57.72</v>
      </c>
      <c r="D336">
        <v>9</v>
      </c>
      <c r="E336">
        <v>22</v>
      </c>
      <c r="F336">
        <v>65.61</v>
      </c>
      <c r="G336">
        <v>0</v>
      </c>
      <c r="H336">
        <v>1</v>
      </c>
      <c r="I336">
        <v>0</v>
      </c>
      <c r="J336">
        <v>2</v>
      </c>
      <c r="K336">
        <v>57.7</v>
      </c>
      <c r="L336">
        <v>57.63</v>
      </c>
    </row>
    <row r="337" spans="1:12" x14ac:dyDescent="0.2">
      <c r="A337" s="4">
        <v>336</v>
      </c>
      <c r="B337" t="s">
        <v>198</v>
      </c>
      <c r="C337">
        <f xml:space="preserve">  57.62</f>
        <v>57.62</v>
      </c>
      <c r="D337">
        <v>6</v>
      </c>
      <c r="E337">
        <v>22</v>
      </c>
      <c r="F337">
        <v>67.86</v>
      </c>
      <c r="G337">
        <v>0</v>
      </c>
      <c r="H337">
        <v>0</v>
      </c>
      <c r="I337">
        <v>0</v>
      </c>
      <c r="J337">
        <v>0</v>
      </c>
      <c r="K337">
        <v>57.7</v>
      </c>
      <c r="L337">
        <v>57.44</v>
      </c>
    </row>
    <row r="338" spans="1:12" x14ac:dyDescent="0.2">
      <c r="A338" s="4">
        <v>337</v>
      </c>
      <c r="B338" t="s">
        <v>260</v>
      </c>
      <c r="C338">
        <f xml:space="preserve">  56.98</f>
        <v>56.98</v>
      </c>
      <c r="D338">
        <v>9</v>
      </c>
      <c r="E338">
        <v>20</v>
      </c>
      <c r="F338">
        <v>65.69</v>
      </c>
      <c r="G338">
        <v>0</v>
      </c>
      <c r="H338">
        <v>1</v>
      </c>
      <c r="I338">
        <v>0</v>
      </c>
      <c r="J338">
        <v>1</v>
      </c>
      <c r="K338">
        <v>56.52</v>
      </c>
      <c r="L338">
        <v>57.29</v>
      </c>
    </row>
    <row r="339" spans="1:12" x14ac:dyDescent="0.2">
      <c r="A339" s="4">
        <v>338</v>
      </c>
      <c r="B339" t="s">
        <v>883</v>
      </c>
      <c r="C339">
        <v>56.75</v>
      </c>
      <c r="D339">
        <v>5</v>
      </c>
      <c r="E339">
        <v>24</v>
      </c>
      <c r="F339">
        <v>68.540000000000006</v>
      </c>
      <c r="G339">
        <v>0</v>
      </c>
      <c r="H339">
        <v>2</v>
      </c>
      <c r="I339">
        <v>0</v>
      </c>
      <c r="J339">
        <v>2</v>
      </c>
      <c r="K339">
        <v>56.19</v>
      </c>
      <c r="L339">
        <v>57.14</v>
      </c>
    </row>
    <row r="340" spans="1:12" x14ac:dyDescent="0.2">
      <c r="A340" s="4">
        <v>339</v>
      </c>
      <c r="B340" t="s">
        <v>170</v>
      </c>
      <c r="C340">
        <f xml:space="preserve">  56.51</f>
        <v>56.51</v>
      </c>
      <c r="D340">
        <v>6</v>
      </c>
      <c r="E340">
        <v>25</v>
      </c>
      <c r="F340">
        <v>68.2</v>
      </c>
      <c r="G340">
        <v>0</v>
      </c>
      <c r="H340">
        <v>3</v>
      </c>
      <c r="I340">
        <v>0</v>
      </c>
      <c r="J340">
        <v>3</v>
      </c>
      <c r="K340">
        <v>56.64</v>
      </c>
      <c r="L340">
        <v>56.26</v>
      </c>
    </row>
    <row r="341" spans="1:12" x14ac:dyDescent="0.2">
      <c r="A341" s="4">
        <v>340</v>
      </c>
      <c r="B341" t="s">
        <v>900</v>
      </c>
      <c r="C341">
        <f xml:space="preserve">  56.27</f>
        <v>56.27</v>
      </c>
      <c r="D341">
        <v>4</v>
      </c>
      <c r="E341">
        <v>24</v>
      </c>
      <c r="F341">
        <v>68.930000000000007</v>
      </c>
      <c r="G341">
        <v>0</v>
      </c>
      <c r="H341">
        <v>0</v>
      </c>
      <c r="I341">
        <v>0</v>
      </c>
      <c r="J341">
        <v>2</v>
      </c>
      <c r="K341">
        <v>55.78</v>
      </c>
      <c r="L341">
        <v>56.61</v>
      </c>
    </row>
    <row r="342" spans="1:12" x14ac:dyDescent="0.2">
      <c r="A342" s="4">
        <v>341</v>
      </c>
      <c r="B342" t="s">
        <v>95</v>
      </c>
      <c r="C342">
        <f xml:space="preserve">  56.26</f>
        <v>56.26</v>
      </c>
      <c r="D342">
        <v>5</v>
      </c>
      <c r="E342">
        <v>24</v>
      </c>
      <c r="F342">
        <v>68.260000000000005</v>
      </c>
      <c r="G342">
        <v>0</v>
      </c>
      <c r="H342">
        <v>0</v>
      </c>
      <c r="I342">
        <v>0</v>
      </c>
      <c r="J342">
        <v>0</v>
      </c>
      <c r="K342">
        <v>55.87</v>
      </c>
      <c r="L342">
        <v>56.51</v>
      </c>
    </row>
    <row r="343" spans="1:12" x14ac:dyDescent="0.2">
      <c r="A343" s="4">
        <v>342</v>
      </c>
      <c r="B343" t="s">
        <v>901</v>
      </c>
      <c r="C343">
        <f xml:space="preserve">  56.17</f>
        <v>56.17</v>
      </c>
      <c r="D343">
        <v>2</v>
      </c>
      <c r="E343">
        <v>27</v>
      </c>
      <c r="F343">
        <v>70.91</v>
      </c>
      <c r="G343">
        <v>0</v>
      </c>
      <c r="H343">
        <v>1</v>
      </c>
      <c r="I343">
        <v>0</v>
      </c>
      <c r="J343">
        <v>1</v>
      </c>
      <c r="K343">
        <v>56.18</v>
      </c>
      <c r="L343">
        <v>56.04</v>
      </c>
    </row>
    <row r="344" spans="1:12" x14ac:dyDescent="0.2">
      <c r="A344" s="4">
        <v>343</v>
      </c>
      <c r="B344" t="s">
        <v>885</v>
      </c>
      <c r="C344">
        <v>56.01</v>
      </c>
      <c r="D344">
        <v>5</v>
      </c>
      <c r="E344">
        <v>23</v>
      </c>
      <c r="F344">
        <v>66.63</v>
      </c>
      <c r="G344">
        <v>0</v>
      </c>
      <c r="H344">
        <v>0</v>
      </c>
      <c r="I344">
        <v>0</v>
      </c>
      <c r="J344">
        <v>3</v>
      </c>
      <c r="K344">
        <v>55.37</v>
      </c>
      <c r="L344">
        <v>56.46</v>
      </c>
    </row>
    <row r="345" spans="1:12" x14ac:dyDescent="0.2">
      <c r="A345" s="4">
        <v>344</v>
      </c>
      <c r="B345" t="s">
        <v>886</v>
      </c>
      <c r="C345">
        <v>55.77</v>
      </c>
      <c r="D345">
        <v>2</v>
      </c>
      <c r="E345">
        <v>26</v>
      </c>
      <c r="F345">
        <v>69.5</v>
      </c>
      <c r="G345">
        <v>0</v>
      </c>
      <c r="H345">
        <v>0</v>
      </c>
      <c r="I345">
        <v>0</v>
      </c>
      <c r="J345">
        <v>2</v>
      </c>
      <c r="K345">
        <v>55.64</v>
      </c>
      <c r="L345">
        <v>55.78</v>
      </c>
    </row>
    <row r="346" spans="1:12" x14ac:dyDescent="0.2">
      <c r="A346" s="4">
        <v>345</v>
      </c>
      <c r="B346" t="s">
        <v>219</v>
      </c>
      <c r="C346">
        <f xml:space="preserve">  54.91</f>
        <v>54.91</v>
      </c>
      <c r="D346">
        <v>4</v>
      </c>
      <c r="E346">
        <v>18</v>
      </c>
      <c r="F346">
        <v>67.959999999999994</v>
      </c>
      <c r="G346">
        <v>0</v>
      </c>
      <c r="H346">
        <v>0</v>
      </c>
      <c r="I346">
        <v>0</v>
      </c>
      <c r="J346">
        <v>1</v>
      </c>
      <c r="K346">
        <v>55.49</v>
      </c>
      <c r="L346">
        <v>54.15</v>
      </c>
    </row>
    <row r="347" spans="1:12" x14ac:dyDescent="0.2">
      <c r="A347" s="4">
        <v>346</v>
      </c>
      <c r="B347" t="s">
        <v>262</v>
      </c>
      <c r="C347">
        <f xml:space="preserve">  54.4</f>
        <v>54.4</v>
      </c>
      <c r="D347">
        <v>3</v>
      </c>
      <c r="E347">
        <v>28</v>
      </c>
      <c r="F347">
        <v>70.91</v>
      </c>
      <c r="G347">
        <v>0</v>
      </c>
      <c r="H347">
        <v>0</v>
      </c>
      <c r="I347">
        <v>0</v>
      </c>
      <c r="J347">
        <v>3</v>
      </c>
      <c r="K347">
        <v>53.94</v>
      </c>
      <c r="L347">
        <v>54.69</v>
      </c>
    </row>
    <row r="348" spans="1:12" x14ac:dyDescent="0.2">
      <c r="A348" s="4">
        <v>347</v>
      </c>
      <c r="B348" t="s">
        <v>867</v>
      </c>
      <c r="C348">
        <f xml:space="preserve">  41.57</f>
        <v>41.57</v>
      </c>
      <c r="D348">
        <v>0</v>
      </c>
      <c r="E348">
        <v>28</v>
      </c>
      <c r="F348">
        <v>66.13</v>
      </c>
      <c r="G348">
        <v>0</v>
      </c>
      <c r="H348">
        <v>0</v>
      </c>
      <c r="I348">
        <v>0</v>
      </c>
      <c r="J348">
        <v>0</v>
      </c>
      <c r="K348">
        <v>39.25</v>
      </c>
      <c r="L348">
        <v>42.61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PATE</dc:creator>
  <cp:lastModifiedBy>365 Pro Plus</cp:lastModifiedBy>
  <dcterms:created xsi:type="dcterms:W3CDTF">2022-03-29T19:38:56Z</dcterms:created>
  <dcterms:modified xsi:type="dcterms:W3CDTF">2022-04-10T21:17:37Z</dcterms:modified>
</cp:coreProperties>
</file>