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kev/Documents/Web/kevstemplates.com/downloads/"/>
    </mc:Choice>
  </mc:AlternateContent>
  <xr:revisionPtr revIDLastSave="0" documentId="13_ncr:1_{C01209C3-2178-DC42-9B14-76F661596F67}" xr6:coauthVersionLast="47" xr6:coauthVersionMax="47" xr10:uidLastSave="{00000000-0000-0000-0000-000000000000}"/>
  <bookViews>
    <workbookView xWindow="760" yWindow="500" windowWidth="28040" windowHeight="16360" tabRatio="811" activeTab="7" xr2:uid="{6AB7219E-A89A-AF49-880F-765DA6A0DAA7}"/>
  </bookViews>
  <sheets>
    <sheet name="Summary" sheetId="1" r:id="rId1"/>
    <sheet name="Resource" sheetId="2" r:id="rId2"/>
    <sheet name="Materials" sheetId="4" r:id="rId3"/>
    <sheet name="Actuals" sheetId="5" r:id="rId4"/>
    <sheet name="Lookup" sheetId="3" r:id="rId5"/>
    <sheet name="Resource Costs" sheetId="6" r:id="rId6"/>
    <sheet name="Forecast" sheetId="7" r:id="rId7"/>
    <sheet name="Sheet1" sheetId="13" r:id="rId8"/>
    <sheet name="Cost Type" sheetId="8" state="hidden" r:id="rId9"/>
    <sheet name="Opex" sheetId="10" state="hidden" r:id="rId10"/>
    <sheet name="Capex" sheetId="12" state="hidden" r:id="rId11"/>
  </sheets>
  <definedNames>
    <definedName name="_xlcn.WorksheetConnection_CostandResourceModel.xlsxActuals1" hidden="1">Actuals[]</definedName>
    <definedName name="_xlcn.WorksheetConnection_CostandResourceModel.xlsxMaterials1" hidden="1">Materials[]</definedName>
    <definedName name="_xlcn.WorksheetConnection_CostandResourceModel.xlsxResourceCosts1" hidden="1">ResourceCosts[]</definedName>
    <definedName name="_xlcn.WorksheetConnection_CostandResourceModel.xlsxResources1" hidden="1">Resources[]</definedName>
    <definedName name="BAC">Summary!$B$6</definedName>
    <definedName name="EAC">Forecast!$B$6</definedName>
    <definedName name="Slicer_Cost_Type">#N/A</definedName>
    <definedName name="Slicer_Cost_Type1">#N/A</definedName>
    <definedName name="StartDate">Summary!$B$4</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pivotCache cacheId="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erials 1_63e2f887-6ec6-4379-a825-d41bcf5dd5d3" name="Materials 1" connection="Query - Materials"/>
          <x15:modelTable id="Actuals 1_5f130b7c-9cc3-499b-8a3b-fce53afe8340" name="Actuals 1" connection="Query - Actuals"/>
          <x15:modelTable id="Resources 1_72ea72fe-fe01-4943-9b05-c8ea89b02dc3" name="Resources 1" connection="Query - Resources"/>
          <x15:modelTable id="ResourceCosts 1_09f93d8b-ae90-46b2-bb34-34a8c8e334e5" name="ResourceCosts 1" connection="Query - ResourceCosts"/>
          <x15:modelTable id="Cost Summary_a3e92d1c-07dc-441d-9af5-ea3f5ecbffb4" name="Cost Summary" connection="Query - Cost Summary"/>
          <x15:modelTable id="Resources" name="Resources" connection="WorksheetConnection_Cost and Resource Model.xlsx!Resources"/>
          <x15:modelTable id="ResourceCosts" name="ResourceCosts" connection="WorksheetConnection_Cost and Resource Model.xlsx!ResourceCosts"/>
          <x15:modelTable id="Materials" name="Materials" connection="WorksheetConnection_Cost and Resource Model.xlsx!Materials"/>
          <x15:modelTable id="Actuals" name="Actuals" connection="WorksheetConnection_Cost and Resource Model.xlsx!Actual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3" l="1"/>
  <c r="A6" i="6" l="1"/>
  <c r="B6" i="6"/>
  <c r="D6" i="6"/>
  <c r="E6" i="6"/>
  <c r="F6" i="6"/>
  <c r="G6" i="6"/>
  <c r="H6" i="6"/>
  <c r="I6" i="6"/>
  <c r="J6" i="6"/>
  <c r="K6" i="6"/>
  <c r="L6" i="6"/>
  <c r="M6" i="6"/>
  <c r="N6" i="6"/>
  <c r="O6" i="6"/>
  <c r="P6" i="6"/>
  <c r="Q6" i="6"/>
  <c r="R6" i="6"/>
  <c r="I6" i="2"/>
  <c r="J6" i="2" s="1"/>
  <c r="C5" i="5"/>
  <c r="D8" i="7" s="1"/>
  <c r="D5" i="5"/>
  <c r="E8" i="7" s="1"/>
  <c r="E5" i="5"/>
  <c r="F8" i="7" s="1"/>
  <c r="F5" i="5"/>
  <c r="G8" i="7" s="1"/>
  <c r="G5" i="5"/>
  <c r="H8" i="7" s="1"/>
  <c r="H5" i="5"/>
  <c r="I8" i="7" s="1"/>
  <c r="I5" i="5"/>
  <c r="J8" i="7" s="1"/>
  <c r="J5" i="5"/>
  <c r="K8" i="7" s="1"/>
  <c r="K5" i="5"/>
  <c r="L8" i="7" s="1"/>
  <c r="L5" i="5"/>
  <c r="M8" i="7" s="1"/>
  <c r="M5" i="5"/>
  <c r="N8" i="7" s="1"/>
  <c r="N5" i="5"/>
  <c r="O8" i="7" s="1"/>
  <c r="O5" i="5"/>
  <c r="P8" i="7" s="1"/>
  <c r="B5" i="5"/>
  <c r="C8" i="7" s="1"/>
  <c r="C9" i="7" s="1"/>
  <c r="F7" i="4"/>
  <c r="D5" i="7" s="1"/>
  <c r="G7" i="4"/>
  <c r="E5" i="7" s="1"/>
  <c r="H7" i="4"/>
  <c r="F5" i="7" s="1"/>
  <c r="I7" i="4"/>
  <c r="G5" i="7" s="1"/>
  <c r="J7" i="4"/>
  <c r="H5" i="7" s="1"/>
  <c r="K7" i="4"/>
  <c r="I5" i="7" s="1"/>
  <c r="L7" i="4"/>
  <c r="J5" i="7" s="1"/>
  <c r="M7" i="4"/>
  <c r="K5" i="7" s="1"/>
  <c r="N7" i="4"/>
  <c r="L5" i="7" s="1"/>
  <c r="O7" i="4"/>
  <c r="M5" i="7" s="1"/>
  <c r="P7" i="4"/>
  <c r="N5" i="7" s="1"/>
  <c r="Q7" i="4"/>
  <c r="O5" i="7" s="1"/>
  <c r="R7" i="4"/>
  <c r="P5" i="7" s="1"/>
  <c r="E7" i="4"/>
  <c r="C5" i="7" s="1"/>
  <c r="A5" i="6"/>
  <c r="B5" i="6"/>
  <c r="D5" i="6"/>
  <c r="E5" i="6"/>
  <c r="F5" i="6"/>
  <c r="G5" i="6"/>
  <c r="H5" i="6"/>
  <c r="I5" i="6"/>
  <c r="J5" i="6"/>
  <c r="K5" i="6"/>
  <c r="L5" i="6"/>
  <c r="M5" i="6"/>
  <c r="N5" i="6"/>
  <c r="O5" i="6"/>
  <c r="P5" i="6"/>
  <c r="Q5" i="6"/>
  <c r="R5" i="6"/>
  <c r="R4" i="6"/>
  <c r="Q4" i="6"/>
  <c r="P4" i="6"/>
  <c r="O4" i="6"/>
  <c r="N4" i="6"/>
  <c r="M4" i="6"/>
  <c r="L4" i="6"/>
  <c r="K4" i="6"/>
  <c r="J4" i="6"/>
  <c r="I4" i="6"/>
  <c r="H4" i="6"/>
  <c r="G4" i="6"/>
  <c r="F4" i="6"/>
  <c r="E4" i="6"/>
  <c r="D4" i="6"/>
  <c r="B4" i="6"/>
  <c r="A4" i="6"/>
  <c r="D5" i="4"/>
  <c r="D4" i="4"/>
  <c r="I5" i="2"/>
  <c r="J5" i="2" s="1"/>
  <c r="I4" i="2"/>
  <c r="J4" i="2" s="1"/>
  <c r="M7" i="2"/>
  <c r="N7" i="2"/>
  <c r="O7" i="2"/>
  <c r="P7" i="2"/>
  <c r="Q7" i="2"/>
  <c r="R7" i="2"/>
  <c r="S7" i="2"/>
  <c r="T7" i="2"/>
  <c r="U7" i="2"/>
  <c r="V7" i="2"/>
  <c r="W7" i="2"/>
  <c r="X7" i="2"/>
  <c r="L7" i="2"/>
  <c r="G7" i="2"/>
  <c r="X2" i="2"/>
  <c r="M2" i="2"/>
  <c r="N2" i="2"/>
  <c r="O2" i="2"/>
  <c r="P2" i="2"/>
  <c r="Q2" i="2"/>
  <c r="R2" i="2"/>
  <c r="S2" i="2"/>
  <c r="T2" i="2"/>
  <c r="U2" i="2"/>
  <c r="V2" i="2"/>
  <c r="W2" i="2"/>
  <c r="L2" i="2"/>
  <c r="J7" i="6" l="1"/>
  <c r="H4" i="7" s="1"/>
  <c r="R7" i="6"/>
  <c r="P4" i="7" s="1"/>
  <c r="C4" i="6"/>
  <c r="C6" i="6"/>
  <c r="C5" i="6"/>
  <c r="H6" i="7"/>
  <c r="P6" i="7"/>
  <c r="D9" i="7"/>
  <c r="K9" i="7" s="1"/>
  <c r="B5" i="7"/>
  <c r="B8" i="7"/>
  <c r="E7" i="6"/>
  <c r="C4" i="7" s="1"/>
  <c r="M7" i="6"/>
  <c r="K4" i="7" s="1"/>
  <c r="K6" i="7" s="1"/>
  <c r="P7" i="6"/>
  <c r="N4" i="7" s="1"/>
  <c r="N6" i="7" s="1"/>
  <c r="H7" i="6"/>
  <c r="F4" i="7" s="1"/>
  <c r="F6" i="7" s="1"/>
  <c r="F7" i="6"/>
  <c r="D4" i="7" s="1"/>
  <c r="D6" i="7" s="1"/>
  <c r="N7" i="6"/>
  <c r="L4" i="7" s="1"/>
  <c r="L6" i="7" s="1"/>
  <c r="K7" i="6"/>
  <c r="I4" i="7" s="1"/>
  <c r="I6" i="7" s="1"/>
  <c r="L7" i="6"/>
  <c r="J4" i="7" s="1"/>
  <c r="J6" i="7" s="1"/>
  <c r="I7" i="6"/>
  <c r="G4" i="7" s="1"/>
  <c r="G6" i="7" s="1"/>
  <c r="Q7" i="6"/>
  <c r="O4" i="7" s="1"/>
  <c r="O6" i="7" s="1"/>
  <c r="G7" i="6"/>
  <c r="E4" i="7" s="1"/>
  <c r="E6" i="7" s="1"/>
  <c r="O7" i="6"/>
  <c r="M4" i="7" s="1"/>
  <c r="M6" i="7" s="1"/>
  <c r="I7" i="2"/>
  <c r="J7" i="2"/>
  <c r="E9" i="7" l="1"/>
  <c r="L9" i="7" s="1"/>
  <c r="C6" i="7"/>
  <c r="B4" i="7"/>
  <c r="F9" i="7" l="1"/>
  <c r="G9" i="7" s="1"/>
  <c r="C7" i="7"/>
  <c r="D7" i="7" s="1"/>
  <c r="E7" i="7" s="1"/>
  <c r="F7" i="7" s="1"/>
  <c r="G7" i="7" s="1"/>
  <c r="H7" i="7" s="1"/>
  <c r="I7" i="7" s="1"/>
  <c r="J7" i="7" s="1"/>
  <c r="K7" i="7" s="1"/>
  <c r="L7" i="7" s="1"/>
  <c r="M7" i="7" s="1"/>
  <c r="N7" i="7" s="1"/>
  <c r="O7" i="7" s="1"/>
  <c r="P7" i="7" s="1"/>
  <c r="B6" i="7"/>
  <c r="M9" i="7"/>
  <c r="B8" i="1" l="1"/>
  <c r="B7" i="1"/>
  <c r="N9" i="7"/>
  <c r="H9" i="7"/>
  <c r="O9" i="7" l="1"/>
  <c r="I9" i="7"/>
  <c r="J9" i="7" l="1"/>
  <c r="P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15A3CF-CDF5-4B7C-A3CE-C0B94243EFB8}" name="Query - Actuals" description="Connection to the 'Actuals' query in the workbook." type="100" refreshedVersion="6" minRefreshableVersion="5">
    <extLst>
      <ext xmlns:x15="http://schemas.microsoft.com/office/spreadsheetml/2010/11/main" uri="{DE250136-89BD-433C-8126-D09CA5730AF9}">
        <x15:connection id="56782f04-ed81-41ad-b4fc-a67cd8e93032"/>
      </ext>
    </extLst>
  </connection>
  <connection id="2" xr16:uid="{7D83D8EC-9F94-4E7F-AA52-9E19284A1607}" name="Query - Cost Summary" description="Connection to the 'Cost Summary' query in the workbook." type="100" refreshedVersion="6" minRefreshableVersion="5">
    <extLst>
      <ext xmlns:x15="http://schemas.microsoft.com/office/spreadsheetml/2010/11/main" uri="{DE250136-89BD-433C-8126-D09CA5730AF9}">
        <x15:connection id="98ff17cc-1c41-4145-9471-7fa381691f5d"/>
      </ext>
    </extLst>
  </connection>
  <connection id="3" xr16:uid="{BCD45E86-8201-4302-8A72-3CAF524C2E45}" name="Query - Materials" description="Connection to the 'Materials' query in the workbook." type="100" refreshedVersion="6" minRefreshableVersion="5">
    <extLst>
      <ext xmlns:x15="http://schemas.microsoft.com/office/spreadsheetml/2010/11/main" uri="{DE250136-89BD-433C-8126-D09CA5730AF9}">
        <x15:connection id="2e9f350c-4e14-4549-8ec0-93ff10249a0e"/>
      </ext>
    </extLst>
  </connection>
  <connection id="4" xr16:uid="{78668A42-970E-4FB3-A3B0-C6D3FC9502BB}" name="Query - ResourceCosts" description="Connection to the 'ResourceCosts' query in the workbook." type="100" refreshedVersion="6" minRefreshableVersion="5">
    <extLst>
      <ext xmlns:x15="http://schemas.microsoft.com/office/spreadsheetml/2010/11/main" uri="{DE250136-89BD-433C-8126-D09CA5730AF9}">
        <x15:connection id="e35140d1-71c0-4027-98ab-de16fd4ef346"/>
      </ext>
    </extLst>
  </connection>
  <connection id="5" xr16:uid="{CF40E05E-F7F6-4490-8C05-6E21514A1518}" name="Query - Resources" description="Connection to the 'Resources' query in the workbook." type="100" refreshedVersion="6" minRefreshableVersion="5">
    <extLst>
      <ext xmlns:x15="http://schemas.microsoft.com/office/spreadsheetml/2010/11/main" uri="{DE250136-89BD-433C-8126-D09CA5730AF9}">
        <x15:connection id="46d32cd8-c56d-455e-b1fe-6ab57637cd30"/>
      </ext>
    </extLst>
  </connection>
  <connection id="6" xr16:uid="{C0BF2476-D031-43AF-A75C-D6AB5F9CE1D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372312D-2738-44D0-88E1-6F5EEEFFA25E}" name="WorksheetConnection_Cost and Resource Model.xlsx!Actuals" type="102" refreshedVersion="6" minRefreshableVersion="5">
    <extLst>
      <ext xmlns:x15="http://schemas.microsoft.com/office/spreadsheetml/2010/11/main" uri="{DE250136-89BD-433C-8126-D09CA5730AF9}">
        <x15:connection id="Actuals">
          <x15:rangePr sourceName="_xlcn.WorksheetConnection_CostandResourceModel.xlsxActuals1"/>
        </x15:connection>
      </ext>
    </extLst>
  </connection>
  <connection id="8" xr16:uid="{F68D374E-FB10-41E7-B80F-C2A5446B01EF}" name="WorksheetConnection_Cost and Resource Model.xlsx!Materials" type="102" refreshedVersion="6" minRefreshableVersion="5">
    <extLst>
      <ext xmlns:x15="http://schemas.microsoft.com/office/spreadsheetml/2010/11/main" uri="{DE250136-89BD-433C-8126-D09CA5730AF9}">
        <x15:connection id="Materials">
          <x15:rangePr sourceName="_xlcn.WorksheetConnection_CostandResourceModel.xlsxMaterials1"/>
        </x15:connection>
      </ext>
    </extLst>
  </connection>
  <connection id="9" xr16:uid="{83F4845A-6281-46C5-8334-5870A953AD09}" name="WorksheetConnection_Cost and Resource Model.xlsx!ResourceCosts" type="102" refreshedVersion="6" minRefreshableVersion="5">
    <extLst>
      <ext xmlns:x15="http://schemas.microsoft.com/office/spreadsheetml/2010/11/main" uri="{DE250136-89BD-433C-8126-D09CA5730AF9}">
        <x15:connection id="ResourceCosts">
          <x15:rangePr sourceName="_xlcn.WorksheetConnection_CostandResourceModel.xlsxResourceCosts1"/>
        </x15:connection>
      </ext>
    </extLst>
  </connection>
  <connection id="10" xr16:uid="{EAE0C41F-A9C3-4129-8ACE-FAA0A83DE575}" name="WorksheetConnection_Cost and Resource Model.xlsx!Resources" type="102" refreshedVersion="6" minRefreshableVersion="5">
    <extLst>
      <ext xmlns:x15="http://schemas.microsoft.com/office/spreadsheetml/2010/11/main" uri="{DE250136-89BD-433C-8126-D09CA5730AF9}">
        <x15:connection id="Resources">
          <x15:rangePr sourceName="_xlcn.WorksheetConnection_CostandResourceModel.xlsxResources1"/>
        </x15:connection>
      </ext>
    </extLst>
  </connection>
</connections>
</file>

<file path=xl/sharedStrings.xml><?xml version="1.0" encoding="utf-8"?>
<sst xmlns="http://schemas.openxmlformats.org/spreadsheetml/2006/main" count="275" uniqueCount="116">
  <si>
    <t>Summary</t>
  </si>
  <si>
    <t>Project Name</t>
  </si>
  <si>
    <t>WBS Code</t>
  </si>
  <si>
    <t>Key Delivery Date</t>
  </si>
  <si>
    <t>Original Project Budget</t>
  </si>
  <si>
    <t>Forecasted Project Cost</t>
  </si>
  <si>
    <t>Project Variance</t>
  </si>
  <si>
    <t>Labour to Date</t>
  </si>
  <si>
    <t>Materials to Date</t>
  </si>
  <si>
    <t>Spend to Date</t>
  </si>
  <si>
    <t>Signed off Capex</t>
  </si>
  <si>
    <t>Forecasted Capex</t>
  </si>
  <si>
    <t>Capex Variance</t>
  </si>
  <si>
    <t>Project X</t>
  </si>
  <si>
    <t>Resource</t>
  </si>
  <si>
    <t>Name</t>
  </si>
  <si>
    <t>Manager</t>
  </si>
  <si>
    <t>Role</t>
  </si>
  <si>
    <t>Team</t>
  </si>
  <si>
    <t>Location</t>
  </si>
  <si>
    <t>Comments</t>
  </si>
  <si>
    <t>Rate</t>
  </si>
  <si>
    <t>Type</t>
  </si>
  <si>
    <t>Total Days</t>
  </si>
  <si>
    <t>Cost Type</t>
  </si>
  <si>
    <t>Capex</t>
  </si>
  <si>
    <t>Opex</t>
  </si>
  <si>
    <t>Overhead</t>
  </si>
  <si>
    <t>Start Date</t>
  </si>
  <si>
    <t>Sep-18</t>
  </si>
  <si>
    <t>Oct-18</t>
  </si>
  <si>
    <t>Nov-18</t>
  </si>
  <si>
    <t>Dec-18</t>
  </si>
  <si>
    <t>Jan-19</t>
  </si>
  <si>
    <t>Feb-19</t>
  </si>
  <si>
    <t>Mar-19</t>
  </si>
  <si>
    <t>Apr-19</t>
  </si>
  <si>
    <t>May-19</t>
  </si>
  <si>
    <t>Jun-19</t>
  </si>
  <si>
    <t>Jul-19</t>
  </si>
  <si>
    <t>Aug-19</t>
  </si>
  <si>
    <t>Sep-19</t>
  </si>
  <si>
    <t>Oct-19</t>
  </si>
  <si>
    <t>Kevin McAleer</t>
  </si>
  <si>
    <t>Project Manager</t>
  </si>
  <si>
    <t>Project Team</t>
  </si>
  <si>
    <t>Manchester</t>
  </si>
  <si>
    <t>Total</t>
  </si>
  <si>
    <t>BA</t>
  </si>
  <si>
    <t>Business Analyst</t>
  </si>
  <si>
    <t>Materials</t>
  </si>
  <si>
    <t>Item</t>
  </si>
  <si>
    <t>Category</t>
  </si>
  <si>
    <t>Cost</t>
  </si>
  <si>
    <t>Software Licence</t>
  </si>
  <si>
    <t>MaterialCategories</t>
  </si>
  <si>
    <t>Software</t>
  </si>
  <si>
    <t>Hardware</t>
  </si>
  <si>
    <t>Consultancy</t>
  </si>
  <si>
    <t>Maintenance</t>
  </si>
  <si>
    <t>Server</t>
  </si>
  <si>
    <t>Actuals</t>
  </si>
  <si>
    <t>Actuals to Date</t>
  </si>
  <si>
    <t>Resource Costs</t>
  </si>
  <si>
    <t>Total Cost</t>
  </si>
  <si>
    <t>Forecast</t>
  </si>
  <si>
    <t>Cumulative Forecast</t>
  </si>
  <si>
    <t>Actual</t>
  </si>
  <si>
    <t>Cumulative Actual</t>
  </si>
  <si>
    <t>Capex / Opex Breakdown</t>
  </si>
  <si>
    <t>Row Labels</t>
  </si>
  <si>
    <t>Grand Total</t>
  </si>
  <si>
    <t>Sum of Sep-18</t>
  </si>
  <si>
    <t>Sum of Oct-18</t>
  </si>
  <si>
    <t>Sum of Nov-18</t>
  </si>
  <si>
    <t>Sum of Dec-18</t>
  </si>
  <si>
    <t>Sum of Jan-19</t>
  </si>
  <si>
    <t>Sum of Feb-19</t>
  </si>
  <si>
    <t>Sum of Mar-19</t>
  </si>
  <si>
    <t>Sum of Apr-19</t>
  </si>
  <si>
    <t>Sum of May-19</t>
  </si>
  <si>
    <t>Sum of Jun-19</t>
  </si>
  <si>
    <t>Sum of Jul-19</t>
  </si>
  <si>
    <t>Sum of Aug-19</t>
  </si>
  <si>
    <t>Sum of Sep-19</t>
  </si>
  <si>
    <t>Sum of Oct-19</t>
  </si>
  <si>
    <t>Tester</t>
  </si>
  <si>
    <t>Test Analyst</t>
  </si>
  <si>
    <t>Software Licence Year 1</t>
  </si>
  <si>
    <t>(blank)</t>
  </si>
  <si>
    <t>Sum of Cost</t>
  </si>
  <si>
    <t>2018</t>
  </si>
  <si>
    <t>2019</t>
  </si>
  <si>
    <t>Sep</t>
  </si>
  <si>
    <t>Oct</t>
  </si>
  <si>
    <t>Nov</t>
  </si>
  <si>
    <t>Dec</t>
  </si>
  <si>
    <t>Jan</t>
  </si>
  <si>
    <t>Feb</t>
  </si>
  <si>
    <t>Mar</t>
  </si>
  <si>
    <t>Apr</t>
  </si>
  <si>
    <t>May</t>
  </si>
  <si>
    <t>Jun</t>
  </si>
  <si>
    <t>Jul</t>
  </si>
  <si>
    <t>Aug</t>
  </si>
  <si>
    <t>Purchase Orders and Invoices</t>
  </si>
  <si>
    <t>PO Number</t>
  </si>
  <si>
    <t>Date Raised</t>
  </si>
  <si>
    <t>Raised by</t>
  </si>
  <si>
    <t>Status</t>
  </si>
  <si>
    <t>Description</t>
  </si>
  <si>
    <t>Invoices</t>
  </si>
  <si>
    <t>Purchase Orders</t>
  </si>
  <si>
    <t>Invoice Number</t>
  </si>
  <si>
    <t>Amount</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</si>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</sst>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
  </numFmts>
  <fonts count="4" x14ac:knownFonts="1">
    <font>
      <sz val="12"/>
      <color theme="1"/>
      <name val="Calibri"/>
      <family val="2"/>
    </font>
    <font>
      <sz val="12"/>
      <color theme="1"/>
      <name val="Calibri"/>
      <family val="2"/>
    </font>
    <font>
      <b/>
      <sz val="12"/>
      <color theme="1"/>
      <name val="Calibri"/>
      <family val="2"/>
    </font>
    <font>
      <sz val="20"/>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3" fillId="0" borderId="0" xfId="0" applyFont="1"/>
    <xf numFmtId="0" fontId="2" fillId="0" borderId="0" xfId="0" applyFont="1"/>
    <xf numFmtId="0" fontId="2" fillId="0" borderId="0" xfId="0" applyFont="1" applyAlignment="1">
      <alignment horizontal="right"/>
    </xf>
    <xf numFmtId="14" fontId="0" fillId="0" borderId="0" xfId="0" applyNumberFormat="1"/>
    <xf numFmtId="44" fontId="0" fillId="0" borderId="0" xfId="1" applyFont="1"/>
    <xf numFmtId="17" fontId="0" fillId="0" borderId="0" xfId="0" applyNumberFormat="1"/>
    <xf numFmtId="44" fontId="0" fillId="0" borderId="0" xfId="0" applyNumberFormat="1"/>
    <xf numFmtId="0" fontId="0" fillId="0" borderId="0" xfId="0" applyNumberFormat="1"/>
    <xf numFmtId="0" fontId="0" fillId="0" borderId="0" xfId="0" applyAlignment="1">
      <alignment horizontal="center"/>
    </xf>
    <xf numFmtId="17" fontId="0" fillId="0" borderId="0" xfId="0" applyNumberFormat="1" applyAlignment="1">
      <alignment horizontal="center"/>
    </xf>
    <xf numFmtId="164" fontId="0" fillId="0" borderId="0" xfId="1" applyNumberFormat="1" applyFont="1"/>
    <xf numFmtId="164" fontId="0"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left"/>
    </xf>
    <xf numFmtId="0" fontId="0" fillId="0" borderId="0" xfId="0" applyAlignment="1">
      <alignment horizontal="left" indent="1"/>
    </xf>
    <xf numFmtId="165" fontId="0" fillId="0" borderId="0" xfId="1" applyNumberFormat="1" applyFont="1"/>
  </cellXfs>
  <cellStyles count="2">
    <cellStyle name="Currency" xfId="1" builtinId="4"/>
    <cellStyle name="Normal" xfId="0" builtinId="0"/>
  </cellStyles>
  <dxfs count="109">
    <dxf>
      <numFmt numFmtId="0" formatCode="General"/>
    </dxf>
    <dxf>
      <numFmt numFmtId="165" formatCode="&quot;£&quot;#,##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22" formatCode="mmm\-yy"/>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2"/>
        <color theme="1"/>
        <name val="Calibri"/>
        <family val="2"/>
        <scheme val="none"/>
      </font>
      <numFmt numFmtId="164" formatCode="_(&quot;£&quot;* #,##0_);_(&quot;£&quot;* \(#,##0\);_(&quot;£&quot;* &quot;-&quot;??_);_(@_)"/>
    </dxf>
    <dxf>
      <numFmt numFmtId="164" formatCode="_(&quot;£&quot;* #,##0_);_(&quot;£&quot;* \(#,##0\);_(&quot;£&quot;* &quot;-&quot;??_);_(@_)"/>
    </dxf>
    <dxf>
      <numFmt numFmtId="164" formatCode="_(&quot;£&quot;* #,##0_);_(&quot;£&quot;* \(#,##0\);_(&quot;£&quot;* &quot;-&quot;??_);_(@_)"/>
    </dxf>
    <dxf>
      <numFmt numFmtId="22" formatCode="mmm\-yy"/>
    </dxf>
    <dxf>
      <numFmt numFmtId="22" formatCode="mmm\-yy"/>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22" formatCode="mmm\-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4" formatCode="_(&quot;£&quot;* #,##0.00_);_(&quot;£&quot;* \(#,##0.00\);_(&quot;£&quot;* &quot;-&quot;??_);_(@_)"/>
    </dxf>
    <dxf>
      <numFmt numFmtId="0" formatCode="General"/>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Resource Profile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Resource!$A$1</c:f>
              <c:strCache>
                <c:ptCount val="1"/>
                <c:pt idx="0">
                  <c:v>Resource</c:v>
                </c:pt>
              </c:strCache>
            </c:strRef>
          </c:tx>
          <c:spPr>
            <a:solidFill>
              <a:schemeClr val="accent5"/>
            </a:solidFill>
            <a:ln>
              <a:noFill/>
            </a:ln>
            <a:effectLst/>
          </c:spPr>
          <c:invertIfNegative val="0"/>
          <c:cat>
            <c:strRef>
              <c:f>Resource!$L$3:$Y$3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Resource!$L$7:$Y$7</c:f>
              <c:numCache>
                <c:formatCode>General</c:formatCode>
                <c:ptCount val="14"/>
                <c:pt idx="0">
                  <c:v>31</c:v>
                </c:pt>
                <c:pt idx="1">
                  <c:v>34</c:v>
                </c:pt>
                <c:pt idx="2">
                  <c:v>32</c:v>
                </c:pt>
                <c:pt idx="3">
                  <c:v>17</c:v>
                </c:pt>
                <c:pt idx="4">
                  <c:v>44</c:v>
                </c:pt>
                <c:pt idx="5">
                  <c:v>41</c:v>
                </c:pt>
                <c:pt idx="6">
                  <c:v>42</c:v>
                </c:pt>
                <c:pt idx="7">
                  <c:v>43</c:v>
                </c:pt>
                <c:pt idx="8">
                  <c:v>43</c:v>
                </c:pt>
                <c:pt idx="9">
                  <c:v>31</c:v>
                </c:pt>
                <c:pt idx="10">
                  <c:v>34</c:v>
                </c:pt>
                <c:pt idx="11">
                  <c:v>32</c:v>
                </c:pt>
                <c:pt idx="12">
                  <c:v>32</c:v>
                </c:pt>
              </c:numCache>
            </c:numRef>
          </c:val>
          <c:extLst>
            <c:ext xmlns:c16="http://schemas.microsoft.com/office/drawing/2014/chart" uri="{C3380CC4-5D6E-409C-BE32-E72D297353CC}">
              <c16:uniqueId val="{00000000-CEAA-4C0D-BB42-9E64A216309F}"/>
            </c:ext>
          </c:extLst>
        </c:ser>
        <c:dLbls>
          <c:showLegendKey val="0"/>
          <c:showVal val="0"/>
          <c:showCatName val="0"/>
          <c:showSerName val="0"/>
          <c:showPercent val="0"/>
          <c:showBubbleSize val="0"/>
        </c:dLbls>
        <c:gapWidth val="10"/>
        <c:overlap val="-27"/>
        <c:axId val="273758560"/>
        <c:axId val="272021936"/>
      </c:barChart>
      <c:catAx>
        <c:axId val="27375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21936"/>
        <c:crosses val="autoZero"/>
        <c:auto val="1"/>
        <c:lblAlgn val="ctr"/>
        <c:lblOffset val="100"/>
        <c:noMultiLvlLbl val="0"/>
      </c:catAx>
      <c:valAx>
        <c:axId val="27202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75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Materials!$A$1</c:f>
              <c:strCache>
                <c:ptCount val="1"/>
                <c:pt idx="0">
                  <c:v>Materials</c:v>
                </c:pt>
              </c:strCache>
            </c:strRef>
          </c:tx>
          <c:spPr>
            <a:solidFill>
              <a:schemeClr val="accent1"/>
            </a:solidFill>
            <a:ln>
              <a:noFill/>
            </a:ln>
            <a:effectLst/>
          </c:spPr>
          <c:invertIfNegative val="0"/>
          <c:cat>
            <c:strRef>
              <c:f>Materials!$E$3:$R$3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Materials!$E$7:$R$7</c:f>
              <c:numCache>
                <c:formatCode>_("£"* #,##0_);_("£"* \(#,##0\);_("£"* "-"??_);_(@_)</c:formatCode>
                <c:ptCount val="14"/>
                <c:pt idx="0">
                  <c:v>333</c:v>
                </c:pt>
                <c:pt idx="1">
                  <c:v>333</c:v>
                </c:pt>
                <c:pt idx="2">
                  <c:v>333</c:v>
                </c:pt>
                <c:pt idx="3">
                  <c:v>333</c:v>
                </c:pt>
                <c:pt idx="4">
                  <c:v>10333</c:v>
                </c:pt>
                <c:pt idx="5">
                  <c:v>4333</c:v>
                </c:pt>
                <c:pt idx="6">
                  <c:v>333</c:v>
                </c:pt>
                <c:pt idx="7">
                  <c:v>333</c:v>
                </c:pt>
                <c:pt idx="8">
                  <c:v>333</c:v>
                </c:pt>
                <c:pt idx="9">
                  <c:v>333</c:v>
                </c:pt>
                <c:pt idx="10">
                  <c:v>333</c:v>
                </c:pt>
                <c:pt idx="11">
                  <c:v>333</c:v>
                </c:pt>
                <c:pt idx="12">
                  <c:v>333</c:v>
                </c:pt>
                <c:pt idx="13">
                  <c:v>333</c:v>
                </c:pt>
              </c:numCache>
            </c:numRef>
          </c:val>
          <c:extLst>
            <c:ext xmlns:c16="http://schemas.microsoft.com/office/drawing/2014/chart" uri="{C3380CC4-5D6E-409C-BE32-E72D297353CC}">
              <c16:uniqueId val="{00000000-8F65-49D2-AEB6-2266A7153284}"/>
            </c:ext>
          </c:extLst>
        </c:ser>
        <c:dLbls>
          <c:showLegendKey val="0"/>
          <c:showVal val="0"/>
          <c:showCatName val="0"/>
          <c:showSerName val="0"/>
          <c:showPercent val="0"/>
          <c:showBubbleSize val="0"/>
        </c:dLbls>
        <c:gapWidth val="10"/>
        <c:overlap val="-27"/>
        <c:axId val="1430142224"/>
        <c:axId val="1464460784"/>
      </c:barChart>
      <c:catAx>
        <c:axId val="143014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60784"/>
        <c:crosses val="autoZero"/>
        <c:auto val="1"/>
        <c:lblAlgn val="ctr"/>
        <c:lblOffset val="100"/>
        <c:noMultiLvlLbl val="0"/>
      </c:catAx>
      <c:valAx>
        <c:axId val="146446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Plan vs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Forecast!$A$7</c:f>
              <c:strCache>
                <c:ptCount val="1"/>
                <c:pt idx="0">
                  <c:v>Cumulative Forecast</c:v>
                </c:pt>
              </c:strCache>
            </c:strRef>
          </c:tx>
          <c:spPr>
            <a:ln w="28575" cap="rnd">
              <a:solidFill>
                <a:schemeClr val="accent5"/>
              </a:solidFill>
              <a:round/>
            </a:ln>
            <a:effectLst/>
          </c:spPr>
          <c:marker>
            <c:symbol val="none"/>
          </c:marker>
          <c:cat>
            <c:strRef>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Forecast!$C$7:$P$7</c:f>
              <c:numCache>
                <c:formatCode>_("£"* #,##0_);_("£"* \(#,##0\);_("£"* "-"??_);_(@_)</c:formatCode>
                <c:ptCount val="14"/>
                <c:pt idx="0">
                  <c:v>14833</c:v>
                </c:pt>
                <c:pt idx="1">
                  <c:v>31166</c:v>
                </c:pt>
                <c:pt idx="2">
                  <c:v>47499</c:v>
                </c:pt>
                <c:pt idx="3">
                  <c:v>62832</c:v>
                </c:pt>
                <c:pt idx="4">
                  <c:v>88165</c:v>
                </c:pt>
                <c:pt idx="5">
                  <c:v>100498</c:v>
                </c:pt>
                <c:pt idx="6">
                  <c:v>108831</c:v>
                </c:pt>
                <c:pt idx="7">
                  <c:v>129664</c:v>
                </c:pt>
                <c:pt idx="8">
                  <c:v>150497</c:v>
                </c:pt>
                <c:pt idx="9">
                  <c:v>169830</c:v>
                </c:pt>
                <c:pt idx="10">
                  <c:v>189163</c:v>
                </c:pt>
                <c:pt idx="11">
                  <c:v>208996</c:v>
                </c:pt>
                <c:pt idx="12">
                  <c:v>228829</c:v>
                </c:pt>
                <c:pt idx="13">
                  <c:v>249162</c:v>
                </c:pt>
              </c:numCache>
            </c:numRef>
          </c:val>
          <c:smooth val="0"/>
          <c:extLst>
            <c:ext xmlns:c16="http://schemas.microsoft.com/office/drawing/2014/chart" uri="{C3380CC4-5D6E-409C-BE32-E72D297353CC}">
              <c16:uniqueId val="{00000004-748E-4E63-9093-490F8D0EC421}"/>
            </c:ext>
          </c:extLst>
        </c:ser>
        <c:ser>
          <c:idx val="6"/>
          <c:order val="1"/>
          <c:tx>
            <c:strRef>
              <c:f>Forecast!$A$9</c:f>
              <c:strCache>
                <c:ptCount val="1"/>
                <c:pt idx="0">
                  <c:v>Cumulative Actual</c:v>
                </c:pt>
              </c:strCache>
            </c:strRef>
          </c:tx>
          <c:spPr>
            <a:ln w="28575" cap="rnd">
              <a:solidFill>
                <a:schemeClr val="accent1">
                  <a:lumMod val="60000"/>
                </a:schemeClr>
              </a:solidFill>
              <a:round/>
            </a:ln>
            <a:effectLst/>
          </c:spPr>
          <c:marker>
            <c:symbol val="none"/>
          </c:marker>
          <c:cat>
            <c:strRef>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f>Forecast!$C$9:$P$9</c:f>
              <c:numCache>
                <c:formatCode>_("£"* #,##0_);_("£"* \(#,##0\);_("£"* "-"??_);_(@_)</c:formatCode>
                <c:ptCount val="14"/>
                <c:pt idx="0">
                  <c:v>1000</c:v>
                </c:pt>
                <c:pt idx="1">
                  <c:v>3000</c:v>
                </c:pt>
                <c:pt idx="2">
                  <c:v>6000</c:v>
                </c:pt>
                <c:pt idx="3">
                  <c:v>10000</c:v>
                </c:pt>
                <c:pt idx="4">
                  <c:v>14500</c:v>
                </c:pt>
                <c:pt idx="5">
                  <c:v>19500</c:v>
                </c:pt>
                <c:pt idx="6">
                  <c:v>19500</c:v>
                </c:pt>
                <c:pt idx="7">
                  <c:v>19500</c:v>
                </c:pt>
                <c:pt idx="8">
                  <c:v>3000</c:v>
                </c:pt>
                <c:pt idx="9">
                  <c:v>6000</c:v>
                </c:pt>
                <c:pt idx="10">
                  <c:v>10000</c:v>
                </c:pt>
                <c:pt idx="11">
                  <c:v>14500</c:v>
                </c:pt>
                <c:pt idx="12">
                  <c:v>19500</c:v>
                </c:pt>
                <c:pt idx="13">
                  <c:v>19500</c:v>
                </c:pt>
              </c:numCache>
            </c:numRef>
          </c:val>
          <c:smooth val="0"/>
          <c:extLst>
            <c:ext xmlns:c16="http://schemas.microsoft.com/office/drawing/2014/chart" uri="{C3380CC4-5D6E-409C-BE32-E72D297353CC}">
              <c16:uniqueId val="{00000006-748E-4E63-9093-490F8D0EC421}"/>
            </c:ext>
          </c:extLst>
        </c:ser>
        <c:dLbls>
          <c:showLegendKey val="0"/>
          <c:showVal val="0"/>
          <c:showCatName val="0"/>
          <c:showSerName val="0"/>
          <c:showPercent val="0"/>
          <c:showBubbleSize val="0"/>
        </c:dLbls>
        <c:smooth val="0"/>
        <c:axId val="1284381664"/>
        <c:axId val="1464510704"/>
      </c:lineChart>
      <c:catAx>
        <c:axId val="12843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10704"/>
        <c:crosses val="autoZero"/>
        <c:auto val="1"/>
        <c:lblAlgn val="ctr"/>
        <c:lblOffset val="100"/>
        <c:noMultiLvlLbl val="0"/>
      </c:catAx>
      <c:valAx>
        <c:axId val="14645107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381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spend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Forecast!$A$4</c:f>
              <c:strCache>
                <c:ptCount val="1"/>
                <c:pt idx="0">
                  <c:v>Resource Costs</c:v>
                </c:pt>
              </c:strCache>
            </c:strRef>
          </c:tx>
          <c:spPr>
            <a:solidFill>
              <a:schemeClr val="accent1"/>
            </a:solidFill>
            <a:ln>
              <a:noFill/>
            </a:ln>
            <a:effectLst/>
          </c:spPr>
          <c:invertIfNegative val="0"/>
          <c:cat>
            <c:strRef>
              <c:extLst>
                <c:ext xmlns:c15="http://schemas.microsoft.com/office/drawing/2012/chart" uri="{02D57815-91ED-43cb-92C2-25804820EDAC}">
                  <c15:fullRef>
                    <c15:sqref>Forecast!$B$3:$P$3</c15:sqref>
                  </c15:fullRef>
                </c:ext>
              </c:extLst>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extLst>
                <c:ext xmlns:c15="http://schemas.microsoft.com/office/drawing/2012/chart" uri="{02D57815-91ED-43cb-92C2-25804820EDAC}">
                  <c15:fullRef>
                    <c15:sqref>Forecast!$B$4:$P$4</c15:sqref>
                  </c15:fullRef>
                </c:ext>
              </c:extLst>
              <c:f>Forecast!$C$4:$P$4</c:f>
              <c:numCache>
                <c:formatCode>_("£"* #,##0_);_("£"* \(#,##0\);_("£"* "-"??_);_(@_)</c:formatCode>
                <c:ptCount val="14"/>
                <c:pt idx="0">
                  <c:v>14500</c:v>
                </c:pt>
                <c:pt idx="1">
                  <c:v>16000</c:v>
                </c:pt>
                <c:pt idx="2">
                  <c:v>16000</c:v>
                </c:pt>
                <c:pt idx="3">
                  <c:v>15000</c:v>
                </c:pt>
                <c:pt idx="4">
                  <c:v>15000</c:v>
                </c:pt>
                <c:pt idx="5">
                  <c:v>8000</c:v>
                </c:pt>
                <c:pt idx="6">
                  <c:v>8000</c:v>
                </c:pt>
                <c:pt idx="7">
                  <c:v>20500</c:v>
                </c:pt>
                <c:pt idx="8">
                  <c:v>20500</c:v>
                </c:pt>
                <c:pt idx="9">
                  <c:v>19000</c:v>
                </c:pt>
                <c:pt idx="10">
                  <c:v>19000</c:v>
                </c:pt>
                <c:pt idx="11">
                  <c:v>19500</c:v>
                </c:pt>
                <c:pt idx="12">
                  <c:v>19500</c:v>
                </c:pt>
                <c:pt idx="13">
                  <c:v>20000</c:v>
                </c:pt>
              </c:numCache>
            </c:numRef>
          </c:val>
          <c:extLst>
            <c:ext xmlns:c16="http://schemas.microsoft.com/office/drawing/2014/chart" uri="{C3380CC4-5D6E-409C-BE32-E72D297353CC}">
              <c16:uniqueId val="{00000000-4DFE-420C-B738-8C80C7A8C3D7}"/>
            </c:ext>
          </c:extLst>
        </c:ser>
        <c:ser>
          <c:idx val="1"/>
          <c:order val="1"/>
          <c:tx>
            <c:strRef>
              <c:f>Forecast!$A$5</c:f>
              <c:strCache>
                <c:ptCount val="1"/>
                <c:pt idx="0">
                  <c:v>Materials</c:v>
                </c:pt>
              </c:strCache>
            </c:strRef>
          </c:tx>
          <c:spPr>
            <a:solidFill>
              <a:schemeClr val="accent2"/>
            </a:solidFill>
            <a:ln>
              <a:noFill/>
            </a:ln>
            <a:effectLst/>
          </c:spPr>
          <c:invertIfNegative val="0"/>
          <c:cat>
            <c:strRef>
              <c:extLst>
                <c:ext xmlns:c15="http://schemas.microsoft.com/office/drawing/2012/chart" uri="{02D57815-91ED-43cb-92C2-25804820EDAC}">
                  <c15:fullRef>
                    <c15:sqref>Forecast!$B$3:$P$3</c15:sqref>
                  </c15:fullRef>
                </c:ext>
              </c:extLst>
              <c:f>Forecast!$C$3:$P$3</c:f>
              <c:strCache>
                <c:ptCount val="14"/>
                <c:pt idx="0">
                  <c:v>Sep-18</c:v>
                </c:pt>
                <c:pt idx="1">
                  <c:v>Oct-18</c:v>
                </c:pt>
                <c:pt idx="2">
                  <c:v>Nov-18</c:v>
                </c:pt>
                <c:pt idx="3">
                  <c:v>Dec-18</c:v>
                </c:pt>
                <c:pt idx="4">
                  <c:v>Jan-19</c:v>
                </c:pt>
                <c:pt idx="5">
                  <c:v>Feb-19</c:v>
                </c:pt>
                <c:pt idx="6">
                  <c:v>Mar-19</c:v>
                </c:pt>
                <c:pt idx="7">
                  <c:v>Apr-19</c:v>
                </c:pt>
                <c:pt idx="8">
                  <c:v>May-19</c:v>
                </c:pt>
                <c:pt idx="9">
                  <c:v>Jun-19</c:v>
                </c:pt>
                <c:pt idx="10">
                  <c:v>Jul-19</c:v>
                </c:pt>
                <c:pt idx="11">
                  <c:v>Aug-19</c:v>
                </c:pt>
                <c:pt idx="12">
                  <c:v>Sep-19</c:v>
                </c:pt>
                <c:pt idx="13">
                  <c:v>Oct-19</c:v>
                </c:pt>
              </c:strCache>
            </c:strRef>
          </c:cat>
          <c:val>
            <c:numRef>
              <c:extLst>
                <c:ext xmlns:c15="http://schemas.microsoft.com/office/drawing/2012/chart" uri="{02D57815-91ED-43cb-92C2-25804820EDAC}">
                  <c15:fullRef>
                    <c15:sqref>Forecast!$B$5:$P$5</c15:sqref>
                  </c15:fullRef>
                </c:ext>
              </c:extLst>
              <c:f>Forecast!$C$5:$P$5</c:f>
              <c:numCache>
                <c:formatCode>_("£"* #,##0_);_("£"* \(#,##0\);_("£"* "-"??_);_(@_)</c:formatCode>
                <c:ptCount val="14"/>
                <c:pt idx="0">
                  <c:v>333</c:v>
                </c:pt>
                <c:pt idx="1">
                  <c:v>333</c:v>
                </c:pt>
                <c:pt idx="2">
                  <c:v>333</c:v>
                </c:pt>
                <c:pt idx="3">
                  <c:v>333</c:v>
                </c:pt>
                <c:pt idx="4">
                  <c:v>10333</c:v>
                </c:pt>
                <c:pt idx="5">
                  <c:v>4333</c:v>
                </c:pt>
                <c:pt idx="6">
                  <c:v>333</c:v>
                </c:pt>
                <c:pt idx="7">
                  <c:v>333</c:v>
                </c:pt>
                <c:pt idx="8">
                  <c:v>333</c:v>
                </c:pt>
                <c:pt idx="9">
                  <c:v>333</c:v>
                </c:pt>
                <c:pt idx="10">
                  <c:v>333</c:v>
                </c:pt>
                <c:pt idx="11">
                  <c:v>333</c:v>
                </c:pt>
                <c:pt idx="12">
                  <c:v>333</c:v>
                </c:pt>
                <c:pt idx="13">
                  <c:v>333</c:v>
                </c:pt>
              </c:numCache>
            </c:numRef>
          </c:val>
          <c:extLst>
            <c:ext xmlns:c16="http://schemas.microsoft.com/office/drawing/2014/chart" uri="{C3380CC4-5D6E-409C-BE32-E72D297353CC}">
              <c16:uniqueId val="{00000001-4DFE-420C-B738-8C80C7A8C3D7}"/>
            </c:ext>
          </c:extLst>
        </c:ser>
        <c:dLbls>
          <c:showLegendKey val="0"/>
          <c:showVal val="0"/>
          <c:showCatName val="0"/>
          <c:showSerName val="0"/>
          <c:showPercent val="0"/>
          <c:showBubbleSize val="0"/>
        </c:dLbls>
        <c:gapWidth val="10"/>
        <c:overlap val="100"/>
        <c:axId val="1274579744"/>
        <c:axId val="1464470768"/>
      </c:barChart>
      <c:catAx>
        <c:axId val="127457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470768"/>
        <c:crosses val="autoZero"/>
        <c:auto val="1"/>
        <c:lblAlgn val="ctr"/>
        <c:lblOffset val="100"/>
        <c:noMultiLvlLbl val="0"/>
      </c:catAx>
      <c:valAx>
        <c:axId val="146447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[resource_and_cost_model.xlsx]Opex!PivotTable4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Opex!$B$3:$B$4</c:f>
              <c:strCache>
                <c:ptCount val="1"/>
                <c:pt idx="0">
                  <c:v>Opex</c:v>
                </c:pt>
              </c:strCache>
            </c:strRef>
          </c:tx>
          <c:spPr>
            <a:ln w="28575" cap="rnd">
              <a:solidFill>
                <a:schemeClr val="accent1"/>
              </a:solidFill>
              <a:round/>
            </a:ln>
            <a:effectLst/>
          </c:spPr>
          <c:marker>
            <c:symbol val="none"/>
          </c:marker>
          <c:cat>
            <c:multiLvlStrRef>
              <c:f>Opex!$A$5:$A$21</c:f>
              <c:multiLvlStrCache>
                <c:ptCount val="14"/>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lvl>
                <c:lvl>
                  <c:pt idx="0">
                    <c:v>2018</c:v>
                  </c:pt>
                  <c:pt idx="4">
                    <c:v>2019</c:v>
                  </c:pt>
                </c:lvl>
              </c:multiLvlStrCache>
            </c:multiLvlStrRef>
          </c:cat>
          <c:val>
            <c:numRef>
              <c:f>Opex!$B$5:$B$21</c:f>
              <c:numCache>
                <c:formatCode>"£"#,##0</c:formatCode>
                <c:ptCount val="14"/>
                <c:pt idx="0">
                  <c:v>4333</c:v>
                </c:pt>
                <c:pt idx="1">
                  <c:v>4333</c:v>
                </c:pt>
                <c:pt idx="2">
                  <c:v>4333</c:v>
                </c:pt>
                <c:pt idx="3">
                  <c:v>4333</c:v>
                </c:pt>
                <c:pt idx="4">
                  <c:v>4333</c:v>
                </c:pt>
                <c:pt idx="5">
                  <c:v>2333</c:v>
                </c:pt>
                <c:pt idx="6">
                  <c:v>2333</c:v>
                </c:pt>
                <c:pt idx="7">
                  <c:v>4333</c:v>
                </c:pt>
                <c:pt idx="8">
                  <c:v>4333</c:v>
                </c:pt>
                <c:pt idx="9">
                  <c:v>4333</c:v>
                </c:pt>
                <c:pt idx="10">
                  <c:v>4333</c:v>
                </c:pt>
                <c:pt idx="11">
                  <c:v>4333</c:v>
                </c:pt>
                <c:pt idx="12">
                  <c:v>4333</c:v>
                </c:pt>
                <c:pt idx="13">
                  <c:v>4333</c:v>
                </c:pt>
              </c:numCache>
            </c:numRef>
          </c:val>
          <c:smooth val="0"/>
          <c:extLst>
            <c:ext xmlns:c16="http://schemas.microsoft.com/office/drawing/2014/chart" uri="{C3380CC4-5D6E-409C-BE32-E72D297353CC}">
              <c16:uniqueId val="{00000000-D5D9-48F1-A9AA-301C24700325}"/>
            </c:ext>
          </c:extLst>
        </c:ser>
        <c:dLbls>
          <c:showLegendKey val="0"/>
          <c:showVal val="0"/>
          <c:showCatName val="0"/>
          <c:showSerName val="0"/>
          <c:showPercent val="0"/>
          <c:showBubbleSize val="0"/>
        </c:dLbls>
        <c:smooth val="0"/>
        <c:axId val="83763312"/>
        <c:axId val="250342592"/>
      </c:lineChart>
      <c:catAx>
        <c:axId val="837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42592"/>
        <c:crosses val="autoZero"/>
        <c:auto val="1"/>
        <c:lblAlgn val="ctr"/>
        <c:lblOffset val="100"/>
        <c:noMultiLvlLbl val="0"/>
      </c:catAx>
      <c:valAx>
        <c:axId val="250342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[resource_and_cost_model.xlsx]Capex!PivotTable4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Capex!$B$3:$B$4</c:f>
              <c:strCache>
                <c:ptCount val="1"/>
                <c:pt idx="0">
                  <c:v>Capex</c:v>
                </c:pt>
              </c:strCache>
            </c:strRef>
          </c:tx>
          <c:spPr>
            <a:ln w="28575" cap="rnd">
              <a:solidFill>
                <a:schemeClr val="accent1"/>
              </a:solidFill>
              <a:round/>
            </a:ln>
            <a:effectLst/>
          </c:spPr>
          <c:marker>
            <c:symbol val="none"/>
          </c:marker>
          <c:cat>
            <c:multiLvlStrRef>
              <c:f>Capex!$A$5:$A$20</c:f>
              <c:multiLvlStrCache>
                <c:ptCount val="14"/>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lvl>
                <c:lvl>
                  <c:pt idx="0">
                    <c:v>2018</c:v>
                  </c:pt>
                  <c:pt idx="4">
                    <c:v>2019</c:v>
                  </c:pt>
                </c:lvl>
              </c:multiLvlStrCache>
            </c:multiLvlStrRef>
          </c:cat>
          <c:val>
            <c:numRef>
              <c:f>Capex!$B$5:$B$20</c:f>
              <c:numCache>
                <c:formatCode>"£"#,##0</c:formatCode>
                <c:ptCount val="14"/>
                <c:pt idx="0">
                  <c:v>10500</c:v>
                </c:pt>
                <c:pt idx="1">
                  <c:v>12000</c:v>
                </c:pt>
                <c:pt idx="2">
                  <c:v>12000</c:v>
                </c:pt>
                <c:pt idx="3">
                  <c:v>11000</c:v>
                </c:pt>
                <c:pt idx="4">
                  <c:v>21000</c:v>
                </c:pt>
                <c:pt idx="5">
                  <c:v>10000</c:v>
                </c:pt>
                <c:pt idx="6">
                  <c:v>6000</c:v>
                </c:pt>
                <c:pt idx="7">
                  <c:v>12000</c:v>
                </c:pt>
                <c:pt idx="8">
                  <c:v>12000</c:v>
                </c:pt>
                <c:pt idx="9">
                  <c:v>10500</c:v>
                </c:pt>
                <c:pt idx="10">
                  <c:v>10500</c:v>
                </c:pt>
                <c:pt idx="11">
                  <c:v>11000</c:v>
                </c:pt>
                <c:pt idx="12">
                  <c:v>11000</c:v>
                </c:pt>
                <c:pt idx="13">
                  <c:v>11500</c:v>
                </c:pt>
              </c:numCache>
            </c:numRef>
          </c:val>
          <c:smooth val="0"/>
          <c:extLst>
            <c:ext xmlns:c16="http://schemas.microsoft.com/office/drawing/2014/chart" uri="{C3380CC4-5D6E-409C-BE32-E72D297353CC}">
              <c16:uniqueId val="{00000000-5684-4446-9555-A82941DA519A}"/>
            </c:ext>
          </c:extLst>
        </c:ser>
        <c:dLbls>
          <c:showLegendKey val="0"/>
          <c:showVal val="0"/>
          <c:showCatName val="0"/>
          <c:showSerName val="0"/>
          <c:showPercent val="0"/>
          <c:showBubbleSize val="0"/>
        </c:dLbls>
        <c:smooth val="0"/>
        <c:axId val="1277783056"/>
        <c:axId val="272037744"/>
      </c:lineChart>
      <c:catAx>
        <c:axId val="127778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37744"/>
        <c:crosses val="autoZero"/>
        <c:auto val="1"/>
        <c:lblAlgn val="ctr"/>
        <c:lblOffset val="100"/>
        <c:noMultiLvlLbl val="0"/>
      </c:catAx>
      <c:valAx>
        <c:axId val="272037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78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7</xdr:col>
      <xdr:colOff>0</xdr:colOff>
      <xdr:row>12</xdr:row>
      <xdr:rowOff>0</xdr:rowOff>
    </xdr:to>
    <xdr:graphicFrame macro="">
      <xdr:nvGraphicFramePr>
        <xdr:cNvPr id="2" name="Chart 1">
          <a:extLst>
            <a:ext uri="{FF2B5EF4-FFF2-40B4-BE49-F238E27FC236}">
              <a16:creationId xmlns:a16="http://schemas.microsoft.com/office/drawing/2014/main" id="{500C49AD-322D-4ED8-A631-2A9EFF611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11</xdr:col>
      <xdr:colOff>0</xdr:colOff>
      <xdr:row>12</xdr:row>
      <xdr:rowOff>0</xdr:rowOff>
    </xdr:to>
    <xdr:graphicFrame macro="">
      <xdr:nvGraphicFramePr>
        <xdr:cNvPr id="3" name="Chart 2">
          <a:extLst>
            <a:ext uri="{FF2B5EF4-FFF2-40B4-BE49-F238E27FC236}">
              <a16:creationId xmlns:a16="http://schemas.microsoft.com/office/drawing/2014/main" id="{8E3E91F3-9945-48BA-9B4E-9579EFD45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12</xdr:row>
      <xdr:rowOff>0</xdr:rowOff>
    </xdr:from>
    <xdr:to>
      <xdr:col>7</xdr:col>
      <xdr:colOff>1</xdr:colOff>
      <xdr:row>23</xdr:row>
      <xdr:rowOff>0</xdr:rowOff>
    </xdr:to>
    <xdr:graphicFrame macro="">
      <xdr:nvGraphicFramePr>
        <xdr:cNvPr id="4" name="Chart 3">
          <a:extLst>
            <a:ext uri="{FF2B5EF4-FFF2-40B4-BE49-F238E27FC236}">
              <a16:creationId xmlns:a16="http://schemas.microsoft.com/office/drawing/2014/main" id="{51E6AE70-9CDD-4A91-9DB4-8E0A5B2DD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xdr:row>
      <xdr:rowOff>0</xdr:rowOff>
    </xdr:from>
    <xdr:to>
      <xdr:col>15</xdr:col>
      <xdr:colOff>0</xdr:colOff>
      <xdr:row>12</xdr:row>
      <xdr:rowOff>0</xdr:rowOff>
    </xdr:to>
    <xdr:graphicFrame macro="">
      <xdr:nvGraphicFramePr>
        <xdr:cNvPr id="5" name="Chart 4">
          <a:extLst>
            <a:ext uri="{FF2B5EF4-FFF2-40B4-BE49-F238E27FC236}">
              <a16:creationId xmlns:a16="http://schemas.microsoft.com/office/drawing/2014/main" id="{592D3773-368F-423C-A3E4-E630BF0A9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12</xdr:row>
      <xdr:rowOff>0</xdr:rowOff>
    </xdr:from>
    <xdr:to>
      <xdr:col>11</xdr:col>
      <xdr:colOff>0</xdr:colOff>
      <xdr:row>23</xdr:row>
      <xdr:rowOff>0</xdr:rowOff>
    </xdr:to>
    <xdr:graphicFrame macro="">
      <xdr:nvGraphicFramePr>
        <xdr:cNvPr id="7" name="Chart 6">
          <a:extLst>
            <a:ext uri="{FF2B5EF4-FFF2-40B4-BE49-F238E27FC236}">
              <a16:creationId xmlns:a16="http://schemas.microsoft.com/office/drawing/2014/main" id="{66D4B4BF-AABB-464E-A1D8-F117B7DCC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12</xdr:row>
      <xdr:rowOff>0</xdr:rowOff>
    </xdr:from>
    <xdr:to>
      <xdr:col>15</xdr:col>
      <xdr:colOff>0</xdr:colOff>
      <xdr:row>23</xdr:row>
      <xdr:rowOff>0</xdr:rowOff>
    </xdr:to>
    <xdr:graphicFrame macro="">
      <xdr:nvGraphicFramePr>
        <xdr:cNvPr id="8" name="Chart 7">
          <a:extLst>
            <a:ext uri="{FF2B5EF4-FFF2-40B4-BE49-F238E27FC236}">
              <a16:creationId xmlns:a16="http://schemas.microsoft.com/office/drawing/2014/main" id="{7B2FCBBF-6017-4BD1-8055-F1AE98387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376237</xdr:colOff>
      <xdr:row>11</xdr:row>
      <xdr:rowOff>166687</xdr:rowOff>
    </xdr:from>
    <xdr:to>
      <xdr:col>10</xdr:col>
      <xdr:colOff>319087</xdr:colOff>
      <xdr:row>25</xdr:row>
      <xdr:rowOff>33337</xdr:rowOff>
    </xdr:to>
    <mc:AlternateContent xmlns:mc="http://schemas.openxmlformats.org/markup-compatibility/2006" xmlns:a14="http://schemas.microsoft.com/office/drawing/2010/main">
      <mc:Choice Requires="a14">
        <xdr:graphicFrame macro="">
          <xdr:nvGraphicFramePr>
            <xdr:cNvPr id="2" name="Cost Type">
              <a:extLst>
                <a:ext uri="{FF2B5EF4-FFF2-40B4-BE49-F238E27FC236}">
                  <a16:creationId xmlns:a16="http://schemas.microsoft.com/office/drawing/2014/main" id="{CBBC0ECE-4E84-4C81-8050-AF24384BA645}"/>
                </a:ext>
              </a:extLst>
            </xdr:cNvPr>
            <xdr:cNvGraphicFramePr/>
          </xdr:nvGraphicFramePr>
          <xdr:xfrm>
            <a:off x="0" y="0"/>
            <a:ext cx="0" cy="0"/>
          </xdr:xfrm>
          <a:graphic>
            <a:graphicData uri="http://schemas.microsoft.com/office/drawing/2010/slicer">
              <sle:slicer xmlns:sle="http://schemas.microsoft.com/office/drawing/2010/slicer" name="Cost Type"/>
            </a:graphicData>
          </a:graphic>
        </xdr:graphicFrame>
      </mc:Choice>
      <mc:Fallback xmlns="">
        <xdr:sp macro="" textlink="">
          <xdr:nvSpPr>
            <xdr:cNvPr id="0" name=""/>
            <xdr:cNvSpPr>
              <a:spLocks noTextEdit="1"/>
            </xdr:cNvSpPr>
          </xdr:nvSpPr>
          <xdr:spPr>
            <a:xfrm>
              <a:off x="3609975" y="2366962"/>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376237</xdr:colOff>
      <xdr:row>11</xdr:row>
      <xdr:rowOff>166687</xdr:rowOff>
    </xdr:from>
    <xdr:to>
      <xdr:col>10</xdr:col>
      <xdr:colOff>319087</xdr:colOff>
      <xdr:row>25</xdr:row>
      <xdr:rowOff>33337</xdr:rowOff>
    </xdr:to>
    <mc:AlternateContent xmlns:mc="http://schemas.openxmlformats.org/markup-compatibility/2006" xmlns:a14="http://schemas.microsoft.com/office/drawing/2010/main">
      <mc:Choice Requires="a14">
        <xdr:graphicFrame macro="">
          <xdr:nvGraphicFramePr>
            <xdr:cNvPr id="2" name="Cost Type 1">
              <a:extLst>
                <a:ext uri="{FF2B5EF4-FFF2-40B4-BE49-F238E27FC236}">
                  <a16:creationId xmlns:a16="http://schemas.microsoft.com/office/drawing/2014/main" id="{A8DAB3A7-FCEA-4647-B101-85394D7F6E6F}"/>
                </a:ext>
              </a:extLst>
            </xdr:cNvPr>
            <xdr:cNvGraphicFramePr/>
          </xdr:nvGraphicFramePr>
          <xdr:xfrm>
            <a:off x="0" y="0"/>
            <a:ext cx="0" cy="0"/>
          </xdr:xfrm>
          <a:graphic>
            <a:graphicData uri="http://schemas.microsoft.com/office/drawing/2010/slicer">
              <sle:slicer xmlns:sle="http://schemas.microsoft.com/office/drawing/2010/slicer" name="Cost Type 1"/>
            </a:graphicData>
          </a:graphic>
        </xdr:graphicFrame>
      </mc:Choice>
      <mc:Fallback xmlns="">
        <xdr:sp macro="" textlink="">
          <xdr:nvSpPr>
            <xdr:cNvPr id="0" name=""/>
            <xdr:cNvSpPr>
              <a:spLocks noTextEdit="1"/>
            </xdr:cNvSpPr>
          </xdr:nvSpPr>
          <xdr:spPr>
            <a:xfrm>
              <a:off x="3609975" y="2366962"/>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2546299" backgroundQuery="1" createdVersion="6" refreshedVersion="6" minRefreshableVersion="3" recordCount="0" supportSubquery="1" supportAdvancedDrill="1" xr:uid="{57E89066-DE82-46EF-813A-FF64FFE1EFEA}">
  <cacheSource type="external" connectionId="6"/>
  <cacheFields count="4">
    <cacheField name="[Cost Summary].[Cost Type].[Cost Type]" caption="Cost Type" numFmtId="0" hierarchy="32" level="1">
      <sharedItems count="1">
        <s v="Opex"/>
      </sharedItems>
    </cacheField>
    <cacheField name="[Cost Summary].[Date (Year)].[Date (Year)]" caption="Date (Year)" numFmtId="0" hierarchy="36" level="1">
      <sharedItems count="2">
        <s v="2018"/>
        <s v="2019"/>
      </sharedItems>
    </cacheField>
    <cacheField name="[Cost Summary].[Date (Month)].[Date (Month)]" caption="Date (Month)" numFmtId="0" hierarchy="34" level="1">
      <sharedItems count="12">
        <s v="Sep"/>
        <s v="Oct"/>
        <s v="Nov"/>
        <s v="Dec"/>
        <s v="Jan"/>
        <s v="Feb"/>
        <s v="Mar"/>
        <s v="Apr"/>
        <s v="May"/>
        <s v="Jun"/>
        <s v="Jul"/>
        <s v="Aug"/>
      </sharedItems>
    </cacheField>
    <cacheField name="[Measures].[Sum of Cost]" caption="Sum of Cost" numFmtId="0" hierarchy="148" level="32767"/>
  </cacheFields>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fieldsUsage count="2">
        <fieldUsage x="-1"/>
        <fieldUsage x="0"/>
      </fieldsUsage>
    </cacheHierarchy>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2" memberValueDatatype="130" unbalanced="0">
      <fieldsUsage count="2">
        <fieldUsage x="-1"/>
        <fieldUsage x="2"/>
      </fieldsUsage>
    </cacheHierarchy>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2" memberValueDatatype="130" unbalanced="0">
      <fieldsUsage count="2">
        <fieldUsage x="-1"/>
        <fieldUsage x="1"/>
      </fieldsUsage>
    </cacheHierarchy>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0">
    <dimension name="Actuals" uniqueName="[Actuals]" caption="Actuals"/>
    <dimension name="Actuals 1" uniqueName="[Actuals 1]" caption="Actuals 1"/>
    <dimension name="Cost Summary" uniqueName="[Cost Summary]" caption="Cost Summary"/>
    <dimension name="Materials" uniqueName="[Materials]" caption="Materials"/>
    <dimension name="Materials 1" uniqueName="[Materials 1]" caption="Materials 1"/>
    <dimension measure="1" name="Measures" uniqueName="[Measures]" caption="Measures"/>
    <dimension name="ResourceCosts" uniqueName="[ResourceCosts]" caption="ResourceCosts"/>
    <dimension name="ResourceCosts 1" uniqueName="[ResourceCosts 1]" caption="ResourceCosts 1"/>
    <dimension name="Resources" uniqueName="[Resources]" caption="Resources"/>
    <dimension name="Resources 1" uniqueName="[Resources 1]" caption="Resources 1"/>
  </dimensions>
  <measureGroups count="9">
    <measureGroup name="Actuals" caption="Actuals"/>
    <measureGroup name="Actuals 1" caption="Actuals 1"/>
    <measureGroup name="Cost Summary" caption="Cost Summary"/>
    <measureGroup name="Materials" caption="Materials"/>
    <measureGroup name="Materials 1" caption="Materials 1"/>
    <measureGroup name="ResourceCosts" caption="ResourceCosts"/>
    <measureGroup name="ResourceCosts 1" caption="ResourceCosts 1"/>
    <measureGroup name="Resources" caption="Resources"/>
    <measureGroup name="Resources 1" caption="Resources 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5671294" backgroundQuery="1" createdVersion="6" refreshedVersion="6" minRefreshableVersion="3" recordCount="0" supportSubquery="1" supportAdvancedDrill="1" xr:uid="{36F7FE68-CF97-4B1C-B847-103E44F4D607}">
  <cacheSource type="external" connectionId="6"/>
  <cacheFields count="4">
    <cacheField name="[Cost Summary].[Cost Type].[Cost Type]" caption="Cost Type" numFmtId="0" hierarchy="32" level="1">
      <sharedItems count="1">
        <s v="Capex"/>
      </sharedItems>
    </cacheField>
    <cacheField name="[Cost Summary].[Date (Year)].[Date (Year)]" caption="Date (Year)" numFmtId="0" hierarchy="36" level="1">
      <sharedItems count="2">
        <s v="2018"/>
        <s v="2019"/>
      </sharedItems>
    </cacheField>
    <cacheField name="[Cost Summary].[Date (Month)].[Date (Month)]" caption="Date (Month)" numFmtId="0" hierarchy="34" level="1">
      <sharedItems count="12">
        <s v="Sep"/>
        <s v="Oct"/>
        <s v="Nov"/>
        <s v="Dec"/>
        <s v="Jan"/>
        <s v="Feb"/>
        <s v="Mar"/>
        <s v="Apr"/>
        <s v="May"/>
        <s v="Jun"/>
        <s v="Jul"/>
        <s v="Aug"/>
      </sharedItems>
    </cacheField>
    <cacheField name="[Measures].[Sum of Cost]" caption="Sum of Cost" numFmtId="0" hierarchy="148" level="32767"/>
  </cacheFields>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fieldsUsage count="2">
        <fieldUsage x="-1"/>
        <fieldUsage x="0"/>
      </fieldsUsage>
    </cacheHierarchy>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2" memberValueDatatype="130" unbalanced="0">
      <fieldsUsage count="2">
        <fieldUsage x="-1"/>
        <fieldUsage x="2"/>
      </fieldsUsage>
    </cacheHierarchy>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2" memberValueDatatype="130" unbalanced="0">
      <fieldsUsage count="2">
        <fieldUsage x="-1"/>
        <fieldUsage x="1"/>
      </fieldsUsage>
    </cacheHierarchy>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0">
    <dimension name="Actuals" uniqueName="[Actuals]" caption="Actuals"/>
    <dimension name="Actuals 1" uniqueName="[Actuals 1]" caption="Actuals 1"/>
    <dimension name="Cost Summary" uniqueName="[Cost Summary]" caption="Cost Summary"/>
    <dimension name="Materials" uniqueName="[Materials]" caption="Materials"/>
    <dimension name="Materials 1" uniqueName="[Materials 1]" caption="Materials 1"/>
    <dimension measure="1" name="Measures" uniqueName="[Measures]" caption="Measures"/>
    <dimension name="ResourceCosts" uniqueName="[ResourceCosts]" caption="ResourceCosts"/>
    <dimension name="ResourceCosts 1" uniqueName="[ResourceCosts 1]" caption="ResourceCosts 1"/>
    <dimension name="Resources" uniqueName="[Resources]" caption="Resources"/>
    <dimension name="Resources 1" uniqueName="[Resources 1]" caption="Resources 1"/>
  </dimensions>
  <measureGroups count="9">
    <measureGroup name="Actuals" caption="Actuals"/>
    <measureGroup name="Actuals 1" caption="Actuals 1"/>
    <measureGroup name="Cost Summary" caption="Cost Summary"/>
    <measureGroup name="Materials" caption="Materials"/>
    <measureGroup name="Materials 1" caption="Materials 1"/>
    <measureGroup name="ResourceCosts" caption="ResourceCosts"/>
    <measureGroup name="ResourceCosts 1" caption="ResourceCosts 1"/>
    <measureGroup name="Resources" caption="Resources"/>
    <measureGroup name="Resources 1" caption="Resources 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7754626" backgroundQuery="1" createdVersion="6" refreshedVersion="6" minRefreshableVersion="3" recordCount="0" supportSubquery="1" supportAdvancedDrill="1" xr:uid="{DD354298-328D-4579-BDBE-325225B4536F}">
  <cacheSource type="external" connectionId="6"/>
  <cacheFields count="4">
    <cacheField name="[Cost Summary].[Cost Type].[Cost Type]" caption="Cost Type" numFmtId="0" hierarchy="32" level="1">
      <sharedItems containsBlank="1" count="4">
        <m/>
        <s v="Capex"/>
        <s v="Opex"/>
        <s v="Overhead"/>
      </sharedItems>
    </cacheField>
    <cacheField name="[Cost Summary].[Date (Month)].[Date (Month)]" caption="Date (Month)" numFmtId="0" hierarchy="34" level="1">
      <sharedItems count="12">
        <s v="Sep"/>
        <s v="Oct"/>
        <s v="Nov"/>
        <s v="Dec"/>
        <s v="Jan"/>
        <s v="Feb"/>
        <s v="Mar"/>
        <s v="Apr"/>
        <s v="May"/>
        <s v="Jun"/>
        <s v="Jul"/>
        <s v="Aug"/>
      </sharedItems>
    </cacheField>
    <cacheField name="[Cost Summary].[Date (Year)].[Date (Year)]" caption="Date (Year)" numFmtId="0" hierarchy="36" level="1">
      <sharedItems count="2">
        <s v="2018"/>
        <s v="2019"/>
      </sharedItems>
    </cacheField>
    <cacheField name="[Measures].[Sum of Cost]" caption="Sum of Cost" numFmtId="0" hierarchy="148" level="32767"/>
  </cacheFields>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fieldsUsage count="2">
        <fieldUsage x="-1"/>
        <fieldUsage x="0"/>
      </fieldsUsage>
    </cacheHierarchy>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2" memberValueDatatype="130" unbalanced="0">
      <fieldsUsage count="2">
        <fieldUsage x="-1"/>
        <fieldUsage x="1"/>
      </fieldsUsage>
    </cacheHierarchy>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2" memberValueDatatype="130" unbalanced="0">
      <fieldsUsage count="2">
        <fieldUsage x="-1"/>
        <fieldUsage x="2"/>
      </fieldsUsage>
    </cacheHierarchy>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10">
    <dimension name="Actuals" uniqueName="[Actuals]" caption="Actuals"/>
    <dimension name="Actuals 1" uniqueName="[Actuals 1]" caption="Actuals 1"/>
    <dimension name="Cost Summary" uniqueName="[Cost Summary]" caption="Cost Summary"/>
    <dimension name="Materials" uniqueName="[Materials]" caption="Materials"/>
    <dimension name="Materials 1" uniqueName="[Materials 1]" caption="Materials 1"/>
    <dimension measure="1" name="Measures" uniqueName="[Measures]" caption="Measures"/>
    <dimension name="ResourceCosts" uniqueName="[ResourceCosts]" caption="ResourceCosts"/>
    <dimension name="ResourceCosts 1" uniqueName="[ResourceCosts 1]" caption="ResourceCosts 1"/>
    <dimension name="Resources" uniqueName="[Resources]" caption="Resources"/>
    <dimension name="Resources 1" uniqueName="[Resources 1]" caption="Resources 1"/>
  </dimensions>
  <measureGroups count="9">
    <measureGroup name="Actuals" caption="Actuals"/>
    <measureGroup name="Actuals 1" caption="Actuals 1"/>
    <measureGroup name="Cost Summary" caption="Cost Summary"/>
    <measureGroup name="Materials" caption="Materials"/>
    <measureGroup name="Materials 1" caption="Materials 1"/>
    <measureGroup name="ResourceCosts" caption="ResourceCosts"/>
    <measureGroup name="ResourceCosts 1" caption="ResourceCosts 1"/>
    <measureGroup name="Resources" caption="Resources"/>
    <measureGroup name="Resources 1" caption="Resources 1"/>
  </measureGroups>
  <maps count="9">
    <map measureGroup="0" dimension="0"/>
    <map measureGroup="1" dimension="1"/>
    <map measureGroup="2" dimension="2"/>
    <map measureGroup="3" dimension="3"/>
    <map measureGroup="4" dimension="4"/>
    <map measureGroup="5" dimension="6"/>
    <map measureGroup="6" dimension="7"/>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cAleer" refreshedDate="43348.586225115738" createdVersion="6" refreshedVersion="6" minRefreshableVersion="3" recordCount="3" xr:uid="{F905BC14-1BDB-E44B-AF63-366E6B25BBEC}">
  <cacheSource type="worksheet">
    <worksheetSource name="resourcecosts"/>
  </cacheSource>
  <cacheFields count="18">
    <cacheField name="Name" numFmtId="0">
      <sharedItems/>
    </cacheField>
    <cacheField name="Team" numFmtId="0">
      <sharedItems/>
    </cacheField>
    <cacheField name="Total Cost" numFmtId="164">
      <sharedItems containsSemiMixedTypes="0" containsString="0" containsNumber="1" containsInteger="1" minValue="31500" maxValue="147000"/>
    </cacheField>
    <cacheField name="Type" numFmtId="0">
      <sharedItems count="3">
        <s v="Capex"/>
        <s v="Opex"/>
        <s v="Overhead"/>
      </sharedItems>
    </cacheField>
    <cacheField name="Sep-18" numFmtId="164">
      <sharedItems containsSemiMixedTypes="0" containsString="0" containsNumber="1" containsInteger="1" minValue="0" maxValue="10500"/>
    </cacheField>
    <cacheField name="Oct-18" numFmtId="164">
      <sharedItems containsSemiMixedTypes="0" containsString="0" containsNumber="1" containsInteger="1" minValue="0" maxValue="12000"/>
    </cacheField>
    <cacheField name="Nov-18" numFmtId="164">
      <sharedItems containsSemiMixedTypes="0" containsString="0" containsNumber="1" containsInteger="1" minValue="0" maxValue="12000"/>
    </cacheField>
    <cacheField name="Dec-18" numFmtId="164">
      <sharedItems containsSemiMixedTypes="0" containsString="0" containsNumber="1" containsInteger="1" minValue="0" maxValue="11000"/>
    </cacheField>
    <cacheField name="Jan-19" numFmtId="164">
      <sharedItems containsSemiMixedTypes="0" containsString="0" containsNumber="1" containsInteger="1" minValue="0" maxValue="11000"/>
    </cacheField>
    <cacheField name="Feb-19" numFmtId="164">
      <sharedItems containsSemiMixedTypes="0" containsString="0" containsNumber="1" containsInteger="1" minValue="0" maxValue="6000"/>
    </cacheField>
    <cacheField name="Mar-19" numFmtId="164">
      <sharedItems containsSemiMixedTypes="0" containsString="0" containsNumber="1" containsInteger="1" minValue="0" maxValue="6000"/>
    </cacheField>
    <cacheField name="Apr-19" numFmtId="164">
      <sharedItems containsSemiMixedTypes="0" containsString="0" containsNumber="1" containsInteger="1" minValue="4000" maxValue="12000"/>
    </cacheField>
    <cacheField name="May-19" numFmtId="164">
      <sharedItems containsSemiMixedTypes="0" containsString="0" containsNumber="1" containsInteger="1" minValue="4000" maxValue="12000"/>
    </cacheField>
    <cacheField name="Jun-19" numFmtId="164">
      <sharedItems containsSemiMixedTypes="0" containsString="0" containsNumber="1" containsInteger="1" minValue="4000" maxValue="10500"/>
    </cacheField>
    <cacheField name="Jul-19" numFmtId="164">
      <sharedItems containsSemiMixedTypes="0" containsString="0" containsNumber="1" containsInteger="1" minValue="4000" maxValue="10500"/>
    </cacheField>
    <cacheField name="Aug-19" numFmtId="164">
      <sharedItems containsSemiMixedTypes="0" containsString="0" containsNumber="1" containsInteger="1" minValue="4000" maxValue="11000"/>
    </cacheField>
    <cacheField name="Sep-19" numFmtId="164">
      <sharedItems containsSemiMixedTypes="0" containsString="0" containsNumber="1" containsInteger="1" minValue="4000" maxValue="11000"/>
    </cacheField>
    <cacheField name="Oct-19" numFmtId="164">
      <sharedItems containsSemiMixedTypes="0" containsString="0" containsNumber="1" containsInteger="1" minValue="4000" maxValue="115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cAleer" refreshedDate="43348.586225462961" createdVersion="6" refreshedVersion="6" minRefreshableVersion="3" recordCount="3" xr:uid="{A25A74FC-49EB-C448-A264-716ECC4E438C}">
  <cacheSource type="worksheet">
    <worksheetSource name="materials"/>
  </cacheSource>
  <cacheFields count="18">
    <cacheField name="Item" numFmtId="0">
      <sharedItems/>
    </cacheField>
    <cacheField name="Category" numFmtId="0">
      <sharedItems/>
    </cacheField>
    <cacheField name="Cost Type" numFmtId="0">
      <sharedItems count="2">
        <s v="Opex"/>
        <s v="Capex"/>
      </sharedItems>
    </cacheField>
    <cacheField name="Cost" numFmtId="164">
      <sharedItems containsSemiMixedTypes="0" containsString="0" containsNumber="1" containsInteger="1" minValue="4000" maxValue="10000"/>
    </cacheField>
    <cacheField name="Sep-18" numFmtId="164">
      <sharedItems containsString="0" containsBlank="1" containsNumber="1" containsInteger="1" minValue="333" maxValue="333"/>
    </cacheField>
    <cacheField name="Oct-18" numFmtId="164">
      <sharedItems containsString="0" containsBlank="1" containsNumber="1" containsInteger="1" minValue="333" maxValue="333"/>
    </cacheField>
    <cacheField name="Nov-18" numFmtId="164">
      <sharedItems containsString="0" containsBlank="1" containsNumber="1" containsInteger="1" minValue="333" maxValue="333"/>
    </cacheField>
    <cacheField name="Dec-18" numFmtId="164">
      <sharedItems containsString="0" containsBlank="1" containsNumber="1" containsInteger="1" minValue="333" maxValue="333"/>
    </cacheField>
    <cacheField name="Jan-19" numFmtId="164">
      <sharedItems containsString="0" containsBlank="1" containsNumber="1" containsInteger="1" minValue="333" maxValue="10000"/>
    </cacheField>
    <cacheField name="Feb-19" numFmtId="164">
      <sharedItems containsString="0" containsBlank="1" containsNumber="1" containsInteger="1" minValue="333" maxValue="4000"/>
    </cacheField>
    <cacheField name="Mar-19" numFmtId="164">
      <sharedItems containsString="0" containsBlank="1" containsNumber="1" containsInteger="1" minValue="333" maxValue="333"/>
    </cacheField>
    <cacheField name="Apr-19" numFmtId="164">
      <sharedItems containsString="0" containsBlank="1" containsNumber="1" containsInteger="1" minValue="333" maxValue="333"/>
    </cacheField>
    <cacheField name="May-19" numFmtId="164">
      <sharedItems containsString="0" containsBlank="1" containsNumber="1" containsInteger="1" minValue="333" maxValue="333"/>
    </cacheField>
    <cacheField name="Jun-19" numFmtId="164">
      <sharedItems containsString="0" containsBlank="1" containsNumber="1" containsInteger="1" minValue="333" maxValue="333"/>
    </cacheField>
    <cacheField name="Jul-19" numFmtId="164">
      <sharedItems containsString="0" containsBlank="1" containsNumber="1" containsInteger="1" minValue="333" maxValue="333"/>
    </cacheField>
    <cacheField name="Aug-19" numFmtId="164">
      <sharedItems containsString="0" containsBlank="1" containsNumber="1" containsInteger="1" minValue="333" maxValue="333"/>
    </cacheField>
    <cacheField name="Sep-19" numFmtId="164">
      <sharedItems containsString="0" containsBlank="1" containsNumber="1" containsInteger="1" minValue="333" maxValue="333"/>
    </cacheField>
    <cacheField name="Oct-19" numFmtId="164">
      <sharedItems containsString="0" containsBlank="1" containsNumber="1" containsInteger="1" minValue="333" maxValue="33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1388891" backgroundQuery="1" createdVersion="3" refreshedVersion="6" minRefreshableVersion="3" recordCount="0" supportSubquery="1" supportAdvancedDrill="1" xr:uid="{C75C6B86-D711-4641-AFB4-F5CE7F04269D}">
  <cacheSource type="external" connectionId="6">
    <extLst>
      <ext xmlns:x14="http://schemas.microsoft.com/office/spreadsheetml/2009/9/main" uri="{F057638F-6D5F-4e77-A914-E7F072B9BCA8}">
        <x14:sourceConnection name="ThisWorkbookDataModel"/>
      </ext>
    </extLst>
  </cacheSource>
  <cacheFields count="0"/>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0" memberValueDatatype="130" unbalanced="0"/>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0" memberValueDatatype="130" unbalanced="0"/>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75832337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evin McAleer" refreshedDate="43348.586204398147" backgroundQuery="1" createdVersion="3" refreshedVersion="6" minRefreshableVersion="3" recordCount="0" supportSubquery="1" supportAdvancedDrill="1" xr:uid="{52F8EB64-E668-4BD2-BE95-33FCA2E6984A}">
  <cacheSource type="external" connectionId="6">
    <extLst>
      <ext xmlns:x14="http://schemas.microsoft.com/office/spreadsheetml/2009/9/main" uri="{F057638F-6D5F-4e77-A914-E7F072B9BCA8}">
        <x14:sourceConnection name="ThisWorkbookDataModel"/>
      </ext>
    </extLst>
  </cacheSource>
  <cacheFields count="0"/>
  <cacheHierarchies count="149">
    <cacheHierarchy uniqueName="[Actuals].[Actuals to Date]" caption="Actuals to Date" attribute="1" defaultMemberUniqueName="[Actuals].[Actuals to Date].[All]" allUniqueName="[Actuals].[Actuals to Date].[All]" dimensionUniqueName="[Actuals]" displayFolder="" count="0" memberValueDatatype="130" unbalanced="0"/>
    <cacheHierarchy uniqueName="[Actuals].[Apr-19]" caption="Apr-19" attribute="1" defaultMemberUniqueName="[Actuals].[Apr-19].[All]" allUniqueName="[Actuals].[Apr-19].[All]" dimensionUniqueName="[Actuals]" displayFolder="" count="0" memberValueDatatype="130" unbalanced="0"/>
    <cacheHierarchy uniqueName="[Actuals].[Aug-19]" caption="Aug-19" attribute="1" defaultMemberUniqueName="[Actuals].[Aug-19].[All]" allUniqueName="[Actuals].[Aug-19].[All]" dimensionUniqueName="[Actuals]" displayFolder="" count="0" memberValueDatatype="130" unbalanced="0"/>
    <cacheHierarchy uniqueName="[Actuals].[Dec-18]" caption="Dec-18" attribute="1" defaultMemberUniqueName="[Actuals].[Dec-18].[All]" allUniqueName="[Actuals].[Dec-18].[All]" dimensionUniqueName="[Actuals]" displayFolder="" count="0" memberValueDatatype="20" unbalanced="0"/>
    <cacheHierarchy uniqueName="[Actuals].[Feb-19]" caption="Feb-19" attribute="1" defaultMemberUniqueName="[Actuals].[Feb-19].[All]" allUniqueName="[Actuals].[Feb-19].[All]" dimensionUniqueName="[Actuals]" displayFolder="" count="0" memberValueDatatype="20" unbalanced="0"/>
    <cacheHierarchy uniqueName="[Actuals].[Jan-19]" caption="Jan-19" attribute="1" defaultMemberUniqueName="[Actuals].[Jan-19].[All]" allUniqueName="[Actuals].[Jan-19].[All]" dimensionUniqueName="[Actuals]" displayFolder="" count="0" memberValueDatatype="20" unbalanced="0"/>
    <cacheHierarchy uniqueName="[Actuals].[Jul-19]" caption="Jul-19" attribute="1" defaultMemberUniqueName="[Actuals].[Jul-19].[All]" allUniqueName="[Actuals].[Jul-19].[All]" dimensionUniqueName="[Actuals]" displayFolder="" count="0" memberValueDatatype="130" unbalanced="0"/>
    <cacheHierarchy uniqueName="[Actuals].[Jun-19]" caption="Jun-19" attribute="1" defaultMemberUniqueName="[Actuals].[Jun-19].[All]" allUniqueName="[Actuals].[Jun-19].[All]" dimensionUniqueName="[Actuals]" displayFolder="" count="0" memberValueDatatype="130" unbalanced="0"/>
    <cacheHierarchy uniqueName="[Actuals].[Mar-19]" caption="Mar-19" attribute="1" defaultMemberUniqueName="[Actuals].[Mar-19].[All]" allUniqueName="[Actuals].[Mar-19].[All]" dimensionUniqueName="[Actuals]" displayFolder="" count="0" memberValueDatatype="130" unbalanced="0"/>
    <cacheHierarchy uniqueName="[Actuals].[May-19]" caption="May-19" attribute="1" defaultMemberUniqueName="[Actuals].[May-19].[All]" allUniqueName="[Actuals].[May-19].[All]" dimensionUniqueName="[Actuals]" displayFolder="" count="0" memberValueDatatype="130" unbalanced="0"/>
    <cacheHierarchy uniqueName="[Actuals].[Nov-18]" caption="Nov-18" attribute="1" defaultMemberUniqueName="[Actuals].[Nov-18].[All]" allUniqueName="[Actuals].[Nov-18].[All]" dimensionUniqueName="[Actuals]" displayFolder="" count="0" memberValueDatatype="20" unbalanced="0"/>
    <cacheHierarchy uniqueName="[Actuals].[Oct-18]" caption="Oct-18" attribute="1" defaultMemberUniqueName="[Actuals].[Oct-18].[All]" allUniqueName="[Actuals].[Oct-18].[All]" dimensionUniqueName="[Actuals]" displayFolder="" count="0" memberValueDatatype="20" unbalanced="0"/>
    <cacheHierarchy uniqueName="[Actuals].[Oct-19]" caption="Oct-19" attribute="1" defaultMemberUniqueName="[Actuals].[Oct-19].[All]" allUniqueName="[Actuals].[Oct-19].[All]" dimensionUniqueName="[Actuals]" displayFolder="" count="0" memberValueDatatype="130" unbalanced="0"/>
    <cacheHierarchy uniqueName="[Actuals].[Sep-18]" caption="Sep-18" attribute="1" defaultMemberUniqueName="[Actuals].[Sep-18].[All]" allUniqueName="[Actuals].[Sep-18].[All]" dimensionUniqueName="[Actuals]" displayFolder="" count="0" memberValueDatatype="20" unbalanced="0"/>
    <cacheHierarchy uniqueName="[Actuals].[Sep-19]" caption="Sep-19" attribute="1" defaultMemberUniqueName="[Actuals].[Sep-19].[All]" allUniqueName="[Actuals].[Sep-19].[All]" dimensionUniqueName="[Actuals]" displayFolder="" count="0" memberValueDatatype="130" unbalanced="0"/>
    <cacheHierarchy uniqueName="[Actuals 1].[Actuals to Date]" caption="Actuals to Date" attribute="1" defaultMemberUniqueName="[Actuals 1].[Actuals to Date].[All]" allUniqueName="[Actuals 1].[Actuals to Date].[All]" dimensionUniqueName="[Actuals 1]" displayFolder="" count="0" memberValueDatatype="130" unbalanced="0"/>
    <cacheHierarchy uniqueName="[Actuals 1].[Apr-19]" caption="Apr-19" attribute="1" defaultMemberUniqueName="[Actuals 1].[Apr-19].[All]" allUniqueName="[Actuals 1].[Apr-19].[All]" dimensionUniqueName="[Actuals 1]" displayFolder="" count="0" memberValueDatatype="20" unbalanced="0"/>
    <cacheHierarchy uniqueName="[Actuals 1].[Aug-19]" caption="Aug-19" attribute="1" defaultMemberUniqueName="[Actuals 1].[Aug-19].[All]" allUniqueName="[Actuals 1].[Aug-19].[All]" dimensionUniqueName="[Actuals 1]" displayFolder="" count="0" memberValueDatatype="20" unbalanced="0"/>
    <cacheHierarchy uniqueName="[Actuals 1].[Dec-18]" caption="Dec-18" attribute="1" defaultMemberUniqueName="[Actuals 1].[Dec-18].[All]" allUniqueName="[Actuals 1].[Dec-18].[All]" dimensionUniqueName="[Actuals 1]" displayFolder="" count="0" memberValueDatatype="20" unbalanced="0"/>
    <cacheHierarchy uniqueName="[Actuals 1].[Feb-19]" caption="Feb-19" attribute="1" defaultMemberUniqueName="[Actuals 1].[Feb-19].[All]" allUniqueName="[Actuals 1].[Feb-19].[All]" dimensionUniqueName="[Actuals 1]" displayFolder="" count="0" memberValueDatatype="20" unbalanced="0"/>
    <cacheHierarchy uniqueName="[Actuals 1].[Jan-19]" caption="Jan-19" attribute="1" defaultMemberUniqueName="[Actuals 1].[Jan-19].[All]" allUniqueName="[Actuals 1].[Jan-19].[All]" dimensionUniqueName="[Actuals 1]" displayFolder="" count="0" memberValueDatatype="20" unbalanced="0"/>
    <cacheHierarchy uniqueName="[Actuals 1].[Jul-19]" caption="Jul-19" attribute="1" defaultMemberUniqueName="[Actuals 1].[Jul-19].[All]" allUniqueName="[Actuals 1].[Jul-19].[All]" dimensionUniqueName="[Actuals 1]" displayFolder="" count="0" memberValueDatatype="20" unbalanced="0"/>
    <cacheHierarchy uniqueName="[Actuals 1].[Jun-19]" caption="Jun-19" attribute="1" defaultMemberUniqueName="[Actuals 1].[Jun-19].[All]" allUniqueName="[Actuals 1].[Jun-19].[All]" dimensionUniqueName="[Actuals 1]" displayFolder="" count="0" memberValueDatatype="20" unbalanced="0"/>
    <cacheHierarchy uniqueName="[Actuals 1].[Mar-19]" caption="Mar-19" attribute="1" defaultMemberUniqueName="[Actuals 1].[Mar-19].[All]" allUniqueName="[Actuals 1].[Mar-19].[All]" dimensionUniqueName="[Actuals 1]" displayFolder="" count="0" memberValueDatatype="20" unbalanced="0"/>
    <cacheHierarchy uniqueName="[Actuals 1].[May-19]" caption="May-19" attribute="1" defaultMemberUniqueName="[Actuals 1].[May-19].[All]" allUniqueName="[Actuals 1].[May-19].[All]" dimensionUniqueName="[Actuals 1]" displayFolder="" count="0" memberValueDatatype="20" unbalanced="0"/>
    <cacheHierarchy uniqueName="[Actuals 1].[Nov-18]" caption="Nov-18" attribute="1" defaultMemberUniqueName="[Actuals 1].[Nov-18].[All]" allUniqueName="[Actuals 1].[Nov-18].[All]" dimensionUniqueName="[Actuals 1]" displayFolder="" count="0" memberValueDatatype="20" unbalanced="0"/>
    <cacheHierarchy uniqueName="[Actuals 1].[Oct-18]" caption="Oct-18" attribute="1" defaultMemberUniqueName="[Actuals 1].[Oct-18].[All]" allUniqueName="[Actuals 1].[Oct-18].[All]" dimensionUniqueName="[Actuals 1]" displayFolder="" count="0" memberValueDatatype="20" unbalanced="0"/>
    <cacheHierarchy uniqueName="[Actuals 1].[Oct-19]" caption="Oct-19" attribute="1" defaultMemberUniqueName="[Actuals 1].[Oct-19].[All]" allUniqueName="[Actuals 1].[Oct-19].[All]" dimensionUniqueName="[Actuals 1]" displayFolder="" count="0" memberValueDatatype="20" unbalanced="0"/>
    <cacheHierarchy uniqueName="[Actuals 1].[Sep-18]" caption="Sep-18" attribute="1" defaultMemberUniqueName="[Actuals 1].[Sep-18].[All]" allUniqueName="[Actuals 1].[Sep-18].[All]" dimensionUniqueName="[Actuals 1]" displayFolder="" count="0" memberValueDatatype="20" unbalanced="0"/>
    <cacheHierarchy uniqueName="[Actuals 1].[Sep-19]" caption="Sep-19" attribute="1" defaultMemberUniqueName="[Actuals 1].[Sep-19].[All]" allUniqueName="[Actuals 1].[Sep-19].[All]" dimensionUniqueName="[Actuals 1]" displayFolder="" count="0" memberValueDatatype="20" unbalanced="0"/>
    <cacheHierarchy uniqueName="[Cost Summary].[Cost]" caption="Cost" attribute="1" defaultMemberUniqueName="[Cost Summary].[Cost].[All]" allUniqueName="[Cost Summary].[Cost].[All]" dimensionUniqueName="[Cost Summary]" displayFolder="" count="0" memberValueDatatype="5" unbalanced="0"/>
    <cacheHierarchy uniqueName="[Cost Summary].[Cost Category]" caption="Cost Category" attribute="1" defaultMemberUniqueName="[Cost Summary].[Cost Category].[All]" allUniqueName="[Cost Summary].[Cost Category].[All]" dimensionUniqueName="[Cost Summary]" displayFolder="" count="0" memberValueDatatype="130" unbalanced="0"/>
    <cacheHierarchy uniqueName="[Cost Summary].[Cost Type]" caption="Cost Type" attribute="1" defaultMemberUniqueName="[Cost Summary].[Cost Type].[All]" allUniqueName="[Cost Summary].[Cost Type].[All]" dimensionUniqueName="[Cost Summary]" displayFolder="" count="2" memberValueDatatype="130" unbalanced="0"/>
    <cacheHierarchy uniqueName="[Cost Summary].[Date]" caption="Date" attribute="1" time="1" defaultMemberUniqueName="[Cost Summary].[Date].[All]" allUniqueName="[Cost Summary].[Date].[All]" dimensionUniqueName="[Cost Summary]" displayFolder="" count="0" memberValueDatatype="7" unbalanced="0"/>
    <cacheHierarchy uniqueName="[Cost Summary].[Date (Month)]" caption="Date (Month)" attribute="1" defaultMemberUniqueName="[Cost Summary].[Date (Month)].[All]" allUniqueName="[Cost Summary].[Date (Month)].[All]" dimensionUniqueName="[Cost Summary]" displayFolder="" count="0" memberValueDatatype="130" unbalanced="0"/>
    <cacheHierarchy uniqueName="[Cost Summary].[Date (Quarter)]" caption="Date (Quarter)" attribute="1" defaultMemberUniqueName="[Cost Summary].[Date (Quarter)].[All]" allUniqueName="[Cost Summary].[Date (Quarter)].[All]" dimensionUniqueName="[Cost Summary]" displayFolder="" count="0" memberValueDatatype="130" unbalanced="0"/>
    <cacheHierarchy uniqueName="[Cost Summary].[Date (Year)]" caption="Date (Year)" attribute="1" defaultMemberUniqueName="[Cost Summary].[Date (Year)].[All]" allUniqueName="[Cost Summary].[Date (Year)].[All]" dimensionUniqueName="[Cost Summary]" displayFolder="" count="0" memberValueDatatype="130" unbalanced="0"/>
    <cacheHierarchy uniqueName="[Cost Summary].[Name]" caption="Name" attribute="1" defaultMemberUniqueName="[Cost Summary].[Name].[All]" allUniqueName="[Cost Summary].[Name].[All]" dimensionUniqueName="[Cost Summary]" displayFolder="" count="0" memberValueDatatype="130" unbalanced="0"/>
    <cacheHierarchy uniqueName="[Cost Summary].[Team]" caption="Team" attribute="1" defaultMemberUniqueName="[Cost Summary].[Team].[All]" allUniqueName="[Cost Summary].[Team].[All]" dimensionUniqueName="[Cost Summary]" displayFolder="" count="0" memberValueDatatype="130" unbalanced="0"/>
    <cacheHierarchy uniqueName="[Materials].[Apr-19]" caption="Apr-19" attribute="1" defaultMemberUniqueName="[Materials].[Apr-19].[All]" allUniqueName="[Materials].[Apr-19].[All]" dimensionUniqueName="[Materials]" displayFolder="" count="0" memberValueDatatype="20" unbalanced="0"/>
    <cacheHierarchy uniqueName="[Materials].[Aug-19]" caption="Aug-19" attribute="1" defaultMemberUniqueName="[Materials].[Aug-19].[All]" allUniqueName="[Materials].[Aug-19].[All]" dimensionUniqueName="[Materials]" displayFolder="" count="0" memberValueDatatype="20" unbalanced="0"/>
    <cacheHierarchy uniqueName="[Materials].[Category]" caption="Category" attribute="1" defaultMemberUniqueName="[Materials].[Category].[All]" allUniqueName="[Materials].[Category].[All]" dimensionUniqueName="[Materials]" displayFolder="" count="0" memberValueDatatype="130" unbalanced="0"/>
    <cacheHierarchy uniqueName="[Materials].[Cost]" caption="Cost" attribute="1" defaultMemberUniqueName="[Materials].[Cost].[All]" allUniqueName="[Materials].[Cost].[All]" dimensionUniqueName="[Materials]" displayFolder="" count="0" memberValueDatatype="20" unbalanced="0"/>
    <cacheHierarchy uniqueName="[Materials].[Cost Type]" caption="Cost Type" attribute="1" defaultMemberUniqueName="[Materials].[Cost Type].[All]" allUniqueName="[Materials].[Cost Type].[All]" dimensionUniqueName="[Materials]" displayFolder="" count="0" memberValueDatatype="130" unbalanced="0"/>
    <cacheHierarchy uniqueName="[Materials].[Dec-18]" caption="Dec-18" attribute="1" defaultMemberUniqueName="[Materials].[Dec-18].[All]" allUniqueName="[Materials].[Dec-18].[All]" dimensionUniqueName="[Materials]" displayFolder="" count="0" memberValueDatatype="20" unbalanced="0"/>
    <cacheHierarchy uniqueName="[Materials].[Feb-19]" caption="Feb-19" attribute="1" defaultMemberUniqueName="[Materials].[Feb-19].[All]" allUniqueName="[Materials].[Feb-19].[All]" dimensionUniqueName="[Materials]" displayFolder="" count="0" memberValueDatatype="20" unbalanced="0"/>
    <cacheHierarchy uniqueName="[Materials].[Item]" caption="Item" attribute="1" defaultMemberUniqueName="[Materials].[Item].[All]" allUniqueName="[Materials].[Item].[All]" dimensionUniqueName="[Materials]" displayFolder="" count="0" memberValueDatatype="130" unbalanced="0"/>
    <cacheHierarchy uniqueName="[Materials].[Jan-19]" caption="Jan-19" attribute="1" defaultMemberUniqueName="[Materials].[Jan-19].[All]" allUniqueName="[Materials].[Jan-19].[All]" dimensionUniqueName="[Materials]" displayFolder="" count="0" memberValueDatatype="20" unbalanced="0"/>
    <cacheHierarchy uniqueName="[Materials].[Jul-19]" caption="Jul-19" attribute="1" defaultMemberUniqueName="[Materials].[Jul-19].[All]" allUniqueName="[Materials].[Jul-19].[All]" dimensionUniqueName="[Materials]" displayFolder="" count="0" memberValueDatatype="20" unbalanced="0"/>
    <cacheHierarchy uniqueName="[Materials].[Jun-19]" caption="Jun-19" attribute="1" defaultMemberUniqueName="[Materials].[Jun-19].[All]" allUniqueName="[Materials].[Jun-19].[All]" dimensionUniqueName="[Materials]" displayFolder="" count="0" memberValueDatatype="20" unbalanced="0"/>
    <cacheHierarchy uniqueName="[Materials].[Mar-19]" caption="Mar-19" attribute="1" defaultMemberUniqueName="[Materials].[Mar-19].[All]" allUniqueName="[Materials].[Mar-19].[All]" dimensionUniqueName="[Materials]" displayFolder="" count="0" memberValueDatatype="20" unbalanced="0"/>
    <cacheHierarchy uniqueName="[Materials].[May-19]" caption="May-19" attribute="1" defaultMemberUniqueName="[Materials].[May-19].[All]" allUniqueName="[Materials].[May-19].[All]" dimensionUniqueName="[Materials]" displayFolder="" count="0" memberValueDatatype="20" unbalanced="0"/>
    <cacheHierarchy uniqueName="[Materials].[Nov-18]" caption="Nov-18" attribute="1" defaultMemberUniqueName="[Materials].[Nov-18].[All]" allUniqueName="[Materials].[Nov-18].[All]" dimensionUniqueName="[Materials]" displayFolder="" count="0" memberValueDatatype="20" unbalanced="0"/>
    <cacheHierarchy uniqueName="[Materials].[Oct-18]" caption="Oct-18" attribute="1" defaultMemberUniqueName="[Materials].[Oct-18].[All]" allUniqueName="[Materials].[Oct-18].[All]" dimensionUniqueName="[Materials]" displayFolder="" count="0" memberValueDatatype="20" unbalanced="0"/>
    <cacheHierarchy uniqueName="[Materials].[Oct-19]" caption="Oct-19" attribute="1" defaultMemberUniqueName="[Materials].[Oct-19].[All]" allUniqueName="[Materials].[Oct-19].[All]" dimensionUniqueName="[Materials]" displayFolder="" count="0" memberValueDatatype="20" unbalanced="0"/>
    <cacheHierarchy uniqueName="[Materials].[Sep-18]" caption="Sep-18" attribute="1" defaultMemberUniqueName="[Materials].[Sep-18].[All]" allUniqueName="[Materials].[Sep-18].[All]" dimensionUniqueName="[Materials]" displayFolder="" count="0" memberValueDatatype="20" unbalanced="0"/>
    <cacheHierarchy uniqueName="[Materials].[Sep-19]" caption="Sep-19" attribute="1" defaultMemberUniqueName="[Materials].[Sep-19].[All]" allUniqueName="[Materials].[Sep-19].[All]" dimensionUniqueName="[Materials]" displayFolder="" count="0" memberValueDatatype="20" unbalanced="0"/>
    <cacheHierarchy uniqueName="[Materials 1].[Category]" caption="Category" attribute="1" defaultMemberUniqueName="[Materials 1].[Category].[All]" allUniqueName="[Materials 1].[Category].[All]" dimensionUniqueName="[Materials 1]" displayFolder="" count="0" memberValueDatatype="130" unbalanced="0"/>
    <cacheHierarchy uniqueName="[Materials 1].[Cost]" caption="Cost" attribute="1" defaultMemberUniqueName="[Materials 1].[Cost].[All]" allUniqueName="[Materials 1].[Cost].[All]" dimensionUniqueName="[Materials 1]" displayFolder="" count="0" memberValueDatatype="5" unbalanced="0"/>
    <cacheHierarchy uniqueName="[Materials 1].[Cost Category]" caption="Cost Category" attribute="1" defaultMemberUniqueName="[Materials 1].[Cost Category].[All]" allUniqueName="[Materials 1].[Cost Category].[All]" dimensionUniqueName="[Materials 1]" displayFolder="" count="0" memberValueDatatype="130" unbalanced="0"/>
    <cacheHierarchy uniqueName="[Materials 1].[Cost Type]" caption="Cost Type" attribute="1" defaultMemberUniqueName="[Materials 1].[Cost Type].[All]" allUniqueName="[Materials 1].[Cost Type].[All]" dimensionUniqueName="[Materials 1]" displayFolder="" count="0" memberValueDatatype="130" unbalanced="0"/>
    <cacheHierarchy uniqueName="[Materials 1].[Date]" caption="Date" attribute="1" time="1" defaultMemberUniqueName="[Materials 1].[Date].[All]" allUniqueName="[Materials 1].[Date].[All]" dimensionUniqueName="[Materials 1]" displayFolder="" count="0" memberValueDatatype="7" unbalanced="0"/>
    <cacheHierarchy uniqueName="[Materials 1].[Item]" caption="Item" attribute="1" defaultMemberUniqueName="[Materials 1].[Item].[All]" allUniqueName="[Materials 1].[Item].[All]" dimensionUniqueName="[Materials 1]" displayFolder="" count="0" memberValueDatatype="130" unbalanced="0"/>
    <cacheHierarchy uniqueName="[ResourceCosts].[Apr-19]" caption="Apr-19" attribute="1" defaultMemberUniqueName="[ResourceCosts].[Apr-19].[All]" allUniqueName="[ResourceCosts].[Apr-19].[All]" dimensionUniqueName="[ResourceCosts]" displayFolder="" count="0" memberValueDatatype="20" unbalanced="0"/>
    <cacheHierarchy uniqueName="[ResourceCosts].[Aug-19]" caption="Aug-19" attribute="1" defaultMemberUniqueName="[ResourceCosts].[Aug-19].[All]" allUniqueName="[ResourceCosts].[Aug-19].[All]" dimensionUniqueName="[ResourceCosts]" displayFolder="" count="0" memberValueDatatype="20" unbalanced="0"/>
    <cacheHierarchy uniqueName="[ResourceCosts].[Dec-18]" caption="Dec-18" attribute="1" defaultMemberUniqueName="[ResourceCosts].[Dec-18].[All]" allUniqueName="[ResourceCosts].[Dec-18].[All]" dimensionUniqueName="[ResourceCosts]" displayFolder="" count="0" memberValueDatatype="20" unbalanced="0"/>
    <cacheHierarchy uniqueName="[ResourceCosts].[Feb-19]" caption="Feb-19" attribute="1" defaultMemberUniqueName="[ResourceCosts].[Feb-19].[All]" allUniqueName="[ResourceCosts].[Feb-19].[All]" dimensionUniqueName="[ResourceCosts]" displayFolder="" count="0" memberValueDatatype="20" unbalanced="0"/>
    <cacheHierarchy uniqueName="[ResourceCosts].[Jan-19]" caption="Jan-19" attribute="1" defaultMemberUniqueName="[ResourceCosts].[Jan-19].[All]" allUniqueName="[ResourceCosts].[Jan-19].[All]" dimensionUniqueName="[ResourceCosts]" displayFolder="" count="0" memberValueDatatype="20" unbalanced="0"/>
    <cacheHierarchy uniqueName="[ResourceCosts].[Jul-19]" caption="Jul-19" attribute="1" defaultMemberUniqueName="[ResourceCosts].[Jul-19].[All]" allUniqueName="[ResourceCosts].[Jul-19].[All]" dimensionUniqueName="[ResourceCosts]" displayFolder="" count="0" memberValueDatatype="20" unbalanced="0"/>
    <cacheHierarchy uniqueName="[ResourceCosts].[Jun-19]" caption="Jun-19" attribute="1" defaultMemberUniqueName="[ResourceCosts].[Jun-19].[All]" allUniqueName="[ResourceCosts].[Jun-19].[All]" dimensionUniqueName="[ResourceCosts]" displayFolder="" count="0" memberValueDatatype="20" unbalanced="0"/>
    <cacheHierarchy uniqueName="[ResourceCosts].[Mar-19]" caption="Mar-19" attribute="1" defaultMemberUniqueName="[ResourceCosts].[Mar-19].[All]" allUniqueName="[ResourceCosts].[Mar-19].[All]" dimensionUniqueName="[ResourceCosts]" displayFolder="" count="0" memberValueDatatype="20" unbalanced="0"/>
    <cacheHierarchy uniqueName="[ResourceCosts].[May-19]" caption="May-19" attribute="1" defaultMemberUniqueName="[ResourceCosts].[May-19].[All]" allUniqueName="[ResourceCosts].[May-19].[All]" dimensionUniqueName="[ResourceCosts]" displayFolder="" count="0" memberValueDatatype="20" unbalanced="0"/>
    <cacheHierarchy uniqueName="[ResourceCosts].[Name]" caption="Name" attribute="1" defaultMemberUniqueName="[ResourceCosts].[Name].[All]" allUniqueName="[ResourceCosts].[Name].[All]" dimensionUniqueName="[ResourceCosts]" displayFolder="" count="0" memberValueDatatype="130" unbalanced="0"/>
    <cacheHierarchy uniqueName="[ResourceCosts].[Nov-18]" caption="Nov-18" attribute="1" defaultMemberUniqueName="[ResourceCosts].[Nov-18].[All]" allUniqueName="[ResourceCosts].[Nov-18].[All]" dimensionUniqueName="[ResourceCosts]" displayFolder="" count="0" memberValueDatatype="20" unbalanced="0"/>
    <cacheHierarchy uniqueName="[ResourceCosts].[Oct-18]" caption="Oct-18" attribute="1" defaultMemberUniqueName="[ResourceCosts].[Oct-18].[All]" allUniqueName="[ResourceCosts].[Oct-18].[All]" dimensionUniqueName="[ResourceCosts]" displayFolder="" count="0" memberValueDatatype="20" unbalanced="0"/>
    <cacheHierarchy uniqueName="[ResourceCosts].[Oct-19]" caption="Oct-19" attribute="1" defaultMemberUniqueName="[ResourceCosts].[Oct-19].[All]" allUniqueName="[ResourceCosts].[Oct-19].[All]" dimensionUniqueName="[ResourceCosts]" displayFolder="" count="0" memberValueDatatype="20" unbalanced="0"/>
    <cacheHierarchy uniqueName="[ResourceCosts].[Sep-18]" caption="Sep-18" attribute="1" defaultMemberUniqueName="[ResourceCosts].[Sep-18].[All]" allUniqueName="[ResourceCosts].[Sep-18].[All]" dimensionUniqueName="[ResourceCosts]" displayFolder="" count="0" memberValueDatatype="20" unbalanced="0"/>
    <cacheHierarchy uniqueName="[ResourceCosts].[Sep-19]" caption="Sep-19" attribute="1" defaultMemberUniqueName="[ResourceCosts].[Sep-19].[All]" allUniqueName="[ResourceCosts].[Sep-19].[All]" dimensionUniqueName="[ResourceCosts]" displayFolder="" count="0" memberValueDatatype="20" unbalanced="0"/>
    <cacheHierarchy uniqueName="[ResourceCosts].[Team]" caption="Team" attribute="1" defaultMemberUniqueName="[ResourceCosts].[Team].[All]" allUniqueName="[ResourceCosts].[Team].[All]" dimensionUniqueName="[ResourceCosts]" displayFolder="" count="0" memberValueDatatype="130" unbalanced="0"/>
    <cacheHierarchy uniqueName="[ResourceCosts].[Total Cost]" caption="Total Cost" attribute="1" defaultMemberUniqueName="[ResourceCosts].[Total Cost].[All]" allUniqueName="[ResourceCosts].[Total Cost].[All]" dimensionUniqueName="[ResourceCosts]" displayFolder="" count="0" memberValueDatatype="20" unbalanced="0"/>
    <cacheHierarchy uniqueName="[ResourceCosts].[Type]" caption="Type" attribute="1" defaultMemberUniqueName="[ResourceCosts].[Type].[All]" allUniqueName="[ResourceCosts].[Type].[All]" dimensionUniqueName="[ResourceCosts]" displayFolder="" count="0" memberValueDatatype="130" unbalanced="0"/>
    <cacheHierarchy uniqueName="[ResourceCosts 1].[Cost]" caption="Cost" attribute="1" defaultMemberUniqueName="[ResourceCosts 1].[Cost].[All]" allUniqueName="[ResourceCosts 1].[Cost].[All]" dimensionUniqueName="[ResourceCosts 1]" displayFolder="" count="0" memberValueDatatype="5" unbalanced="0"/>
    <cacheHierarchy uniqueName="[ResourceCosts 1].[Cost Category]" caption="Cost Category" attribute="1" defaultMemberUniqueName="[ResourceCosts 1].[Cost Category].[All]" allUniqueName="[ResourceCosts 1].[Cost Category].[All]" dimensionUniqueName="[ResourceCosts 1]" displayFolder="" count="0" memberValueDatatype="130" unbalanced="0"/>
    <cacheHierarchy uniqueName="[ResourceCosts 1].[Cost Type]" caption="Cost Type" attribute="1" defaultMemberUniqueName="[ResourceCosts 1].[Cost Type].[All]" allUniqueName="[ResourceCosts 1].[Cost Type].[All]" dimensionUniqueName="[ResourceCosts 1]" displayFolder="" count="0" memberValueDatatype="130" unbalanced="0"/>
    <cacheHierarchy uniqueName="[ResourceCosts 1].[Date]" caption="Date" attribute="1" time="1" defaultMemberUniqueName="[ResourceCosts 1].[Date].[All]" allUniqueName="[ResourceCosts 1].[Date].[All]" dimensionUniqueName="[ResourceCosts 1]" displayFolder="" count="0" memberValueDatatype="7" unbalanced="0"/>
    <cacheHierarchy uniqueName="[ResourceCosts 1].[Name]" caption="Name" attribute="1" defaultMemberUniqueName="[ResourceCosts 1].[Name].[All]" allUniqueName="[ResourceCosts 1].[Name].[All]" dimensionUniqueName="[ResourceCosts 1]" displayFolder="" count="0" memberValueDatatype="130" unbalanced="0"/>
    <cacheHierarchy uniqueName="[ResourceCosts 1].[Team]" caption="Team" attribute="1" defaultMemberUniqueName="[ResourceCosts 1].[Team].[All]" allUniqueName="[ResourceCosts 1].[Team].[All]" dimensionUniqueName="[ResourceCosts 1]" displayFolder="" count="0" memberValueDatatype="130" unbalanced="0"/>
    <cacheHierarchy uniqueName="[Resources].[Apr-19]" caption="Apr-19" attribute="1" defaultMemberUniqueName="[Resources].[Apr-19].[All]" allUniqueName="[Resources].[Apr-19].[All]" dimensionUniqueName="[Resources]" displayFolder="" count="0" memberValueDatatype="20" unbalanced="0"/>
    <cacheHierarchy uniqueName="[Resources].[Aug-19]" caption="Aug-19" attribute="1" defaultMemberUniqueName="[Resources].[Aug-19].[All]" allUniqueName="[Resources].[Aug-19].[All]" dimensionUniqueName="[Resources]" displayFolder="" count="0" memberValueDatatype="20" unbalanced="0"/>
    <cacheHierarchy uniqueName="[Resources].[Comments]" caption="Comments" attribute="1" defaultMemberUniqueName="[Resources].[Comments].[All]" allUniqueName="[Resources].[Comments].[All]" dimensionUniqueName="[Resources]" displayFolder="" count="0" memberValueDatatype="130" unbalanced="0"/>
    <cacheHierarchy uniqueName="[Resources].[Cost Type]" caption="Cost Type" attribute="1" defaultMemberUniqueName="[Resources].[Cost Type].[All]" allUniqueName="[Resources].[Cost Type].[All]" dimensionUniqueName="[Resources]" displayFolder="" count="0" memberValueDatatype="130" unbalanced="0"/>
    <cacheHierarchy uniqueName="[Resources].[Dec-18]" caption="Dec-18" attribute="1" defaultMemberUniqueName="[Resources].[Dec-18].[All]" allUniqueName="[Resources].[Dec-18].[All]" dimensionUniqueName="[Resources]" displayFolder="" count="0" memberValueDatatype="20" unbalanced="0"/>
    <cacheHierarchy uniqueName="[Resources].[Feb-19]" caption="Feb-19" attribute="1" defaultMemberUniqueName="[Resources].[Feb-19].[All]" allUniqueName="[Resources].[Feb-19].[All]" dimensionUniqueName="[Resources]" displayFolder="" count="0" memberValueDatatype="20" unbalanced="0"/>
    <cacheHierarchy uniqueName="[Resources].[Jan-19]" caption="Jan-19" attribute="1" defaultMemberUniqueName="[Resources].[Jan-19].[All]" allUniqueName="[Resources].[Jan-19].[All]" dimensionUniqueName="[Resources]" displayFolder="" count="0" memberValueDatatype="20" unbalanced="0"/>
    <cacheHierarchy uniqueName="[Resources].[Jul-19]" caption="Jul-19" attribute="1" defaultMemberUniqueName="[Resources].[Jul-19].[All]" allUniqueName="[Resources].[Jul-19].[All]" dimensionUniqueName="[Resources]" displayFolder="" count="0" memberValueDatatype="20" unbalanced="0"/>
    <cacheHierarchy uniqueName="[Resources].[Jun-19]" caption="Jun-19" attribute="1" defaultMemberUniqueName="[Resources].[Jun-19].[All]" allUniqueName="[Resources].[Jun-19].[All]" dimensionUniqueName="[Resources]" displayFolder="" count="0" memberValueDatatype="20" unbalanced="0"/>
    <cacheHierarchy uniqueName="[Resources].[Location]" caption="Location" attribute="1" defaultMemberUniqueName="[Resources].[Location].[All]" allUniqueName="[Resources].[Location].[All]" dimensionUniqueName="[Resources]" displayFolder="" count="0" memberValueDatatype="130" unbalanced="0"/>
    <cacheHierarchy uniqueName="[Resources].[Manager]" caption="Manager" attribute="1" defaultMemberUniqueName="[Resources].[Manager].[All]" allUniqueName="[Resources].[Manager].[All]" dimensionUniqueName="[Resources]" displayFolder="" count="0" memberValueDatatype="130" unbalanced="0"/>
    <cacheHierarchy uniqueName="[Resources].[Mar-19]" caption="Mar-19" attribute="1" defaultMemberUniqueName="[Resources].[Mar-19].[All]" allUniqueName="[Resources].[Mar-19].[All]" dimensionUniqueName="[Resources]" displayFolder="" count="0" memberValueDatatype="20" unbalanced="0"/>
    <cacheHierarchy uniqueName="[Resources].[May-19]" caption="May-19" attribute="1" defaultMemberUniqueName="[Resources].[May-19].[All]" allUniqueName="[Resources].[May-19].[All]" dimensionUniqueName="[Resources]" displayFolder="" count="0" memberValueDatatype="20" unbalanced="0"/>
    <cacheHierarchy uniqueName="[Resources].[Name]" caption="Name" attribute="1" defaultMemberUniqueName="[Resources].[Name].[All]" allUniqueName="[Resources].[Name].[All]" dimensionUniqueName="[Resources]" displayFolder="" count="0" memberValueDatatype="130" unbalanced="0"/>
    <cacheHierarchy uniqueName="[Resources].[Nov-18]" caption="Nov-18" attribute="1" defaultMemberUniqueName="[Resources].[Nov-18].[All]" allUniqueName="[Resources].[Nov-18].[All]" dimensionUniqueName="[Resources]" displayFolder="" count="0" memberValueDatatype="20" unbalanced="0"/>
    <cacheHierarchy uniqueName="[Resources].[Oct-18]" caption="Oct-18" attribute="1" defaultMemberUniqueName="[Resources].[Oct-18].[All]" allUniqueName="[Resources].[Oct-18].[All]" dimensionUniqueName="[Resources]" displayFolder="" count="0" memberValueDatatype="20" unbalanced="0"/>
    <cacheHierarchy uniqueName="[Resources].[Oct-19]" caption="Oct-19" attribute="1" defaultMemberUniqueName="[Resources].[Oct-19].[All]" allUniqueName="[Resources].[Oct-19].[All]" dimensionUniqueName="[Resources]" displayFolder="" count="0" memberValueDatatype="130" unbalanced="0"/>
    <cacheHierarchy uniqueName="[Resources].[Rate]" caption="Rate" attribute="1" defaultMemberUniqueName="[Resources].[Rate].[All]" allUniqueName="[Resources].[Rate].[All]" dimensionUniqueName="[Resources]" displayFolder="" count="0" memberValueDatatype="20" unbalanced="0"/>
    <cacheHierarchy uniqueName="[Resources].[Role]" caption="Role" attribute="1" defaultMemberUniqueName="[Resources].[Role].[All]" allUniqueName="[Resources].[Role].[All]" dimensionUniqueName="[Resources]" displayFolder="" count="0" memberValueDatatype="130" unbalanced="0"/>
    <cacheHierarchy uniqueName="[Resources].[Sep-18]" caption="Sep-18" attribute="1" defaultMemberUniqueName="[Resources].[Sep-18].[All]" allUniqueName="[Resources].[Sep-18].[All]" dimensionUniqueName="[Resources]" displayFolder="" count="0" memberValueDatatype="20" unbalanced="0"/>
    <cacheHierarchy uniqueName="[Resources].[Sep-19]" caption="Sep-19" attribute="1" defaultMemberUniqueName="[Resources].[Sep-19].[All]" allUniqueName="[Resources].[Sep-19].[All]" dimensionUniqueName="[Resources]" displayFolder="" count="0" memberValueDatatype="20" unbalanced="0"/>
    <cacheHierarchy uniqueName="[Resources].[Team]" caption="Team" attribute="1" defaultMemberUniqueName="[Resources].[Team].[All]" allUniqueName="[Resources].[Team].[All]" dimensionUniqueName="[Resources]" displayFolder="" count="0" memberValueDatatype="130" unbalanced="0"/>
    <cacheHierarchy uniqueName="[Resources].[Total Cost]" caption="Total Cost" attribute="1" defaultMemberUniqueName="[Resources].[Total Cost].[All]" allUniqueName="[Resources].[Total Cost].[All]" dimensionUniqueName="[Resources]" displayFolder="" count="0" memberValueDatatype="20" unbalanced="0"/>
    <cacheHierarchy uniqueName="[Resources].[Total Days]" caption="Total Days" attribute="1" defaultMemberUniqueName="[Resources].[Total Days].[All]" allUniqueName="[Resources].[Total Days].[All]" dimensionUniqueName="[Resources]" displayFolder="" count="0" memberValueDatatype="20" unbalanced="0"/>
    <cacheHierarchy uniqueName="[Resources].[Type]" caption="Type" attribute="1" defaultMemberUniqueName="[Resources].[Type].[All]" allUniqueName="[Resources].[Type].[All]" dimensionUniqueName="[Resources]" displayFolder="" count="0" memberValueDatatype="130" unbalanced="0"/>
    <cacheHierarchy uniqueName="[Resources 1].[Apr-19]" caption="Apr-19" attribute="1" defaultMemberUniqueName="[Resources 1].[Apr-19].[All]" allUniqueName="[Resources 1].[Apr-19].[All]" dimensionUniqueName="[Resources 1]" displayFolder="" count="0" memberValueDatatype="20" unbalanced="0"/>
    <cacheHierarchy uniqueName="[Resources 1].[Aug-19]" caption="Aug-19" attribute="1" defaultMemberUniqueName="[Resources 1].[Aug-19].[All]" allUniqueName="[Resources 1].[Aug-19].[All]" dimensionUniqueName="[Resources 1]" displayFolder="" count="0" memberValueDatatype="20" unbalanced="0"/>
    <cacheHierarchy uniqueName="[Resources 1].[Comments]" caption="Comments" attribute="1" defaultMemberUniqueName="[Resources 1].[Comments].[All]" allUniqueName="[Resources 1].[Comments].[All]" dimensionUniqueName="[Resources 1]" displayFolder="" count="0" memberValueDatatype="130" unbalanced="0"/>
    <cacheHierarchy uniqueName="[Resources 1].[Cost Type]" caption="Cost Type" attribute="1" defaultMemberUniqueName="[Resources 1].[Cost Type].[All]" allUniqueName="[Resources 1].[Cost Type].[All]" dimensionUniqueName="[Resources 1]" displayFolder="" count="0" memberValueDatatype="130" unbalanced="0"/>
    <cacheHierarchy uniqueName="[Resources 1].[Dec-18]" caption="Dec-18" attribute="1" defaultMemberUniqueName="[Resources 1].[Dec-18].[All]" allUniqueName="[Resources 1].[Dec-18].[All]" dimensionUniqueName="[Resources 1]" displayFolder="" count="0" memberValueDatatype="20" unbalanced="0"/>
    <cacheHierarchy uniqueName="[Resources 1].[Feb-19]" caption="Feb-19" attribute="1" defaultMemberUniqueName="[Resources 1].[Feb-19].[All]" allUniqueName="[Resources 1].[Feb-19].[All]" dimensionUniqueName="[Resources 1]" displayFolder="" count="0" memberValueDatatype="20" unbalanced="0"/>
    <cacheHierarchy uniqueName="[Resources 1].[Jan-19]" caption="Jan-19" attribute="1" defaultMemberUniqueName="[Resources 1].[Jan-19].[All]" allUniqueName="[Resources 1].[Jan-19].[All]" dimensionUniqueName="[Resources 1]" displayFolder="" count="0" memberValueDatatype="20" unbalanced="0"/>
    <cacheHierarchy uniqueName="[Resources 1].[Jul-19]" caption="Jul-19" attribute="1" defaultMemberUniqueName="[Resources 1].[Jul-19].[All]" allUniqueName="[Resources 1].[Jul-19].[All]" dimensionUniqueName="[Resources 1]" displayFolder="" count="0" memberValueDatatype="20" unbalanced="0"/>
    <cacheHierarchy uniqueName="[Resources 1].[Jun-19]" caption="Jun-19" attribute="1" defaultMemberUniqueName="[Resources 1].[Jun-19].[All]" allUniqueName="[Resources 1].[Jun-19].[All]" dimensionUniqueName="[Resources 1]" displayFolder="" count="0" memberValueDatatype="20" unbalanced="0"/>
    <cacheHierarchy uniqueName="[Resources 1].[Location]" caption="Location" attribute="1" defaultMemberUniqueName="[Resources 1].[Location].[All]" allUniqueName="[Resources 1].[Location].[All]" dimensionUniqueName="[Resources 1]" displayFolder="" count="0" memberValueDatatype="130" unbalanced="0"/>
    <cacheHierarchy uniqueName="[Resources 1].[Manager]" caption="Manager" attribute="1" defaultMemberUniqueName="[Resources 1].[Manager].[All]" allUniqueName="[Resources 1].[Manager].[All]" dimensionUniqueName="[Resources 1]" displayFolder="" count="0" memberValueDatatype="130" unbalanced="0"/>
    <cacheHierarchy uniqueName="[Resources 1].[Mar-19]" caption="Mar-19" attribute="1" defaultMemberUniqueName="[Resources 1].[Mar-19].[All]" allUniqueName="[Resources 1].[Mar-19].[All]" dimensionUniqueName="[Resources 1]" displayFolder="" count="0" memberValueDatatype="20" unbalanced="0"/>
    <cacheHierarchy uniqueName="[Resources 1].[May-19]" caption="May-19" attribute="1" defaultMemberUniqueName="[Resources 1].[May-19].[All]" allUniqueName="[Resources 1].[May-19].[All]" dimensionUniqueName="[Resources 1]" displayFolder="" count="0" memberValueDatatype="20" unbalanced="0"/>
    <cacheHierarchy uniqueName="[Resources 1].[Name]" caption="Name" attribute="1" defaultMemberUniqueName="[Resources 1].[Name].[All]" allUniqueName="[Resources 1].[Name].[All]" dimensionUniqueName="[Resources 1]" displayFolder="" count="0" memberValueDatatype="130" unbalanced="0"/>
    <cacheHierarchy uniqueName="[Resources 1].[Nov-18]" caption="Nov-18" attribute="1" defaultMemberUniqueName="[Resources 1].[Nov-18].[All]" allUniqueName="[Resources 1].[Nov-18].[All]" dimensionUniqueName="[Resources 1]" displayFolder="" count="0" memberValueDatatype="20" unbalanced="0"/>
    <cacheHierarchy uniqueName="[Resources 1].[Oct-18]" caption="Oct-18" attribute="1" defaultMemberUniqueName="[Resources 1].[Oct-18].[All]" allUniqueName="[Resources 1].[Oct-18].[All]" dimensionUniqueName="[Resources 1]" displayFolder="" count="0" memberValueDatatype="20" unbalanced="0"/>
    <cacheHierarchy uniqueName="[Resources 1].[Oct-19]" caption="Oct-19" attribute="1" defaultMemberUniqueName="[Resources 1].[Oct-19].[All]" allUniqueName="[Resources 1].[Oct-19].[All]" dimensionUniqueName="[Resources 1]" displayFolder="" count="0" memberValueDatatype="130" unbalanced="0"/>
    <cacheHierarchy uniqueName="[Resources 1].[Rate]" caption="Rate" attribute="1" defaultMemberUniqueName="[Resources 1].[Rate].[All]" allUniqueName="[Resources 1].[Rate].[All]" dimensionUniqueName="[Resources 1]" displayFolder="" count="0" memberValueDatatype="20" unbalanced="0"/>
    <cacheHierarchy uniqueName="[Resources 1].[Role]" caption="Role" attribute="1" defaultMemberUniqueName="[Resources 1].[Role].[All]" allUniqueName="[Resources 1].[Role].[All]" dimensionUniqueName="[Resources 1]" displayFolder="" count="0" memberValueDatatype="130" unbalanced="0"/>
    <cacheHierarchy uniqueName="[Resources 1].[Sep-18]" caption="Sep-18" attribute="1" defaultMemberUniqueName="[Resources 1].[Sep-18].[All]" allUniqueName="[Resources 1].[Sep-18].[All]" dimensionUniqueName="[Resources 1]" displayFolder="" count="0" memberValueDatatype="20" unbalanced="0"/>
    <cacheHierarchy uniqueName="[Resources 1].[Sep-19]" caption="Sep-19" attribute="1" defaultMemberUniqueName="[Resources 1].[Sep-19].[All]" allUniqueName="[Resources 1].[Sep-19].[All]" dimensionUniqueName="[Resources 1]" displayFolder="" count="0" memberValueDatatype="20" unbalanced="0"/>
    <cacheHierarchy uniqueName="[Resources 1].[Team]" caption="Team" attribute="1" defaultMemberUniqueName="[Resources 1].[Team].[All]" allUniqueName="[Resources 1].[Team].[All]" dimensionUniqueName="[Resources 1]" displayFolder="" count="0" memberValueDatatype="130" unbalanced="0"/>
    <cacheHierarchy uniqueName="[Resources 1].[Total Cost]" caption="Total Cost" attribute="1" defaultMemberUniqueName="[Resources 1].[Total Cost].[All]" allUniqueName="[Resources 1].[Total Cost].[All]" dimensionUniqueName="[Resources 1]" displayFolder="" count="0" memberValueDatatype="20" unbalanced="0"/>
    <cacheHierarchy uniqueName="[Resources 1].[Total Days]" caption="Total Days" attribute="1" defaultMemberUniqueName="[Resources 1].[Total Days].[All]" allUniqueName="[Resources 1].[Total Days].[All]" dimensionUniqueName="[Resources 1]" displayFolder="" count="0" memberValueDatatype="20" unbalanced="0"/>
    <cacheHierarchy uniqueName="[Resources 1].[Type]" caption="Type" attribute="1" defaultMemberUniqueName="[Resources 1].[Type].[All]" allUniqueName="[Resources 1].[Type].[All]" dimensionUniqueName="[Resources 1]" displayFolder="" count="0" memberValueDatatype="130" unbalanced="0"/>
    <cacheHierarchy uniqueName="[Cost Summary].[Date (Month Index)]" caption="Date (Month Index)" attribute="1" defaultMemberUniqueName="[Cost Summary].[Date (Month Index)].[All]" allUniqueName="[Cost Summary].[Date (Month Index)].[All]" dimensionUniqueName="[Cost Summary]" displayFolder="" count="0" memberValueDatatype="20" unbalanced="0" hidden="1"/>
    <cacheHierarchy uniqueName="[Measures].[__XL_Count Resources]" caption="__XL_Count Resources" measure="1" displayFolder="" measureGroup="Resources" count="0" hidden="1"/>
    <cacheHierarchy uniqueName="[Measures].[__XL_Count Materials]" caption="__XL_Count Materials" measure="1" displayFolder="" measureGroup="Materials" count="0" hidden="1"/>
    <cacheHierarchy uniqueName="[Measures].[__XL_Count Actuals]" caption="__XL_Count Actuals" measure="1" displayFolder="" measureGroup="Actuals" count="0" hidden="1"/>
    <cacheHierarchy uniqueName="[Measures].[__XL_Count ResourceCosts]" caption="__XL_Count ResourceCosts" measure="1" displayFolder="" measureGroup="ResourceCosts" count="0" hidden="1"/>
    <cacheHierarchy uniqueName="[Measures].[__XL_Count Materials 1]" caption="__XL_Count Materials 1" measure="1" displayFolder="" measureGroup="Materials 1" count="0" hidden="1"/>
    <cacheHierarchy uniqueName="[Measures].[__XL_Count Actuals 1]" caption="__XL_Count Actuals 1" measure="1" displayFolder="" measureGroup="Actuals 1" count="0" hidden="1"/>
    <cacheHierarchy uniqueName="[Measures].[__XL_Count Resources 1]" caption="__XL_Count Resources 1" measure="1" displayFolder="" measureGroup="Resources 1" count="0" hidden="1"/>
    <cacheHierarchy uniqueName="[Measures].[__XL_Count ResourceCosts 1]" caption="__XL_Count ResourceCosts 1" measure="1" displayFolder="" measureGroup="ResourceCosts 1" count="0" hidden="1"/>
    <cacheHierarchy uniqueName="[Measures].[__XL_Count Cost Summary]" caption="__XL_Count Cost Summary" measure="1" displayFolder="" measureGroup="Cost Summary" count="0" hidden="1"/>
    <cacheHierarchy uniqueName="[Measures].[__No measures defined]" caption="__No measures defined" measure="1" displayFolder="" count="0" hidden="1"/>
    <cacheHierarchy uniqueName="[Measures].[Sum of Cost]" caption="Sum of Cost" measure="1" displayFolder="" measureGroup="Cost Summary"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slicerData="1" pivotCacheId="115230028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Kevin McAleer"/>
    <s v="Project Team"/>
    <n v="147000"/>
    <x v="0"/>
    <n v="10500"/>
    <n v="12000"/>
    <n v="12000"/>
    <n v="11000"/>
    <n v="11000"/>
    <n v="6000"/>
    <n v="6000"/>
    <n v="12000"/>
    <n v="12000"/>
    <n v="10500"/>
    <n v="10500"/>
    <n v="11000"/>
    <n v="11000"/>
    <n v="11500"/>
  </r>
  <r>
    <s v="BA"/>
    <s v="Project Team"/>
    <n v="52000"/>
    <x v="1"/>
    <n v="4000"/>
    <n v="4000"/>
    <n v="4000"/>
    <n v="4000"/>
    <n v="4000"/>
    <n v="2000"/>
    <n v="2000"/>
    <n v="4000"/>
    <n v="4000"/>
    <n v="4000"/>
    <n v="4000"/>
    <n v="4000"/>
    <n v="4000"/>
    <n v="4000"/>
  </r>
  <r>
    <s v="Tester"/>
    <s v="Project Team"/>
    <n v="31500"/>
    <x v="2"/>
    <n v="0"/>
    <n v="0"/>
    <n v="0"/>
    <n v="0"/>
    <n v="0"/>
    <n v="0"/>
    <n v="0"/>
    <n v="4500"/>
    <n v="4500"/>
    <n v="4500"/>
    <n v="4500"/>
    <n v="4500"/>
    <n v="4500"/>
    <n v="4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Software Licence"/>
    <s v="Software"/>
    <x v="0"/>
    <n v="4662"/>
    <n v="333"/>
    <n v="333"/>
    <n v="333"/>
    <n v="333"/>
    <n v="333"/>
    <n v="333"/>
    <n v="333"/>
    <n v="333"/>
    <n v="333"/>
    <n v="333"/>
    <n v="333"/>
    <n v="333"/>
    <n v="333"/>
    <n v="333"/>
  </r>
  <r>
    <s v="Server"/>
    <s v="Hardware"/>
    <x v="1"/>
    <n v="10000"/>
    <m/>
    <m/>
    <m/>
    <m/>
    <n v="10000"/>
    <m/>
    <m/>
    <m/>
    <m/>
    <m/>
    <m/>
    <m/>
    <m/>
    <m/>
  </r>
  <r>
    <s v="Software Licence Year 1"/>
    <s v="Software"/>
    <x v="1"/>
    <n v="4000"/>
    <m/>
    <m/>
    <m/>
    <m/>
    <m/>
    <n v="400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AB5AF-1A1C-0F47-83F7-482CDECE6BB6}"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O9" firstHeaderRow="0" firstDataRow="1" firstDataCol="1"/>
  <pivotFields count="18">
    <pivotField showAll="0"/>
    <pivotField showAll="0"/>
    <pivotField showAll="0"/>
    <pivotField axis="axisRow"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3"/>
  </rowFields>
  <rowItems count="4">
    <i>
      <x/>
    </i>
    <i>
      <x v="1"/>
    </i>
    <i>
      <x v="2"/>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Sep-18" fld="4" baseField="0" baseItem="0" numFmtId="165"/>
    <dataField name="Sum of Oct-18" fld="5" baseField="0" baseItem="0" numFmtId="165"/>
    <dataField name="Sum of Nov-18" fld="6" baseField="0" baseItem="0"/>
    <dataField name="Sum of Dec-18" fld="7" baseField="0" baseItem="0"/>
    <dataField name="Sum of Jan-19" fld="8" baseField="0" baseItem="0"/>
    <dataField name="Sum of Feb-19" fld="9" baseField="0" baseItem="0"/>
    <dataField name="Sum of Mar-19" fld="10" baseField="0" baseItem="0"/>
    <dataField name="Sum of Apr-19" fld="11" baseField="0" baseItem="0"/>
    <dataField name="Sum of May-19" fld="12" baseField="0" baseItem="0"/>
    <dataField name="Sum of Jun-19" fld="13" baseField="0" baseItem="0"/>
    <dataField name="Sum of Jul-19" fld="14" baseField="0" baseItem="0"/>
    <dataField name="Sum of Aug-19" fld="15" baseField="0" baseItem="0"/>
    <dataField name="Sum of Sep-19" fld="16" baseField="0" baseItem="0"/>
    <dataField name="Sum of Oct-19" fld="17" baseField="0" baseItem="0"/>
  </dataFields>
  <formats count="2">
    <format dxfId="1">
      <pivotArea outline="0" fieldPosition="0">
        <references count="1">
          <reference field="4294967294" count="1">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D3331-0477-47A8-AC4D-690A2FBD77E1}" name="PivotTable3" cacheId="2" applyNumberFormats="0" applyBorderFormats="0" applyFontFormats="0" applyPatternFormats="0" applyAlignmentFormats="0" applyWidthHeightFormats="1" dataCaption="Values" updatedVersion="6" minRefreshableVersion="3" showDrill="0" useAutoFormatting="1" subtotalHiddenItems="1" itemPrintTitles="1" createdVersion="6" indent="0" showHeaders="0" outline="1" outlineData="1" multipleFieldFilters="0" chartFormat="1">
  <location ref="A20:F38"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2"/>
    <field x="1"/>
  </rowFields>
  <rowItems count="17">
    <i>
      <x/>
    </i>
    <i r="1">
      <x/>
    </i>
    <i r="1">
      <x v="1"/>
    </i>
    <i r="1">
      <x v="2"/>
    </i>
    <i r="1">
      <x v="3"/>
    </i>
    <i>
      <x v="1"/>
    </i>
    <i r="1">
      <x v="4"/>
    </i>
    <i r="1">
      <x v="5"/>
    </i>
    <i r="1">
      <x v="6"/>
    </i>
    <i r="1">
      <x v="7"/>
    </i>
    <i r="1">
      <x v="8"/>
    </i>
    <i r="1">
      <x v="9"/>
    </i>
    <i r="1">
      <x v="10"/>
    </i>
    <i r="1">
      <x v="11"/>
    </i>
    <i r="1">
      <x/>
    </i>
    <i r="1">
      <x v="1"/>
    </i>
    <i t="grand">
      <x/>
    </i>
  </rowItems>
  <colFields count="1">
    <field x="0"/>
  </colFields>
  <colItems count="5">
    <i>
      <x/>
    </i>
    <i>
      <x v="1"/>
    </i>
    <i>
      <x v="2"/>
    </i>
    <i>
      <x v="3"/>
    </i>
    <i t="grand">
      <x/>
    </i>
  </colItems>
  <dataFields count="1">
    <dataField name="Sum of Cost" fld="3" baseField="0" baseItem="0" numFmtId="165"/>
  </dataFields>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6"/>
    <rowHierarchyUsage hierarchyUsage="34"/>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 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4707B5-9F2B-4040-9307-97F364CE77FE}"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O16" firstHeaderRow="0" firstDataRow="1" firstDataCol="1"/>
  <pivotFields count="18">
    <pivotField showAll="0"/>
    <pivotField showAll="0"/>
    <pivotField axis="axisRow" showAll="0">
      <items count="3">
        <item x="1"/>
        <item x="0"/>
        <item t="default"/>
      </items>
    </pivotField>
    <pivotField numFmtId="164"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3">
    <i>
      <x/>
    </i>
    <i>
      <x v="1"/>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Sep-18" fld="4" baseField="0" baseItem="0" numFmtId="165"/>
    <dataField name="Sum of Oct-18" fld="5" baseField="0" baseItem="0" numFmtId="165"/>
    <dataField name="Sum of Nov-18" fld="6" baseField="0" baseItem="0"/>
    <dataField name="Sum of Dec-18" fld="7" baseField="0" baseItem="0"/>
    <dataField name="Sum of Jan-19" fld="8" baseField="0" baseItem="0"/>
    <dataField name="Sum of Feb-19" fld="9" baseField="0" baseItem="0"/>
    <dataField name="Sum of Mar-19" fld="10" baseField="0" baseItem="0"/>
    <dataField name="Sum of Apr-19" fld="11" baseField="0" baseItem="0"/>
    <dataField name="Sum of May-19" fld="12" baseField="0" baseItem="0"/>
    <dataField name="Sum of Jun-19" fld="13" baseField="0" baseItem="0"/>
    <dataField name="Sum of Jul-19" fld="14" baseField="0" baseItem="0"/>
    <dataField name="Sum of Aug-19" fld="15" baseField="0" baseItem="0"/>
    <dataField name="Sum of Sep-19" fld="16" baseField="0" baseItem="0"/>
    <dataField name="Sum of Oct-19"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BCE73A-1365-4B58-84C9-49364A5804A0}" name="PivotTable4" cacheId="0" applyNumberFormats="0" applyBorderFormats="0" applyFontFormats="0" applyPatternFormats="0" applyAlignmentFormats="0" applyWidthHeightFormats="1" dataCaption="Values" updatedVersion="6" minRefreshableVersion="3" showDrill="0" useAutoFormatting="1" colGrandTotals="0" itemPrintTitles="1" createdVersion="6" indent="0" showHeaders="0" outline="1" outlineData="1" multipleFieldFilters="0" chartFormat="1">
  <location ref="A3:B21"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1"/>
    <field x="2"/>
  </rowFields>
  <rowItems count="17">
    <i>
      <x/>
    </i>
    <i r="1">
      <x/>
    </i>
    <i r="1">
      <x v="1"/>
    </i>
    <i r="1">
      <x v="2"/>
    </i>
    <i r="1">
      <x v="3"/>
    </i>
    <i>
      <x v="1"/>
    </i>
    <i r="1">
      <x v="4"/>
    </i>
    <i r="1">
      <x v="5"/>
    </i>
    <i r="1">
      <x v="6"/>
    </i>
    <i r="1">
      <x v="7"/>
    </i>
    <i r="1">
      <x v="8"/>
    </i>
    <i r="1">
      <x v="9"/>
    </i>
    <i r="1">
      <x v="10"/>
    </i>
    <i r="1">
      <x v="11"/>
    </i>
    <i r="1">
      <x/>
    </i>
    <i r="1">
      <x v="1"/>
    </i>
    <i t="grand">
      <x/>
    </i>
  </rowItems>
  <colFields count="1">
    <field x="0"/>
  </colFields>
  <colItems count="1">
    <i>
      <x/>
    </i>
  </colItems>
  <dataFields count="1">
    <dataField name="Sum of Cost" fld="3" baseField="0" baseItem="0" numFmtId="165"/>
  </dataFields>
  <chartFormats count="1">
    <chartFormat chart="0" format="0" series="1">
      <pivotArea type="data" outline="0" fieldPosition="0">
        <references count="1">
          <reference field="4294967294" count="1" selected="0">
            <x v="0"/>
          </reference>
        </references>
      </pivotArea>
    </chartFormat>
  </chartFormats>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6"/>
    <rowHierarchyUsage hierarchyUsage="34"/>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 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8BB725-0100-4E09-916E-6BD65D686EDA}" name="PivotTable4"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2">
  <location ref="A3:B20" firstHeaderRow="1" firstDataRow="2" firstDataCol="1"/>
  <pivotFields count="4">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1"/>
    <field x="2"/>
  </rowFields>
  <rowItems count="16">
    <i>
      <x/>
    </i>
    <i r="1">
      <x/>
    </i>
    <i r="1">
      <x v="1"/>
    </i>
    <i r="1">
      <x v="2"/>
    </i>
    <i r="1">
      <x v="3"/>
    </i>
    <i>
      <x v="1"/>
    </i>
    <i r="1">
      <x v="4"/>
    </i>
    <i r="1">
      <x v="5"/>
    </i>
    <i r="1">
      <x v="6"/>
    </i>
    <i r="1">
      <x v="7"/>
    </i>
    <i r="1">
      <x v="8"/>
    </i>
    <i r="1">
      <x v="9"/>
    </i>
    <i r="1">
      <x v="10"/>
    </i>
    <i r="1">
      <x v="11"/>
    </i>
    <i r="1">
      <x/>
    </i>
    <i r="1">
      <x v="1"/>
    </i>
  </rowItems>
  <colFields count="1">
    <field x="0"/>
  </colFields>
  <colItems count="1">
    <i>
      <x/>
    </i>
  </colItems>
  <dataFields count="1">
    <dataField name="Sum of Cost" fld="3" baseField="0" baseItem="0" numFmtId="165"/>
  </dataFields>
  <chartFormats count="1">
    <chartFormat chart="1" format="0" series="1">
      <pivotArea type="data" outline="0" fieldPosition="0">
        <references count="1">
          <reference field="4294967294" count="1" selected="0">
            <x v="0"/>
          </reference>
        </references>
      </pivotArea>
    </chartFormat>
  </chartFormats>
  <pivotHierarchies count="1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6"/>
    <rowHierarchyUsage hierarchyUsage="34"/>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st Summ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 xr10:uid="{292025F6-A3F4-4625-8115-FDA16D4A0F59}" sourceName="[Cost Summary].[Cost Type]">
  <pivotTables>
    <pivotTable tabId="10" name="PivotTable4"/>
  </pivotTables>
  <data>
    <olap pivotCacheId="758323373">
      <levels count="2">
        <level uniqueName="[Cost Summary].[Cost Type].[(All)]" sourceCaption="(All)" count="0"/>
        <level uniqueName="[Cost Summary].[Cost Type].[Cost Type]" sourceCaption="Cost Type" count="4">
          <ranges>
            <range startItem="0">
              <i n="[Cost Summary].[Cost Type].&amp;" c="(blank)"/>
              <i n="[Cost Summary].[Cost Type].&amp;[Capex]" c="Capex"/>
              <i n="[Cost Summary].[Cost Type].&amp;[Opex]" c="Opex"/>
              <i n="[Cost Summary].[Cost Type].&amp;[Overhead]" c="Overhead"/>
            </range>
          </ranges>
        </level>
      </levels>
      <selections count="1">
        <selection n="[Cost Summary].[Cost Type].&amp;[Opex]"/>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Type1" xr10:uid="{11668FD3-E04C-438F-AB3A-F88E4D881EF0}" sourceName="[Cost Summary].[Cost Type]">
  <pivotTables>
    <pivotTable tabId="12" name="PivotTable4"/>
  </pivotTables>
  <data>
    <olap pivotCacheId="1152300288">
      <levels count="2">
        <level uniqueName="[Cost Summary].[Cost Type].[(All)]" sourceCaption="(All)" count="0"/>
        <level uniqueName="[Cost Summary].[Cost Type].[Cost Type]" sourceCaption="Cost Type" count="4">
          <ranges>
            <range startItem="0">
              <i n="[Cost Summary].[Cost Type].&amp;" c="(blank)"/>
              <i n="[Cost Summary].[Cost Type].&amp;[Capex]" c="Capex"/>
              <i n="[Cost Summary].[Cost Type].&amp;[Opex]" c="Opex"/>
              <i n="[Cost Summary].[Cost Type].&amp;[Overhead]" c="Overhead"/>
            </range>
          </ranges>
        </level>
      </levels>
      <selections count="1">
        <selection n="[Cost Summary].[Cost Type].&amp;[Cape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xr10:uid="{6E51EC4E-A666-43E1-87EA-58D0D8C4157B}" cache="Slicer_Cost_Type" caption="Cost Type"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st Type 1" xr10:uid="{369FA9F9-7697-4D9B-81B2-58EE77B777D5}" cache="Slicer_Cost_Type1" caption="Cost Typ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1B09F5-4F91-614D-9A1B-1745D667A41D}" name="Resources" displayName="Resources" ref="A3:Y7" totalsRowCount="1" headerRowDxfId="108">
  <autoFilter ref="A3:Y6" xr:uid="{44909153-DFBE-FB4F-AAB8-0E363CE68C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E0DD22E3-77AC-704C-AB31-EC6E6B923A40}" name="Name" totalsRowLabel="Total"/>
    <tableColumn id="2" xr3:uid="{4E84736A-ECF1-7345-B861-513B43426002}" name="Manager"/>
    <tableColumn id="3" xr3:uid="{8C46A474-5ADB-5B41-9936-2D3AF21EE743}" name="Role"/>
    <tableColumn id="4" xr3:uid="{5B24B770-42C5-0E4F-9D1C-0AA8F4E106B7}" name="Team"/>
    <tableColumn id="5" xr3:uid="{D2B52BCD-AB11-C240-9E62-C88822C64435}" name="Location"/>
    <tableColumn id="6" xr3:uid="{1987EB6E-D96B-1A4F-AD5B-A75A0D30C879}" name="Comments"/>
    <tableColumn id="7" xr3:uid="{CC3C46BD-1716-CE41-AD1B-1BC170FC349D}" name="Rate" totalsRowFunction="count" totalsRowDxfId="107" dataCellStyle="Currency"/>
    <tableColumn id="8" xr3:uid="{479C7941-7F97-A241-BD90-B349DA1C0964}" name="Cost Type"/>
    <tableColumn id="9" xr3:uid="{9CF977E3-99B9-2643-8939-340D6FD994B7}" name="Total Days" totalsRowFunction="sum">
      <calculatedColumnFormula>SUM(Resources[[#This Row],[Sep-18]:[Sep-19]])</calculatedColumnFormula>
    </tableColumn>
    <tableColumn id="10" xr3:uid="{F5304585-74FB-324E-B0CA-AED902920137}" name="Total Cost" totalsRowFunction="sum" totalsRowDxfId="106" dataCellStyle="Currency">
      <calculatedColumnFormula>Resources[[#This Row],[Total Days]]*Resources[[#This Row],[Rate]]</calculatedColumnFormula>
    </tableColumn>
    <tableColumn id="11" xr3:uid="{C9F4FC9E-8CA3-4147-A678-18ADA442ECC2}" name="Type"/>
    <tableColumn id="12" xr3:uid="{EF456712-77D6-B94C-A50D-F93B1F28272C}" name="Sep-18" totalsRowFunction="sum" dataDxfId="105" totalsRowDxfId="104"/>
    <tableColumn id="13" xr3:uid="{D1BFF6CC-34A2-484E-B3C8-373716DEF5AA}" name="Oct-18" totalsRowFunction="sum" dataDxfId="103" totalsRowDxfId="102"/>
    <tableColumn id="14" xr3:uid="{0C7F13CE-5623-614A-A594-E8393DA21CB7}" name="Nov-18" totalsRowFunction="sum" dataDxfId="101" totalsRowDxfId="100"/>
    <tableColumn id="15" xr3:uid="{5D2C0C52-67A9-2943-80DD-1746F4042D3E}" name="Dec-18" totalsRowFunction="sum" dataDxfId="99" totalsRowDxfId="98"/>
    <tableColumn id="16" xr3:uid="{26619B02-3C1C-AE4F-8DA3-49CE3B68283F}" name="Jan-19" totalsRowFunction="sum" dataDxfId="97" totalsRowDxfId="96"/>
    <tableColumn id="17" xr3:uid="{9FBD4CAE-0053-D54B-A508-98027EDD6E99}" name="Feb-19" totalsRowFunction="sum" dataDxfId="95" totalsRowDxfId="94"/>
    <tableColumn id="18" xr3:uid="{4BB84B08-15F7-9A42-B537-FA76548CC3A8}" name="Mar-19" totalsRowFunction="sum" dataDxfId="93" totalsRowDxfId="92"/>
    <tableColumn id="19" xr3:uid="{BAD188CC-4F28-8D41-879A-337204F8F0C4}" name="Apr-19" totalsRowFunction="sum" dataDxfId="91" totalsRowDxfId="90"/>
    <tableColumn id="20" xr3:uid="{E3A3EF0B-61D3-4A4A-B4F8-17D79BE7185E}" name="May-19" totalsRowFunction="sum" dataDxfId="89" totalsRowDxfId="88"/>
    <tableColumn id="21" xr3:uid="{E5037EDF-6F80-9940-9D55-987CE003ED06}" name="Jun-19" totalsRowFunction="sum" dataDxfId="87" totalsRowDxfId="86"/>
    <tableColumn id="22" xr3:uid="{FE0A1831-CE12-6F42-BDD6-64528868B58C}" name="Jul-19" totalsRowFunction="sum" dataDxfId="85" totalsRowDxfId="84"/>
    <tableColumn id="23" xr3:uid="{47F6A2ED-5EA2-5A4D-9F83-92C3BB72BD0A}" name="Aug-19" totalsRowFunction="sum" dataDxfId="83" totalsRowDxfId="82"/>
    <tableColumn id="24" xr3:uid="{6C9EAC4E-9257-5E48-87F6-48623C9E5CE1}" name="Sep-19" totalsRowFunction="sum" dataDxfId="81" totalsRowDxfId="80"/>
    <tableColumn id="25" xr3:uid="{9520D53F-2DAA-154D-8882-27DFF8202330}" name="Oct-19" dataDxfId="79" totalsRowDxfId="78"/>
  </tableColumns>
  <tableStyleInfo name="TableStyleLight13"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5930EB-1C1F-4C49-93B7-09F33E09BF13}" name="Materials" displayName="Materials" ref="A3:R7" totalsRowCount="1" headerRowDxfId="77">
  <autoFilter ref="A3:R6" xr:uid="{4C97B5E2-AAC2-9947-8A20-56A60FD3C0B2}"/>
  <tableColumns count="18">
    <tableColumn id="1" xr3:uid="{183E5F2A-C7C9-E742-AB8C-865DA7FB35A6}" name="Item" totalsRowLabel="Total"/>
    <tableColumn id="2" xr3:uid="{B415D7F1-DEE5-3347-A26C-832A80CC64EA}" name="Category"/>
    <tableColumn id="3" xr3:uid="{6022BE69-DF1C-2344-9A38-FF68C7701083}" name="Cost Type"/>
    <tableColumn id="4" xr3:uid="{689965AD-A8B4-9540-99A2-BD1CAE9A43C4}" name="Cost" dataDxfId="76" dataCellStyle="Currency">
      <calculatedColumnFormula>SUM(Materials[[#This Row],[Sep-18]:[Oct-19]])</calculatedColumnFormula>
    </tableColumn>
    <tableColumn id="5" xr3:uid="{FE819FFA-BC4A-5248-B208-59D610BE568F}" name="Sep-18" totalsRowFunction="sum" dataDxfId="75" totalsRowDxfId="74" dataCellStyle="Currency"/>
    <tableColumn id="6" xr3:uid="{0D51D633-5F4E-B945-B112-74E213088F42}" name="Oct-18" totalsRowFunction="sum" dataDxfId="73" totalsRowDxfId="72" dataCellStyle="Currency"/>
    <tableColumn id="7" xr3:uid="{C0360BA8-8186-3047-AB25-33BC3198875B}" name="Nov-18" totalsRowFunction="sum" dataDxfId="71" totalsRowDxfId="70" dataCellStyle="Currency"/>
    <tableColumn id="8" xr3:uid="{FE18AF56-EF7D-3842-888B-41DC441B86DB}" name="Dec-18" totalsRowFunction="sum" dataDxfId="69" totalsRowDxfId="68" dataCellStyle="Currency"/>
    <tableColumn id="9" xr3:uid="{1849D845-9808-B64B-B529-D60CA696805E}" name="Jan-19" totalsRowFunction="sum" dataDxfId="67" totalsRowDxfId="66" dataCellStyle="Currency"/>
    <tableColumn id="10" xr3:uid="{FBA75D6A-B7A9-C747-8C30-472348A322F5}" name="Feb-19" totalsRowFunction="sum" dataDxfId="65" totalsRowDxfId="64" dataCellStyle="Currency"/>
    <tableColumn id="11" xr3:uid="{645A0D8C-A11E-8348-965E-EE2E093E51B5}" name="Mar-19" totalsRowFunction="sum" dataDxfId="63" totalsRowDxfId="62" dataCellStyle="Currency"/>
    <tableColumn id="12" xr3:uid="{16AB00C9-1605-D446-908A-DAC59BBFBE2B}" name="Apr-19" totalsRowFunction="sum" dataDxfId="61" totalsRowDxfId="60" dataCellStyle="Currency"/>
    <tableColumn id="13" xr3:uid="{E12FB2BC-BBDF-5A43-99F2-70D0DDE5948A}" name="May-19" totalsRowFunction="sum" dataDxfId="59" totalsRowDxfId="58" dataCellStyle="Currency"/>
    <tableColumn id="14" xr3:uid="{E1FD6671-4D46-3140-A6F0-43B456F0325F}" name="Jun-19" totalsRowFunction="sum" dataDxfId="57" totalsRowDxfId="56" dataCellStyle="Currency"/>
    <tableColumn id="15" xr3:uid="{5783BC26-C8D6-F049-8D79-5A72CEA136BC}" name="Jul-19" totalsRowFunction="sum" dataDxfId="55" totalsRowDxfId="54" dataCellStyle="Currency"/>
    <tableColumn id="16" xr3:uid="{048BFFA0-4D3D-C945-B135-17F9568EE02C}" name="Aug-19" totalsRowFunction="sum" dataDxfId="53" totalsRowDxfId="52" dataCellStyle="Currency"/>
    <tableColumn id="17" xr3:uid="{37F34FB6-5DCC-7B40-B70E-B859AEE55274}" name="Sep-19" totalsRowFunction="sum" dataDxfId="51" totalsRowDxfId="50" dataCellStyle="Currency"/>
    <tableColumn id="18" xr3:uid="{B53FC7D8-7F6B-5E49-A1B5-A879EA14E7D0}" name="Oct-19" totalsRowFunction="sum" dataDxfId="49" totalsRowDxfId="48" dataCellStyle="Currency"/>
  </tableColumns>
  <tableStyleInfo name="TableStyleLight13"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EEB0F9-DB82-AE4E-876A-55689EAA0647}" name="Actuals" displayName="Actuals" ref="A3:O5" totalsRowCount="1" headerRowDxfId="47">
  <autoFilter ref="A3:O4" xr:uid="{581CC9F3-CFCA-E349-8411-091FCC2BF4EC}"/>
  <tableColumns count="15">
    <tableColumn id="1" xr3:uid="{A33DB3DE-1B26-DC43-ADF4-813B3F6BCC2F}" name="Actuals to Date" totalsRowLabel="Total"/>
    <tableColumn id="2" xr3:uid="{2EEDE900-F151-AE41-94C0-748C30225DAE}" name="Sep-18" totalsRowFunction="sum"/>
    <tableColumn id="3" xr3:uid="{79AEF414-F280-1240-A1CA-0BD228B2A652}" name="Oct-18" totalsRowFunction="sum"/>
    <tableColumn id="4" xr3:uid="{8728D764-A4D3-7242-8A40-875EB81F5D17}" name="Nov-18" totalsRowFunction="sum"/>
    <tableColumn id="5" xr3:uid="{5030FF21-66DE-FB4B-BB5B-62972587BA22}" name="Dec-18" totalsRowFunction="sum"/>
    <tableColumn id="6" xr3:uid="{A606E469-D8AF-DC4F-A811-DC217E65CE48}" name="Jan-19" totalsRowFunction="sum"/>
    <tableColumn id="7" xr3:uid="{18DE703C-2F01-FE40-9050-F57D8060F30E}" name="Feb-19" totalsRowFunction="sum"/>
    <tableColumn id="8" xr3:uid="{CB16315D-4696-DE42-A5B3-58AFE8CEC2A9}" name="Mar-19" totalsRowFunction="sum"/>
    <tableColumn id="9" xr3:uid="{DD9AB44F-C1BF-DE42-B38B-BA6EE0B8A15C}" name="Apr-19" totalsRowFunction="sum"/>
    <tableColumn id="10" xr3:uid="{54E1FFAF-1DE8-2143-A8D0-938C478AB819}" name="May-19" totalsRowFunction="sum"/>
    <tableColumn id="11" xr3:uid="{685C8B45-DD88-6049-9C94-8B70D9DC00BF}" name="Jun-19" totalsRowFunction="sum"/>
    <tableColumn id="12" xr3:uid="{66ADF0B7-3D80-D04C-AF3C-0D1D5F521D3D}" name="Jul-19" totalsRowFunction="sum"/>
    <tableColumn id="13" xr3:uid="{8684BAC4-DBBB-734D-BDDB-E5B6F4578377}" name="Aug-19" totalsRowFunction="sum"/>
    <tableColumn id="14" xr3:uid="{FDBD9368-2714-C540-B960-BA09DD389971}" name="Sep-19" totalsRowFunction="sum"/>
    <tableColumn id="15" xr3:uid="{11D8E8FD-100F-C547-B502-B6A168947D18}" name="Oct-19" totalsRowFunction="sum"/>
  </tableColumns>
  <tableStyleInfo name="TableStyleLight13"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CC0E7B-C6A1-5945-8F59-90AF6F49B60E}" name="CostType" displayName="CostType" ref="A1:A4" totalsRowShown="0">
  <autoFilter ref="A1:A4" xr:uid="{581F41C9-EC7D-274E-BB37-683E28A25184}"/>
  <tableColumns count="1">
    <tableColumn id="1" xr3:uid="{C0C617B5-C4C2-CD47-AA49-CF0258C916B8}" name="Cost 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CFDDAB-EC6F-7746-BF0A-44AC09061978}" name="MaterialCategory" displayName="MaterialCategory" ref="C1:C5" totalsRowShown="0">
  <autoFilter ref="C1:C5" xr:uid="{FCB9E214-D83A-1748-BFA1-C2EE18DF66E8}"/>
  <tableColumns count="1">
    <tableColumn id="1" xr3:uid="{96EF9282-60DF-2C42-B737-E8BEEDF829C9}" name="MaterialCategori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E7F5C5-DFD7-F948-8DEF-67E340429680}" name="ResourceCosts" displayName="ResourceCosts" ref="A3:R7" totalsRowCount="1" headerRowDxfId="46">
  <autoFilter ref="A3:R6" xr:uid="{C97EB2BF-8EEB-DC41-9E3C-AF901E9BD98A}"/>
  <tableColumns count="18">
    <tableColumn id="1" xr3:uid="{1EC69078-A7B8-F144-81C9-C6EC59DA214F}" name="Name" totalsRowLabel="Total">
      <calculatedColumnFormula>Resources[[#This Row],[Name]]</calculatedColumnFormula>
    </tableColumn>
    <tableColumn id="2" xr3:uid="{2A9C6D2A-B514-804E-8CA7-459875497032}" name="Team">
      <calculatedColumnFormula>Resources[[#This Row],[Team]]</calculatedColumnFormula>
    </tableColumn>
    <tableColumn id="3" xr3:uid="{D32A6A02-2C83-094D-A58C-6CC4D31F74C8}" name="Total Cost" dataDxfId="45" dataCellStyle="Currency">
      <calculatedColumnFormula>SUM(ResourceCosts[[#This Row],[Sep-18]:[Oct-19]])</calculatedColumnFormula>
    </tableColumn>
    <tableColumn id="4" xr3:uid="{75A71178-BA49-D843-98FB-99F14FA0D502}" name="Type">
      <calculatedColumnFormula>Resources[[#This Row],[Cost Type]]</calculatedColumnFormula>
    </tableColumn>
    <tableColumn id="5" xr3:uid="{0170BF09-7294-084F-B25B-12FB9F417AE0}" name="Sep-18" totalsRowFunction="sum" dataDxfId="44" totalsRowDxfId="43" dataCellStyle="Currency">
      <calculatedColumnFormula>Resources[[#This Row],[Sep-18]]*Resources[[#This Row],[Rate]]</calculatedColumnFormula>
    </tableColumn>
    <tableColumn id="6" xr3:uid="{6A90A01F-9035-7A4F-B860-6112B7EF3617}" name="Oct-18" totalsRowFunction="sum" dataDxfId="42" totalsRowDxfId="41" dataCellStyle="Currency">
      <calculatedColumnFormula>Resources[[#This Row],[Oct-18]]*Resources[[#This Row],[Rate]]</calculatedColumnFormula>
    </tableColumn>
    <tableColumn id="7" xr3:uid="{E0F222C8-3007-4140-AE39-AFAD5EB3EC2D}" name="Nov-18" totalsRowFunction="sum" dataDxfId="40" totalsRowDxfId="39" dataCellStyle="Currency">
      <calculatedColumnFormula>Resources[[#This Row],[Oct-18]]*Resources[[#This Row],[Rate]]</calculatedColumnFormula>
    </tableColumn>
    <tableColumn id="8" xr3:uid="{E6C6C9F1-0050-E147-AB7B-F175FD7BEA68}" name="Dec-18" totalsRowFunction="sum" dataDxfId="38" totalsRowDxfId="37" dataCellStyle="Currency">
      <calculatedColumnFormula>Resources[[#This Row],[Nov-18]]*Resources[[#This Row],[Rate]]</calculatedColumnFormula>
    </tableColumn>
    <tableColumn id="9" xr3:uid="{276C4680-9769-DE41-963F-37231269D53D}" name="Jan-19" totalsRowFunction="sum" dataDxfId="36" totalsRowDxfId="35" dataCellStyle="Currency">
      <calculatedColumnFormula>Resources[[#This Row],[Nov-18]]*Resources[[#This Row],[Rate]]</calculatedColumnFormula>
    </tableColumn>
    <tableColumn id="10" xr3:uid="{2970D657-A168-E248-9FA1-AD2DCBF95ADE}" name="Feb-19" totalsRowFunction="sum" dataDxfId="34" totalsRowDxfId="33" dataCellStyle="Currency">
      <calculatedColumnFormula>Resources[[#This Row],[Dec-18]]*Resources[[#This Row],[Rate]]</calculatedColumnFormula>
    </tableColumn>
    <tableColumn id="11" xr3:uid="{7BE58B27-D194-E44B-BAE8-9B3A29E30554}" name="Mar-19" totalsRowFunction="sum" dataDxfId="32" totalsRowDxfId="31" dataCellStyle="Currency">
      <calculatedColumnFormula>Resources[[#This Row],[Dec-18]]*Resources[[#This Row],[Rate]]</calculatedColumnFormula>
    </tableColumn>
    <tableColumn id="12" xr3:uid="{4F2BEF20-3B08-1146-BC2B-F9AA9557F155}" name="Apr-19" totalsRowFunction="sum" dataDxfId="30" totalsRowDxfId="29" dataCellStyle="Currency">
      <calculatedColumnFormula>Resources[[#This Row],[Jan-19]]*Resources[[#This Row],[Rate]]</calculatedColumnFormula>
    </tableColumn>
    <tableColumn id="13" xr3:uid="{AE59478A-402A-8442-8258-CA404FE695A0}" name="May-19" totalsRowFunction="sum" dataDxfId="28" totalsRowDxfId="27" dataCellStyle="Currency">
      <calculatedColumnFormula>Resources[[#This Row],[Jan-19]]*Resources[[#This Row],[Rate]]</calculatedColumnFormula>
    </tableColumn>
    <tableColumn id="14" xr3:uid="{959D2F3A-D28E-F344-81D0-6788095524F7}" name="Jun-19" totalsRowFunction="sum" dataDxfId="26" totalsRowDxfId="25" dataCellStyle="Currency">
      <calculatedColumnFormula>Resources[[#This Row],[Feb-19]]*Resources[[#This Row],[Rate]]</calculatedColumnFormula>
    </tableColumn>
    <tableColumn id="15" xr3:uid="{C452B4D5-6DB2-914E-8A18-741904503451}" name="Jul-19" totalsRowFunction="sum" dataDxfId="24" totalsRowDxfId="23" dataCellStyle="Currency">
      <calculatedColumnFormula>Resources[[#This Row],[Feb-19]]*Resources[[#This Row],[Rate]]</calculatedColumnFormula>
    </tableColumn>
    <tableColumn id="16" xr3:uid="{5B5D55DC-54C7-7947-BB8A-9FF6954B4BA0}" name="Aug-19" totalsRowFunction="sum" dataDxfId="22" totalsRowDxfId="21" dataCellStyle="Currency">
      <calculatedColumnFormula>Resources[[#This Row],[Mar-19]]*Resources[[#This Row],[Rate]]</calculatedColumnFormula>
    </tableColumn>
    <tableColumn id="17" xr3:uid="{80C8320A-2DC4-6848-BDDA-6D84633D5DAC}" name="Sep-19" totalsRowFunction="sum" dataDxfId="20" totalsRowDxfId="19" dataCellStyle="Currency">
      <calculatedColumnFormula>Resources[[#This Row],[Mar-19]]*Resources[[#This Row],[Rate]]</calculatedColumnFormula>
    </tableColumn>
    <tableColumn id="18" xr3:uid="{C852362F-2005-A445-9EBC-B7A755180667}" name="Oct-19" totalsRowFunction="sum" dataDxfId="18" totalsRowDxfId="17" dataCellStyle="Currency">
      <calculatedColumnFormula>Resources[[#This Row],[Apr-19]]*Resources[[#This Row],[Rate]]</calculatedColumnFormula>
    </tableColumn>
  </tableColumns>
  <tableStyleInfo name="TableStyleLight13" showFirstColumn="0" showLastColumn="0"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2D3A5D-15A1-D946-9C4A-7B0CC5B66A14}" name="Table8" displayName="Table8" ref="A3:P9" headerRowDxfId="16">
  <autoFilter ref="A3:P9" xr:uid="{54EB02E5-9A25-D347-B20E-F66935F576F9}"/>
  <tableColumns count="16">
    <tableColumn id="1" xr3:uid="{E3E06511-E330-1D40-8C18-B8159B105CE0}" name="Cost" totalsRowLabel="Total"/>
    <tableColumn id="2" xr3:uid="{D054A83E-A8AB-6744-8AB0-AE9415DCC2F7}" name="Total"/>
    <tableColumn id="3" xr3:uid="{5935E453-C219-5142-A914-5D65AA734E0C}" name="Sep-18" dataDxfId="15" dataCellStyle="Currency"/>
    <tableColumn id="4" xr3:uid="{C0DB92F8-347C-1844-8D15-219A8F7B58DF}" name="Oct-18" dataDxfId="14" dataCellStyle="Currency"/>
    <tableColumn id="5" xr3:uid="{61387CA9-6959-C14F-9B14-858C3D0464E1}" name="Nov-18" dataDxfId="13" dataCellStyle="Currency"/>
    <tableColumn id="6" xr3:uid="{8855290E-2455-1046-82A6-CD5A73A2B1D9}" name="Dec-18" dataDxfId="12" dataCellStyle="Currency"/>
    <tableColumn id="7" xr3:uid="{9918EEA9-8AB4-BD46-8DCE-105179A196AD}" name="Jan-19" dataDxfId="11" dataCellStyle="Currency"/>
    <tableColumn id="8" xr3:uid="{DFFB955C-3244-274A-9BAA-188D6B868ED0}" name="Feb-19" dataDxfId="10" dataCellStyle="Currency"/>
    <tableColumn id="9" xr3:uid="{E45C8CD0-410E-9C41-B6D5-00D6BF70EB85}" name="Mar-19" dataDxfId="9" dataCellStyle="Currency"/>
    <tableColumn id="10" xr3:uid="{C43FDD67-5407-3F4D-BC2B-41BED2653A20}" name="Apr-19" dataDxfId="8" dataCellStyle="Currency"/>
    <tableColumn id="11" xr3:uid="{E85ED4F2-3CFA-5E4F-8BE9-0AC467D7D078}" name="May-19" dataDxfId="7" dataCellStyle="Currency"/>
    <tableColumn id="12" xr3:uid="{FF081914-9D4F-1B4E-AC7B-E339577954C8}" name="Jun-19" dataDxfId="6" dataCellStyle="Currency"/>
    <tableColumn id="13" xr3:uid="{5BCB034D-3B51-7B40-9C37-6BD8E85C80C8}" name="Jul-19" dataDxfId="5" dataCellStyle="Currency"/>
    <tableColumn id="14" xr3:uid="{3914038D-4FC5-984C-8D5D-8175F4FAA735}" name="Aug-19" dataDxfId="4" dataCellStyle="Currency"/>
    <tableColumn id="15" xr3:uid="{2F3290E7-FBC4-2448-81A1-5DD25A2B6B2A}" name="Sep-19" dataDxfId="3" dataCellStyle="Currency"/>
    <tableColumn id="16" xr3:uid="{80E3911A-6FC0-5C4E-8F63-88DBAAA4DA8A}" name="Oct-19" totalsRowFunction="count" dataDxfId="2" dataCellStyle="Currency"/>
  </tableColumns>
  <tableStyleInfo name="TableStyleLight13" showFirstColumn="0" showLastColumn="0"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3782AD3-4486-BF45-AF23-659545BFE60B}" name="Table7" displayName="Table7" ref="A14:E15" totalsRowShown="0">
  <autoFilter ref="A14:E15" xr:uid="{80A5889B-DCF6-464C-8924-D6F9439ABBB2}"/>
  <tableColumns count="5">
    <tableColumn id="1" xr3:uid="{F5ED3D2C-4FDB-314B-8BF0-B969E876B622}" name="Invoice Number"/>
    <tableColumn id="2" xr3:uid="{5876F6EF-3164-A848-97D3-75FA65045B33}" name="Date Raised"/>
    <tableColumn id="3" xr3:uid="{2418AF42-A15E-EE4C-AD23-673086A788AE}" name="PO Number"/>
    <tableColumn id="4" xr3:uid="{45C491DA-B9B7-DF45-9698-151928258DC3}" name="Amount"/>
    <tableColumn id="5" xr3:uid="{55F33BED-7565-7244-BB37-50F4FC5B468B}" name="Statu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036A0B9-E6EE-1A40-9497-CD2D19B4BAA1}" name="Table9" displayName="Table9" ref="A5:I6" totalsRowShown="0">
  <autoFilter ref="A5:I6" xr:uid="{5CB4D38D-1A36-5346-B68C-A94258AF8DAF}"/>
  <tableColumns count="9">
    <tableColumn id="1" xr3:uid="{17E21D36-2F98-8A4F-917D-1EE9C8F66522}" name="Item"/>
    <tableColumn id="2" xr3:uid="{A35F3117-AF64-174B-8651-73D7D692F284}" name="PO Number"/>
    <tableColumn id="3" xr3:uid="{F3D6CF15-C268-4648-A67C-E20C541E6805}" name="Description"/>
    <tableColumn id="4" xr3:uid="{5B822BEC-9D58-DC42-8E32-EFC36A96EF5B}" name="Date Raised"/>
    <tableColumn id="5" xr3:uid="{4C2120B7-D259-BA4C-82AE-30399AC5E13A}" name="Raised by"/>
    <tableColumn id="6" xr3:uid="{4B2BA682-FE7E-8B48-861C-6CDDFA7B64CB}" name="Status"/>
    <tableColumn id="7" xr3:uid="{E1BC609E-E105-234E-8650-8E061C666C4A}" name="Qty"/>
    <tableColumn id="8" xr3:uid="{61A5A390-BE3F-D14E-B11E-CBA80C12B93A}" name="Amount"/>
    <tableColumn id="9" xr3:uid="{F253C575-A456-A246-B9A1-76A5A9B1AB75}" name="Total">
      <calculatedColumnFormula>G6*H6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296C9-6FEC-8640-9529-AB954FF03209}">
  <dimension ref="A1:B16"/>
  <sheetViews>
    <sheetView workbookViewId="0">
      <selection activeCell="A17" sqref="A17"/>
    </sheetView>
  </sheetViews>
  <sheetFormatPr baseColWidth="10" defaultColWidth="11" defaultRowHeight="16" x14ac:dyDescent="0.2"/>
  <cols>
    <col min="1" max="1" width="20.5" bestFit="1" customWidth="1"/>
    <col min="2" max="2" width="13.5" bestFit="1" customWidth="1"/>
  </cols>
  <sheetData>
    <row r="1" spans="1:2" ht="26" x14ac:dyDescent="0.3">
      <c r="A1" s="1" t="s">
        <v>0</v>
      </c>
    </row>
    <row r="2" spans="1:2" x14ac:dyDescent="0.2">
      <c r="A2" s="3" t="s">
        <v>1</v>
      </c>
      <c r="B2" t="s">
        <v>13</v>
      </c>
    </row>
    <row r="3" spans="1:2" x14ac:dyDescent="0.2">
      <c r="A3" s="3" t="s">
        <v>2</v>
      </c>
      <c r="B3">
        <v>123</v>
      </c>
    </row>
    <row r="4" spans="1:2" x14ac:dyDescent="0.2">
      <c r="A4" s="3" t="s">
        <v>28</v>
      </c>
      <c r="B4" s="4">
        <v>43344</v>
      </c>
    </row>
    <row r="5" spans="1:2" x14ac:dyDescent="0.2">
      <c r="A5" s="3" t="s">
        <v>3</v>
      </c>
      <c r="B5" s="4">
        <v>43831</v>
      </c>
    </row>
    <row r="6" spans="1:2" x14ac:dyDescent="0.2">
      <c r="A6" s="3" t="s">
        <v>4</v>
      </c>
      <c r="B6" s="5">
        <v>200000</v>
      </c>
    </row>
    <row r="7" spans="1:2" x14ac:dyDescent="0.2">
      <c r="A7" s="3" t="s">
        <v>5</v>
      </c>
      <c r="B7" s="5">
        <f>EAC</f>
        <v>249162</v>
      </c>
    </row>
    <row r="8" spans="1:2" x14ac:dyDescent="0.2">
      <c r="A8" s="3" t="s">
        <v>6</v>
      </c>
      <c r="B8" s="5">
        <f>BAC-EAC</f>
        <v>-49162</v>
      </c>
    </row>
    <row r="9" spans="1:2" x14ac:dyDescent="0.2">
      <c r="A9" s="3"/>
      <c r="B9" s="5"/>
    </row>
    <row r="10" spans="1:2" x14ac:dyDescent="0.2">
      <c r="A10" s="3" t="s">
        <v>7</v>
      </c>
      <c r="B10" s="5"/>
    </row>
    <row r="11" spans="1:2" x14ac:dyDescent="0.2">
      <c r="A11" s="3" t="s">
        <v>8</v>
      </c>
      <c r="B11" s="5"/>
    </row>
    <row r="12" spans="1:2" x14ac:dyDescent="0.2">
      <c r="A12" s="3" t="s">
        <v>9</v>
      </c>
      <c r="B12" s="5"/>
    </row>
    <row r="13" spans="1:2" x14ac:dyDescent="0.2">
      <c r="A13" s="3"/>
      <c r="B13" s="5"/>
    </row>
    <row r="14" spans="1:2" x14ac:dyDescent="0.2">
      <c r="A14" s="3" t="s">
        <v>10</v>
      </c>
      <c r="B14" s="19">
        <v>200000</v>
      </c>
    </row>
    <row r="15" spans="1:2" x14ac:dyDescent="0.2">
      <c r="A15" s="3" t="s">
        <v>11</v>
      </c>
      <c r="B15" s="5"/>
    </row>
    <row r="16" spans="1:2" x14ac:dyDescent="0.2">
      <c r="A16" s="3" t="s">
        <v>12</v>
      </c>
      <c r="B16" s="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D37E-AB98-4044-94D6-E052FCEB94DC}">
  <dimension ref="A3:B21"/>
  <sheetViews>
    <sheetView workbookViewId="0">
      <selection activeCell="A10" sqref="A10"/>
    </sheetView>
  </sheetViews>
  <sheetFormatPr baseColWidth="10" defaultColWidth="8.83203125" defaultRowHeight="16" x14ac:dyDescent="0.2"/>
  <cols>
    <col min="1" max="1" width="10.5" bestFit="1" customWidth="1"/>
    <col min="2" max="2" width="7.1640625" bestFit="1" customWidth="1"/>
    <col min="3" max="15" width="6.1640625" bestFit="1" customWidth="1"/>
    <col min="16" max="16" width="10.5" bestFit="1" customWidth="1"/>
  </cols>
  <sheetData>
    <row r="3" spans="1:2" x14ac:dyDescent="0.2">
      <c r="A3" s="14" t="s">
        <v>90</v>
      </c>
    </row>
    <row r="4" spans="1:2" x14ac:dyDescent="0.2">
      <c r="B4" t="s">
        <v>26</v>
      </c>
    </row>
    <row r="5" spans="1:2" x14ac:dyDescent="0.2">
      <c r="A5" s="15" t="s">
        <v>91</v>
      </c>
      <c r="B5" s="16"/>
    </row>
    <row r="6" spans="1:2" x14ac:dyDescent="0.2">
      <c r="A6" s="18" t="s">
        <v>93</v>
      </c>
      <c r="B6" s="16">
        <v>4333</v>
      </c>
    </row>
    <row r="7" spans="1:2" x14ac:dyDescent="0.2">
      <c r="A7" s="18" t="s">
        <v>94</v>
      </c>
      <c r="B7" s="16">
        <v>4333</v>
      </c>
    </row>
    <row r="8" spans="1:2" x14ac:dyDescent="0.2">
      <c r="A8" s="18" t="s">
        <v>95</v>
      </c>
      <c r="B8" s="16">
        <v>4333</v>
      </c>
    </row>
    <row r="9" spans="1:2" x14ac:dyDescent="0.2">
      <c r="A9" s="18" t="s">
        <v>96</v>
      </c>
      <c r="B9" s="16">
        <v>4333</v>
      </c>
    </row>
    <row r="10" spans="1:2" x14ac:dyDescent="0.2">
      <c r="A10" s="15" t="s">
        <v>92</v>
      </c>
      <c r="B10" s="16"/>
    </row>
    <row r="11" spans="1:2" x14ac:dyDescent="0.2">
      <c r="A11" s="18" t="s">
        <v>97</v>
      </c>
      <c r="B11" s="16">
        <v>4333</v>
      </c>
    </row>
    <row r="12" spans="1:2" x14ac:dyDescent="0.2">
      <c r="A12" s="18" t="s">
        <v>98</v>
      </c>
      <c r="B12" s="16">
        <v>2333</v>
      </c>
    </row>
    <row r="13" spans="1:2" x14ac:dyDescent="0.2">
      <c r="A13" s="18" t="s">
        <v>99</v>
      </c>
      <c r="B13" s="16">
        <v>2333</v>
      </c>
    </row>
    <row r="14" spans="1:2" x14ac:dyDescent="0.2">
      <c r="A14" s="18" t="s">
        <v>100</v>
      </c>
      <c r="B14" s="16">
        <v>4333</v>
      </c>
    </row>
    <row r="15" spans="1:2" x14ac:dyDescent="0.2">
      <c r="A15" s="18" t="s">
        <v>101</v>
      </c>
      <c r="B15" s="16">
        <v>4333</v>
      </c>
    </row>
    <row r="16" spans="1:2" x14ac:dyDescent="0.2">
      <c r="A16" s="18" t="s">
        <v>102</v>
      </c>
      <c r="B16" s="16">
        <v>4333</v>
      </c>
    </row>
    <row r="17" spans="1:2" x14ac:dyDescent="0.2">
      <c r="A17" s="18" t="s">
        <v>103</v>
      </c>
      <c r="B17" s="16">
        <v>4333</v>
      </c>
    </row>
    <row r="18" spans="1:2" x14ac:dyDescent="0.2">
      <c r="A18" s="18" t="s">
        <v>104</v>
      </c>
      <c r="B18" s="16">
        <v>4333</v>
      </c>
    </row>
    <row r="19" spans="1:2" x14ac:dyDescent="0.2">
      <c r="A19" s="18" t="s">
        <v>93</v>
      </c>
      <c r="B19" s="16">
        <v>4333</v>
      </c>
    </row>
    <row r="20" spans="1:2" x14ac:dyDescent="0.2">
      <c r="A20" s="18" t="s">
        <v>94</v>
      </c>
      <c r="B20" s="16">
        <v>4333</v>
      </c>
    </row>
    <row r="21" spans="1:2" x14ac:dyDescent="0.2">
      <c r="A21" s="15" t="s">
        <v>71</v>
      </c>
      <c r="B21" s="16">
        <v>56662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117ED-6266-4E19-B702-425347676C1D}">
  <dimension ref="A3:B20"/>
  <sheetViews>
    <sheetView workbookViewId="0">
      <selection activeCell="A4" sqref="A4:B20"/>
    </sheetView>
  </sheetViews>
  <sheetFormatPr baseColWidth="10" defaultColWidth="8.83203125" defaultRowHeight="16" x14ac:dyDescent="0.2"/>
  <cols>
    <col min="1" max="1" width="10.5" bestFit="1" customWidth="1"/>
    <col min="2" max="2" width="7.1640625" bestFit="1" customWidth="1"/>
    <col min="3" max="15" width="6.1640625" bestFit="1" customWidth="1"/>
    <col min="16" max="16" width="10.5" bestFit="1" customWidth="1"/>
  </cols>
  <sheetData>
    <row r="3" spans="1:2" x14ac:dyDescent="0.2">
      <c r="A3" s="14" t="s">
        <v>90</v>
      </c>
    </row>
    <row r="4" spans="1:2" x14ac:dyDescent="0.2">
      <c r="B4" t="s">
        <v>25</v>
      </c>
    </row>
    <row r="5" spans="1:2" x14ac:dyDescent="0.2">
      <c r="A5" s="15" t="s">
        <v>91</v>
      </c>
      <c r="B5" s="16"/>
    </row>
    <row r="6" spans="1:2" x14ac:dyDescent="0.2">
      <c r="A6" s="18" t="s">
        <v>93</v>
      </c>
      <c r="B6" s="16">
        <v>10500</v>
      </c>
    </row>
    <row r="7" spans="1:2" x14ac:dyDescent="0.2">
      <c r="A7" s="18" t="s">
        <v>94</v>
      </c>
      <c r="B7" s="16">
        <v>12000</v>
      </c>
    </row>
    <row r="8" spans="1:2" x14ac:dyDescent="0.2">
      <c r="A8" s="18" t="s">
        <v>95</v>
      </c>
      <c r="B8" s="16">
        <v>12000</v>
      </c>
    </row>
    <row r="9" spans="1:2" x14ac:dyDescent="0.2">
      <c r="A9" s="18" t="s">
        <v>96</v>
      </c>
      <c r="B9" s="16">
        <v>11000</v>
      </c>
    </row>
    <row r="10" spans="1:2" x14ac:dyDescent="0.2">
      <c r="A10" s="15" t="s">
        <v>92</v>
      </c>
      <c r="B10" s="16"/>
    </row>
    <row r="11" spans="1:2" x14ac:dyDescent="0.2">
      <c r="A11" s="18" t="s">
        <v>97</v>
      </c>
      <c r="B11" s="16">
        <v>21000</v>
      </c>
    </row>
    <row r="12" spans="1:2" x14ac:dyDescent="0.2">
      <c r="A12" s="18" t="s">
        <v>98</v>
      </c>
      <c r="B12" s="16">
        <v>10000</v>
      </c>
    </row>
    <row r="13" spans="1:2" x14ac:dyDescent="0.2">
      <c r="A13" s="18" t="s">
        <v>99</v>
      </c>
      <c r="B13" s="16">
        <v>6000</v>
      </c>
    </row>
    <row r="14" spans="1:2" x14ac:dyDescent="0.2">
      <c r="A14" s="18" t="s">
        <v>100</v>
      </c>
      <c r="B14" s="16">
        <v>12000</v>
      </c>
    </row>
    <row r="15" spans="1:2" x14ac:dyDescent="0.2">
      <c r="A15" s="18" t="s">
        <v>101</v>
      </c>
      <c r="B15" s="16">
        <v>12000</v>
      </c>
    </row>
    <row r="16" spans="1:2" x14ac:dyDescent="0.2">
      <c r="A16" s="18" t="s">
        <v>102</v>
      </c>
      <c r="B16" s="16">
        <v>10500</v>
      </c>
    </row>
    <row r="17" spans="1:2" x14ac:dyDescent="0.2">
      <c r="A17" s="18" t="s">
        <v>103</v>
      </c>
      <c r="B17" s="16">
        <v>10500</v>
      </c>
    </row>
    <row r="18" spans="1:2" x14ac:dyDescent="0.2">
      <c r="A18" s="18" t="s">
        <v>104</v>
      </c>
      <c r="B18" s="16">
        <v>11000</v>
      </c>
    </row>
    <row r="19" spans="1:2" x14ac:dyDescent="0.2">
      <c r="A19" s="18" t="s">
        <v>93</v>
      </c>
      <c r="B19" s="16">
        <v>11000</v>
      </c>
    </row>
    <row r="20" spans="1:2" x14ac:dyDescent="0.2">
      <c r="A20" s="18" t="s">
        <v>94</v>
      </c>
      <c r="B20" s="16">
        <v>11500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0A8E7-5C14-3149-9CD6-0F27073B1919}">
  <dimension ref="A1:Y7"/>
  <sheetViews>
    <sheetView workbookViewId="0">
      <selection activeCell="I4" sqref="I4"/>
    </sheetView>
  </sheetViews>
  <sheetFormatPr baseColWidth="10" defaultColWidth="11" defaultRowHeight="16" x14ac:dyDescent="0.2"/>
  <cols>
    <col min="1" max="1" width="14.1640625" bestFit="1" customWidth="1"/>
    <col min="2" max="2" width="12.83203125" bestFit="1" customWidth="1"/>
    <col min="3" max="3" width="14.83203125" bestFit="1" customWidth="1"/>
    <col min="4" max="4" width="12" bestFit="1" customWidth="1"/>
    <col min="6" max="6" width="12.33203125" customWidth="1"/>
    <col min="9" max="9" width="12.33203125" customWidth="1"/>
    <col min="10" max="10" width="12.5" bestFit="1" customWidth="1"/>
    <col min="11" max="11" width="11.5" customWidth="1"/>
    <col min="12" max="12" width="6.83203125" style="9" bestFit="1" customWidth="1"/>
    <col min="13" max="13" width="6.6640625" style="9" bestFit="1" customWidth="1"/>
    <col min="14" max="14" width="7.1640625" style="9" bestFit="1" customWidth="1"/>
    <col min="15" max="15" width="7" style="9" bestFit="1" customWidth="1"/>
    <col min="16" max="16" width="6.5" style="9" bestFit="1" customWidth="1"/>
    <col min="17" max="17" width="6.83203125" style="9" bestFit="1" customWidth="1"/>
    <col min="18" max="18" width="7.1640625" style="9" bestFit="1" customWidth="1"/>
    <col min="19" max="19" width="6.6640625" style="9" bestFit="1" customWidth="1"/>
    <col min="20" max="20" width="7.5" style="9" bestFit="1" customWidth="1"/>
    <col min="21" max="21" width="6.5" style="9" bestFit="1" customWidth="1"/>
    <col min="22" max="22" width="6" style="9" bestFit="1" customWidth="1"/>
    <col min="23" max="23" width="7" style="9" bestFit="1" customWidth="1"/>
    <col min="24" max="24" width="6.83203125" style="9" bestFit="1" customWidth="1"/>
    <col min="25" max="25" width="6.6640625" style="9" bestFit="1" customWidth="1"/>
  </cols>
  <sheetData>
    <row r="1" spans="1:25" ht="26" x14ac:dyDescent="0.3">
      <c r="A1" s="1" t="s">
        <v>14</v>
      </c>
    </row>
    <row r="2" spans="1:25" x14ac:dyDescent="0.2">
      <c r="L2" s="9">
        <f>NETWORKDAYS(L3,M3)</f>
        <v>21</v>
      </c>
      <c r="M2" s="9">
        <f t="shared" ref="M2:X2" si="0">NETWORKDAYS(M3,N3)</f>
        <v>24</v>
      </c>
      <c r="N2" s="9">
        <f t="shared" si="0"/>
        <v>22</v>
      </c>
      <c r="O2" s="9">
        <f t="shared" si="0"/>
        <v>22</v>
      </c>
      <c r="P2" s="9">
        <f t="shared" si="0"/>
        <v>24</v>
      </c>
      <c r="Q2" s="9">
        <f t="shared" si="0"/>
        <v>21</v>
      </c>
      <c r="R2" s="9">
        <f t="shared" si="0"/>
        <v>22</v>
      </c>
      <c r="S2" s="9">
        <f t="shared" si="0"/>
        <v>23</v>
      </c>
      <c r="T2" s="9">
        <f t="shared" si="0"/>
        <v>23</v>
      </c>
      <c r="U2" s="9">
        <f t="shared" si="0"/>
        <v>21</v>
      </c>
      <c r="V2" s="9">
        <f t="shared" si="0"/>
        <v>24</v>
      </c>
      <c r="W2" s="9">
        <f t="shared" si="0"/>
        <v>22</v>
      </c>
      <c r="X2" s="9">
        <f t="shared" si="0"/>
        <v>22</v>
      </c>
    </row>
    <row r="3" spans="1:25" x14ac:dyDescent="0.2">
      <c r="A3" t="s">
        <v>15</v>
      </c>
      <c r="B3" t="s">
        <v>16</v>
      </c>
      <c r="C3" t="s">
        <v>17</v>
      </c>
      <c r="D3" t="s">
        <v>18</v>
      </c>
      <c r="E3" t="s">
        <v>19</v>
      </c>
      <c r="F3" t="s">
        <v>20</v>
      </c>
      <c r="G3" t="s">
        <v>21</v>
      </c>
      <c r="H3" t="s">
        <v>24</v>
      </c>
      <c r="I3" t="s">
        <v>23</v>
      </c>
      <c r="J3" t="s">
        <v>64</v>
      </c>
      <c r="K3" t="s">
        <v>22</v>
      </c>
      <c r="L3" s="10" t="s">
        <v>29</v>
      </c>
      <c r="M3" s="10" t="s">
        <v>30</v>
      </c>
      <c r="N3" s="10" t="s">
        <v>31</v>
      </c>
      <c r="O3" s="10" t="s">
        <v>32</v>
      </c>
      <c r="P3" s="10" t="s">
        <v>33</v>
      </c>
      <c r="Q3" s="10" t="s">
        <v>34</v>
      </c>
      <c r="R3" s="10" t="s">
        <v>35</v>
      </c>
      <c r="S3" s="10" t="s">
        <v>36</v>
      </c>
      <c r="T3" s="10" t="s">
        <v>37</v>
      </c>
      <c r="U3" s="10" t="s">
        <v>38</v>
      </c>
      <c r="V3" s="10" t="s">
        <v>39</v>
      </c>
      <c r="W3" s="10" t="s">
        <v>40</v>
      </c>
      <c r="X3" s="10" t="s">
        <v>41</v>
      </c>
      <c r="Y3" s="10" t="s">
        <v>42</v>
      </c>
    </row>
    <row r="4" spans="1:25" x14ac:dyDescent="0.2">
      <c r="A4" t="s">
        <v>43</v>
      </c>
      <c r="C4" t="s">
        <v>44</v>
      </c>
      <c r="D4" t="s">
        <v>45</v>
      </c>
      <c r="E4" t="s">
        <v>46</v>
      </c>
      <c r="G4" s="5">
        <v>500</v>
      </c>
      <c r="H4" t="s">
        <v>25</v>
      </c>
      <c r="I4">
        <f>SUM(Resources[[#This Row],[Sep-18]:[Sep-19]])</f>
        <v>281</v>
      </c>
      <c r="J4" s="5">
        <f>Resources[[#This Row],[Total Days]]*Resources[[#This Row],[Rate]]</f>
        <v>140500</v>
      </c>
      <c r="L4" s="9">
        <v>21</v>
      </c>
      <c r="M4" s="9">
        <v>24</v>
      </c>
      <c r="N4" s="9">
        <v>22</v>
      </c>
      <c r="O4" s="9">
        <v>12</v>
      </c>
      <c r="P4" s="9">
        <v>24</v>
      </c>
      <c r="Q4" s="9">
        <v>21</v>
      </c>
      <c r="R4" s="9">
        <v>22</v>
      </c>
      <c r="S4" s="9">
        <v>23</v>
      </c>
      <c r="T4" s="9">
        <v>23</v>
      </c>
      <c r="U4" s="9">
        <v>21</v>
      </c>
      <c r="V4" s="9">
        <v>24</v>
      </c>
      <c r="W4" s="9">
        <v>22</v>
      </c>
      <c r="X4" s="9">
        <v>22</v>
      </c>
    </row>
    <row r="5" spans="1:25" x14ac:dyDescent="0.2">
      <c r="A5" t="s">
        <v>48</v>
      </c>
      <c r="B5" t="s">
        <v>43</v>
      </c>
      <c r="C5" t="s">
        <v>49</v>
      </c>
      <c r="D5" t="s">
        <v>45</v>
      </c>
      <c r="E5" t="s">
        <v>46</v>
      </c>
      <c r="G5" s="5">
        <v>400</v>
      </c>
      <c r="H5" t="s">
        <v>26</v>
      </c>
      <c r="I5">
        <f>SUM(Resources[[#This Row],[Sep-18]:[Sep-19]])</f>
        <v>85</v>
      </c>
      <c r="J5" s="5">
        <f>Resources[[#This Row],[Total Days]]*Resources[[#This Row],[Rate]]</f>
        <v>34000</v>
      </c>
      <c r="L5" s="9">
        <v>10</v>
      </c>
      <c r="M5" s="9">
        <v>10</v>
      </c>
      <c r="N5" s="9">
        <v>10</v>
      </c>
      <c r="O5" s="9">
        <v>5</v>
      </c>
      <c r="P5" s="9">
        <v>10</v>
      </c>
      <c r="Q5" s="9">
        <v>10</v>
      </c>
      <c r="R5" s="9">
        <v>10</v>
      </c>
      <c r="S5" s="9">
        <v>10</v>
      </c>
      <c r="T5" s="9">
        <v>10</v>
      </c>
    </row>
    <row r="6" spans="1:25" x14ac:dyDescent="0.2">
      <c r="A6" t="s">
        <v>86</v>
      </c>
      <c r="B6" t="s">
        <v>43</v>
      </c>
      <c r="C6" t="s">
        <v>87</v>
      </c>
      <c r="D6" t="s">
        <v>45</v>
      </c>
      <c r="E6" t="s">
        <v>46</v>
      </c>
      <c r="G6" s="5">
        <v>450</v>
      </c>
      <c r="H6" t="s">
        <v>27</v>
      </c>
      <c r="I6">
        <f>SUM(Resources[[#This Row],[Sep-18]:[Sep-19]])</f>
        <v>90</v>
      </c>
      <c r="J6" s="5">
        <f>Resources[[#This Row],[Total Days]]*Resources[[#This Row],[Rate]]</f>
        <v>40500</v>
      </c>
      <c r="P6" s="9">
        <v>10</v>
      </c>
      <c r="Q6" s="9">
        <v>10</v>
      </c>
      <c r="R6" s="9">
        <v>10</v>
      </c>
      <c r="S6" s="9">
        <v>10</v>
      </c>
      <c r="T6" s="9">
        <v>10</v>
      </c>
      <c r="U6" s="9">
        <v>10</v>
      </c>
      <c r="V6" s="9">
        <v>10</v>
      </c>
      <c r="W6" s="9">
        <v>10</v>
      </c>
      <c r="X6" s="9">
        <v>10</v>
      </c>
    </row>
    <row r="7" spans="1:25" x14ac:dyDescent="0.2">
      <c r="A7" t="s">
        <v>47</v>
      </c>
      <c r="G7" s="8">
        <f>SUBTOTAL(103,Resources[Rate])</f>
        <v>3</v>
      </c>
      <c r="I7">
        <f>SUBTOTAL(109,Resources[Total Days])</f>
        <v>456</v>
      </c>
      <c r="J7" s="7">
        <f>SUBTOTAL(109,Resources[Total Cost])</f>
        <v>215000</v>
      </c>
      <c r="L7" s="9">
        <f>SUBTOTAL(109,Resources[Sep-18])</f>
        <v>31</v>
      </c>
      <c r="M7" s="9">
        <f>SUBTOTAL(109,Resources[Oct-18])</f>
        <v>34</v>
      </c>
      <c r="N7" s="9">
        <f>SUBTOTAL(109,Resources[Nov-18])</f>
        <v>32</v>
      </c>
      <c r="O7" s="9">
        <f>SUBTOTAL(109,Resources[Dec-18])</f>
        <v>17</v>
      </c>
      <c r="P7" s="9">
        <f>SUBTOTAL(109,Resources[Jan-19])</f>
        <v>44</v>
      </c>
      <c r="Q7" s="9">
        <f>SUBTOTAL(109,Resources[Feb-19])</f>
        <v>41</v>
      </c>
      <c r="R7" s="9">
        <f>SUBTOTAL(109,Resources[Mar-19])</f>
        <v>42</v>
      </c>
      <c r="S7" s="9">
        <f>SUBTOTAL(109,Resources[Apr-19])</f>
        <v>43</v>
      </c>
      <c r="T7" s="9">
        <f>SUBTOTAL(109,Resources[May-19])</f>
        <v>43</v>
      </c>
      <c r="U7" s="9">
        <f>SUBTOTAL(109,Resources[Jun-19])</f>
        <v>31</v>
      </c>
      <c r="V7" s="9">
        <f>SUBTOTAL(109,Resources[Jul-19])</f>
        <v>34</v>
      </c>
      <c r="W7" s="9">
        <f>SUBTOTAL(109,Resources[Aug-19])</f>
        <v>32</v>
      </c>
      <c r="X7" s="9">
        <f>SUBTOTAL(109,Resources[Sep-19])</f>
        <v>32</v>
      </c>
    </row>
  </sheetData>
  <conditionalFormatting sqref="L4:Y6">
    <cfRule type="colorScale" priority="1">
      <colorScale>
        <cfvo type="min"/>
        <cfvo type="percentile" val="50"/>
        <cfvo type="max"/>
        <color rgb="FF63BE7B"/>
        <color rgb="FFFFEB84"/>
        <color rgb="FFF8696B"/>
      </colorScale>
    </cfRule>
  </conditionalFormatting>
  <dataValidations count="1">
    <dataValidation type="list" allowBlank="1" showInputMessage="1" showErrorMessage="1" sqref="H4:H6" xr:uid="{F7B7A8AC-0286-AE48-A88C-6DB9DCF1E033}">
      <formula1>INDIRECT("CostType")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DC07-A0F2-7545-86B5-A2D755A9593C}">
  <dimension ref="A1:R7"/>
  <sheetViews>
    <sheetView workbookViewId="0">
      <selection activeCell="B6" sqref="B6"/>
    </sheetView>
  </sheetViews>
  <sheetFormatPr baseColWidth="10" defaultColWidth="11" defaultRowHeight="16" x14ac:dyDescent="0.2"/>
  <cols>
    <col min="1" max="1" width="15.1640625" bestFit="1" customWidth="1"/>
    <col min="3" max="3" width="11.5" customWidth="1"/>
    <col min="4" max="4" width="11.5" bestFit="1" customWidth="1"/>
    <col min="9" max="9" width="11.5" bestFit="1" customWidth="1"/>
    <col min="10" max="10" width="11" bestFit="1" customWidth="1"/>
  </cols>
  <sheetData>
    <row r="1" spans="1:18" x14ac:dyDescent="0.2">
      <c r="A1" t="s">
        <v>50</v>
      </c>
    </row>
    <row r="3" spans="1:18" x14ac:dyDescent="0.2">
      <c r="A3" t="s">
        <v>51</v>
      </c>
      <c r="B3" t="s">
        <v>52</v>
      </c>
      <c r="C3" t="s">
        <v>24</v>
      </c>
      <c r="D3" t="s">
        <v>53</v>
      </c>
      <c r="E3" s="6" t="s">
        <v>29</v>
      </c>
      <c r="F3" s="6" t="s">
        <v>30</v>
      </c>
      <c r="G3" s="6" t="s">
        <v>31</v>
      </c>
      <c r="H3" s="6" t="s">
        <v>32</v>
      </c>
      <c r="I3" s="6" t="s">
        <v>33</v>
      </c>
      <c r="J3" s="6" t="s">
        <v>34</v>
      </c>
      <c r="K3" s="6" t="s">
        <v>35</v>
      </c>
      <c r="L3" s="6" t="s">
        <v>36</v>
      </c>
      <c r="M3" s="6" t="s">
        <v>37</v>
      </c>
      <c r="N3" s="6" t="s">
        <v>38</v>
      </c>
      <c r="O3" s="6" t="s">
        <v>39</v>
      </c>
      <c r="P3" s="6" t="s">
        <v>40</v>
      </c>
      <c r="Q3" s="6" t="s">
        <v>41</v>
      </c>
      <c r="R3" s="6" t="s">
        <v>42</v>
      </c>
    </row>
    <row r="4" spans="1:18" x14ac:dyDescent="0.2">
      <c r="A4" t="s">
        <v>54</v>
      </c>
      <c r="B4" t="s">
        <v>56</v>
      </c>
      <c r="C4" t="s">
        <v>26</v>
      </c>
      <c r="D4" s="11">
        <f>SUM(Materials[[#This Row],[Sep-18]:[Oct-19]])</f>
        <v>4662</v>
      </c>
      <c r="E4" s="11">
        <v>333</v>
      </c>
      <c r="F4" s="11">
        <v>333</v>
      </c>
      <c r="G4" s="11">
        <v>333</v>
      </c>
      <c r="H4" s="11">
        <v>333</v>
      </c>
      <c r="I4" s="11">
        <v>333</v>
      </c>
      <c r="J4" s="11">
        <v>333</v>
      </c>
      <c r="K4" s="11">
        <v>333</v>
      </c>
      <c r="L4" s="11">
        <v>333</v>
      </c>
      <c r="M4" s="11">
        <v>333</v>
      </c>
      <c r="N4" s="11">
        <v>333</v>
      </c>
      <c r="O4" s="11">
        <v>333</v>
      </c>
      <c r="P4" s="11">
        <v>333</v>
      </c>
      <c r="Q4" s="11">
        <v>333</v>
      </c>
      <c r="R4" s="11">
        <v>333</v>
      </c>
    </row>
    <row r="5" spans="1:18" x14ac:dyDescent="0.2">
      <c r="A5" t="s">
        <v>60</v>
      </c>
      <c r="B5" t="s">
        <v>57</v>
      </c>
      <c r="C5" t="s">
        <v>25</v>
      </c>
      <c r="D5" s="11">
        <f>SUM(Materials[[#This Row],[Sep-18]:[Oct-19]])</f>
        <v>10000</v>
      </c>
      <c r="E5" s="11"/>
      <c r="F5" s="11"/>
      <c r="G5" s="11"/>
      <c r="H5" s="11"/>
      <c r="I5" s="11">
        <v>10000</v>
      </c>
      <c r="J5" s="11"/>
      <c r="K5" s="11"/>
      <c r="L5" s="11"/>
      <c r="M5" s="11"/>
      <c r="N5" s="11"/>
      <c r="O5" s="11"/>
      <c r="P5" s="11"/>
      <c r="Q5" s="11"/>
      <c r="R5" s="11"/>
    </row>
    <row r="6" spans="1:18" x14ac:dyDescent="0.2">
      <c r="A6" t="s">
        <v>88</v>
      </c>
      <c r="B6" t="s">
        <v>56</v>
      </c>
      <c r="C6" t="s">
        <v>25</v>
      </c>
      <c r="D6" s="11">
        <v>4000</v>
      </c>
      <c r="E6" s="11"/>
      <c r="F6" s="11"/>
      <c r="G6" s="11"/>
      <c r="H6" s="11"/>
      <c r="I6" s="11"/>
      <c r="J6" s="11">
        <v>4000</v>
      </c>
      <c r="K6" s="11"/>
      <c r="L6" s="11"/>
      <c r="M6" s="11"/>
      <c r="N6" s="11"/>
      <c r="O6" s="11"/>
      <c r="P6" s="11"/>
      <c r="Q6" s="11"/>
      <c r="R6" s="11"/>
    </row>
    <row r="7" spans="1:18" x14ac:dyDescent="0.2">
      <c r="A7" t="s">
        <v>47</v>
      </c>
      <c r="E7" s="13">
        <f>SUBTOTAL(109,Materials[Sep-18])</f>
        <v>333</v>
      </c>
      <c r="F7" s="13">
        <f>SUBTOTAL(109,Materials[Oct-18])</f>
        <v>333</v>
      </c>
      <c r="G7" s="13">
        <f>SUBTOTAL(109,Materials[Nov-18])</f>
        <v>333</v>
      </c>
      <c r="H7" s="13">
        <f>SUBTOTAL(109,Materials[Dec-18])</f>
        <v>333</v>
      </c>
      <c r="I7" s="13">
        <f>SUBTOTAL(109,Materials[Jan-19])</f>
        <v>10333</v>
      </c>
      <c r="J7" s="13">
        <f>SUBTOTAL(109,Materials[Feb-19])</f>
        <v>4333</v>
      </c>
      <c r="K7" s="13">
        <f>SUBTOTAL(109,Materials[Mar-19])</f>
        <v>333</v>
      </c>
      <c r="L7" s="13">
        <f>SUBTOTAL(109,Materials[Apr-19])</f>
        <v>333</v>
      </c>
      <c r="M7" s="13">
        <f>SUBTOTAL(109,Materials[May-19])</f>
        <v>333</v>
      </c>
      <c r="N7" s="13">
        <f>SUBTOTAL(109,Materials[Jun-19])</f>
        <v>333</v>
      </c>
      <c r="O7" s="13">
        <f>SUBTOTAL(109,Materials[Jul-19])</f>
        <v>333</v>
      </c>
      <c r="P7" s="13">
        <f>SUBTOTAL(109,Materials[Aug-19])</f>
        <v>333</v>
      </c>
      <c r="Q7" s="13">
        <f>SUBTOTAL(109,Materials[Sep-19])</f>
        <v>333</v>
      </c>
      <c r="R7" s="13">
        <f>SUBTOTAL(109,Materials[Oct-19])</f>
        <v>333</v>
      </c>
    </row>
  </sheetData>
  <dataValidations count="2">
    <dataValidation type="list" allowBlank="1" showInputMessage="1" showErrorMessage="1" sqref="B4:B6" xr:uid="{07AB9C89-494D-6E4C-99F7-0C023ED9D5B7}">
      <formula1>INDIRECT("materialcategory")</formula1>
    </dataValidation>
    <dataValidation type="list" allowBlank="1" showInputMessage="1" showErrorMessage="1" sqref="C4:C6" xr:uid="{D73CFFB6-C210-9F4F-A4AC-48D7351685F9}">
      <formula1>INDIRECT("CostType")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F53C-19A3-1A46-B155-60E945D1C8E5}">
  <dimension ref="A1:O5"/>
  <sheetViews>
    <sheetView workbookViewId="0">
      <selection activeCell="D4" sqref="D4"/>
    </sheetView>
  </sheetViews>
  <sheetFormatPr baseColWidth="10" defaultColWidth="11" defaultRowHeight="16" x14ac:dyDescent="0.2"/>
  <cols>
    <col min="1" max="1" width="16.1640625" customWidth="1"/>
  </cols>
  <sheetData>
    <row r="1" spans="1:15" ht="26" x14ac:dyDescent="0.3">
      <c r="A1" s="1" t="s">
        <v>61</v>
      </c>
    </row>
    <row r="3" spans="1:15" x14ac:dyDescent="0.2">
      <c r="A3" t="s">
        <v>62</v>
      </c>
      <c r="B3" s="6" t="s">
        <v>29</v>
      </c>
      <c r="C3" s="6" t="s">
        <v>30</v>
      </c>
      <c r="D3" s="6" t="s">
        <v>31</v>
      </c>
      <c r="E3" s="6" t="s">
        <v>32</v>
      </c>
      <c r="F3" s="6" t="s">
        <v>33</v>
      </c>
      <c r="G3" s="6" t="s">
        <v>34</v>
      </c>
      <c r="H3" s="6" t="s">
        <v>35</v>
      </c>
      <c r="I3" s="6" t="s">
        <v>36</v>
      </c>
      <c r="J3" s="6" t="s">
        <v>37</v>
      </c>
      <c r="K3" s="6" t="s">
        <v>38</v>
      </c>
      <c r="L3" s="6" t="s">
        <v>39</v>
      </c>
      <c r="M3" s="6" t="s">
        <v>40</v>
      </c>
      <c r="N3" s="6" t="s">
        <v>41</v>
      </c>
      <c r="O3" s="6" t="s">
        <v>42</v>
      </c>
    </row>
    <row r="4" spans="1:15" x14ac:dyDescent="0.2">
      <c r="B4">
        <v>1000</v>
      </c>
      <c r="C4">
        <v>2000</v>
      </c>
      <c r="D4">
        <v>3000</v>
      </c>
      <c r="E4">
        <v>4000</v>
      </c>
      <c r="F4">
        <v>4500</v>
      </c>
      <c r="G4">
        <v>5000</v>
      </c>
    </row>
    <row r="5" spans="1:15" x14ac:dyDescent="0.2">
      <c r="A5" t="s">
        <v>47</v>
      </c>
      <c r="B5">
        <f>SUBTOTAL(109,Actuals[Sep-18])</f>
        <v>1000</v>
      </c>
      <c r="C5">
        <f>SUBTOTAL(109,Actuals[Oct-18])</f>
        <v>2000</v>
      </c>
      <c r="D5">
        <f>SUBTOTAL(109,Actuals[Nov-18])</f>
        <v>3000</v>
      </c>
      <c r="E5">
        <f>SUBTOTAL(109,Actuals[Dec-18])</f>
        <v>4000</v>
      </c>
      <c r="F5">
        <f>SUBTOTAL(109,Actuals[Jan-19])</f>
        <v>4500</v>
      </c>
      <c r="G5">
        <f>SUBTOTAL(109,Actuals[Feb-19])</f>
        <v>5000</v>
      </c>
      <c r="H5">
        <f>SUBTOTAL(109,Actuals[Mar-19])</f>
        <v>0</v>
      </c>
      <c r="I5">
        <f>SUBTOTAL(109,Actuals[Apr-19])</f>
        <v>0</v>
      </c>
      <c r="J5">
        <f>SUBTOTAL(109,Actuals[May-19])</f>
        <v>0</v>
      </c>
      <c r="K5">
        <f>SUBTOTAL(109,Actuals[Jun-19])</f>
        <v>0</v>
      </c>
      <c r="L5">
        <f>SUBTOTAL(109,Actuals[Jul-19])</f>
        <v>0</v>
      </c>
      <c r="M5">
        <f>SUBTOTAL(109,Actuals[Aug-19])</f>
        <v>0</v>
      </c>
      <c r="N5">
        <f>SUBTOTAL(109,Actuals[Sep-19])</f>
        <v>0</v>
      </c>
      <c r="O5">
        <f>SUBTOTAL(109,Actuals[Oct-19])</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225E-23DC-6041-A9D9-606DBE8BFD7D}">
  <dimension ref="A1:C5"/>
  <sheetViews>
    <sheetView workbookViewId="0">
      <selection activeCell="C7" sqref="C7"/>
    </sheetView>
  </sheetViews>
  <sheetFormatPr baseColWidth="10" defaultColWidth="11" defaultRowHeight="16" x14ac:dyDescent="0.2"/>
  <cols>
    <col min="1" max="1" width="11.5" customWidth="1"/>
    <col min="3" max="3" width="19.1640625" customWidth="1"/>
  </cols>
  <sheetData>
    <row r="1" spans="1:3" x14ac:dyDescent="0.2">
      <c r="A1" t="s">
        <v>24</v>
      </c>
      <c r="C1" t="s">
        <v>55</v>
      </c>
    </row>
    <row r="2" spans="1:3" x14ac:dyDescent="0.2">
      <c r="A2" t="s">
        <v>25</v>
      </c>
      <c r="C2" t="s">
        <v>56</v>
      </c>
    </row>
    <row r="3" spans="1:3" x14ac:dyDescent="0.2">
      <c r="A3" t="s">
        <v>26</v>
      </c>
      <c r="C3" t="s">
        <v>57</v>
      </c>
    </row>
    <row r="4" spans="1:3" x14ac:dyDescent="0.2">
      <c r="A4" t="s">
        <v>27</v>
      </c>
      <c r="C4" t="s">
        <v>58</v>
      </c>
    </row>
    <row r="5" spans="1:3" x14ac:dyDescent="0.2">
      <c r="C5" t="s">
        <v>59</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BA43-A9C3-124A-823E-F5EDD01857A8}">
  <dimension ref="A1:R7"/>
  <sheetViews>
    <sheetView workbookViewId="0">
      <selection activeCell="D13" sqref="D13"/>
    </sheetView>
  </sheetViews>
  <sheetFormatPr baseColWidth="10" defaultColWidth="11" defaultRowHeight="16" x14ac:dyDescent="0.2"/>
  <cols>
    <col min="1" max="2" width="14.83203125" bestFit="1" customWidth="1"/>
    <col min="3" max="3" width="10.5" bestFit="1" customWidth="1"/>
    <col min="4" max="14" width="14.83203125" bestFit="1" customWidth="1"/>
    <col min="15" max="16" width="10.5" bestFit="1" customWidth="1"/>
    <col min="17" max="18" width="11.5" bestFit="1" customWidth="1"/>
  </cols>
  <sheetData>
    <row r="1" spans="1:18" ht="26" x14ac:dyDescent="0.3">
      <c r="A1" s="1" t="s">
        <v>63</v>
      </c>
    </row>
    <row r="3" spans="1:18" x14ac:dyDescent="0.2">
      <c r="A3" t="s">
        <v>15</v>
      </c>
      <c r="B3" t="s">
        <v>18</v>
      </c>
      <c r="C3" t="s">
        <v>64</v>
      </c>
      <c r="D3" t="s">
        <v>22</v>
      </c>
      <c r="E3" s="6" t="s">
        <v>29</v>
      </c>
      <c r="F3" s="6" t="s">
        <v>30</v>
      </c>
      <c r="G3" s="6" t="s">
        <v>31</v>
      </c>
      <c r="H3" s="6" t="s">
        <v>32</v>
      </c>
      <c r="I3" s="6" t="s">
        <v>33</v>
      </c>
      <c r="J3" s="6" t="s">
        <v>34</v>
      </c>
      <c r="K3" s="6" t="s">
        <v>35</v>
      </c>
      <c r="L3" s="6" t="s">
        <v>36</v>
      </c>
      <c r="M3" s="6" t="s">
        <v>37</v>
      </c>
      <c r="N3" s="6" t="s">
        <v>38</v>
      </c>
      <c r="O3" s="6" t="s">
        <v>39</v>
      </c>
      <c r="P3" s="6" t="s">
        <v>40</v>
      </c>
      <c r="Q3" s="6" t="s">
        <v>41</v>
      </c>
      <c r="R3" s="6" t="s">
        <v>42</v>
      </c>
    </row>
    <row r="4" spans="1:18" x14ac:dyDescent="0.2">
      <c r="A4" t="str">
        <f>Resources[[#This Row],[Name]]</f>
        <v>Kevin McAleer</v>
      </c>
      <c r="B4" t="str">
        <f>Resources[[#This Row],[Team]]</f>
        <v>Project Team</v>
      </c>
      <c r="C4" s="11">
        <f>SUM(ResourceCosts[[#This Row],[Sep-18]:[Oct-19]])</f>
        <v>147000</v>
      </c>
      <c r="D4" t="str">
        <f>Resources[[#This Row],[Cost Type]]</f>
        <v>Capex</v>
      </c>
      <c r="E4" s="11">
        <f>Resources[[#This Row],[Sep-18]]*Resources[[#This Row],[Rate]]</f>
        <v>10500</v>
      </c>
      <c r="F4" s="11">
        <f>Resources[[#This Row],[Oct-18]]*Resources[[#This Row],[Rate]]</f>
        <v>12000</v>
      </c>
      <c r="G4" s="11">
        <f>Resources[[#This Row],[Oct-18]]*Resources[[#This Row],[Rate]]</f>
        <v>12000</v>
      </c>
      <c r="H4" s="11">
        <f>Resources[[#This Row],[Nov-18]]*Resources[[#This Row],[Rate]]</f>
        <v>11000</v>
      </c>
      <c r="I4" s="11">
        <f>Resources[[#This Row],[Nov-18]]*Resources[[#This Row],[Rate]]</f>
        <v>11000</v>
      </c>
      <c r="J4" s="11">
        <f>Resources[[#This Row],[Dec-18]]*Resources[[#This Row],[Rate]]</f>
        <v>6000</v>
      </c>
      <c r="K4" s="11">
        <f>Resources[[#This Row],[Dec-18]]*Resources[[#This Row],[Rate]]</f>
        <v>6000</v>
      </c>
      <c r="L4" s="11">
        <f>Resources[[#This Row],[Jan-19]]*Resources[[#This Row],[Rate]]</f>
        <v>12000</v>
      </c>
      <c r="M4" s="11">
        <f>Resources[[#This Row],[Jan-19]]*Resources[[#This Row],[Rate]]</f>
        <v>12000</v>
      </c>
      <c r="N4" s="11">
        <f>Resources[[#This Row],[Feb-19]]*Resources[[#This Row],[Rate]]</f>
        <v>10500</v>
      </c>
      <c r="O4" s="11">
        <f>Resources[[#This Row],[Feb-19]]*Resources[[#This Row],[Rate]]</f>
        <v>10500</v>
      </c>
      <c r="P4" s="11">
        <f>Resources[[#This Row],[Mar-19]]*Resources[[#This Row],[Rate]]</f>
        <v>11000</v>
      </c>
      <c r="Q4" s="11">
        <f>Resources[[#This Row],[Mar-19]]*Resources[[#This Row],[Rate]]</f>
        <v>11000</v>
      </c>
      <c r="R4" s="11">
        <f>Resources[[#This Row],[Apr-19]]*Resources[[#This Row],[Rate]]</f>
        <v>11500</v>
      </c>
    </row>
    <row r="5" spans="1:18" x14ac:dyDescent="0.2">
      <c r="A5" t="str">
        <f>Resources[[#This Row],[Name]]</f>
        <v>BA</v>
      </c>
      <c r="B5" t="str">
        <f>Resources[[#This Row],[Team]]</f>
        <v>Project Team</v>
      </c>
      <c r="C5" s="11">
        <f>SUM(ResourceCosts[[#This Row],[Sep-18]:[Oct-19]])</f>
        <v>52000</v>
      </c>
      <c r="D5" t="str">
        <f>Resources[[#This Row],[Cost Type]]</f>
        <v>Opex</v>
      </c>
      <c r="E5" s="11">
        <f>Resources[[#This Row],[Sep-18]]*Resources[[#This Row],[Rate]]</f>
        <v>4000</v>
      </c>
      <c r="F5" s="11">
        <f>Resources[[#This Row],[Oct-18]]*Resources[[#This Row],[Rate]]</f>
        <v>4000</v>
      </c>
      <c r="G5" s="11">
        <f>Resources[[#This Row],[Oct-18]]*Resources[[#This Row],[Rate]]</f>
        <v>4000</v>
      </c>
      <c r="H5" s="11">
        <f>Resources[[#This Row],[Nov-18]]*Resources[[#This Row],[Rate]]</f>
        <v>4000</v>
      </c>
      <c r="I5" s="11">
        <f>Resources[[#This Row],[Nov-18]]*Resources[[#This Row],[Rate]]</f>
        <v>4000</v>
      </c>
      <c r="J5" s="11">
        <f>Resources[[#This Row],[Dec-18]]*Resources[[#This Row],[Rate]]</f>
        <v>2000</v>
      </c>
      <c r="K5" s="11">
        <f>Resources[[#This Row],[Dec-18]]*Resources[[#This Row],[Rate]]</f>
        <v>2000</v>
      </c>
      <c r="L5" s="11">
        <f>Resources[[#This Row],[Jan-19]]*Resources[[#This Row],[Rate]]</f>
        <v>4000</v>
      </c>
      <c r="M5" s="11">
        <f>Resources[[#This Row],[Jan-19]]*Resources[[#This Row],[Rate]]</f>
        <v>4000</v>
      </c>
      <c r="N5" s="11">
        <f>Resources[[#This Row],[Feb-19]]*Resources[[#This Row],[Rate]]</f>
        <v>4000</v>
      </c>
      <c r="O5" s="11">
        <f>Resources[[#This Row],[Feb-19]]*Resources[[#This Row],[Rate]]</f>
        <v>4000</v>
      </c>
      <c r="P5" s="11">
        <f>Resources[[#This Row],[Mar-19]]*Resources[[#This Row],[Rate]]</f>
        <v>4000</v>
      </c>
      <c r="Q5" s="11">
        <f>Resources[[#This Row],[Mar-19]]*Resources[[#This Row],[Rate]]</f>
        <v>4000</v>
      </c>
      <c r="R5" s="11">
        <f>Resources[[#This Row],[Apr-19]]*Resources[[#This Row],[Rate]]</f>
        <v>4000</v>
      </c>
    </row>
    <row r="6" spans="1:18" x14ac:dyDescent="0.2">
      <c r="A6" t="str">
        <f>Resources[[#This Row],[Name]]</f>
        <v>Tester</v>
      </c>
      <c r="B6" t="str">
        <f>Resources[[#This Row],[Team]]</f>
        <v>Project Team</v>
      </c>
      <c r="C6" s="11">
        <f>SUM(ResourceCosts[[#This Row],[Sep-18]:[Oct-19]])</f>
        <v>31500</v>
      </c>
      <c r="D6" t="str">
        <f>Resources[[#This Row],[Cost Type]]</f>
        <v>Overhead</v>
      </c>
      <c r="E6" s="11">
        <f>Resources[[#This Row],[Sep-18]]*Resources[[#This Row],[Rate]]</f>
        <v>0</v>
      </c>
      <c r="F6" s="11">
        <f>Resources[[#This Row],[Oct-18]]*Resources[[#This Row],[Rate]]</f>
        <v>0</v>
      </c>
      <c r="G6" s="11">
        <f>Resources[[#This Row],[Oct-18]]*Resources[[#This Row],[Rate]]</f>
        <v>0</v>
      </c>
      <c r="H6" s="11">
        <f>Resources[[#This Row],[Nov-18]]*Resources[[#This Row],[Rate]]</f>
        <v>0</v>
      </c>
      <c r="I6" s="11">
        <f>Resources[[#This Row],[Nov-18]]*Resources[[#This Row],[Rate]]</f>
        <v>0</v>
      </c>
      <c r="J6" s="11">
        <f>Resources[[#This Row],[Dec-18]]*Resources[[#This Row],[Rate]]</f>
        <v>0</v>
      </c>
      <c r="K6" s="11">
        <f>Resources[[#This Row],[Dec-18]]*Resources[[#This Row],[Rate]]</f>
        <v>0</v>
      </c>
      <c r="L6" s="11">
        <f>Resources[[#This Row],[Jan-19]]*Resources[[#This Row],[Rate]]</f>
        <v>4500</v>
      </c>
      <c r="M6" s="11">
        <f>Resources[[#This Row],[Jan-19]]*Resources[[#This Row],[Rate]]</f>
        <v>4500</v>
      </c>
      <c r="N6" s="11">
        <f>Resources[[#This Row],[Feb-19]]*Resources[[#This Row],[Rate]]</f>
        <v>4500</v>
      </c>
      <c r="O6" s="11">
        <f>Resources[[#This Row],[Feb-19]]*Resources[[#This Row],[Rate]]</f>
        <v>4500</v>
      </c>
      <c r="P6" s="11">
        <f>Resources[[#This Row],[Mar-19]]*Resources[[#This Row],[Rate]]</f>
        <v>4500</v>
      </c>
      <c r="Q6" s="11">
        <f>Resources[[#This Row],[Mar-19]]*Resources[[#This Row],[Rate]]</f>
        <v>4500</v>
      </c>
      <c r="R6" s="11">
        <f>Resources[[#This Row],[Apr-19]]*Resources[[#This Row],[Rate]]</f>
        <v>4500</v>
      </c>
    </row>
    <row r="7" spans="1:18" x14ac:dyDescent="0.2">
      <c r="A7" t="s">
        <v>47</v>
      </c>
      <c r="E7" s="12">
        <f>SUBTOTAL(109,ResourceCosts[Sep-18])</f>
        <v>14500</v>
      </c>
      <c r="F7" s="12">
        <f>SUBTOTAL(109,ResourceCosts[Oct-18])</f>
        <v>16000</v>
      </c>
      <c r="G7" s="12">
        <f>SUBTOTAL(109,ResourceCosts[Nov-18])</f>
        <v>16000</v>
      </c>
      <c r="H7" s="12">
        <f>SUBTOTAL(109,ResourceCosts[Dec-18])</f>
        <v>15000</v>
      </c>
      <c r="I7" s="12">
        <f>SUBTOTAL(109,ResourceCosts[Jan-19])</f>
        <v>15000</v>
      </c>
      <c r="J7" s="12">
        <f>SUBTOTAL(109,ResourceCosts[Feb-19])</f>
        <v>8000</v>
      </c>
      <c r="K7" s="12">
        <f>SUBTOTAL(109,ResourceCosts[Mar-19])</f>
        <v>8000</v>
      </c>
      <c r="L7" s="12">
        <f>SUBTOTAL(109,ResourceCosts[Apr-19])</f>
        <v>20500</v>
      </c>
      <c r="M7" s="12">
        <f>SUBTOTAL(109,ResourceCosts[May-19])</f>
        <v>20500</v>
      </c>
      <c r="N7" s="12">
        <f>SUBTOTAL(109,ResourceCosts[Jun-19])</f>
        <v>19000</v>
      </c>
      <c r="O7" s="12">
        <f>SUBTOTAL(109,ResourceCosts[Jul-19])</f>
        <v>19000</v>
      </c>
      <c r="P7" s="12">
        <f>SUBTOTAL(109,ResourceCosts[Aug-19])</f>
        <v>19500</v>
      </c>
      <c r="Q7" s="12">
        <f>SUBTOTAL(109,ResourceCosts[Sep-19])</f>
        <v>19500</v>
      </c>
      <c r="R7" s="12">
        <f>SUBTOTAL(109,ResourceCosts[Oct-19])</f>
        <v>20000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1C77F-C41D-1A48-9C8C-F9DCE52530E4}">
  <dimension ref="A1:Q9"/>
  <sheetViews>
    <sheetView workbookViewId="0">
      <selection activeCell="B6" sqref="B6"/>
    </sheetView>
  </sheetViews>
  <sheetFormatPr baseColWidth="10" defaultColWidth="11" defaultRowHeight="16" x14ac:dyDescent="0.2"/>
  <cols>
    <col min="1" max="1" width="18" bestFit="1" customWidth="1"/>
    <col min="3" max="7" width="11.5" bestFit="1" customWidth="1"/>
    <col min="8" max="9" width="11" bestFit="1" customWidth="1"/>
    <col min="10" max="16" width="11.5" bestFit="1" customWidth="1"/>
  </cols>
  <sheetData>
    <row r="1" spans="1:17" ht="26" x14ac:dyDescent="0.3">
      <c r="A1" s="1" t="s">
        <v>65</v>
      </c>
    </row>
    <row r="3" spans="1:17" x14ac:dyDescent="0.2">
      <c r="A3" t="s">
        <v>53</v>
      </c>
      <c r="B3" t="s">
        <v>47</v>
      </c>
      <c r="C3" s="6" t="s">
        <v>29</v>
      </c>
      <c r="D3" s="6" t="s">
        <v>30</v>
      </c>
      <c r="E3" s="6" t="s">
        <v>31</v>
      </c>
      <c r="F3" s="6" t="s">
        <v>32</v>
      </c>
      <c r="G3" s="6" t="s">
        <v>33</v>
      </c>
      <c r="H3" s="6" t="s">
        <v>34</v>
      </c>
      <c r="I3" s="6" t="s">
        <v>35</v>
      </c>
      <c r="J3" s="6" t="s">
        <v>36</v>
      </c>
      <c r="K3" s="6" t="s">
        <v>37</v>
      </c>
      <c r="L3" s="6" t="s">
        <v>38</v>
      </c>
      <c r="M3" s="6" t="s">
        <v>39</v>
      </c>
      <c r="N3" s="6" t="s">
        <v>40</v>
      </c>
      <c r="O3" s="6" t="s">
        <v>41</v>
      </c>
      <c r="P3" s="6" t="s">
        <v>42</v>
      </c>
      <c r="Q3" s="6"/>
    </row>
    <row r="4" spans="1:17" x14ac:dyDescent="0.2">
      <c r="A4" t="s">
        <v>63</v>
      </c>
      <c r="B4">
        <f>SUM(Table8[[#This Row],[Sep-18]:[Oct-19]])</f>
        <v>230500</v>
      </c>
      <c r="C4" s="11">
        <f>ResourceCosts[[#Totals],[Sep-18]]</f>
        <v>14500</v>
      </c>
      <c r="D4" s="11">
        <f>ResourceCosts[[#Totals],[Oct-18]]</f>
        <v>16000</v>
      </c>
      <c r="E4" s="11">
        <f>ResourceCosts[[#Totals],[Nov-18]]</f>
        <v>16000</v>
      </c>
      <c r="F4" s="11">
        <f>ResourceCosts[[#Totals],[Dec-18]]</f>
        <v>15000</v>
      </c>
      <c r="G4" s="11">
        <f>ResourceCosts[[#Totals],[Jan-19]]</f>
        <v>15000</v>
      </c>
      <c r="H4" s="11">
        <f>ResourceCosts[[#Totals],[Feb-19]]</f>
        <v>8000</v>
      </c>
      <c r="I4" s="11">
        <f>ResourceCosts[[#Totals],[Mar-19]]</f>
        <v>8000</v>
      </c>
      <c r="J4" s="11">
        <f>ResourceCosts[[#Totals],[Apr-19]]</f>
        <v>20500</v>
      </c>
      <c r="K4" s="11">
        <f>ResourceCosts[[#Totals],[May-19]]</f>
        <v>20500</v>
      </c>
      <c r="L4" s="11">
        <f>ResourceCosts[[#Totals],[Jun-19]]</f>
        <v>19000</v>
      </c>
      <c r="M4" s="11">
        <f>ResourceCosts[[#Totals],[Jul-19]]</f>
        <v>19000</v>
      </c>
      <c r="N4" s="11">
        <f>ResourceCosts[[#Totals],[Aug-19]]</f>
        <v>19500</v>
      </c>
      <c r="O4" s="11">
        <f>ResourceCosts[[#Totals],[Sep-19]]</f>
        <v>19500</v>
      </c>
      <c r="P4" s="11">
        <f>ResourceCosts[[#Totals],[Oct-19]]</f>
        <v>20000</v>
      </c>
    </row>
    <row r="5" spans="1:17" x14ac:dyDescent="0.2">
      <c r="A5" t="s">
        <v>50</v>
      </c>
      <c r="B5">
        <f>SUM(Table8[[#This Row],[Sep-18]:[Oct-19]])</f>
        <v>18662</v>
      </c>
      <c r="C5" s="11">
        <f>Materials[[#Totals],[Sep-18]]</f>
        <v>333</v>
      </c>
      <c r="D5" s="11">
        <f>Materials[[#Totals],[Oct-18]]</f>
        <v>333</v>
      </c>
      <c r="E5" s="11">
        <f>Materials[[#Totals],[Nov-18]]</f>
        <v>333</v>
      </c>
      <c r="F5" s="11">
        <f>Materials[[#Totals],[Dec-18]]</f>
        <v>333</v>
      </c>
      <c r="G5" s="11">
        <f>Materials[[#Totals],[Jan-19]]</f>
        <v>10333</v>
      </c>
      <c r="H5" s="11">
        <f>Materials[[#Totals],[Feb-19]]</f>
        <v>4333</v>
      </c>
      <c r="I5" s="11">
        <f>Materials[[#Totals],[Mar-19]]</f>
        <v>333</v>
      </c>
      <c r="J5" s="11">
        <f>Materials[[#Totals],[Apr-19]]</f>
        <v>333</v>
      </c>
      <c r="K5" s="11">
        <f>Materials[[#Totals],[May-19]]</f>
        <v>333</v>
      </c>
      <c r="L5" s="11">
        <f>Materials[[#Totals],[Jun-19]]</f>
        <v>333</v>
      </c>
      <c r="M5" s="11">
        <f>Materials[[#Totals],[Jul-19]]</f>
        <v>333</v>
      </c>
      <c r="N5" s="11">
        <f>Materials[[#Totals],[Aug-19]]</f>
        <v>333</v>
      </c>
      <c r="O5" s="11">
        <f>Materials[[#Totals],[Sep-19]]</f>
        <v>333</v>
      </c>
      <c r="P5" s="11">
        <f>Materials[[#Totals],[Oct-19]]</f>
        <v>333</v>
      </c>
    </row>
    <row r="6" spans="1:17" x14ac:dyDescent="0.2">
      <c r="A6" t="s">
        <v>65</v>
      </c>
      <c r="B6">
        <f>SUM(Table8[[#This Row],[Sep-18]:[Oct-19]])</f>
        <v>249162</v>
      </c>
      <c r="C6" s="11">
        <f>C4+C5</f>
        <v>14833</v>
      </c>
      <c r="D6" s="11">
        <f t="shared" ref="D6:P6" si="0">D4+D5</f>
        <v>16333</v>
      </c>
      <c r="E6" s="11">
        <f t="shared" si="0"/>
        <v>16333</v>
      </c>
      <c r="F6" s="11">
        <f t="shared" si="0"/>
        <v>15333</v>
      </c>
      <c r="G6" s="11">
        <f t="shared" si="0"/>
        <v>25333</v>
      </c>
      <c r="H6" s="11">
        <f t="shared" si="0"/>
        <v>12333</v>
      </c>
      <c r="I6" s="11">
        <f t="shared" si="0"/>
        <v>8333</v>
      </c>
      <c r="J6" s="11">
        <f t="shared" si="0"/>
        <v>20833</v>
      </c>
      <c r="K6" s="11">
        <f t="shared" si="0"/>
        <v>20833</v>
      </c>
      <c r="L6" s="11">
        <f t="shared" si="0"/>
        <v>19333</v>
      </c>
      <c r="M6" s="11">
        <f t="shared" si="0"/>
        <v>19333</v>
      </c>
      <c r="N6" s="11">
        <f t="shared" si="0"/>
        <v>19833</v>
      </c>
      <c r="O6" s="11">
        <f t="shared" si="0"/>
        <v>19833</v>
      </c>
      <c r="P6" s="11">
        <f t="shared" si="0"/>
        <v>20333</v>
      </c>
    </row>
    <row r="7" spans="1:17" x14ac:dyDescent="0.2">
      <c r="A7" t="s">
        <v>66</v>
      </c>
      <c r="C7" s="11">
        <f>C6</f>
        <v>14833</v>
      </c>
      <c r="D7" s="11">
        <f>Table8[[#This Row],[Sep-18]]+D6</f>
        <v>31166</v>
      </c>
      <c r="E7" s="11">
        <f>Table8[[#This Row],[Oct-18]]+E6</f>
        <v>47499</v>
      </c>
      <c r="F7" s="11">
        <f>Table8[[#This Row],[Nov-18]]+F6</f>
        <v>62832</v>
      </c>
      <c r="G7" s="11">
        <f>Table8[[#This Row],[Dec-18]]+G6</f>
        <v>88165</v>
      </c>
      <c r="H7" s="11">
        <f>Table8[[#This Row],[Jan-19]]+H6</f>
        <v>100498</v>
      </c>
      <c r="I7" s="11">
        <f>Table8[[#This Row],[Feb-19]]+I6</f>
        <v>108831</v>
      </c>
      <c r="J7" s="11">
        <f>Table8[[#This Row],[Mar-19]]+J6</f>
        <v>129664</v>
      </c>
      <c r="K7" s="11">
        <f>Table8[[#This Row],[Apr-19]]+K6</f>
        <v>150497</v>
      </c>
      <c r="L7" s="11">
        <f>Table8[[#This Row],[May-19]]+L6</f>
        <v>169830</v>
      </c>
      <c r="M7" s="11">
        <f>Table8[[#This Row],[Jun-19]]+M6</f>
        <v>189163</v>
      </c>
      <c r="N7" s="11">
        <f>Table8[[#This Row],[Jul-19]]+N6</f>
        <v>208996</v>
      </c>
      <c r="O7" s="11">
        <f>Table8[[#This Row],[Aug-19]]+O6</f>
        <v>228829</v>
      </c>
      <c r="P7" s="11">
        <f>Table8[[#This Row],[Sep-19]]+P6</f>
        <v>249162</v>
      </c>
    </row>
    <row r="8" spans="1:17" x14ac:dyDescent="0.2">
      <c r="A8" t="s">
        <v>67</v>
      </c>
      <c r="B8">
        <f>SUM(Table8[[#This Row],[Sep-18]:[Oct-19]])</f>
        <v>19500</v>
      </c>
      <c r="C8" s="11">
        <f>Actuals[[#Totals],[Sep-18]]</f>
        <v>1000</v>
      </c>
      <c r="D8" s="11">
        <f>Actuals[[#Totals],[Oct-18]]</f>
        <v>2000</v>
      </c>
      <c r="E8" s="11">
        <f>Actuals[[#Totals],[Nov-18]]</f>
        <v>3000</v>
      </c>
      <c r="F8" s="11">
        <f>Actuals[[#Totals],[Dec-18]]</f>
        <v>4000</v>
      </c>
      <c r="G8" s="11">
        <f>Actuals[[#Totals],[Jan-19]]</f>
        <v>4500</v>
      </c>
      <c r="H8" s="11">
        <f>Actuals[[#Totals],[Feb-19]]</f>
        <v>5000</v>
      </c>
      <c r="I8" s="11">
        <f>Actuals[[#Totals],[Mar-19]]</f>
        <v>0</v>
      </c>
      <c r="J8" s="11">
        <f>Actuals[[#Totals],[Apr-19]]</f>
        <v>0</v>
      </c>
      <c r="K8" s="11">
        <f>Actuals[[#Totals],[May-19]]</f>
        <v>0</v>
      </c>
      <c r="L8" s="11">
        <f>Actuals[[#Totals],[Jun-19]]</f>
        <v>0</v>
      </c>
      <c r="M8" s="11">
        <f>Actuals[[#Totals],[Jul-19]]</f>
        <v>0</v>
      </c>
      <c r="N8" s="11">
        <f>Actuals[[#Totals],[Aug-19]]</f>
        <v>0</v>
      </c>
      <c r="O8" s="11">
        <f>Actuals[[#Totals],[Sep-19]]</f>
        <v>0</v>
      </c>
      <c r="P8" s="11">
        <f>Actuals[[#Totals],[Oct-19]]</f>
        <v>0</v>
      </c>
    </row>
    <row r="9" spans="1:17" x14ac:dyDescent="0.2">
      <c r="A9" t="s">
        <v>68</v>
      </c>
      <c r="C9" s="11">
        <f>C8</f>
        <v>1000</v>
      </c>
      <c r="D9" s="11">
        <f>Table8[[#This Row],[Sep-18]]+D8</f>
        <v>3000</v>
      </c>
      <c r="E9" s="11">
        <f>Table8[[#This Row],[Oct-18]]+E8</f>
        <v>6000</v>
      </c>
      <c r="F9" s="11">
        <f>Table8[[#This Row],[Nov-18]]+F8</f>
        <v>10000</v>
      </c>
      <c r="G9" s="11">
        <f>Table8[[#This Row],[Dec-18]]+G8</f>
        <v>14500</v>
      </c>
      <c r="H9" s="11">
        <f>Table8[[#This Row],[Jan-19]]+H8</f>
        <v>19500</v>
      </c>
      <c r="I9" s="11">
        <f>Table8[[#This Row],[Feb-19]]+I8</f>
        <v>19500</v>
      </c>
      <c r="J9" s="11">
        <f>Table8[[#This Row],[Mar-19]]+J8</f>
        <v>19500</v>
      </c>
      <c r="K9" s="11">
        <f>Table8[[#This Row],[Oct-18]]+K8</f>
        <v>3000</v>
      </c>
      <c r="L9" s="11">
        <f>Table8[[#This Row],[Nov-18]]+L8</f>
        <v>6000</v>
      </c>
      <c r="M9" s="11">
        <f>Table8[[#This Row],[Dec-18]]+M8</f>
        <v>10000</v>
      </c>
      <c r="N9" s="11">
        <f>Table8[[#This Row],[Jan-19]]+N8</f>
        <v>14500</v>
      </c>
      <c r="O9" s="11">
        <f>Table8[[#This Row],[Feb-19]]+O8</f>
        <v>19500</v>
      </c>
      <c r="P9" s="11">
        <f>Table8[[#This Row],[Mar-19]]+P8</f>
        <v>19500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7401-4A47-6C41-863B-1CFEC464C9D4}">
  <dimension ref="A1:I14"/>
  <sheetViews>
    <sheetView tabSelected="1" workbookViewId="0">
      <selection activeCell="D6" sqref="D6"/>
    </sheetView>
  </sheetViews>
  <sheetFormatPr baseColWidth="10" defaultRowHeight="16" x14ac:dyDescent="0.2"/>
  <cols>
    <col min="1" max="1" width="16.5" customWidth="1"/>
    <col min="2" max="2" width="13.5" customWidth="1"/>
    <col min="3" max="3" width="13" customWidth="1"/>
    <col min="4" max="4" width="13.5" customWidth="1"/>
    <col min="5" max="5" width="11.5" customWidth="1"/>
    <col min="6" max="6" width="8.6640625" customWidth="1"/>
    <col min="7" max="7" width="6.5" customWidth="1"/>
    <col min="8" max="8" width="10" customWidth="1"/>
    <col min="9" max="9" width="7.6640625" customWidth="1"/>
  </cols>
  <sheetData>
    <row r="1" spans="1:9" x14ac:dyDescent="0.2">
      <c r="A1" t="s">
        <v>105</v>
      </c>
    </row>
    <row r="3" spans="1:9" x14ac:dyDescent="0.2">
      <c r="A3" s="2" t="s">
        <v>112</v>
      </c>
    </row>
    <row r="4" spans="1:9" x14ac:dyDescent="0.2">
      <c r="A4" s="2"/>
    </row>
    <row r="5" spans="1:9" x14ac:dyDescent="0.2">
      <c r="A5" t="s">
        <v>51</v>
      </c>
      <c r="B5" t="s">
        <v>106</v>
      </c>
      <c r="C5" t="s">
        <v>110</v>
      </c>
      <c r="D5" t="s">
        <v>107</v>
      </c>
      <c r="E5" t="s">
        <v>108</v>
      </c>
      <c r="F5" t="s">
        <v>109</v>
      </c>
      <c r="G5" t="s">
        <v>115</v>
      </c>
      <c r="H5" t="s">
        <v>114</v>
      </c>
      <c r="I5" t="s">
        <v>47</v>
      </c>
    </row>
    <row r="6" spans="1:9" x14ac:dyDescent="0.2">
      <c r="G6">
        <v>0</v>
      </c>
      <c r="H6">
        <v>0</v>
      </c>
      <c r="I6">
        <f>G6*H6</f>
        <v>0</v>
      </c>
    </row>
    <row r="12" spans="1:9" x14ac:dyDescent="0.2">
      <c r="A12" s="2" t="s">
        <v>111</v>
      </c>
    </row>
    <row r="14" spans="1:9" x14ac:dyDescent="0.2">
      <c r="A14" t="s">
        <v>113</v>
      </c>
      <c r="B14" t="s">
        <v>107</v>
      </c>
      <c r="C14" t="s">
        <v>106</v>
      </c>
      <c r="D14" t="s">
        <v>114</v>
      </c>
      <c r="E14" t="s">
        <v>109</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92952-D18C-6D40-87E0-439B6FDCFC94}">
  <dimension ref="A1:O38"/>
  <sheetViews>
    <sheetView workbookViewId="0">
      <selection activeCell="S22" sqref="S22"/>
    </sheetView>
  </sheetViews>
  <sheetFormatPr baseColWidth="10" defaultColWidth="11" defaultRowHeight="16" x14ac:dyDescent="0.2"/>
  <cols>
    <col min="1" max="1" width="12.1640625" bestFit="1" customWidth="1"/>
    <col min="2" max="2" width="12.5" bestFit="1" customWidth="1"/>
    <col min="3" max="3" width="12.33203125" bestFit="1" customWidth="1"/>
    <col min="4" max="4" width="12.83203125" bestFit="1" customWidth="1"/>
    <col min="5" max="5" width="12.5" bestFit="1" customWidth="1"/>
    <col min="6" max="6" width="12.1640625" bestFit="1" customWidth="1"/>
    <col min="7" max="7" width="12.5" bestFit="1" customWidth="1"/>
    <col min="8" max="8" width="13" bestFit="1" customWidth="1"/>
    <col min="9" max="9" width="12.5" bestFit="1" customWidth="1"/>
    <col min="10" max="10" width="13.1640625" bestFit="1" customWidth="1"/>
    <col min="11" max="11" width="12.33203125" bestFit="1" customWidth="1"/>
    <col min="12" max="12" width="11.6640625" bestFit="1" customWidth="1"/>
    <col min="13" max="13" width="12.6640625" bestFit="1" customWidth="1"/>
    <col min="14" max="14" width="12.5" bestFit="1" customWidth="1"/>
    <col min="15" max="15" width="12.33203125" bestFit="1" customWidth="1"/>
    <col min="16" max="16" width="10.5" bestFit="1" customWidth="1"/>
  </cols>
  <sheetData>
    <row r="1" spans="1:15" ht="26" x14ac:dyDescent="0.3">
      <c r="A1" s="1" t="s">
        <v>69</v>
      </c>
    </row>
    <row r="3" spans="1:15" x14ac:dyDescent="0.2">
      <c r="A3" s="2" t="s">
        <v>14</v>
      </c>
    </row>
    <row r="5" spans="1:15" x14ac:dyDescent="0.2">
      <c r="A5" s="14" t="s">
        <v>70</v>
      </c>
      <c r="B5" t="s">
        <v>72</v>
      </c>
      <c r="C5" t="s">
        <v>73</v>
      </c>
      <c r="D5" t="s">
        <v>74</v>
      </c>
      <c r="E5" t="s">
        <v>75</v>
      </c>
      <c r="F5" t="s">
        <v>76</v>
      </c>
      <c r="G5" t="s">
        <v>77</v>
      </c>
      <c r="H5" t="s">
        <v>78</v>
      </c>
      <c r="I5" t="s">
        <v>79</v>
      </c>
      <c r="J5" t="s">
        <v>80</v>
      </c>
      <c r="K5" t="s">
        <v>81</v>
      </c>
      <c r="L5" t="s">
        <v>82</v>
      </c>
      <c r="M5" t="s">
        <v>83</v>
      </c>
      <c r="N5" t="s">
        <v>84</v>
      </c>
      <c r="O5" t="s">
        <v>85</v>
      </c>
    </row>
    <row r="6" spans="1:15" x14ac:dyDescent="0.2">
      <c r="A6" s="15" t="s">
        <v>25</v>
      </c>
      <c r="B6" s="8">
        <v>10500</v>
      </c>
      <c r="C6" s="8">
        <v>12000</v>
      </c>
      <c r="D6" s="8">
        <v>12000</v>
      </c>
      <c r="E6" s="8">
        <v>11000</v>
      </c>
      <c r="F6" s="8">
        <v>11000</v>
      </c>
      <c r="G6" s="8">
        <v>6000</v>
      </c>
      <c r="H6" s="8">
        <v>6000</v>
      </c>
      <c r="I6" s="8">
        <v>12000</v>
      </c>
      <c r="J6" s="8">
        <v>12000</v>
      </c>
      <c r="K6" s="8">
        <v>10500</v>
      </c>
      <c r="L6" s="8">
        <v>10500</v>
      </c>
      <c r="M6" s="8">
        <v>11000</v>
      </c>
      <c r="N6" s="8">
        <v>11000</v>
      </c>
      <c r="O6" s="8">
        <v>11500</v>
      </c>
    </row>
    <row r="7" spans="1:15" x14ac:dyDescent="0.2">
      <c r="A7" s="15" t="s">
        <v>26</v>
      </c>
      <c r="B7" s="8">
        <v>4000</v>
      </c>
      <c r="C7" s="8">
        <v>4000</v>
      </c>
      <c r="D7" s="8">
        <v>4000</v>
      </c>
      <c r="E7" s="8">
        <v>4000</v>
      </c>
      <c r="F7" s="8">
        <v>4000</v>
      </c>
      <c r="G7" s="8">
        <v>2000</v>
      </c>
      <c r="H7" s="8">
        <v>2000</v>
      </c>
      <c r="I7" s="8">
        <v>4000</v>
      </c>
      <c r="J7" s="8">
        <v>4000</v>
      </c>
      <c r="K7" s="8">
        <v>4000</v>
      </c>
      <c r="L7" s="8">
        <v>4000</v>
      </c>
      <c r="M7" s="8">
        <v>4000</v>
      </c>
      <c r="N7" s="8">
        <v>4000</v>
      </c>
      <c r="O7" s="8">
        <v>4000</v>
      </c>
    </row>
    <row r="8" spans="1:15" x14ac:dyDescent="0.2">
      <c r="A8" s="15" t="s">
        <v>27</v>
      </c>
      <c r="B8" s="8">
        <v>0</v>
      </c>
      <c r="C8" s="8">
        <v>0</v>
      </c>
      <c r="D8" s="8">
        <v>0</v>
      </c>
      <c r="E8" s="8">
        <v>0</v>
      </c>
      <c r="F8" s="8">
        <v>0</v>
      </c>
      <c r="G8" s="8">
        <v>0</v>
      </c>
      <c r="H8" s="8">
        <v>0</v>
      </c>
      <c r="I8" s="8">
        <v>4500</v>
      </c>
      <c r="J8" s="8">
        <v>4500</v>
      </c>
      <c r="K8" s="8">
        <v>4500</v>
      </c>
      <c r="L8" s="8">
        <v>4500</v>
      </c>
      <c r="M8" s="8">
        <v>4500</v>
      </c>
      <c r="N8" s="8">
        <v>4500</v>
      </c>
      <c r="O8" s="8">
        <v>4500</v>
      </c>
    </row>
    <row r="9" spans="1:15" x14ac:dyDescent="0.2">
      <c r="A9" s="15" t="s">
        <v>71</v>
      </c>
      <c r="B9" s="8">
        <v>14500</v>
      </c>
      <c r="C9" s="8">
        <v>16000</v>
      </c>
      <c r="D9" s="8">
        <v>16000</v>
      </c>
      <c r="E9" s="8">
        <v>15000</v>
      </c>
      <c r="F9" s="8">
        <v>15000</v>
      </c>
      <c r="G9" s="8">
        <v>8000</v>
      </c>
      <c r="H9" s="8">
        <v>8000</v>
      </c>
      <c r="I9" s="8">
        <v>20500</v>
      </c>
      <c r="J9" s="8">
        <v>20500</v>
      </c>
      <c r="K9" s="8">
        <v>19000</v>
      </c>
      <c r="L9" s="8">
        <v>19000</v>
      </c>
      <c r="M9" s="8">
        <v>19500</v>
      </c>
      <c r="N9" s="8">
        <v>19500</v>
      </c>
      <c r="O9" s="8">
        <v>20000</v>
      </c>
    </row>
    <row r="11" spans="1:15" x14ac:dyDescent="0.2">
      <c r="A11" s="17" t="s">
        <v>50</v>
      </c>
    </row>
    <row r="13" spans="1:15" x14ac:dyDescent="0.2">
      <c r="A13" s="14" t="s">
        <v>70</v>
      </c>
      <c r="B13" t="s">
        <v>72</v>
      </c>
      <c r="C13" t="s">
        <v>73</v>
      </c>
      <c r="D13" t="s">
        <v>74</v>
      </c>
      <c r="E13" t="s">
        <v>75</v>
      </c>
      <c r="F13" t="s">
        <v>76</v>
      </c>
      <c r="G13" t="s">
        <v>77</v>
      </c>
      <c r="H13" t="s">
        <v>78</v>
      </c>
      <c r="I13" t="s">
        <v>79</v>
      </c>
      <c r="J13" t="s">
        <v>80</v>
      </c>
      <c r="K13" t="s">
        <v>81</v>
      </c>
      <c r="L13" t="s">
        <v>82</v>
      </c>
      <c r="M13" t="s">
        <v>83</v>
      </c>
      <c r="N13" t="s">
        <v>84</v>
      </c>
      <c r="O13" t="s">
        <v>85</v>
      </c>
    </row>
    <row r="14" spans="1:15" x14ac:dyDescent="0.2">
      <c r="A14" s="15" t="s">
        <v>25</v>
      </c>
      <c r="B14" s="16"/>
      <c r="C14" s="16"/>
      <c r="D14" s="8"/>
      <c r="E14" s="8"/>
      <c r="F14" s="8">
        <v>10000</v>
      </c>
      <c r="G14" s="8">
        <v>4000</v>
      </c>
      <c r="H14" s="8"/>
      <c r="I14" s="8"/>
      <c r="J14" s="8"/>
      <c r="K14" s="8"/>
      <c r="L14" s="8"/>
      <c r="M14" s="8"/>
      <c r="N14" s="8"/>
      <c r="O14" s="8"/>
    </row>
    <row r="15" spans="1:15" x14ac:dyDescent="0.2">
      <c r="A15" s="15" t="s">
        <v>26</v>
      </c>
      <c r="B15" s="16">
        <v>333</v>
      </c>
      <c r="C15" s="16">
        <v>333</v>
      </c>
      <c r="D15" s="8">
        <v>333</v>
      </c>
      <c r="E15" s="8">
        <v>333</v>
      </c>
      <c r="F15" s="8">
        <v>333</v>
      </c>
      <c r="G15" s="8">
        <v>333</v>
      </c>
      <c r="H15" s="8">
        <v>333</v>
      </c>
      <c r="I15" s="8">
        <v>333</v>
      </c>
      <c r="J15" s="8">
        <v>333</v>
      </c>
      <c r="K15" s="8">
        <v>333</v>
      </c>
      <c r="L15" s="8">
        <v>333</v>
      </c>
      <c r="M15" s="8">
        <v>333</v>
      </c>
      <c r="N15" s="8">
        <v>333</v>
      </c>
      <c r="O15" s="8">
        <v>333</v>
      </c>
    </row>
    <row r="16" spans="1:15" x14ac:dyDescent="0.2">
      <c r="A16" s="15" t="s">
        <v>71</v>
      </c>
      <c r="B16" s="16">
        <v>333</v>
      </c>
      <c r="C16" s="16">
        <v>333</v>
      </c>
      <c r="D16" s="8">
        <v>333</v>
      </c>
      <c r="E16" s="8">
        <v>333</v>
      </c>
      <c r="F16" s="8">
        <v>10333</v>
      </c>
      <c r="G16" s="8">
        <v>4333</v>
      </c>
      <c r="H16" s="8">
        <v>333</v>
      </c>
      <c r="I16" s="8">
        <v>333</v>
      </c>
      <c r="J16" s="8">
        <v>333</v>
      </c>
      <c r="K16" s="8">
        <v>333</v>
      </c>
      <c r="L16" s="8">
        <v>333</v>
      </c>
      <c r="M16" s="8">
        <v>333</v>
      </c>
      <c r="N16" s="8">
        <v>333</v>
      </c>
      <c r="O16" s="8">
        <v>333</v>
      </c>
    </row>
    <row r="18" spans="1:15" x14ac:dyDescent="0.2">
      <c r="A18" s="17" t="s">
        <v>0</v>
      </c>
      <c r="C18" s="6"/>
      <c r="D18" s="6"/>
      <c r="E18" s="6"/>
      <c r="F18" s="6"/>
      <c r="G18" s="6"/>
      <c r="H18" s="6"/>
      <c r="I18" s="6"/>
      <c r="J18" s="6"/>
      <c r="K18" s="6"/>
      <c r="L18" s="6"/>
      <c r="M18" s="6"/>
      <c r="N18" s="6"/>
      <c r="O18" s="6"/>
    </row>
    <row r="19" spans="1:15" x14ac:dyDescent="0.2">
      <c r="A19" s="15"/>
    </row>
    <row r="20" spans="1:15" x14ac:dyDescent="0.2">
      <c r="A20" s="14" t="s">
        <v>90</v>
      </c>
    </row>
    <row r="21" spans="1:15" x14ac:dyDescent="0.2">
      <c r="B21" t="s">
        <v>89</v>
      </c>
      <c r="C21" t="s">
        <v>25</v>
      </c>
      <c r="D21" t="s">
        <v>26</v>
      </c>
      <c r="E21" t="s">
        <v>27</v>
      </c>
      <c r="F21" t="s">
        <v>71</v>
      </c>
    </row>
    <row r="22" spans="1:15" x14ac:dyDescent="0.2">
      <c r="A22" s="15" t="s">
        <v>91</v>
      </c>
      <c r="B22" s="16"/>
      <c r="C22" s="16"/>
      <c r="D22" s="16"/>
      <c r="E22" s="16"/>
      <c r="F22" s="16"/>
    </row>
    <row r="23" spans="1:15" x14ac:dyDescent="0.2">
      <c r="A23" s="18" t="s">
        <v>93</v>
      </c>
      <c r="B23" s="16">
        <v>14500</v>
      </c>
      <c r="C23" s="16">
        <v>10500</v>
      </c>
      <c r="D23" s="16">
        <v>4333</v>
      </c>
      <c r="E23" s="16">
        <v>0</v>
      </c>
      <c r="F23" s="16">
        <v>29333</v>
      </c>
    </row>
    <row r="24" spans="1:15" x14ac:dyDescent="0.2">
      <c r="A24" s="18" t="s">
        <v>94</v>
      </c>
      <c r="B24" s="16">
        <v>16000</v>
      </c>
      <c r="C24" s="16">
        <v>12000</v>
      </c>
      <c r="D24" s="16">
        <v>4333</v>
      </c>
      <c r="E24" s="16">
        <v>0</v>
      </c>
      <c r="F24" s="16">
        <v>32333</v>
      </c>
    </row>
    <row r="25" spans="1:15" x14ac:dyDescent="0.2">
      <c r="A25" s="18" t="s">
        <v>95</v>
      </c>
      <c r="B25" s="16">
        <v>16000</v>
      </c>
      <c r="C25" s="16">
        <v>12000</v>
      </c>
      <c r="D25" s="16">
        <v>4333</v>
      </c>
      <c r="E25" s="16">
        <v>0</v>
      </c>
      <c r="F25" s="16">
        <v>32333</v>
      </c>
    </row>
    <row r="26" spans="1:15" x14ac:dyDescent="0.2">
      <c r="A26" s="18" t="s">
        <v>96</v>
      </c>
      <c r="B26" s="16">
        <v>15000</v>
      </c>
      <c r="C26" s="16">
        <v>11000</v>
      </c>
      <c r="D26" s="16">
        <v>4333</v>
      </c>
      <c r="E26" s="16">
        <v>0</v>
      </c>
      <c r="F26" s="16">
        <v>30333</v>
      </c>
    </row>
    <row r="27" spans="1:15" x14ac:dyDescent="0.2">
      <c r="A27" s="15" t="s">
        <v>92</v>
      </c>
      <c r="B27" s="16"/>
      <c r="C27" s="16"/>
      <c r="D27" s="16"/>
      <c r="E27" s="16"/>
      <c r="F27" s="16"/>
    </row>
    <row r="28" spans="1:15" x14ac:dyDescent="0.2">
      <c r="A28" s="18" t="s">
        <v>97</v>
      </c>
      <c r="B28" s="16">
        <v>15000</v>
      </c>
      <c r="C28" s="16">
        <v>21000</v>
      </c>
      <c r="D28" s="16">
        <v>4333</v>
      </c>
      <c r="E28" s="16">
        <v>0</v>
      </c>
      <c r="F28" s="16">
        <v>40333</v>
      </c>
    </row>
    <row r="29" spans="1:15" x14ac:dyDescent="0.2">
      <c r="A29" s="18" t="s">
        <v>98</v>
      </c>
      <c r="B29" s="16">
        <v>8000</v>
      </c>
      <c r="C29" s="16">
        <v>10000</v>
      </c>
      <c r="D29" s="16">
        <v>2333</v>
      </c>
      <c r="E29" s="16">
        <v>0</v>
      </c>
      <c r="F29" s="16">
        <v>20333</v>
      </c>
    </row>
    <row r="30" spans="1:15" x14ac:dyDescent="0.2">
      <c r="A30" s="18" t="s">
        <v>99</v>
      </c>
      <c r="B30" s="16">
        <v>8000</v>
      </c>
      <c r="C30" s="16">
        <v>6000</v>
      </c>
      <c r="D30" s="16">
        <v>2333</v>
      </c>
      <c r="E30" s="16">
        <v>0</v>
      </c>
      <c r="F30" s="16">
        <v>16333</v>
      </c>
    </row>
    <row r="31" spans="1:15" x14ac:dyDescent="0.2">
      <c r="A31" s="18" t="s">
        <v>100</v>
      </c>
      <c r="B31" s="16">
        <v>20500</v>
      </c>
      <c r="C31" s="16">
        <v>12000</v>
      </c>
      <c r="D31" s="16">
        <v>4333</v>
      </c>
      <c r="E31" s="16">
        <v>4500</v>
      </c>
      <c r="F31" s="16">
        <v>41333</v>
      </c>
    </row>
    <row r="32" spans="1:15" x14ac:dyDescent="0.2">
      <c r="A32" s="18" t="s">
        <v>101</v>
      </c>
      <c r="B32" s="16">
        <v>20500</v>
      </c>
      <c r="C32" s="16">
        <v>12000</v>
      </c>
      <c r="D32" s="16">
        <v>4333</v>
      </c>
      <c r="E32" s="16">
        <v>4500</v>
      </c>
      <c r="F32" s="16">
        <v>41333</v>
      </c>
    </row>
    <row r="33" spans="1:6" x14ac:dyDescent="0.2">
      <c r="A33" s="18" t="s">
        <v>102</v>
      </c>
      <c r="B33" s="16">
        <v>19000</v>
      </c>
      <c r="C33" s="16">
        <v>10500</v>
      </c>
      <c r="D33" s="16">
        <v>4333</v>
      </c>
      <c r="E33" s="16">
        <v>4500</v>
      </c>
      <c r="F33" s="16">
        <v>38333</v>
      </c>
    </row>
    <row r="34" spans="1:6" x14ac:dyDescent="0.2">
      <c r="A34" s="18" t="s">
        <v>103</v>
      </c>
      <c r="B34" s="16">
        <v>19000</v>
      </c>
      <c r="C34" s="16">
        <v>10500</v>
      </c>
      <c r="D34" s="16">
        <v>4333</v>
      </c>
      <c r="E34" s="16">
        <v>4500</v>
      </c>
      <c r="F34" s="16">
        <v>38333</v>
      </c>
    </row>
    <row r="35" spans="1:6" x14ac:dyDescent="0.2">
      <c r="A35" s="18" t="s">
        <v>104</v>
      </c>
      <c r="B35" s="16">
        <v>19500</v>
      </c>
      <c r="C35" s="16">
        <v>11000</v>
      </c>
      <c r="D35" s="16">
        <v>4333</v>
      </c>
      <c r="E35" s="16">
        <v>4500</v>
      </c>
      <c r="F35" s="16">
        <v>39333</v>
      </c>
    </row>
    <row r="36" spans="1:6" x14ac:dyDescent="0.2">
      <c r="A36" s="18" t="s">
        <v>93</v>
      </c>
      <c r="B36" s="16">
        <v>19500</v>
      </c>
      <c r="C36" s="16">
        <v>11000</v>
      </c>
      <c r="D36" s="16">
        <v>4333</v>
      </c>
      <c r="E36" s="16">
        <v>4500</v>
      </c>
      <c r="F36" s="16">
        <v>39333</v>
      </c>
    </row>
    <row r="37" spans="1:6" x14ac:dyDescent="0.2">
      <c r="A37" s="18" t="s">
        <v>94</v>
      </c>
      <c r="B37" s="16">
        <v>20000</v>
      </c>
      <c r="C37" s="16">
        <v>11500</v>
      </c>
      <c r="D37" s="16">
        <v>4333</v>
      </c>
      <c r="E37" s="16">
        <v>4500</v>
      </c>
      <c r="F37" s="16">
        <v>40333</v>
      </c>
    </row>
    <row r="38" spans="1:6" x14ac:dyDescent="0.2">
      <c r="A38" s="15" t="s">
        <v>71</v>
      </c>
      <c r="B38" s="16">
        <v>230500</v>
      </c>
      <c r="C38" s="16">
        <v>161000</v>
      </c>
      <c r="D38" s="16">
        <v>56662</v>
      </c>
      <c r="E38" s="16">
        <v>31500</v>
      </c>
      <c r="F38" s="16">
        <v>479662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 C o l u m n s \ T o t a l   D a y s < / 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 C o l u m n s \ C o s t   T y p e < / 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 A c t u a l s 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 A c t u a l s 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 C o l u m n s \ A c t u a l s   t o   D a t e < / 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 M a t e r i a l s 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 M a t e r i a l s 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 C o l u m n s \ C o s t   T y p e 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 R e s o u r c e C o s t s 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 R e s o u r c e C o s t s 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 C o l u m n s \ S e p - 1 8 < / K e y > < / a : K e y > < a : V a l u e   i : t y p e = " T a b l e W i d g e t B a s e V i e w S t a t e " / > < / a : K e y V a l u e O f D i a g r a m O b j e c t K e y a n y T y p e z b w N T n L X > < a : K e y V a l u e O f D i a g r a m O b j e c t K e y a n y T y p e z b w N T n L X > < a : K e y > < K e y > C o l u m n s \ O c t - 1 8 < / K e y > < / a : K e y > < a : V a l u e   i : t y p e = " T a b l e W i d g e t B a s e V i e w S t a t e " / > < / a : K e y V a l u e O f D i a g r a m O b j e c t K e y a n y T y p e z b w N T n L X > < a : K e y V a l u e O f D i a g r a m O b j e c t K e y a n y T y p e z b w N T n L X > < a : K e y > < K e y > C o l u m n s \ N o v - 1 8 < / K e y > < / a : K e y > < a : V a l u e   i : t y p e = " T a b l e W i d g e t B a s e V i e w S t a t e " / > < / a : K e y V a l u e O f D i a g r a m O b j e c t K e y a n y T y p e z b w N T n L X > < a : K e y V a l u e O f D i a g r a m O b j e c t K e y a n y T y p e z b w N T n L X > < a : K e y > < K e y > C o l u m n s \ D e c - 1 8 < / K e y > < / a : K e y > < a : V a l u e   i : t y p e = " T a b l e W i d g e t B a s e V i e w S t a t e " / > < / a : K e y V a l u e O f D i a g r a m O b j e c t K e y a n y T y p e z b w N T n L X > < a : K e y V a l u e O f D i a g r a m O b j e c t K e y a n y T y p e z b w N T n L X > < a : K e y > < K e y > C o l u m n s \ J a n - 1 9 < / K e y > < / a : K e y > < a : V a l u e   i : t y p e = " T a b l e W i d g e t B a s e V i e w S t a t e " / > < / a : K e y V a l u e O f D i a g r a m O b j e c t K e y a n y T y p e z b w N T n L X > < a : K e y V a l u e O f D i a g r a m O b j e c t K e y a n y T y p e z b w N T n L X > < a : K e y > < K e y > C o l u m n s \ F e b - 1 9 < / K e y > < / a : K e y > < a : V a l u e   i : t y p e = " T a b l e W i d g e t B a s e V i e w S t a t e " / > < / a : K e y V a l u e O f D i a g r a m O b j e c t K e y a n y T y p e z b w N T n L X > < a : K e y V a l u e O f D i a g r a m O b j e c t K e y a n y T y p e z b w N T n L X > < a : K e y > < K e y > C o l u m n s \ M a r - 1 9 < / K e y > < / a : K e y > < a : V a l u e   i : t y p e = " T a b l e W i d g e t B a s e V i e w S t a t e " / > < / a : K e y V a l u e O f D i a g r a m O b j e c t K e y a n y T y p e z b w N T n L X > < a : K e y V a l u e O f D i a g r a m O b j e c t K e y a n y T y p e z b w N T n L X > < a : K e y > < K e y > C o l u m n s \ A p r - 1 9 < / K e y > < / a : K e y > < a : V a l u e   i : t y p e = " T a b l e W i d g e t B a s e V i e w S t a t e " / > < / a : K e y V a l u e O f D i a g r a m O b j e c t K e y a n y T y p e z b w N T n L X > < a : K e y V a l u e O f D i a g r a m O b j e c t K e y a n y T y p e z b w N T n L X > < a : K e y > < K e y > C o l u m n s \ M a y - 1 9 < / K e y > < / a : K e y > < a : V a l u e   i : t y p e = " T a b l e W i d g e t B a s e V i e w S t a t e " / > < / a : K e y V a l u e O f D i a g r a m O b j e c t K e y a n y T y p e z b w N T n L X > < a : K e y V a l u e O f D i a g r a m O b j e c t K e y a n y T y p e z b w N T n L X > < a : K e y > < K e y > C o l u m n s \ J u n - 1 9 < / K e y > < / a : K e y > < a : V a l u e   i : t y p e = " T a b l e W i d g e t B a s e V i e w S t a t e " / > < / a : K e y V a l u e O f D i a g r a m O b j e c t K e y a n y T y p e z b w N T n L X > < a : K e y V a l u e O f D i a g r a m O b j e c t K e y a n y T y p e z b w N T n L X > < a : K e y > < K e y > C o l u m n s \ J u l - 1 9 < / K e y > < / a : K e y > < a : V a l u e   i : t y p e = " T a b l e W i d g e t B a s e V i e w S t a t e " / > < / a : K e y V a l u e O f D i a g r a m O b j e c t K e y a n y T y p e z b w N T n L X > < a : K e y V a l u e O f D i a g r a m O b j e c t K e y a n y T y p e z b w N T n L X > < a : K e y > < K e y > C o l u m n s \ A u g - 1 9 < / K e y > < / a : K e y > < a : V a l u e   i : t y p e = " T a b l e W i d g e t B a s e V i e w S t a t e " / > < / a : K e y V a l u e O f D i a g r a m O b j e c t K e y a n y T y p e z b w N T n L X > < a : K e y V a l u e O f D i a g r a m O b j e c t K e y a n y T y p e z b w N T n L X > < a : K e y > < K e y > C o l u m n s \ S e p - 1 9 < / K e y > < / a : K e y > < a : V a l u e   i : t y p e = " T a b l e W i d g e t B a s e V i e w S t a t e " / > < / a : K e y V a l u e O f D i a g r a m O b j e c t K e y a n y T y p e z b w N T n L X > < a : K e y V a l u e O f D i a g r a m O b j e c t K e y a n y T y p e z b w N T n L X > < a : K e y > < K e y > C o l u m n s \ O c t - 1 9 < / 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R e s o u r c e C o s t 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 2 0 1 8 - 0 9 - 0 5 T 1 1 : 5 9 : 0 6 . 9 8 5 8 7 8 3 + 0 1 : 0 0 < / L a s t P r o c e s s e d T i m e > < / D a t a M o d e l i n g S a n d b o x . S e r i a l i z e d S a n d b o x E r r o r C a c h e > ] ] > < / C u s t o m C o n t e n t > < / G e m i n i > 
</file>

<file path=customXml/item12.xml>��< ? x m l   v e r s i o n = " 1 . 0 "   e n c o d i n g = " U T F - 1 6 " ? > < G e m i n i   x m l n s = " h t t p : / / g e m i n i / p i v o t c u s t o m i z a t i o n / T a b l e X M L _ R e s o u r c e C o s t 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 1 3 5 < / i n t > < / v a l u e > < / i t e m > < i t e m > < k e y > < s t r i n g > T e a m < / s t r i n g > < / k e y > < v a l u e > < i n t > 1 2 8 < / i n t > < / v a l u e > < / i t e m > < i t e m > < k e y > < s t r i n g > T o t a l   C o s t < / s t r i n g > < / k e y > < v a l u e > < i n t > 1 8 3 < / i n t > < / v a l u e > < / i t e m > < i t e m > < k e y > < s t r i n g > T y p e < / s t r i n g > < / k e y > < v a l u e > < i n t > 1 2 2 < / 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 N a m e < / s t r i n g > < / k e y > < v a l u e > < i n t > 0 < / i n t > < / v a l u e > < / i t e m > < i t e m > < k e y > < s t r i n g > T e a m < / s t r i n g > < / k e y > < v a l u e > < i n t > 1 < / i n t > < / v a l u e > < / i t e m > < i t e m > < k e y > < s t r i n g > T o t a l   C o s t < / s t r i n g > < / k e y > < v a l u e > < i n t > 2 < / i n t > < / v a l u e > < / i t e m > < i t e m > < k e y > < s t r i n g > T y p e < / s t r i n g > < / k e y > < v a l u e > < i n t > 3 < / i n t > < / v a l u e > < / i t e m > < i t e m > < k e y > < s t r i n g > S e p - 1 8 < / s t r i n g > < / k e y > < v a l u e > < i n t > 4 < / i n t > < / v a l u e > < / i t e m > < i t e m > < k e y > < s t r i n g > O c t - 1 8 < / s t r i n g > < / k e y > < v a l u e > < i n t > 5 < / i n t > < / v a l u e > < / i t e m > < i t e m > < k e y > < s t r i n g > N o v - 1 8 < / s t r i n g > < / k e y > < v a l u e > < i n t > 6 < / i n t > < / v a l u e > < / i t e m > < i t e m > < k e y > < s t r i n g > D e c - 1 8 < / s t r i n g > < / k e y > < v a l u e > < i n t > 7 < / i n t > < / v a l u e > < / i t e m > < i t e m > < k e y > < s t r i n g > J a n - 1 9 < / s t r i n g > < / k e y > < v a l u e > < i n t > 8 < / i n t > < / v a l u e > < / i t e m > < i t e m > < k e y > < s t r i n g > F e b - 1 9 < / s t r i n g > < / k e y > < v a l u e > < i n t > 9 < / i n t > < / v a l u e > < / i t e m > < i t e m > < k e y > < s t r i n g > M a r - 1 9 < / s t r i n g > < / k e y > < v a l u e > < i n t > 1 0 < / i n t > < / v a l u e > < / i t e m > < i t e m > < k e y > < s t r i n g > A p r - 1 9 < / s t r i n g > < / k e y > < v a l u e > < i n t > 1 1 < / i n t > < / v a l u e > < / i t e m > < i t e m > < k e y > < s t r i n g > M a y - 1 9 < / s t r i n g > < / k e y > < v a l u e > < i n t > 1 2 < / i n t > < / v a l u e > < / i t e m > < i t e m > < k e y > < s t r i n g > J u n - 1 9 < / s t r i n g > < / k e y > < v a l u e > < i n t > 1 3 < / i n t > < / v a l u e > < / i t e m > < i t e m > < k e y > < s t r i n g > J u l - 1 9 < / s t r i n g > < / k e y > < v a l u e > < i n t > 1 4 < / i n t > < / v a l u e > < / i t e m > < i t e m > < k e y > < s t r i n g > A u g - 1 9 < / s t r i n g > < / k e y > < v a l u e > < i n t > 1 5 < / i n t > < / v a l u e > < / i t e m > < i t e m > < k e y > < s t r i n g > S e p - 1 9 < / s t r i n g > < / k e y > < v a l u e > < i n t > 1 6 < / i n t > < / v a l u e > < / i t e m > < i t e m > < k e y > < s t r i n g > O c t - 1 9 < / s t r i n g > < / k e y > < v a l u e > < i n t > 1 7 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A c t u a l s " > < C u s t o m C o n t e n t > < ! [ C D A T A [ < T a b l e W i d g e t G r i d S e r i a l i z a t i o n   x m l n s : x s d = " h t t p : / / w w w . w 3 . o r g / 2 0 0 1 / X M L S c h e m a "   x m l n s : x s i = " h t t p : / / w w w . w 3 . o r g / 2 0 0 1 / X M L S c h e m a - i n s t a n c e " > < C o l u m n S u g g e s t e d T y p e   / > < C o l u m n F o r m a t   / > < C o l u m n A c c u r a c y   / > < C o l u m n C u r r e n c y S y m b o l   / > < C o l u m n P o s i t i v e P a t t e r n   / > < C o l u m n N e g a t i v e P a t t e r n   / > < C o l u m n W i d t h s > < i t e m > < k e y > < s t r i n g > A c t u a l s   t o   D a t e < / s t r i n g > < / k e y > < v a l u e > < i n t > 2 4 9 < / 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 A c t u a l s   t o   D a t e < / s t r i n g > < / k e y > < v a l u e > < i n t > 0 < / i n t > < / v a l u e > < / i t e m > < i t e m > < k e y > < s t r i n g > S e p - 1 8 < / s t r i n g > < / k e y > < v a l u e > < i n t > 1 < / i n t > < / v a l u e > < / i t e m > < i t e m > < k e y > < s t r i n g > O c t - 1 8 < / s t r i n g > < / k e y > < v a l u e > < i n t > 2 < / i n t > < / v a l u e > < / i t e m > < i t e m > < k e y > < s t r i n g > N o v - 1 8 < / s t r i n g > < / k e y > < v a l u e > < i n t > 3 < / i n t > < / v a l u e > < / i t e m > < i t e m > < k e y > < s t r i n g > D e c - 1 8 < / s t r i n g > < / k e y > < v a l u e > < i n t > 4 < / i n t > < / v a l u e > < / i t e m > < i t e m > < k e y > < s t r i n g > J a n - 1 9 < / s t r i n g > < / k e y > < v a l u e > < i n t > 5 < / i n t > < / v a l u e > < / i t e m > < i t e m > < k e y > < s t r i n g > F e b - 1 9 < / s t r i n g > < / k e y > < v a l u e > < i n t > 6 < / i n t > < / v a l u e > < / i t e m > < i t e m > < k e y > < s t r i n g > M a r - 1 9 < / s t r i n g > < / k e y > < v a l u e > < i n t > 7 < / i n t > < / v a l u e > < / i t e m > < i t e m > < k e y > < s t r i n g > A p r - 1 9 < / s t r i n g > < / k e y > < v a l u e > < i n t > 8 < / i n t > < / v a l u e > < / i t e m > < i t e m > < k e y > < s t r i n g > M a y - 1 9 < / s t r i n g > < / k e y > < v a l u e > < i n t > 9 < / i n t > < / v a l u e > < / i t e m > < i t e m > < k e y > < s t r i n g > J u n - 1 9 < / s t r i n g > < / k e y > < v a l u e > < i n t > 1 0 < / i n t > < / v a l u e > < / i t e m > < i t e m > < k e y > < s t r i n g > J u l - 1 9 < / s t r i n g > < / k e y > < v a l u e > < i n t > 1 1 < / i n t > < / v a l u e > < / i t e m > < i t e m > < k e y > < s t r i n g > A u g - 1 9 < / s t r i n g > < / k e y > < v a l u e > < i n t > 1 2 < / i n t > < / v a l u e > < / i t e m > < i t e m > < k e y > < s t r i n g > S e p - 1 9 < / s t r i n g > < / k e y > < v a l u e > < i n t > 1 3 < / i n t > < / v a l u e > < / i t e m > < i t e m > < k e y > < s t r i n g > O c t - 1 9 < / 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 R e s o u r c e s < / K e y > < V a l u e   x m l n s : a = " h t t p : / / s c h e m a s . d a t a c o n t r a c t . o r g / 2 0 0 4 / 0 7 / M i c r o s o f t . A n a l y s i s S e r v i c e s . C o m m o n " > < a : H a s F o c u s > t r u e < / a : H a s F o c u s > < a : S i z e A t D p i 9 6 > 1 8 8 < / a : S i z e A t D p i 9 6 > < a : V i s i b l e > t r u e < / a : V i s i b l e > < / V a l u e > < / K e y V a l u e O f s t r i n g S a n d b o x E d i t o r . M e a s u r e G r i d S t a t e S c d E 3 5 R y > < K e y V a l u e O f s t r i n g S a n d b o x E d i t o r . M e a s u r e G r i d S t a t e S c d E 3 5 R y > < K e y > M a t e r i a l s < / K e y > < V a l u e   x m l n s : a = " h t t p : / / s c h e m a s . d a t a c o n t r a c t . o r g / 2 0 0 4 / 0 7 / M i c r o s o f t . A n a l y s i s S e r v i c e s . C o m m o n " > < a : H a s F o c u s > t r u e < / a : H a s F o c u s > < a : S i z e A t D p i 9 6 > 1 8 8 < / a : S i z e A t D p i 9 6 > < a : V i s i b l e > t r u e < / a : V i s i b l e > < / V a l u e > < / K e y V a l u e O f s t r i n g S a n d b o x E d i t o r . M e a s u r e G r i d S t a t e S c d E 3 5 R y > < K e y V a l u e O f s t r i n g S a n d b o x E d i t o r . M e a s u r e G r i d S t a t e S c d E 3 5 R y > < K e y > A c t u a l s < / K e y > < V a l u e   x m l n s : a = " h t t p : / / s c h e m a s . d a t a c o n t r a c t . o r g / 2 0 0 4 / 0 7 / M i c r o s o f t . A n a l y s i s S e r v i c e s . C o m m o n " > < a : H a s F o c u s > t r u e < / a : H a s F o c u s > < a : S i z e A t D p i 9 6 > 1 8 8 < / a : S i z e A t D p i 9 6 > < a : V i s i b l e > t r u e < / a : V i s i b l e > < / V a l u e > < / K e y V a l u e O f s t r i n g S a n d b o x E d i t o r . M e a s u r e G r i d S t a t e S c d E 3 5 R y > < K e y V a l u e O f s t r i n g S a n d b o x E d i t o r . M e a s u r e G r i d S t a t e S c d E 3 5 R y > < K e y > R e s o u r c e C o s t s < / 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6.xml>��< ? x m l   v e r s i o n = " 1 . 0 "   e n c o d i n g = " U T F - 1 6 " ? > < G e m i n i   x m l n s = " h t t p : / / g e m i n i / p i v o t c u s t o m i z a t i o n / T a b l e X M L _ R e s o u r c e 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 1 3 5 < / i n t > < / v a l u e > < / i t e m > < i t e m > < k e y > < s t r i n g > M a n a g e r < / s t r i n g > < / k e y > < v a l u e > < i n t > 1 7 2 < / i n t > < / v a l u e > < / i t e m > < i t e m > < k e y > < s t r i n g > R o l e < / s t r i n g > < / k e y > < v a l u e > < i n t > 1 1 6 < / i n t > < / v a l u e > < / i t e m > < i t e m > < k e y > < s t r i n g > T e a m < / s t r i n g > < / k e y > < v a l u e > < i n t > 1 2 8 < / i n t > < / v a l u e > < / i t e m > < i t e m > < k e y > < s t r i n g > L o c a t i o n < / s t r i n g > < / k e y > < v a l u e > < i n t > 1 6 8 < / i n t > < / v a l u e > < / i t e m > < i t e m > < k e y > < s t r i n g > C o m m e n t s < / s t r i n g > < / k e y > < v a l u e > < i n t > 1 9 6 < / i n t > < / v a l u e > < / i t e m > < i t e m > < k e y > < s t r i n g > R a t e < / s t r i n g > < / k e y > < v a l u e > < i n t > 1 1 8 < / i n t > < / v a l u e > < / i t e m > < i t e m > < k e y > < s t r i n g > T y p e < / s t r i n g > < / k e y > < v a l u e > < i n t > 1 2 2 < / i n t > < / v a l u e > < / i t e m > < i t e m > < k e y > < s t r i n g > T o t a l   D a y s < / s t r i n g > < / k e y > < v a l u e > < i n t > 1 8 6 < / i n t > < / v a l u e > < / i t e m > < i t e m > < k e y > < s t r i n g > T o t a l   C o s t < / s t r i n g > < / k e y > < v a l u e > < i n t > 1 8 3 < / i n t > < / v a l u e > < / i t e m > < i t e m > < k e y > < s t r i n g > C o s t   T y p e < / s t r i n g > < / k e y > < v a l u e > < i n t > 1 8 3 < / 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 N a m e < / s t r i n g > < / k e y > < v a l u e > < i n t > 0 < / i n t > < / v a l u e > < / i t e m > < i t e m > < k e y > < s t r i n g > M a n a g e r < / s t r i n g > < / k e y > < v a l u e > < i n t > 1 < / i n t > < / v a l u e > < / i t e m > < i t e m > < k e y > < s t r i n g > R o l e < / s t r i n g > < / k e y > < v a l u e > < i n t > 2 < / i n t > < / v a l u e > < / i t e m > < i t e m > < k e y > < s t r i n g > T e a m < / s t r i n g > < / k e y > < v a l u e > < i n t > 3 < / i n t > < / v a l u e > < / i t e m > < i t e m > < k e y > < s t r i n g > L o c a t i o n < / s t r i n g > < / k e y > < v a l u e > < i n t > 4 < / i n t > < / v a l u e > < / i t e m > < i t e m > < k e y > < s t r i n g > C o m m e n t s < / s t r i n g > < / k e y > < v a l u e > < i n t > 5 < / i n t > < / v a l u e > < / i t e m > < i t e m > < k e y > < s t r i n g > R a t e < / s t r i n g > < / k e y > < v a l u e > < i n t > 6 < / i n t > < / v a l u e > < / i t e m > < i t e m > < k e y > < s t r i n g > T y p e < / s t r i n g > < / k e y > < v a l u e > < i n t > 7 < / i n t > < / v a l u e > < / i t e m > < i t e m > < k e y > < s t r i n g > T o t a l   D a y s < / s t r i n g > < / k e y > < v a l u e > < i n t > 8 < / i n t > < / v a l u e > < / i t e m > < i t e m > < k e y > < s t r i n g > T o t a l   C o s t < / s t r i n g > < / k e y > < v a l u e > < i n t > 9 < / i n t > < / v a l u e > < / i t e m > < i t e m > < k e y > < s t r i n g > C o s t   T y p e < / s t r i n g > < / k e y > < v a l u e > < i n t > 1 0 < / i n t > < / v a l u e > < / i t e m > < i t e m > < k e y > < s t r i n g > S e p - 1 8 < / s t r i n g > < / k e y > < v a l u e > < i n t > 1 1 < / i n t > < / v a l u e > < / i t e m > < i t e m > < k e y > < s t r i n g > O c t - 1 8 < / s t r i n g > < / k e y > < v a l u e > < i n t > 1 2 < / i n t > < / v a l u e > < / i t e m > < i t e m > < k e y > < s t r i n g > N o v - 1 8 < / s t r i n g > < / k e y > < v a l u e > < i n t > 1 3 < / i n t > < / v a l u e > < / i t e m > < i t e m > < k e y > < s t r i n g > D e c - 1 8 < / s t r i n g > < / k e y > < v a l u e > < i n t > 1 4 < / i n t > < / v a l u e > < / i t e m > < i t e m > < k e y > < s t r i n g > J a n - 1 9 < / s t r i n g > < / k e y > < v a l u e > < i n t > 1 5 < / i n t > < / v a l u e > < / i t e m > < i t e m > < k e y > < s t r i n g > F e b - 1 9 < / s t r i n g > < / k e y > < v a l u e > < i n t > 1 6 < / i n t > < / v a l u e > < / i t e m > < i t e m > < k e y > < s t r i n g > M a r - 1 9 < / s t r i n g > < / k e y > < v a l u e > < i n t > 1 7 < / i n t > < / v a l u e > < / i t e m > < i t e m > < k e y > < s t r i n g > A p r - 1 9 < / s t r i n g > < / k e y > < v a l u e > < i n t > 1 8 < / i n t > < / v a l u e > < / i t e m > < i t e m > < k e y > < s t r i n g > M a y - 1 9 < / s t r i n g > < / k e y > < v a l u e > < i n t > 1 9 < / i n t > < / v a l u e > < / i t e m > < i t e m > < k e y > < s t r i n g > J u n - 1 9 < / s t r i n g > < / k e y > < v a l u e > < i n t > 2 0 < / i n t > < / v a l u e > < / i t e m > < i t e m > < k e y > < s t r i n g > J u l - 1 9 < / s t r i n g > < / k e y > < v a l u e > < i n t > 2 1 < / i n t > < / v a l u e > < / i t e m > < i t e m > < k e y > < s t r i n g > A u g - 1 9 < / s t r i n g > < / k e y > < v a l u e > < i n t > 2 2 < / i n t > < / v a l u e > < / i t e m > < i t e m > < k e y > < s t r i n g > S e p - 1 9 < / s t r i n g > < / k e y > < v a l u e > < i n t > 2 3 < / i n t > < / v a l u e > < / i t e m > < i t e m > < k e y > < s t r i n g > O c t - 1 9 < / s t r i n g > < / k e y > < v a l u e > < i n t > 2 4 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 M a t e r i a l s 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 M a t e r i a l s 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K e y > < / D i a g r a m O b j e c t K e y > < D i a g r a m O b j e c t K e y > < K e y > C o l u m n s \ C a t e g o r y < / K e y > < / D i a g r a m O b j e c t K e y > < D i a g r a m O b j e c t K e y > < K e y > C o l u m n s \ C o s t   T y p e < / K e y > < / D i a g r a m O b j e c t K e y > < D i a g r a m O b j e c t K e y > < K e y > C o l u m n s \ C o s t < / 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 C o l u m n s \ C o s t   T y p e < / K e y > < / a : K e y > < a : V a l u e   i : t y p e = " M e a s u r e G r i d N o d e V i e w S t a t e " > < C o l u m n > 2 < / C o l u m n > < L a y e d O u t > t r u e < / L a y e d O u t > < / a : V a l u e > < / a : K e y V a l u e O f D i a g r a m O b j e c t K e y a n y T y p e z b w N T n L X > < a : K e y V a l u e O f D i a g r a m O b j e c t K e y a n y T y p e z b w N T n L X > < a : K e y > < K e y > C o l u m n s \ C o s t < / K e y > < / a : K e y > < a : V a l u e   i : t y p e = " M e a s u r e G r i d N o d e V i e w S t a t e " > < C o l u m n > 3 < / C o l u m n > < L a y e d O u t > t r u e < / L a y e d O u t > < / a : V a l u e > < / a : K e y V a l u e O f D i a g r a m O b j e c t K e y a n y T y p e z b w N T n L X > < a : K e y V a l u e O f D i a g r a m O b j e c t K e y a n y T y p e z b w N T n L X > < a : K e y > < K e y > C o l u m n s \ S e p - 1 8 < / K e y > < / a : K e y > < a : V a l u e   i : t y p e = " M e a s u r e G r i d N o d e V i e w S t a t e " > < C o l u m n > 4 < / C o l u m n > < L a y e d O u t > t r u e < / L a y e d O u t > < / a : V a l u e > < / a : K e y V a l u e O f D i a g r a m O b j e c t K e y a n y T y p e z b w N T n L X > < a : K e y V a l u e O f D i a g r a m O b j e c t K e y a n y T y p e z b w N T n L X > < a : K e y > < K e y > C o l u m n s \ O c t - 1 8 < / K e y > < / a : K e y > < a : V a l u e   i : t y p e = " M e a s u r e G r i d N o d e V i e w S t a t e " > < C o l u m n > 5 < / C o l u m n > < L a y e d O u t > t r u e < / L a y e d O u t > < / a : V a l u e > < / a : K e y V a l u e O f D i a g r a m O b j e c t K e y a n y T y p e z b w N T n L X > < a : K e y V a l u e O f D i a g r a m O b j e c t K e y a n y T y p e z b w N T n L X > < a : K e y > < K e y > C o l u m n s \ N o v - 1 8 < / K e y > < / a : K e y > < a : V a l u e   i : t y p e = " M e a s u r e G r i d N o d e V i e w S t a t e " > < C o l u m n > 6 < / C o l u m n > < L a y e d O u t > t r u e < / L a y e d O u t > < / a : V a l u e > < / a : K e y V a l u e O f D i a g r a m O b j e c t K e y a n y T y p e z b w N T n L X > < a : K e y V a l u e O f D i a g r a m O b j e c t K e y a n y T y p e z b w N T n L X > < a : K e y > < K e y > C o l u m n s \ D e c - 1 8 < / K e y > < / a : K e y > < a : V a l u e   i : t y p e = " M e a s u r e G r i d N o d e V i e w S t a t e " > < C o l u m n > 7 < / C o l u m n > < L a y e d O u t > t r u e < / L a y e d O u t > < / a : V a l u e > < / a : K e y V a l u e O f D i a g r a m O b j e c t K e y a n y T y p e z b w N T n L X > < a : K e y V a l u e O f D i a g r a m O b j e c t K e y a n y T y p e z b w N T n L X > < a : K e y > < K e y > C o l u m n s \ J a n - 1 9 < / K e y > < / a : K e y > < a : V a l u e   i : t y p e = " M e a s u r e G r i d N o d e V i e w S t a t e " > < C o l u m n > 8 < / C o l u m n > < L a y e d O u t > t r u e < / L a y e d O u t > < / a : V a l u e > < / a : K e y V a l u e O f D i a g r a m O b j e c t K e y a n y T y p e z b w N T n L X > < a : K e y V a l u e O f D i a g r a m O b j e c t K e y a n y T y p e z b w N T n L X > < a : K e y > < K e y > C o l u m n s \ F e b - 1 9 < / K e y > < / a : K e y > < a : V a l u e   i : t y p e = " M e a s u r e G r i d N o d e V i e w S t a t e " > < C o l u m n > 9 < / C o l u m n > < L a y e d O u t > t r u e < / L a y e d O u t > < / a : V a l u e > < / a : K e y V a l u e O f D i a g r a m O b j e c t K e y a n y T y p e z b w N T n L X > < a : K e y V a l u e O f D i a g r a m O b j e c t K e y a n y T y p e z b w N T n L X > < a : K e y > < K e y > C o l u m n s \ M a r - 1 9 < / K e y > < / a : K e y > < a : V a l u e   i : t y p e = " M e a s u r e G r i d N o d e V i e w S t a t e " > < C o l u m n > 1 0 < / C o l u m n > < L a y e d O u t > t r u e < / L a y e d O u t > < / a : V a l u e > < / a : K e y V a l u e O f D i a g r a m O b j e c t K e y a n y T y p e z b w N T n L X > < a : K e y V a l u e O f D i a g r a m O b j e c t K e y a n y T y p e z b w N T n L X > < a : K e y > < K e y > C o l u m n s \ A p r - 1 9 < / K e y > < / a : K e y > < a : V a l u e   i : t y p e = " M e a s u r e G r i d N o d e V i e w S t a t e " > < C o l u m n > 1 1 < / C o l u m n > < L a y e d O u t > t r u e < / L a y e d O u t > < / a : V a l u e > < / a : K e y V a l u e O f D i a g r a m O b j e c t K e y a n y T y p e z b w N T n L X > < a : K e y V a l u e O f D i a g r a m O b j e c t K e y a n y T y p e z b w N T n L X > < a : K e y > < K e y > C o l u m n s \ M a y - 1 9 < / K e y > < / a : K e y > < a : V a l u e   i : t y p e = " M e a s u r e G r i d N o d e V i e w S t a t e " > < C o l u m n > 1 2 < / C o l u m n > < L a y e d O u t > t r u e < / L a y e d O u t > < / a : V a l u e > < / a : K e y V a l u e O f D i a g r a m O b j e c t K e y a n y T y p e z b w N T n L X > < a : K e y V a l u e O f D i a g r a m O b j e c t K e y a n y T y p e z b w N T n L X > < a : K e y > < K e y > C o l u m n s \ J u n - 1 9 < / K e y > < / a : K e y > < a : V a l u e   i : t y p e = " M e a s u r e G r i d N o d e V i e w S t a t e " > < C o l u m n > 1 3 < / C o l u m n > < L a y e d O u t > t r u e < / L a y e d O u t > < / a : V a l u e > < / a : K e y V a l u e O f D i a g r a m O b j e c t K e y a n y T y p e z b w N T n L X > < a : K e y V a l u e O f D i a g r a m O b j e c t K e y a n y T y p e z b w N T n L X > < a : K e y > < K e y > C o l u m n s \ J u l - 1 9 < / K e y > < / a : K e y > < a : V a l u e   i : t y p e = " M e a s u r e G r i d N o d e V i e w S t a t e " > < C o l u m n > 1 4 < / C o l u m n > < L a y e d O u t > t r u e < / L a y e d O u t > < / a : V a l u e > < / a : K e y V a l u e O f D i a g r a m O b j e c t K e y a n y T y p e z b w N T n L X > < a : K e y V a l u e O f D i a g r a m O b j e c t K e y a n y T y p e z b w N T n L X > < a : K e y > < K e y > C o l u m n s \ A u g - 1 9 < / K e y > < / a : K e y > < a : V a l u e   i : t y p e = " M e a s u r e G r i d N o d e V i e w S t a t e " > < C o l u m n > 1 5 < / C o l u m n > < L a y e d O u t > t r u e < / L a y e d O u t > < / a : V a l u e > < / a : K e y V a l u e O f D i a g r a m O b j e c t K e y a n y T y p e z b w N T n L X > < a : K e y V a l u e O f D i a g r a m O b j e c t K e y a n y T y p e z b w N T n L X > < a : K e y > < K e y > C o l u m n s \ S e p - 1 9 < / K e y > < / a : K e y > < a : V a l u e   i : t y p e = " M e a s u r e G r i d N o d e V i e w S t a t e " > < C o l u m n > 1 6 < / C o l u m n > < L a y e d O u t > t r u e < / L a y e d O u t > < / a : V a l u e > < / a : K e y V a l u e O f D i a g r a m O b j e c t K e y a n y T y p e z b w N T n L X > < a : K e y V a l u e O f D i a g r a m O b j e c t K e y a n y T y p e z b w N T n L X > < a : K e y > < K e y > C o l u m n s \ O c t - 1 9 < / K e y > < / a : K e y > < a : V a l u e   i : t y p e = " M e a s u r e G r i d N o d e V i e w S t a t e " > < C o l u m n > 1 7 < / C o l u m n > < L a y e d O u t > t r u e < / L a y e d O u t > < / a : V a l u e > < / a : K e y V a l u e O f D i a g r a m O b j e c t K e y a n y T y p e z b w N T n L X > < / V i e w S t a t e s > < / D i a g r a m M a n a g e r . S e r i a l i z a b l e D i a g r a m > < D i a g r a m M a n a g e r . S e r i a l i z a b l e D i a g r a m > < A d a p t e r   i : t y p e = " M e a s u r e D i a g r a m S a n d b o x A d a p t e r " > < T a b l e N a m e > A c t u a l s 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 A c t u a l s 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 C o l u m n s \ A c t u a l s   t o   D a t e < / 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 C o l u m n s \ A c t u a l s   t o   D a t e < / K e y > < / a : K e y > < a : V a l u e   i : t y p e = " M e a s u r e G r i d N o d e V i e w S t a t e " > < L a y e d O u t > t r u e < / L a y e d O u t > < / a : V a l u e > < / a : K e y V a l u e O f D i a g r a m O b j e c t K e y a n y T y p e z b w N T n L X > < a : K e y V a l u e O f D i a g r a m O b j e c t K e y a n y T y p e z b w N T n L X > < a : K e y > < K e y > C o l u m n s \ S e p - 1 8 < / K e y > < / a : K e y > < a : V a l u e   i : t y p e = " M e a s u r e G r i d N o d e V i e w S t a t e " > < C o l u m n > 1 < / C o l u m n > < L a y e d O u t > t r u e < / L a y e d O u t > < / a : V a l u e > < / a : K e y V a l u e O f D i a g r a m O b j e c t K e y a n y T y p e z b w N T n L X > < a : K e y V a l u e O f D i a g r a m O b j e c t K e y a n y T y p e z b w N T n L X > < a : K e y > < K e y > C o l u m n s \ O c t - 1 8 < / K e y > < / a : K e y > < a : V a l u e   i : t y p e = " M e a s u r e G r i d N o d e V i e w S t a t e " > < C o l u m n > 2 < / C o l u m n > < L a y e d O u t > t r u e < / L a y e d O u t > < / a : V a l u e > < / a : K e y V a l u e O f D i a g r a m O b j e c t K e y a n y T y p e z b w N T n L X > < a : K e y V a l u e O f D i a g r a m O b j e c t K e y a n y T y p e z b w N T n L X > < a : K e y > < K e y > C o l u m n s \ N o v - 1 8 < / K e y > < / a : K e y > < a : V a l u e   i : t y p e = " M e a s u r e G r i d N o d e V i e w S t a t e " > < C o l u m n > 3 < / C o l u m n > < L a y e d O u t > t r u e < / L a y e d O u t > < / a : V a l u e > < / a : K e y V a l u e O f D i a g r a m O b j e c t K e y a n y T y p e z b w N T n L X > < a : K e y V a l u e O f D i a g r a m O b j e c t K e y a n y T y p e z b w N T n L X > < a : K e y > < K e y > C o l u m n s \ D e c - 1 8 < / K e y > < / a : K e y > < a : V a l u e   i : t y p e = " M e a s u r e G r i d N o d e V i e w S t a t e " > < C o l u m n > 4 < / C o l u m n > < L a y e d O u t > t r u e < / L a y e d O u t > < / a : V a l u e > < / a : K e y V a l u e O f D i a g r a m O b j e c t K e y a n y T y p e z b w N T n L X > < a : K e y V a l u e O f D i a g r a m O b j e c t K e y a n y T y p e z b w N T n L X > < a : K e y > < K e y > C o l u m n s \ J a n - 1 9 < / K e y > < / a : K e y > < a : V a l u e   i : t y p e = " M e a s u r e G r i d N o d e V i e w S t a t e " > < C o l u m n > 5 < / C o l u m n > < L a y e d O u t > t r u e < / L a y e d O u t > < / a : V a l u e > < / a : K e y V a l u e O f D i a g r a m O b j e c t K e y a n y T y p e z b w N T n L X > < a : K e y V a l u e O f D i a g r a m O b j e c t K e y a n y T y p e z b w N T n L X > < a : K e y > < K e y > C o l u m n s \ F e b - 1 9 < / K e y > < / a : K e y > < a : V a l u e   i : t y p e = " M e a s u r e G r i d N o d e V i e w S t a t e " > < C o l u m n > 6 < / C o l u m n > < L a y e d O u t > t r u e < / L a y e d O u t > < / a : V a l u e > < / a : K e y V a l u e O f D i a g r a m O b j e c t K e y a n y T y p e z b w N T n L X > < a : K e y V a l u e O f D i a g r a m O b j e c t K e y a n y T y p e z b w N T n L X > < a : K e y > < K e y > C o l u m n s \ M a r - 1 9 < / K e y > < / a : K e y > < a : V a l u e   i : t y p e = " M e a s u r e G r i d N o d e V i e w S t a t e " > < C o l u m n > 7 < / C o l u m n > < L a y e d O u t > t r u e < / L a y e d O u t > < / a : V a l u e > < / a : K e y V a l u e O f D i a g r a m O b j e c t K e y a n y T y p e z b w N T n L X > < a : K e y V a l u e O f D i a g r a m O b j e c t K e y a n y T y p e z b w N T n L X > < a : K e y > < K e y > C o l u m n s \ A p r - 1 9 < / K e y > < / a : K e y > < a : V a l u e   i : t y p e = " M e a s u r e G r i d N o d e V i e w S t a t e " > < C o l u m n > 8 < / C o l u m n > < L a y e d O u t > t r u e < / L a y e d O u t > < / a : V a l u e > < / a : K e y V a l u e O f D i a g r a m O b j e c t K e y a n y T y p e z b w N T n L X > < a : K e y V a l u e O f D i a g r a m O b j e c t K e y a n y T y p e z b w N T n L X > < a : K e y > < K e y > C o l u m n s \ M a y - 1 9 < / K e y > < / a : K e y > < a : V a l u e   i : t y p e = " M e a s u r e G r i d N o d e V i e w S t a t e " > < C o l u m n > 9 < / C o l u m n > < L a y e d O u t > t r u e < / L a y e d O u t > < / a : V a l u e > < / a : K e y V a l u e O f D i a g r a m O b j e c t K e y a n y T y p e z b w N T n L X > < a : K e y V a l u e O f D i a g r a m O b j e c t K e y a n y T y p e z b w N T n L X > < a : K e y > < K e y > C o l u m n s \ J u n - 1 9 < / K e y > < / a : K e y > < a : V a l u e   i : t y p e = " M e a s u r e G r i d N o d e V i e w S t a t e " > < C o l u m n > 1 0 < / C o l u m n > < L a y e d O u t > t r u e < / L a y e d O u t > < / a : V a l u e > < / a : K e y V a l u e O f D i a g r a m O b j e c t K e y a n y T y p e z b w N T n L X > < a : K e y V a l u e O f D i a g r a m O b j e c t K e y a n y T y p e z b w N T n L X > < a : K e y > < K e y > C o l u m n s \ J u l - 1 9 < / K e y > < / a : K e y > < a : V a l u e   i : t y p e = " M e a s u r e G r i d N o d e V i e w S t a t e " > < C o l u m n > 1 1 < / C o l u m n > < L a y e d O u t > t r u e < / L a y e d O u t > < / a : V a l u e > < / a : K e y V a l u e O f D i a g r a m O b j e c t K e y a n y T y p e z b w N T n L X > < a : K e y V a l u e O f D i a g r a m O b j e c t K e y a n y T y p e z b w N T n L X > < a : K e y > < K e y > C o l u m n s \ A u g - 1 9 < / K e y > < / a : K e y > < a : V a l u e   i : t y p e = " M e a s u r e G r i d N o d e V i e w S t a t e " > < C o l u m n > 1 2 < / C o l u m n > < L a y e d O u t > t r u e < / L a y e d O u t > < / a : V a l u e > < / a : K e y V a l u e O f D i a g r a m O b j e c t K e y a n y T y p e z b w N T n L X > < a : K e y V a l u e O f D i a g r a m O b j e c t K e y a n y T y p e z b w N T n L X > < a : K e y > < K e y > C o l u m n s \ S e p - 1 9 < / K e y > < / a : K e y > < a : V a l u e   i : t y p e = " M e a s u r e G r i d N o d e V i e w S t a t e " > < C o l u m n > 1 3 < / C o l u m n > < L a y e d O u t > t r u e < / L a y e d O u t > < / a : V a l u e > < / a : K e y V a l u e O f D i a g r a m O b j e c t K e y a n y T y p e z b w N T n L X > < a : K e y V a l u e O f D i a g r a m O b j e c t K e y a n y T y p e z b w N T n L X > < a : K e y > < K e y > C o l u m n s \ O c t - 1 9 < / K e y > < / a : K e y > < a : V a l u e   i : t y p e = " M e a s u r e G r i d N o d e V i e w S t a t e " > < C o l u m n > 1 4 < / C o l u m n > < L a y e d O u t > t r u e < / L a y e d O u t > < / a : V a l u e > < / a : K e y V a l u e O f D i a g r a m O b j e c t K e y a n y T y p e z b w N T n L X > < / V i e w S t a t e s > < / D i a g r a m M a n a g e r . S e r i a l i z a b l e D i a g r a m > < 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 C o l u m n s \ M a n a g e r < / K e y > < / D i a g r a m O b j e c t K e y > < D i a g r a m O b j e c t K e y > < K e y > C o l u m n s \ R o l e < / K e y > < / D i a g r a m O b j e c t K e y > < D i a g r a m O b j e c t K e y > < K e y > C o l u m n s \ T e a m < / K e y > < / D i a g r a m O b j e c t K e y > < D i a g r a m O b j e c t K e y > < K e y > C o l u m n s \ L o c a t i o n < / K e y > < / D i a g r a m O b j e c t K e y > < D i a g r a m O b j e c t K e y > < K e y > C o l u m n s \ C o m m e n t s < / K e y > < / D i a g r a m O b j e c t K e y > < D i a g r a m O b j e c t K e y > < K e y > C o l u m n s \ R a t e < / K e y > < / D i a g r a m O b j e c t K e y > < D i a g r a m O b j e c t K e y > < K e y > C o l u m n s \ T y p e < / K e y > < / D i a g r a m O b j e c t K e y > < D i a g r a m O b j e c t K e y > < K e y > C o l u m n s \ T o t a l   D a y s < / K e y > < / D i a g r a m O b j e c t K e y > < D i a g r a m O b j e c t K e y > < K e y > C o l u m n s \ T o t a l   C o s t < / K e y > < / D i a g r a m O b j e c t K e y > < D i a g r a m O b j e c t K e y > < K e y > C o l u m n s \ C o s t   T y p e < / 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a : K e y V a l u e O f D i a g r a m O b j e c t K e y a n y T y p e z b w N T n L X > < a : K e y > < K e y > C o l u m n s \ T e a m < / 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 C o l u m n s \ C o m m e n t s < / K e y > < / a : K e y > < a : V a l u e   i : t y p e = " M e a s u r e G r i d N o d e V i e w S t a t e " > < C o l u m n > 5 < / C o l u m n > < L a y e d O u t > t r u e < / L a y e d O u t > < / a : V a l u e > < / a : K e y V a l u e O f D i a g r a m O b j e c t K e y a n y T y p e z b w N T n L X > < a : K e y V a l u e O f D i a g r a m O b j e c t K e y a n y T y p e z b w N T n L X > < a : K e y > < K e y > C o l u m n s \ R a t e < / K e y > < / a : K e y > < a : V a l u e   i : t y p e = " M e a s u r e G r i d N o d e V i e w S t a t e " > < C o l u m n > 6 < / C o l u m n > < L a y e d O u t > t r u e < / L a y e d O u t > < / a : V a l u e > < / a : K e y V a l u e O f D i a g r a m O b j e c t K e y a n y T y p e z b w N T n L X > < a : K e y V a l u e O f D i a g r a m O b j e c t K e y a n y T y p e z b w N T n L X > < a : K e y > < K e y > C o l u m n s \ T y p e < / K e y > < / a : K e y > < a : V a l u e   i : t y p e = " M e a s u r e G r i d N o d e V i e w S t a t e " > < C o l u m n > 7 < / C o l u m n > < L a y e d O u t > t r u e < / L a y e d O u t > < / a : V a l u e > < / a : K e y V a l u e O f D i a g r a m O b j e c t K e y a n y T y p e z b w N T n L X > < a : K e y V a l u e O f D i a g r a m O b j e c t K e y a n y T y p e z b w N T n L X > < a : K e y > < K e y > C o l u m n s \ T o t a l   D a y s < / K e y > < / a : K e y > < a : V a l u e   i : t y p e = " M e a s u r e G r i d N o d e V i e w S t a t e " > < C o l u m n > 8 < / C o l u m n > < L a y e d O u t > t r u e < / L a y e d O u t > < / a : V a l u e > < / a : K e y V a l u e O f D i a g r a m O b j e c t K e y a n y T y p e z b w N T n L X > < a : K e y V a l u e O f D i a g r a m O b j e c t K e y a n y T y p e z b w N T n L X > < a : K e y > < K e y > C o l u m n s \ T o t a l   C o s t < / K e y > < / a : K e y > < a : V a l u e   i : t y p e = " M e a s u r e G r i d N o d e V i e w S t a t e " > < C o l u m n > 9 < / C o l u m n > < L a y e d O u t > t r u e < / L a y e d O u t > < / a : V a l u e > < / a : K e y V a l u e O f D i a g r a m O b j e c t K e y a n y T y p e z b w N T n L X > < a : K e y V a l u e O f D i a g r a m O b j e c t K e y a n y T y p e z b w N T n L X > < a : K e y > < K e y > C o l u m n s \ C o s t   T y p e < / K e y > < / a : K e y > < a : V a l u e   i : t y p e = " M e a s u r e G r i d N o d e V i e w S t a t e " > < C o l u m n > 1 0 < / C o l u m n > < L a y e d O u t > t r u e < / L a y e d O u t > < / a : V a l u e > < / a : K e y V a l u e O f D i a g r a m O b j e c t K e y a n y T y p e z b w N T n L X > < a : K e y V a l u e O f D i a g r a m O b j e c t K e y a n y T y p e z b w N T n L X > < a : K e y > < K e y > C o l u m n s \ S e p - 1 8 < / K e y > < / a : K e y > < a : V a l u e   i : t y p e = " M e a s u r e G r i d N o d e V i e w S t a t e " > < C o l u m n > 1 1 < / C o l u m n > < L a y e d O u t > t r u e < / L a y e d O u t > < / a : V a l u e > < / a : K e y V a l u e O f D i a g r a m O b j e c t K e y a n y T y p e z b w N T n L X > < a : K e y V a l u e O f D i a g r a m O b j e c t K e y a n y T y p e z b w N T n L X > < a : K e y > < K e y > C o l u m n s \ O c t - 1 8 < / K e y > < / a : K e y > < a : V a l u e   i : t y p e = " M e a s u r e G r i d N o d e V i e w S t a t e " > < C o l u m n > 1 2 < / C o l u m n > < L a y e d O u t > t r u e < / L a y e d O u t > < / a : V a l u e > < / a : K e y V a l u e O f D i a g r a m O b j e c t K e y a n y T y p e z b w N T n L X > < a : K e y V a l u e O f D i a g r a m O b j e c t K e y a n y T y p e z b w N T n L X > < a : K e y > < K e y > C o l u m n s \ N o v - 1 8 < / K e y > < / a : K e y > < a : V a l u e   i : t y p e = " M e a s u r e G r i d N o d e V i e w S t a t e " > < C o l u m n > 1 3 < / C o l u m n > < L a y e d O u t > t r u e < / L a y e d O u t > < / a : V a l u e > < / a : K e y V a l u e O f D i a g r a m O b j e c t K e y a n y T y p e z b w N T n L X > < a : K e y V a l u e O f D i a g r a m O b j e c t K e y a n y T y p e z b w N T n L X > < a : K e y > < K e y > C o l u m n s \ D e c - 1 8 < / K e y > < / a : K e y > < a : V a l u e   i : t y p e = " M e a s u r e G r i d N o d e V i e w S t a t e " > < C o l u m n > 1 4 < / C o l u m n > < L a y e d O u t > t r u e < / L a y e d O u t > < / a : V a l u e > < / a : K e y V a l u e O f D i a g r a m O b j e c t K e y a n y T y p e z b w N T n L X > < a : K e y V a l u e O f D i a g r a m O b j e c t K e y a n y T y p e z b w N T n L X > < a : K e y > < K e y > C o l u m n s \ J a n - 1 9 < / K e y > < / a : K e y > < a : V a l u e   i : t y p e = " M e a s u r e G r i d N o d e V i e w S t a t e " > < C o l u m n > 1 5 < / C o l u m n > < L a y e d O u t > t r u e < / L a y e d O u t > < / a : V a l u e > < / a : K e y V a l u e O f D i a g r a m O b j e c t K e y a n y T y p e z b w N T n L X > < a : K e y V a l u e O f D i a g r a m O b j e c t K e y a n y T y p e z b w N T n L X > < a : K e y > < K e y > C o l u m n s \ F e b - 1 9 < / K e y > < / a : K e y > < a : V a l u e   i : t y p e = " M e a s u r e G r i d N o d e V i e w S t a t e " > < C o l u m n > 1 6 < / C o l u m n > < L a y e d O u t > t r u e < / L a y e d O u t > < / a : V a l u e > < / a : K e y V a l u e O f D i a g r a m O b j e c t K e y a n y T y p e z b w N T n L X > < a : K e y V a l u e O f D i a g r a m O b j e c t K e y a n y T y p e z b w N T n L X > < a : K e y > < K e y > C o l u m n s \ M a r - 1 9 < / K e y > < / a : K e y > < a : V a l u e   i : t y p e = " M e a s u r e G r i d N o d e V i e w S t a t e " > < C o l u m n > 1 7 < / C o l u m n > < L a y e d O u t > t r u e < / L a y e d O u t > < / a : V a l u e > < / a : K e y V a l u e O f D i a g r a m O b j e c t K e y a n y T y p e z b w N T n L X > < a : K e y V a l u e O f D i a g r a m O b j e c t K e y a n y T y p e z b w N T n L X > < a : K e y > < K e y > C o l u m n s \ A p r - 1 9 < / K e y > < / a : K e y > < a : V a l u e   i : t y p e = " M e a s u r e G r i d N o d e V i e w S t a t e " > < C o l u m n > 1 8 < / C o l u m n > < L a y e d O u t > t r u e < / L a y e d O u t > < / a : V a l u e > < / a : K e y V a l u e O f D i a g r a m O b j e c t K e y a n y T y p e z b w N T n L X > < a : K e y V a l u e O f D i a g r a m O b j e c t K e y a n y T y p e z b w N T n L X > < a : K e y > < K e y > C o l u m n s \ M a y - 1 9 < / K e y > < / a : K e y > < a : V a l u e   i : t y p e = " M e a s u r e G r i d N o d e V i e w S t a t e " > < C o l u m n > 1 9 < / C o l u m n > < L a y e d O u t > t r u e < / L a y e d O u t > < / a : V a l u e > < / a : K e y V a l u e O f D i a g r a m O b j e c t K e y a n y T y p e z b w N T n L X > < a : K e y V a l u e O f D i a g r a m O b j e c t K e y a n y T y p e z b w N T n L X > < a : K e y > < K e y > C o l u m n s \ J u n - 1 9 < / K e y > < / a : K e y > < a : V a l u e   i : t y p e = " M e a s u r e G r i d N o d e V i e w S t a t e " > < C o l u m n > 2 0 < / C o l u m n > < L a y e d O u t > t r u e < / L a y e d O u t > < / a : V a l u e > < / a : K e y V a l u e O f D i a g r a m O b j e c t K e y a n y T y p e z b w N T n L X > < a : K e y V a l u e O f D i a g r a m O b j e c t K e y a n y T y p e z b w N T n L X > < a : K e y > < K e y > C o l u m n s \ J u l - 1 9 < / K e y > < / a : K e y > < a : V a l u e   i : t y p e = " M e a s u r e G r i d N o d e V i e w S t a t e " > < C o l u m n > 2 1 < / C o l u m n > < L a y e d O u t > t r u e < / L a y e d O u t > < / a : V a l u e > < / a : K e y V a l u e O f D i a g r a m O b j e c t K e y a n y T y p e z b w N T n L X > < a : K e y V a l u e O f D i a g r a m O b j e c t K e y a n y T y p e z b w N T n L X > < a : K e y > < K e y > C o l u m n s \ A u g - 1 9 < / K e y > < / a : K e y > < a : V a l u e   i : t y p e = " M e a s u r e G r i d N o d e V i e w S t a t e " > < C o l u m n > 2 2 < / C o l u m n > < L a y e d O u t > t r u e < / L a y e d O u t > < / a : V a l u e > < / a : K e y V a l u e O f D i a g r a m O b j e c t K e y a n y T y p e z b w N T n L X > < a : K e y V a l u e O f D i a g r a m O b j e c t K e y a n y T y p e z b w N T n L X > < a : K e y > < K e y > C o l u m n s \ S e p - 1 9 < / K e y > < / a : K e y > < a : V a l u e   i : t y p e = " M e a s u r e G r i d N o d e V i e w S t a t e " > < C o l u m n > 2 3 < / C o l u m n > < L a y e d O u t > t r u e < / L a y e d O u t > < / a : V a l u e > < / a : K e y V a l u e O f D i a g r a m O b j e c t K e y a n y T y p e z b w N T n L X > < a : K e y V a l u e O f D i a g r a m O b j e c t K e y a n y T y p e z b w N T n L X > < a : K e y > < K e y > C o l u m n s \ O c t - 1 9 < / K e y > < / a : K e y > < a : V a l u e   i : t y p e = " M e a s u r e G r i d N o d e V i e w S t a t e " > < C o l u m n > 2 4 < / C o l u m n > < L a y e d O u t > t r u e < / L a y e d O u t > < / a : V a l u e > < / a : K e y V a l u e O f D i a g r a m O b j e c t K e y a n y T y p e z b w N T n L X > < / V i e w S t a t e s > < / D i a g r a m M a n a g e r . S e r i a l i z a b l e D i a g r a m > < D i a g r a m M a n a g e r . S e r i a l i z a b l e D i a g r a m > < A d a p t e r   i : t y p e = " M e a s u r e D i a g r a m S a n d b o x A d a p t e r " > < T a b l e N a m e > R e s o u r c e C o s t s 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 R e s o u r c e C o s t s 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 C o l u m n s \ T e a m < / K e y > < / D i a g r a m O b j e c t K e y > < D i a g r a m O b j e c t K e y > < K e y > C o l u m n s \ T o t a l   C o s t < / K e y > < / D i a g r a m O b j e c t K e y > < D i a g r a m O b j e c t K e y > < K e y > C o l u m n s \ T y p e < / K e y > < / D i a g r a m O b j e c t K e y > < D i a g r a m O b j e c t K e y > < K e y > C o l u m n s \ S e p - 1 8 < / K e y > < / D i a g r a m O b j e c t K e y > < D i a g r a m O b j e c t K e y > < K e y > C o l u m n s \ O c t - 1 8 < / K e y > < / D i a g r a m O b j e c t K e y > < D i a g r a m O b j e c t K e y > < K e y > C o l u m n s \ N o v - 1 8 < / K e y > < / D i a g r a m O b j e c t K e y > < D i a g r a m O b j e c t K e y > < K e y > C o l u m n s \ D e c - 1 8 < / K e y > < / D i a g r a m O b j e c t K e y > < D i a g r a m O b j e c t K e y > < K e y > C o l u m n s \ J a n - 1 9 < / K e y > < / D i a g r a m O b j e c t K e y > < D i a g r a m O b j e c t K e y > < K e y > C o l u m n s \ F e b - 1 9 < / K e y > < / D i a g r a m O b j e c t K e y > < D i a g r a m O b j e c t K e y > < K e y > C o l u m n s \ M a r - 1 9 < / K e y > < / D i a g r a m O b j e c t K e y > < D i a g r a m O b j e c t K e y > < K e y > C o l u m n s \ A p r - 1 9 < / K e y > < / D i a g r a m O b j e c t K e y > < D i a g r a m O b j e c t K e y > < K e y > C o l u m n s \ M a y - 1 9 < / K e y > < / D i a g r a m O b j e c t K e y > < D i a g r a m O b j e c t K e y > < K e y > C o l u m n s \ J u n - 1 9 < / K e y > < / D i a g r a m O b j e c t K e y > < D i a g r a m O b j e c t K e y > < K e y > C o l u m n s \ J u l - 1 9 < / K e y > < / D i a g r a m O b j e c t K e y > < D i a g r a m O b j e c t K e y > < K e y > C o l u m n s \ A u g - 1 9 < / K e y > < / D i a g r a m O b j e c t K e y > < D i a g r a m O b j e c t K e y > < K e y > C o l u m n s \ S e p - 1 9 < / K e y > < / D i a g r a m O b j e c t K e y > < D i a g r a m O b j e c t K e y > < K e y > C o l u m n s \ O c t - 1 9 < / 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 C o l u m n s \ T e a m < / K e y > < / a : K e y > < a : V a l u e   i : t y p e = " M e a s u r e G r i d N o d e V i e w S t a t e " > < C o l u m n > 1 < / C o l u m n > < L a y e d O u t > t r u e < / L a y e d O u t > < / a : V a l u e > < / a : K e y V a l u e O f D i a g r a m O b j e c t K e y a n y T y p e z b w N T n L X > < a : K e y V a l u e O f D i a g r a m O b j e c t K e y a n y T y p e z b w N T n L X > < a : K e y > < K e y > C o l u m n s \ T o t a l   C o s t < / 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 C o l u m n s \ S e p - 1 8 < / K e y > < / a : K e y > < a : V a l u e   i : t y p e = " M e a s u r e G r i d N o d e V i e w S t a t e " > < C o l u m n > 4 < / C o l u m n > < L a y e d O u t > t r u e < / L a y e d O u t > < / a : V a l u e > < / a : K e y V a l u e O f D i a g r a m O b j e c t K e y a n y T y p e z b w N T n L X > < a : K e y V a l u e O f D i a g r a m O b j e c t K e y a n y T y p e z b w N T n L X > < a : K e y > < K e y > C o l u m n s \ O c t - 1 8 < / K e y > < / a : K e y > < a : V a l u e   i : t y p e = " M e a s u r e G r i d N o d e V i e w S t a t e " > < C o l u m n > 5 < / C o l u m n > < L a y e d O u t > t r u e < / L a y e d O u t > < / a : V a l u e > < / a : K e y V a l u e O f D i a g r a m O b j e c t K e y a n y T y p e z b w N T n L X > < a : K e y V a l u e O f D i a g r a m O b j e c t K e y a n y T y p e z b w N T n L X > < a : K e y > < K e y > C o l u m n s \ N o v - 1 8 < / K e y > < / a : K e y > < a : V a l u e   i : t y p e = " M e a s u r e G r i d N o d e V i e w S t a t e " > < C o l u m n > 6 < / C o l u m n > < L a y e d O u t > t r u e < / L a y e d O u t > < / a : V a l u e > < / a : K e y V a l u e O f D i a g r a m O b j e c t K e y a n y T y p e z b w N T n L X > < a : K e y V a l u e O f D i a g r a m O b j e c t K e y a n y T y p e z b w N T n L X > < a : K e y > < K e y > C o l u m n s \ D e c - 1 8 < / K e y > < / a : K e y > < a : V a l u e   i : t y p e = " M e a s u r e G r i d N o d e V i e w S t a t e " > < C o l u m n > 7 < / C o l u m n > < L a y e d O u t > t r u e < / L a y e d O u t > < / a : V a l u e > < / a : K e y V a l u e O f D i a g r a m O b j e c t K e y a n y T y p e z b w N T n L X > < a : K e y V a l u e O f D i a g r a m O b j e c t K e y a n y T y p e z b w N T n L X > < a : K e y > < K e y > C o l u m n s \ J a n - 1 9 < / K e y > < / a : K e y > < a : V a l u e   i : t y p e = " M e a s u r e G r i d N o d e V i e w S t a t e " > < C o l u m n > 8 < / C o l u m n > < L a y e d O u t > t r u e < / L a y e d O u t > < / a : V a l u e > < / a : K e y V a l u e O f D i a g r a m O b j e c t K e y a n y T y p e z b w N T n L X > < a : K e y V a l u e O f D i a g r a m O b j e c t K e y a n y T y p e z b w N T n L X > < a : K e y > < K e y > C o l u m n s \ F e b - 1 9 < / K e y > < / a : K e y > < a : V a l u e   i : t y p e = " M e a s u r e G r i d N o d e V i e w S t a t e " > < C o l u m n > 9 < / C o l u m n > < L a y e d O u t > t r u e < / L a y e d O u t > < / a : V a l u e > < / a : K e y V a l u e O f D i a g r a m O b j e c t K e y a n y T y p e z b w N T n L X > < a : K e y V a l u e O f D i a g r a m O b j e c t K e y a n y T y p e z b w N T n L X > < a : K e y > < K e y > C o l u m n s \ M a r - 1 9 < / K e y > < / a : K e y > < a : V a l u e   i : t y p e = " M e a s u r e G r i d N o d e V i e w S t a t e " > < C o l u m n > 1 0 < / C o l u m n > < L a y e d O u t > t r u e < / L a y e d O u t > < / a : V a l u e > < / a : K e y V a l u e O f D i a g r a m O b j e c t K e y a n y T y p e z b w N T n L X > < a : K e y V a l u e O f D i a g r a m O b j e c t K e y a n y T y p e z b w N T n L X > < a : K e y > < K e y > C o l u m n s \ A p r - 1 9 < / K e y > < / a : K e y > < a : V a l u e   i : t y p e = " M e a s u r e G r i d N o d e V i e w S t a t e " > < C o l u m n > 1 1 < / C o l u m n > < L a y e d O u t > t r u e < / L a y e d O u t > < / a : V a l u e > < / a : K e y V a l u e O f D i a g r a m O b j e c t K e y a n y T y p e z b w N T n L X > < a : K e y V a l u e O f D i a g r a m O b j e c t K e y a n y T y p e z b w N T n L X > < a : K e y > < K e y > C o l u m n s \ M a y - 1 9 < / K e y > < / a : K e y > < a : V a l u e   i : t y p e = " M e a s u r e G r i d N o d e V i e w S t a t e " > < C o l u m n > 1 2 < / C o l u m n > < L a y e d O u t > t r u e < / L a y e d O u t > < / a : V a l u e > < / a : K e y V a l u e O f D i a g r a m O b j e c t K e y a n y T y p e z b w N T n L X > < a : K e y V a l u e O f D i a g r a m O b j e c t K e y a n y T y p e z b w N T n L X > < a : K e y > < K e y > C o l u m n s \ J u n - 1 9 < / K e y > < / a : K e y > < a : V a l u e   i : t y p e = " M e a s u r e G r i d N o d e V i e w S t a t e " > < C o l u m n > 1 3 < / C o l u m n > < L a y e d O u t > t r u e < / L a y e d O u t > < / a : V a l u e > < / a : K e y V a l u e O f D i a g r a m O b j e c t K e y a n y T y p e z b w N T n L X > < a : K e y V a l u e O f D i a g r a m O b j e c t K e y a n y T y p e z b w N T n L X > < a : K e y > < K e y > C o l u m n s \ J u l - 1 9 < / K e y > < / a : K e y > < a : V a l u e   i : t y p e = " M e a s u r e G r i d N o d e V i e w S t a t e " > < C o l u m n > 1 4 < / C o l u m n > < L a y e d O u t > t r u e < / L a y e d O u t > < / a : V a l u e > < / a : K e y V a l u e O f D i a g r a m O b j e c t K e y a n y T y p e z b w N T n L X > < a : K e y V a l u e O f D i a g r a m O b j e c t K e y a n y T y p e z b w N T n L X > < a : K e y > < K e y > C o l u m n s \ A u g - 1 9 < / K e y > < / a : K e y > < a : V a l u e   i : t y p e = " M e a s u r e G r i d N o d e V i e w S t a t e " > < C o l u m n > 1 5 < / C o l u m n > < L a y e d O u t > t r u e < / L a y e d O u t > < / a : V a l u e > < / a : K e y V a l u e O f D i a g r a m O b j e c t K e y a n y T y p e z b w N T n L X > < a : K e y V a l u e O f D i a g r a m O b j e c t K e y a n y T y p e z b w N T n L X > < a : K e y > < K e y > C o l u m n s \ S e p - 1 9 < / K e y > < / a : K e y > < a : V a l u e   i : t y p e = " M e a s u r e G r i d N o d e V i e w S t a t e " > < C o l u m n > 1 6 < / C o l u m n > < L a y e d O u t > t r u e < / L a y e d O u t > < / a : V a l u e > < / a : K e y V a l u e O f D i a g r a m O b j e c t K e y a n y T y p e z b w N T n L X > < a : K e y V a l u e O f D i a g r a m O b j e c t K e y a n y T y p e z b w N T n L X > < a : K e y > < K e y > C o l u m n s \ O c t - 1 9 < / K e y > < / a : K e y > < a : V a l u e   i : t y p e = " M e a s u r e G r i d N o d e V i e w S t a t e " > < C o l u m n > 1 7 < / C o l u m n > < L a y e d O u t > t r u e < / L a y e d O u t > < / a : V a l u e > < / 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T a b l e O r d e r " > < C u s t o m C o n t e n t > < ! [ C D A T A [ R e s o u r c e s , M a t e r i a l s , A c t u a l s , R e s o u r c e C o s t s ] ] > < / 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8 0 0 . 8 4 1 ] ] > < / C u s t o m C o n t e n t > < / G e m i n i > 
</file>

<file path=customXml/item5.xml>��< ? x m l   v e r s i o n = " 1 . 0 "   e n c o d i n g = " U T F - 1 6 " ? > < G e m i n i   x m l n s = " h t t p : / / g e m i n i / p i v o t c u s t o m i z a t i o n / T a b l e X M L _ M a t e r i a l s " > < C u s t o m C o n t e n t > < ! [ C D A T A [ < T a b l e W i d g e t G r i d S e r i a l i z a t i o n   x m l n s : x s d = " h t t p : / / w w w . w 3 . o r g / 2 0 0 1 / X M L S c h e m a "   x m l n s : x s i = " h t t p : / / w w w . w 3 . o r g / 2 0 0 1 / X M L S c h e m a - i n s t a n c e " > < C o l u m n S u g g e s t e d T y p e   / > < C o l u m n F o r m a t   / > < C o l u m n A c c u r a c y   / > < C o l u m n C u r r e n c y S y m b o l   / > < C o l u m n P o s i t i v e P a t t e r n   / > < C o l u m n N e g a t i v e P a t t e r n   / > < C o l u m n W i d t h s > < i t e m > < k e y > < s t r i n g > I t e m < / s t r i n g > < / k e y > < v a l u e > < i n t > 1 2 0 < / i n t > < / v a l u e > < / i t e m > < i t e m > < k e y > < s t r i n g > C a t e g o r y < / s t r i n g > < / k e y > < v a l u e > < i n t > 1 7 2 < / i n t > < / v a l u e > < / i t e m > < i t e m > < k e y > < s t r i n g > C o s t   T y p e < / s t r i n g > < / k e y > < v a l u e > < i n t > 1 8 3 < / i n t > < / v a l u e > < / i t e m > < i t e m > < k e y > < s t r i n g > C o s t < / s t r i n g > < / k e y > < v a l u e > < i n t > 1 1 7 < / i n t > < / v a l u e > < / i t e m > < i t e m > < k e y > < s t r i n g > S e p - 1 8 < / s t r i n g > < / k e y > < v a l u e > < i n t > 1 4 7 < / i n t > < / v a l u e > < / i t e m > < i t e m > < k e y > < s t r i n g > O c t - 1 8 < / s t r i n g > < / k e y > < v a l u e > < i n t > 1 4 4 < / i n t > < / v a l u e > < / i t e m > < i t e m > < k e y > < s t r i n g > N o v - 1 8 < / s t r i n g > < / k e y > < v a l u e > < i n t > 1 5 0 < / i n t > < / v a l u e > < / i t e m > < i t e m > < k e y > < s t r i n g > D e c - 1 8 < / s t r i n g > < / k e y > < v a l u e > < i n t > 1 4 8 < / i n t > < / v a l u e > < / i t e m > < i t e m > < k e y > < s t r i n g > J a n - 1 9 < / s t r i n g > < / k e y > < v a l u e > < i n t > 1 4 2 < / i n t > < / v a l u e > < / i t e m > < i t e m > < k e y > < s t r i n g > F e b - 1 9 < / s t r i n g > < / k e y > < v a l u e > < i n t > 1 4 7 < / i n t > < / v a l u e > < / i t e m > < i t e m > < k e y > < s t r i n g > M a r - 1 9 < / s t r i n g > < / k e y > < v a l u e > < i n t > 1 5 1 < / i n t > < / v a l u e > < / i t e m > < i t e m > < k e y > < s t r i n g > A p r - 1 9 < / s t r i n g > < / k e y > < v a l u e > < i n t > 1 4 4 < / i n t > < / v a l u e > < / i t e m > < i t e m > < k e y > < s t r i n g > M a y - 1 9 < / s t r i n g > < / k e y > < v a l u e > < i n t > 1 5 4 < / i n t > < / v a l u e > < / i t e m > < i t e m > < k e y > < s t r i n g > J u n - 1 9 < / s t r i n g > < / k e y > < v a l u e > < i n t > 1 4 4 < / i n t > < / v a l u e > < / i t e m > < i t e m > < k e y > < s t r i n g > J u l - 1 9 < / s t r i n g > < / k e y > < v a l u e > < i n t > 1 3 5 < / i n t > < / v a l u e > < / i t e m > < i t e m > < k e y > < s t r i n g > A u g - 1 9 < / s t r i n g > < / k e y > < v a l u e > < i n t > 1 4 9 < / i n t > < / v a l u e > < / i t e m > < i t e m > < k e y > < s t r i n g > S e p - 1 9 < / s t r i n g > < / k e y > < v a l u e > < i n t > 1 4 7 < / i n t > < / v a l u e > < / i t e m > < i t e m > < k e y > < s t r i n g > O c t - 1 9 < / s t r i n g > < / k e y > < v a l u e > < i n t > 1 4 4 < / i n t > < / v a l u e > < / i t e m > < / C o l u m n W i d t h s > < C o l u m n D i s p l a y I n d e x > < i t e m > < k e y > < s t r i n g > I t e m < / s t r i n g > < / k e y > < v a l u e > < i n t > 0 < / i n t > < / v a l u e > < / i t e m > < i t e m > < k e y > < s t r i n g > C a t e g o r y < / s t r i n g > < / k e y > < v a l u e > < i n t > 1 < / i n t > < / v a l u e > < / i t e m > < i t e m > < k e y > < s t r i n g > C o s t   T y p e < / s t r i n g > < / k e y > < v a l u e > < i n t > 2 < / i n t > < / v a l u e > < / i t e m > < i t e m > < k e y > < s t r i n g > C o s t < / s t r i n g > < / k e y > < v a l u e > < i n t > 3 < / i n t > < / v a l u e > < / i t e m > < i t e m > < k e y > < s t r i n g > S e p - 1 8 < / s t r i n g > < / k e y > < v a l u e > < i n t > 4 < / i n t > < / v a l u e > < / i t e m > < i t e m > < k e y > < s t r i n g > O c t - 1 8 < / s t r i n g > < / k e y > < v a l u e > < i n t > 5 < / i n t > < / v a l u e > < / i t e m > < i t e m > < k e y > < s t r i n g > N o v - 1 8 < / s t r i n g > < / k e y > < v a l u e > < i n t > 6 < / i n t > < / v a l u e > < / i t e m > < i t e m > < k e y > < s t r i n g > D e c - 1 8 < / s t r i n g > < / k e y > < v a l u e > < i n t > 7 < / i n t > < / v a l u e > < / i t e m > < i t e m > < k e y > < s t r i n g > J a n - 1 9 < / s t r i n g > < / k e y > < v a l u e > < i n t > 8 < / i n t > < / v a l u e > < / i t e m > < i t e m > < k e y > < s t r i n g > F e b - 1 9 < / s t r i n g > < / k e y > < v a l u e > < i n t > 9 < / i n t > < / v a l u e > < / i t e m > < i t e m > < k e y > < s t r i n g > M a r - 1 9 < / s t r i n g > < / k e y > < v a l u e > < i n t > 1 0 < / i n t > < / v a l u e > < / i t e m > < i t e m > < k e y > < s t r i n g > A p r - 1 9 < / s t r i n g > < / k e y > < v a l u e > < i n t > 1 1 < / i n t > < / v a l u e > < / i t e m > < i t e m > < k e y > < s t r i n g > M a y - 1 9 < / s t r i n g > < / k e y > < v a l u e > < i n t > 1 2 < / i n t > < / v a l u e > < / i t e m > < i t e m > < k e y > < s t r i n g > J u n - 1 9 < / s t r i n g > < / k e y > < v a l u e > < i n t > 1 3 < / i n t > < / v a l u e > < / i t e m > < i t e m > < k e y > < s t r i n g > J u l - 1 9 < / s t r i n g > < / k e y > < v a l u e > < i n t > 1 4 < / i n t > < / v a l u e > < / i t e m > < i t e m > < k e y > < s t r i n g > A u g - 1 9 < / s t r i n g > < / k e y > < v a l u e > < i n t > 1 5 < / i n t > < / v a l u e > < / i t e m > < i t e m > < k e y > < s t r i n g > S e p - 1 9 < / s t r i n g > < / k e y > < v a l u e > < i n t > 1 6 < / i n t > < / v a l u e > < / i t e m > < i t e m > < k e y > < s t r i n g > O c t - 1 9 < / 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D a t a M a s h u p   s q m i d = " f b 8 9 a 7 d b - 9 6 b 8 - 4 f 6 5 - b 2 a b - 8 d c a d 4 4 d 2 8 b f "   x m l n s = " h t t p : / / s c h e m a s . m i c r o s o f t . c o m / D a t a M a s h u p " > A A A A A C 0 G A A B Q S w M E F A A C A A g A h X A l 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I V w J 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c C V N g Z g o R i M D A A A e F w A A E w A c A E Z v c m 1 1 b G F z L 1 N l Y 3 R p b 2 4 x L m 0 g o h g A K K A U A A A A A A A A A A A A A A A A A A A A A A A A A A A A 7 V h R a 9 s w E H 4 P 5 D 8 Y 9 y U F t + A y x k b p Q 5 Z u 0 N K k L M m 2 h 9 I H x d E S U 1 s K s p z V h P z 3 S Z a t y N Z 5 S 9 o U x n B e E u 6 z 7 s 5 3 n 0 6 f k u C A h 5 Q 4 E / X t X 3 Y 7 3 U 6 y R A z P n S H i m I U o S p w r J 8 K 8 2 3 H E Z 0 J T F m B h + f w c 4 O h 8 k D K G C f 9 B 2 d O M 0 q f e 6 e Z h h G J 8 5 e r F 7 u P 2 Y U A J F 0 8 9 e s r H i T t Y I r I Q I a b Z C r v C 2 R T N I n w + Z Y g k P y m L B z R K Y y L B p K c C e p u N e 8 N x 7 H o O F 2 a H 4 2 e + 9 Z y N O x B x F p R l N k A T r v x D i D D e E P 7 + 3 b l 8 I r d O 8 O r M / 2 D b 7 w M O 2 k d 0 D d q v c Q D a b x E 5 8 z / a 9 i 9 4 B t q H i I H 2 / g q 2 D 1 E G 2 m 9 T O O 5 t G s H + 0 w V o z + s D 2 P P 6 1 O z b U 9 3 p M Y 7 p W n T 6 E + W c x s 6 Y / k p 2 D V f g H U r 4 q F c j h e e f g m z x / 0 I X O K K k T 9 F 2 x d g g A z p v Q 7 r 5 N q T 7 b 0 O a A j a k W W B D m g g 2 p L l g Q 5 o O 0 K q s C d K k g K C o M V Z J j Y Y a w p A m S B U y O P K N r M I 1 5 a J n q p M G Q w r o n i 8 x K 8 B e n R A y S D E b z H F Q m Q C q + y I f t 8 8 5 C 2 c p z 6 3 f U Z R i 1 2 Q r E d M L y E M B u w z s l C X F K r 6 v R S q u + Z p m 1 h d 7 0 L i a i v S f u y z G 2 V z 8 h j Y a k L o E 4 O J d C L d F a R q L 4 D d X o R 5 T 5 q h K q i t u + O 3 P 5 / L Z N B H b c u d T W N V y + 5 3 9 0 o 3 R V Y y C p a N P l + b W X T R n X c m j n A w W c b R B v E K 3 E 5 L G O O a R 2 Q 9 4 + s I D s 1 h 6 v O O y z I V T x + S N P g b b A + + Y B 5 5 J k U q 7 T H q M c Z K 3 5 0 U E 0 Y u P R x H p 2 O L F E B G 0 w M y y j 2 l k P z z F y N Z k d z R A U k 0 C y i u O R d Z J C S C S K d e K n 7 V C g + J t S j m K B K G z B F i Q Y 7 C 8 s + R g G b v d B q / c B r q a B 2 4 C 2 Z F X b Y T c w R t v B p D f F Z 5 V y A R S t m X Y m 9 w s X q U a c 9 F Y d L x s c r W v q p f / j m L c 5 + J z q G L c V + f V 9 P Y f V d 7 e O t Q W e 5 W d d a B w r A n R u o g r h W M 5 O 4 4 j H M 3 L h a L V I W L x R K 2 b p H G M R I r t K G x H Y T s K 2 1 H 4 H 4 3 C X d q r F S Z y x d c U q 1 G n 3 I o L w S w k u L c B Y n u 7 P 6 C b a + o 3 F 7 U W 0 w P + J K o P 6 5 r r y 9 9 Q S w E C L Q A U A A I A C A C F c C V N Y s / P 3 6 g A A A D 4 A A A A E g A A A A A A A A A A A A A A A A A A A A A A Q 2 9 u Z m l n L 1 B h Y 2 t h Z 2 U u e G 1 s U E s B A i 0 A F A A C A A g A h X A l T Q / K 6 a u k A A A A 6 Q A A A B M A A A A A A A A A A A A A A A A A 9 A A A A F t D b 2 5 0 Z W 5 0 X 1 R 5 c G V z X S 5 4 b W x Q S w E C L Q A U A A I A C A C F c C V N g Z g o R i M D A A A e F w A A E w A A A A A A A A A A A A A A A A D l A Q A A R m 9 y b X V s Y X M v U 2 V j d G l v b j E u b V B L B Q Y A A A A A A w A D A M I A A A B 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T g A A A A A A A C 1 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R l c m l h b H 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Q W R k Z W R U b 0 R h d G F N b 2 R l b C I g V m F s d W U 9 I m w x I i A v P j x F b n R y e S B U e X B l P S J G a W x s Q 2 9 1 b n Q i I F Z h b H V l P S J s M T Y i I C 8 + P E V u d H J 5 I F R 5 c G U 9 I k Z p b G x F c n J v c k N v Z G U i I F Z h b H V l P S J z V W 5 r b m 9 3 b i I g L z 4 8 R W 5 0 c n k g V H l w Z T 0 i R m l s b E V y c m 9 y Q 2 9 1 b n Q i I F Z h b H V l P S J s M C I g L z 4 8 R W 5 0 c n k g V H l w Z T 0 i R m l s b E x h c 3 R V c G R h d G V k I i B W Y W x 1 Z T 0 i Z D I w M T g t M D k t M D V U M T M 6 M D Q 6 M D c u N T c x N T A 4 N V o i I C 8 + P E V u d H J 5 I F R 5 c G U 9 I k Z p b G x D b 2 x 1 b W 5 U e X B l c y I g V m F s d W U 9 I n N C Z 1 l H Q 1 F V Q S I g L z 4 8 R W 5 0 c n k g V H l w Z T 0 i R m l s b E N v b H V t b k 5 h b W V z I i B W Y W x 1 Z T 0 i c 1 s m c X V v d D t J d G V t J n F 1 b 3 Q 7 L C Z x d W 9 0 O 0 N h d G V n b 3 J 5 J n F 1 b 3 Q 7 L C Z x d W 9 0 O 0 N v c 3 Q g V H l w Z S Z x d W 9 0 O y w m c X V v d D t E Y X R l J n F 1 b 3 Q 7 L C Z x d W 9 0 O 0 N v c 3 Q m c X V v d D s s J n F 1 b 3 Q 7 Q 2 9 z d C B D Y X R l Z 2 9 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h d G V y a W F s c y 9 V b n B p d m 9 0 Z W Q g Q 2 9 s d W 1 u c y 5 7 S X R l b S w w f S Z x d W 9 0 O y w m c X V v d D t T Z W N 0 a W 9 u M S 9 N Y X R l c m l h b H M v V W 5 w a X Z v d G V k I E N v b H V t b n M u e 0 N h d G V n b 3 J 5 L D F 9 J n F 1 b 3 Q 7 L C Z x d W 9 0 O 1 N l Y 3 R p b 2 4 x L 0 1 h d G V y a W F s c y 9 V b n B p d m 9 0 Z W Q g Q 2 9 s d W 1 u c y 5 7 Q 2 9 z d C B U e X B l L D J 9 J n F 1 b 3 Q 7 L C Z x d W 9 0 O 1 N l Y 3 R p b 2 4 x L 0 1 h d G V y a W F s c y 9 D a G F u Z 2 V k I F R 5 c G U y L n t E Y X R l L D R 9 J n F 1 b 3 Q 7 L C Z x d W 9 0 O 1 N l Y 3 R p b 2 4 x L 0 1 h d G V y a W F s c y 9 V b n B p d m 9 0 Z W Q g Q 2 9 s d W 1 u c y 5 7 V m F s d W U s N X 0 m c X V v d D s s J n F 1 b 3 Q 7 U 2 V j d G l v b j E v T W F 0 Z X J p Y W x z L 0 F k Z G V k I E N 1 c 3 R v b S 5 7 Q 2 9 z d E N h d G V n b 3 J 5 L D V 9 J n F 1 b 3 Q 7 X S w m c X V v d D t D b 2 x 1 b W 5 D b 3 V u d C Z x d W 9 0 O z o 2 L C Z x d W 9 0 O 0 t l e U N v b H V t b k 5 h b W V z J n F 1 b 3 Q 7 O l t d L C Z x d W 9 0 O 0 N v b H V t b k l k Z W 5 0 a X R p Z X M m c X V v d D s 6 W y Z x d W 9 0 O 1 N l Y 3 R p b 2 4 x L 0 1 h d G V y a W F s c y 9 V b n B p d m 9 0 Z W Q g Q 2 9 s d W 1 u c y 5 7 S X R l b S w w f S Z x d W 9 0 O y w m c X V v d D t T Z W N 0 a W 9 u M S 9 N Y X R l c m l h b H M v V W 5 w a X Z v d G V k I E N v b H V t b n M u e 0 N h d G V n b 3 J 5 L D F 9 J n F 1 b 3 Q 7 L C Z x d W 9 0 O 1 N l Y 3 R p b 2 4 x L 0 1 h d G V y a W F s c y 9 V b n B p d m 9 0 Z W Q g Q 2 9 s d W 1 u c y 5 7 Q 2 9 z d C B U e X B l L D J 9 J n F 1 b 3 Q 7 L C Z x d W 9 0 O 1 N l Y 3 R p b 2 4 x L 0 1 h d G V y a W F s c y 9 D a G F u Z 2 V k I F R 5 c G U y L n t E Y X R l L D R 9 J n F 1 b 3 Q 7 L C Z x d W 9 0 O 1 N l Y 3 R p b 2 4 x L 0 1 h d G V y a W F s c y 9 V b n B p d m 9 0 Z W Q g Q 2 9 s d W 1 u c y 5 7 V m F s d W U s N X 0 m c X V v d D s s J n F 1 b 3 Q 7 U 2 V j d G l v b j E v T W F 0 Z X J p Y W x z L 0 F k Z G V k I E N 1 c 3 R v b S 5 7 Q 2 9 z d E N h d G V n b 3 J 5 L D V 9 J n F 1 b 3 Q 7 X S w m c X V v d D t S Z W x h d G l v b n N o a X B J b m Z v J n F 1 b 3 Q 7 O l t d f S I g L z 4 8 R W 5 0 c n k g V H l w Z T 0 i U m V j b 3 Z l c n l U Y X J n Z X R T a G V l d C I g V m F s d W U 9 I n N T a G V l d D E i I C 8 + P E V u d H J 5 I F R 5 c G U 9 I l J l Y 2 9 2 Z X J 5 V G F y Z 2 V 0 Q 2 9 s d W 1 u I i B W Y W x 1 Z T 0 i b D E i I C 8 + P E V u d H J 5 I F R 5 c G U 9 I l J l Y 2 9 2 Z X J 5 V G F y Z 2 V 0 U m 9 3 I i B W Y W x 1 Z T 0 i b D E i I C 8 + P E V u d H J 5 I F R 5 c G U 9 I l F 1 Z X J 5 S U Q i I F Z h b H V l P S J z O G N k Z W Y 5 N 2 U t M j h j M C 0 0 M m M 1 L T g 0 Y T c t Y 2 M w Z j k w N W J l Z T Z k I i A v P j w v U 3 R h Y m x l R W 5 0 c m l l c z 4 8 L 0 l 0 Z W 0 + P E l 0 Z W 0 + P E l 0 Z W 1 M b 2 N h d G l v b j 4 8 S X R l b V R 5 c G U + R m 9 y b X V s Y T w v S X R l b V R 5 c G U + P E l 0 Z W 1 Q Y X R o P l N l Y 3 R p b 2 4 x L 0 1 h d G V y a W F s c y 9 T b 3 V y Y 2 U 8 L 0 l 0 Z W 1 Q Y X R o P j w v S X R l b U x v Y 2 F 0 a W 9 u P j x T d G F i b G V F b n R y a W V z I C 8 + P C 9 J d G V t P j x J d G V t P j x J d G V t T G 9 j Y X R p b 2 4 + P E l 0 Z W 1 U e X B l P k Z v c m 1 1 b G E 8 L 0 l 0 Z W 1 U e X B l P j x J d G V t U G F 0 a D 5 T Z W N 0 a W 9 u M S 9 N Y X R l c m l h b H M v Q 2 h h b m d l Z C U y M F R 5 c G U 8 L 0 l 0 Z W 1 Q Y X R o P j w v S X R l b U x v Y 2 F 0 a W 9 u P j x T d G F i b G V F b n R y a W V z I C 8 + P C 9 J d G V t P j x J d G V t P j x J d G V t T G 9 j Y X R p b 2 4 + P E l 0 Z W 1 U e X B l P k Z v c m 1 1 b G E 8 L 0 l 0 Z W 1 U e X B l P j x J d G V t U G F 0 a D 5 T Z W N 0 a W 9 u M S 9 N Y X R l c m l h b H M v U m V t b 3 Z l Z C U y M E J v d H R v b S U y M F J v d 3 M 8 L 0 l 0 Z W 1 Q Y X R o P j w v S X R l b U x v Y 2 F 0 a W 9 u P j x T d G F i b G V F b n R y a W V z I C 8 + P C 9 J d G V t P j x J d G V t P j x J d G V t T G 9 j Y X R p b 2 4 + P E l 0 Z W 1 U e X B l P k Z v c m 1 1 b G E 8 L 0 l 0 Z W 1 U e X B l P j x J d G V t U G F 0 a D 5 T Z W N 0 a W 9 u M S 9 N Y X R l c m l h b H M v Q 2 h h b m d l Z C U y M F R 5 c G U x P C 9 J d G V t U G F 0 a D 4 8 L 0 l 0 Z W 1 M b 2 N h d G l v b j 4 8 U 3 R h Y m x l R W 5 0 c m l l c y A v P j w v S X R l b T 4 8 S X R l b T 4 8 S X R l b U x v Y 2 F 0 a W 9 u P j x J d G V t V H l w Z T 5 G b 3 J t d W x h P C 9 J d G V t V H l w Z T 4 8 S X R l b V B h d G g + U 2 V j d G l v b j E v Q W N 0 d W F s 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E 4 L T A 5 L T A 1 V D E z O j A 0 O j A 3 L j U 3 O T U z N T l a I i A v P j x F b n R y e S B U e X B l P S J G a W x s Q 2 9 s d W 1 u V H l w Z X M i I F Z h b H V l P S J z Q m d N R E F 3 T U R B d 0 1 E Q X d N R E F 3 T U Q i I C 8 + P E V u d H J 5 I F R 5 c G U 9 I k Z p b G x D b 2 x 1 b W 5 O Y W 1 l c y I g V m F s d W U 9 I n N b J n F 1 b 3 Q 7 Q W N 0 d W F s c y B 0 b y B E Y X R l J n F 1 b 3 Q 7 L C Z x d W 9 0 O 1 N l c C 0 x O C Z x d W 9 0 O y w m c X V v d D t P Y 3 Q t M T g m c X V v d D s s J n F 1 b 3 Q 7 T m 9 2 L T E 4 J n F 1 b 3 Q 7 L C Z x d W 9 0 O 0 R l Y y 0 x O C Z x d W 9 0 O y w m c X V v d D t K Y W 4 t M T k m c X V v d D s s J n F 1 b 3 Q 7 R m V i L T E 5 J n F 1 b 3 Q 7 L C Z x d W 9 0 O 0 1 h c i 0 x O S Z x d W 9 0 O y w m c X V v d D t B c H I t M T k m c X V v d D s s J n F 1 b 3 Q 7 T W F 5 L T E 5 J n F 1 b 3 Q 7 L C Z x d W 9 0 O 0 p 1 b i 0 x O S Z x d W 9 0 O y w m c X V v d D t K d W w t M T k m c X V v d D s s J n F 1 b 3 Q 7 Q X V n L T E 5 J n F 1 b 3 Q 7 L C Z x d W 9 0 O 1 N l c C 0 x O S Z x d W 9 0 O y w m c X V v d D t P Y 3 Q t M T 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Q W N 0 d W F s c y 9 D a G F u Z 2 V k I F R 5 c G U u e 0 F j d H V h b H M g d G 8 g R G F 0 Z S w w f S Z x d W 9 0 O y w m c X V v d D t T Z W N 0 a W 9 u M S 9 B Y 3 R 1 Y W x z L 0 N o Y W 5 n Z W Q g V H l w Z S 5 7 U 2 V w L T E 4 L D F 9 J n F 1 b 3 Q 7 L C Z x d W 9 0 O 1 N l Y 3 R p b 2 4 x L 0 F j d H V h b H M v Q 2 h h b m d l Z C B U e X B l L n t P Y 3 Q t M T g s M n 0 m c X V v d D s s J n F 1 b 3 Q 7 U 2 V j d G l v b j E v Q W N 0 d W F s c y 9 D a G F u Z 2 V k I F R 5 c G U u e 0 5 v d i 0 x O C w z f S Z x d W 9 0 O y w m c X V v d D t T Z W N 0 a W 9 u M S 9 B Y 3 R 1 Y W x z L 0 N o Y W 5 n Z W Q g V H l w Z S 5 7 R G V j L T E 4 L D R 9 J n F 1 b 3 Q 7 L C Z x d W 9 0 O 1 N l Y 3 R p b 2 4 x L 0 F j d H V h b H M v Q 2 h h b m d l Z C B U e X B l L n t K Y W 4 t M T k s N X 0 m c X V v d D s s J n F 1 b 3 Q 7 U 2 V j d G l v b j E v Q W N 0 d W F s c y 9 D a G F u Z 2 V k I F R 5 c G U u e 0 Z l Y i 0 x O S w 2 f S Z x d W 9 0 O y w m c X V v d D t T Z W N 0 a W 9 u M S 9 B Y 3 R 1 Y W x z L 0 N o Y W 5 n Z W Q g V H l w Z S 5 7 T W F y L T E 5 L D d 9 J n F 1 b 3 Q 7 L C Z x d W 9 0 O 1 N l Y 3 R p b 2 4 x L 0 F j d H V h b H M v Q 2 h h b m d l Z C B U e X B l L n t B c H I t M T k s O H 0 m c X V v d D s s J n F 1 b 3 Q 7 U 2 V j d G l v b j E v Q W N 0 d W F s c y 9 D a G F u Z 2 V k I F R 5 c G U u e 0 1 h e S 0 x O S w 5 f S Z x d W 9 0 O y w m c X V v d D t T Z W N 0 a W 9 u M S 9 B Y 3 R 1 Y W x z L 0 N o Y W 5 n Z W Q g V H l w Z S 5 7 S n V u L T E 5 L D E w f S Z x d W 9 0 O y w m c X V v d D t T Z W N 0 a W 9 u M S 9 B Y 3 R 1 Y W x z L 0 N o Y W 5 n Z W Q g V H l w Z S 5 7 S n V s L T E 5 L D E x f S Z x d W 9 0 O y w m c X V v d D t T Z W N 0 a W 9 u M S 9 B Y 3 R 1 Y W x z L 0 N o Y W 5 n Z W Q g V H l w Z S 5 7 Q X V n L T E 5 L D E y f S Z x d W 9 0 O y w m c X V v d D t T Z W N 0 a W 9 u M S 9 B Y 3 R 1 Y W x z L 0 N o Y W 5 n Z W Q g V H l w Z S 5 7 U 2 V w L T E 5 L D E z f S Z x d W 9 0 O y w m c X V v d D t T Z W N 0 a W 9 u M S 9 B Y 3 R 1 Y W x z L 0 N o Y W 5 n Z W Q g V H l w Z S 5 7 T 2 N 0 L T E 5 L D E 0 f S Z x d W 9 0 O 1 0 s J n F 1 b 3 Q 7 Q 2 9 s d W 1 u Q 2 9 1 b n Q m c X V v d D s 6 M T U s J n F 1 b 3 Q 7 S 2 V 5 Q 2 9 s d W 1 u T m F t Z X M m c X V v d D s 6 W 1 0 s J n F 1 b 3 Q 7 Q 2 9 s d W 1 u S W R l b n R p d G l l c y Z x d W 9 0 O z p b J n F 1 b 3 Q 7 U 2 V j d G l v b j E v Q W N 0 d W F s c y 9 D a G F u Z 2 V k I F R 5 c G U u e 0 F j d H V h b H M g d G 8 g R G F 0 Z S w w f S Z x d W 9 0 O y w m c X V v d D t T Z W N 0 a W 9 u M S 9 B Y 3 R 1 Y W x z L 0 N o Y W 5 n Z W Q g V H l w Z S 5 7 U 2 V w L T E 4 L D F 9 J n F 1 b 3 Q 7 L C Z x d W 9 0 O 1 N l Y 3 R p b 2 4 x L 0 F j d H V h b H M v Q 2 h h b m d l Z C B U e X B l L n t P Y 3 Q t M T g s M n 0 m c X V v d D s s J n F 1 b 3 Q 7 U 2 V j d G l v b j E v Q W N 0 d W F s c y 9 D a G F u Z 2 V k I F R 5 c G U u e 0 5 v d i 0 x O C w z f S Z x d W 9 0 O y w m c X V v d D t T Z W N 0 a W 9 u M S 9 B Y 3 R 1 Y W x z L 0 N o Y W 5 n Z W Q g V H l w Z S 5 7 R G V j L T E 4 L D R 9 J n F 1 b 3 Q 7 L C Z x d W 9 0 O 1 N l Y 3 R p b 2 4 x L 0 F j d H V h b H M v Q 2 h h b m d l Z C B U e X B l L n t K Y W 4 t M T k s N X 0 m c X V v d D s s J n F 1 b 3 Q 7 U 2 V j d G l v b j E v Q W N 0 d W F s c y 9 D a G F u Z 2 V k I F R 5 c G U u e 0 Z l Y i 0 x O S w 2 f S Z x d W 9 0 O y w m c X V v d D t T Z W N 0 a W 9 u M S 9 B Y 3 R 1 Y W x z L 0 N o Y W 5 n Z W Q g V H l w Z S 5 7 T W F y L T E 5 L D d 9 J n F 1 b 3 Q 7 L C Z x d W 9 0 O 1 N l Y 3 R p b 2 4 x L 0 F j d H V h b H M v Q 2 h h b m d l Z C B U e X B l L n t B c H I t M T k s O H 0 m c X V v d D s s J n F 1 b 3 Q 7 U 2 V j d G l v b j E v Q W N 0 d W F s c y 9 D a G F u Z 2 V k I F R 5 c G U u e 0 1 h e S 0 x O S w 5 f S Z x d W 9 0 O y w m c X V v d D t T Z W N 0 a W 9 u M S 9 B Y 3 R 1 Y W x z L 0 N o Y W 5 n Z W Q g V H l w Z S 5 7 S n V u L T E 5 L D E w f S Z x d W 9 0 O y w m c X V v d D t T Z W N 0 a W 9 u M S 9 B Y 3 R 1 Y W x z L 0 N o Y W 5 n Z W Q g V H l w Z S 5 7 S n V s L T E 5 L D E x f S Z x d W 9 0 O y w m c X V v d D t T Z W N 0 a W 9 u M S 9 B Y 3 R 1 Y W x z L 0 N o Y W 5 n Z W Q g V H l w Z S 5 7 Q X V n L T E 5 L D E y f S Z x d W 9 0 O y w m c X V v d D t T Z W N 0 a W 9 u M S 9 B Y 3 R 1 Y W x z L 0 N o Y W 5 n Z W Q g V H l w Z S 5 7 U 2 V w L T E 5 L D E z f S Z x d W 9 0 O y w m c X V v d D t T Z W N 0 a W 9 u M S 9 B Y 3 R 1 Y W x z L 0 N o Y W 5 n Z W Q g V H l w Z S 5 7 T 2 N 0 L T E 5 L D E 0 f S Z x d W 9 0 O 1 0 s J n F 1 b 3 Q 7 U m V s Y X R p b 2 5 z a G l w S W 5 m b y Z x d W 9 0 O z p b X X 0 i I C 8 + P E V u d H J 5 I F R 5 c G U 9 I l F 1 Z X J 5 S U Q i I F Z h b H V l P S J z Z j Y 0 N j I x Y z I t Y j c y Y y 0 0 M j A 1 L W E 2 N D Y t Z j g y M T B m Z m Y 0 N m E 1 I i A v P j w v U 3 R h Y m x l R W 5 0 c m l l c z 4 8 L 0 l 0 Z W 0 + P E l 0 Z W 0 + P E l 0 Z W 1 M b 2 N h d G l v b j 4 8 S X R l b V R 5 c G U + R m 9 y b X V s Y T w v S X R l b V R 5 c G U + P E l 0 Z W 1 Q Y X R o P l N l Y 3 R p b 2 4 x L 0 F j d H V h b H M v U 2 9 1 c m N l P C 9 J d G V t U G F 0 a D 4 8 L 0 l 0 Z W 1 M b 2 N h d G l v b j 4 8 U 3 R h Y m x l R W 5 0 c m l l c y A v P j w v S X R l b T 4 8 S X R l b T 4 8 S X R l b U x v Y 2 F 0 a W 9 u P j x J d G V t V H l w Z T 5 G b 3 J t d W x h P C 9 J d G V t V H l w Z T 4 8 S X R l b V B h d G g + U 2 V j d G l v b j E v Q W N 0 d W F s c y 9 D a G F u Z 2 V k J T I w V H l w Z T w v S X R l b V B h d G g + P C 9 J d G V t T G 9 j Y X R p b 2 4 + P F N 0 Y W J s Z U V u d H J p Z X M g L z 4 8 L 0 l 0 Z W 0 + P E l 0 Z W 0 + P E l 0 Z W 1 M b 2 N h d G l v b j 4 8 S X R l b V R 5 c G U + R m 9 y b X V s Y T w v S X R l b V R 5 c G U + P E l 0 Z W 1 Q Y X R o P l N l Y 3 R p b 2 4 x L 1 J l c 2 9 1 c m N l 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E 4 L T A 5 L T A 1 V D E z O j A 0 O j A 3 L j U 4 N j U 0 M D B a I i A v P j x F b n R y e S B U e X B l P S J G a W x s Q 2 9 s d W 1 u V H l w Z X M i I F Z h b H V l P S J z Q m d Z R 0 J n W U F B d 0 F E Q X d Z R E F 3 T U R B d 0 1 E Q X d N R E F 3 T U R B Q T 0 9 I i A v P j x F b n R y e S B U e X B l P S J G a W x s Q 2 9 s d W 1 u T m F t Z X M i I F Z h b H V l P S J z W y Z x d W 9 0 O 0 5 h b W U m c X V v d D s s J n F 1 b 3 Q 7 T W F u Y W d l c i Z x d W 9 0 O y w m c X V v d D t S b 2 x l J n F 1 b 3 Q 7 L C Z x d W 9 0 O 1 R l Y W 0 m c X V v d D s s J n F 1 b 3 Q 7 T G 9 j Y X R p b 2 4 m c X V v d D s s J n F 1 b 3 Q 7 Q 2 9 t b W V u d H M m c X V v d D s s J n F 1 b 3 Q 7 U m F 0 Z S Z x d W 9 0 O y w m c X V v d D t D b 3 N 0 I F R 5 c G U m c X V v d D s s J n F 1 b 3 Q 7 V G 9 0 Y W w g R G F 5 c y Z x d W 9 0 O y w m c X V v d D t U b 3 R h b C B D b 3 N 0 J n F 1 b 3 Q 7 L C Z x d W 9 0 O 1 R 5 c G U m c X V v d D s s J n F 1 b 3 Q 7 U 2 V w L T E 4 J n F 1 b 3 Q 7 L C Z x d W 9 0 O 0 9 j d C 0 x O C Z x d W 9 0 O y w m c X V v d D t O b 3 Y t M T g m c X V v d D s s J n F 1 b 3 Q 7 R G V j L T E 4 J n F 1 b 3 Q 7 L C Z x d W 9 0 O 0 p h b i 0 x O S Z x d W 9 0 O y w m c X V v d D t G Z W I t M T k m c X V v d D s s J n F 1 b 3 Q 7 T W F y L T E 5 J n F 1 b 3 Q 7 L C Z x d W 9 0 O 0 F w c i 0 x O S Z x d W 9 0 O y w m c X V v d D t N Y X k t M T k m c X V v d D s s J n F 1 b 3 Q 7 S n V u L T E 5 J n F 1 b 3 Q 7 L C Z x d W 9 0 O 0 p 1 b C 0 x O S Z x d W 9 0 O y w m c X V v d D t B d W c t M T k m c X V v d D s s J n F 1 b 3 Q 7 U 2 V w L T E 5 J n F 1 b 3 Q 7 L C Z x d W 9 0 O 0 9 j d C 0 x O S 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S Z X N v d X J j Z X M v Q 2 h h b m d l Z C B U e X B l L n t O Y W 1 l L D B 9 J n F 1 b 3 Q 7 L C Z x d W 9 0 O 1 N l Y 3 R p b 2 4 x L 1 J l c 2 9 1 c m N l c y 9 D a G F u Z 2 V k I F R 5 c G U u e 0 1 h b m F n Z X I s M X 0 m c X V v d D s s J n F 1 b 3 Q 7 U 2 V j d G l v b j E v U m V z b 3 V y Y 2 V z L 0 N o Y W 5 n Z W Q g V H l w Z S 5 7 U m 9 s Z S w y f S Z x d W 9 0 O y w m c X V v d D t T Z W N 0 a W 9 u M S 9 S Z X N v d X J j Z X M v Q 2 h h b m d l Z C B U e X B l L n t U Z W F t L D N 9 J n F 1 b 3 Q 7 L C Z x d W 9 0 O 1 N l Y 3 R p b 2 4 x L 1 J l c 2 9 1 c m N l c y 9 D a G F u Z 2 V k I F R 5 c G U u e 0 x v Y 2 F 0 a W 9 u L D R 9 J n F 1 b 3 Q 7 L C Z x d W 9 0 O 1 N l Y 3 R p b 2 4 x L 1 J l c 2 9 1 c m N l c y 9 D a G F u Z 2 V k I F R 5 c G U u e 0 N v b W 1 l b n R z L D V 9 J n F 1 b 3 Q 7 L C Z x d W 9 0 O 1 N l Y 3 R p b 2 4 x L 1 J l c 2 9 1 c m N l c y 9 D a G F u Z 2 V k I F R 5 c G U u e 1 J h d G U s N n 0 m c X V v d D s s J n F 1 b 3 Q 7 U 2 V j d G l v b j E v U m V z b 3 V y Y 2 V z L 0 N o Y W 5 n Z W Q g V H l w Z S 5 7 Q 2 9 z d C B U e X B l L D d 9 J n F 1 b 3 Q 7 L C Z x d W 9 0 O 1 N l Y 3 R p b 2 4 x L 1 J l c 2 9 1 c m N l c y 9 D a G F u Z 2 V k I F R 5 c G U u e 1 R v d G F s I E R h e X M s O H 0 m c X V v d D s s J n F 1 b 3 Q 7 U 2 V j d G l v b j E v U m V z b 3 V y Y 2 V z L 0 N o Y W 5 n Z W Q g V H l w Z S 5 7 V G 9 0 Y W w g Q 2 9 z d C w 5 f S Z x d W 9 0 O y w m c X V v d D t T Z W N 0 a W 9 u M S 9 S Z X N v d X J j Z X M v Q 2 h h b m d l Z C B U e X B l L n t U e X B l L D E w f S Z x d W 9 0 O y w m c X V v d D t T Z W N 0 a W 9 u M S 9 S Z X N v d X J j Z X M v Q 2 h h b m d l Z C B U e X B l L n t T Z X A t M T g s M T F 9 J n F 1 b 3 Q 7 L C Z x d W 9 0 O 1 N l Y 3 R p b 2 4 x L 1 J l c 2 9 1 c m N l c y 9 D a G F u Z 2 V k I F R 5 c G U u e 0 9 j d C 0 x O C w x M n 0 m c X V v d D s s J n F 1 b 3 Q 7 U 2 V j d G l v b j E v U m V z b 3 V y Y 2 V z L 0 N o Y W 5 n Z W Q g V H l w Z S 5 7 T m 9 2 L T E 4 L D E z f S Z x d W 9 0 O y w m c X V v d D t T Z W N 0 a W 9 u M S 9 S Z X N v d X J j Z X M v Q 2 h h b m d l Z C B U e X B l L n t E Z W M t M T g s M T R 9 J n F 1 b 3 Q 7 L C Z x d W 9 0 O 1 N l Y 3 R p b 2 4 x L 1 J l c 2 9 1 c m N l c y 9 D a G F u Z 2 V k I F R 5 c G U u e 0 p h b i 0 x O S w x N X 0 m c X V v d D s s J n F 1 b 3 Q 7 U 2 V j d G l v b j E v U m V z b 3 V y Y 2 V z L 0 N o Y W 5 n Z W Q g V H l w Z S 5 7 R m V i L T E 5 L D E 2 f S Z x d W 9 0 O y w m c X V v d D t T Z W N 0 a W 9 u M S 9 S Z X N v d X J j Z X M v Q 2 h h b m d l Z C B U e X B l L n t N Y X I t M T k s M T d 9 J n F 1 b 3 Q 7 L C Z x d W 9 0 O 1 N l Y 3 R p b 2 4 x L 1 J l c 2 9 1 c m N l c y 9 D a G F u Z 2 V k I F R 5 c G U u e 0 F w c i 0 x O S w x O H 0 m c X V v d D s s J n F 1 b 3 Q 7 U 2 V j d G l v b j E v U m V z b 3 V y Y 2 V z L 0 N o Y W 5 n Z W Q g V H l w Z S 5 7 T W F 5 L T E 5 L D E 5 f S Z x d W 9 0 O y w m c X V v d D t T Z W N 0 a W 9 u M S 9 S Z X N v d X J j Z X M v Q 2 h h b m d l Z C B U e X B l L n t K d W 4 t M T k s M j B 9 J n F 1 b 3 Q 7 L C Z x d W 9 0 O 1 N l Y 3 R p b 2 4 x L 1 J l c 2 9 1 c m N l c y 9 D a G F u Z 2 V k I F R 5 c G U u e 0 p 1 b C 0 x O S w y M X 0 m c X V v d D s s J n F 1 b 3 Q 7 U 2 V j d G l v b j E v U m V z b 3 V y Y 2 V z L 0 N o Y W 5 n Z W Q g V H l w Z S 5 7 Q X V n L T E 5 L D I y f S Z x d W 9 0 O y w m c X V v d D t T Z W N 0 a W 9 u M S 9 S Z X N v d X J j Z X M v Q 2 h h b m d l Z C B U e X B l L n t T Z X A t M T k s M j N 9 J n F 1 b 3 Q 7 L C Z x d W 9 0 O 1 N l Y 3 R p b 2 4 x L 1 J l c 2 9 1 c m N l c y 9 D a G F u Z 2 V k I F R 5 c G U u e 0 9 j d C 0 x O S w y N H 0 m c X V v d D t d L C Z x d W 9 0 O 0 N v b H V t b k N v d W 5 0 J n F 1 b 3 Q 7 O j I 1 L C Z x d W 9 0 O 0 t l e U N v b H V t b k 5 h b W V z J n F 1 b 3 Q 7 O l t d L C Z x d W 9 0 O 0 N v b H V t b k l k Z W 5 0 a X R p Z X M m c X V v d D s 6 W y Z x d W 9 0 O 1 N l Y 3 R p b 2 4 x L 1 J l c 2 9 1 c m N l c y 9 D a G F u Z 2 V k I F R 5 c G U u e 0 5 h b W U s M H 0 m c X V v d D s s J n F 1 b 3 Q 7 U 2 V j d G l v b j E v U m V z b 3 V y Y 2 V z L 0 N o Y W 5 n Z W Q g V H l w Z S 5 7 T W F u Y W d l c i w x f S Z x d W 9 0 O y w m c X V v d D t T Z W N 0 a W 9 u M S 9 S Z X N v d X J j Z X M v Q 2 h h b m d l Z C B U e X B l L n t S b 2 x l L D J 9 J n F 1 b 3 Q 7 L C Z x d W 9 0 O 1 N l Y 3 R p b 2 4 x L 1 J l c 2 9 1 c m N l c y 9 D a G F u Z 2 V k I F R 5 c G U u e 1 R l Y W 0 s M 3 0 m c X V v d D s s J n F 1 b 3 Q 7 U 2 V j d G l v b j E v U m V z b 3 V y Y 2 V z L 0 N o Y W 5 n Z W Q g V H l w Z S 5 7 T G 9 j Y X R p b 2 4 s N H 0 m c X V v d D s s J n F 1 b 3 Q 7 U 2 V j d G l v b j E v U m V z b 3 V y Y 2 V z L 0 N o Y W 5 n Z W Q g V H l w Z S 5 7 Q 2 9 t b W V u d H M s N X 0 m c X V v d D s s J n F 1 b 3 Q 7 U 2 V j d G l v b j E v U m V z b 3 V y Y 2 V z L 0 N o Y W 5 n Z W Q g V H l w Z S 5 7 U m F 0 Z S w 2 f S Z x d W 9 0 O y w m c X V v d D t T Z W N 0 a W 9 u M S 9 S Z X N v d X J j Z X M v Q 2 h h b m d l Z C B U e X B l L n t D b 3 N 0 I F R 5 c G U s N 3 0 m c X V v d D s s J n F 1 b 3 Q 7 U 2 V j d G l v b j E v U m V z b 3 V y Y 2 V z L 0 N o Y W 5 n Z W Q g V H l w Z S 5 7 V G 9 0 Y W w g R G F 5 c y w 4 f S Z x d W 9 0 O y w m c X V v d D t T Z W N 0 a W 9 u M S 9 S Z X N v d X J j Z X M v Q 2 h h b m d l Z C B U e X B l L n t U b 3 R h b C B D b 3 N 0 L D l 9 J n F 1 b 3 Q 7 L C Z x d W 9 0 O 1 N l Y 3 R p b 2 4 x L 1 J l c 2 9 1 c m N l c y 9 D a G F u Z 2 V k I F R 5 c G U u e 1 R 5 c G U s M T B 9 J n F 1 b 3 Q 7 L C Z x d W 9 0 O 1 N l Y 3 R p b 2 4 x L 1 J l c 2 9 1 c m N l c y 9 D a G F u Z 2 V k I F R 5 c G U u e 1 N l c C 0 x O C w x M X 0 m c X V v d D s s J n F 1 b 3 Q 7 U 2 V j d G l v b j E v U m V z b 3 V y Y 2 V z L 0 N o Y W 5 n Z W Q g V H l w Z S 5 7 T 2 N 0 L T E 4 L D E y f S Z x d W 9 0 O y w m c X V v d D t T Z W N 0 a W 9 u M S 9 S Z X N v d X J j Z X M v Q 2 h h b m d l Z C B U e X B l L n t O b 3 Y t M T g s M T N 9 J n F 1 b 3 Q 7 L C Z x d W 9 0 O 1 N l Y 3 R p b 2 4 x L 1 J l c 2 9 1 c m N l c y 9 D a G F u Z 2 V k I F R 5 c G U u e 0 R l Y y 0 x O C w x N H 0 m c X V v d D s s J n F 1 b 3 Q 7 U 2 V j d G l v b j E v U m V z b 3 V y Y 2 V z L 0 N o Y W 5 n Z W Q g V H l w Z S 5 7 S m F u L T E 5 L D E 1 f S Z x d W 9 0 O y w m c X V v d D t T Z W N 0 a W 9 u M S 9 S Z X N v d X J j Z X M v Q 2 h h b m d l Z C B U e X B l L n t G Z W I t M T k s M T Z 9 J n F 1 b 3 Q 7 L C Z x d W 9 0 O 1 N l Y 3 R p b 2 4 x L 1 J l c 2 9 1 c m N l c y 9 D a G F u Z 2 V k I F R 5 c G U u e 0 1 h c i 0 x O S w x N 3 0 m c X V v d D s s J n F 1 b 3 Q 7 U 2 V j d G l v b j E v U m V z b 3 V y Y 2 V z L 0 N o Y W 5 n Z W Q g V H l w Z S 5 7 Q X B y L T E 5 L D E 4 f S Z x d W 9 0 O y w m c X V v d D t T Z W N 0 a W 9 u M S 9 S Z X N v d X J j Z X M v Q 2 h h b m d l Z C B U e X B l L n t N Y X k t M T k s M T l 9 J n F 1 b 3 Q 7 L C Z x d W 9 0 O 1 N l Y 3 R p b 2 4 x L 1 J l c 2 9 1 c m N l c y 9 D a G F u Z 2 V k I F R 5 c G U u e 0 p 1 b i 0 x O S w y M H 0 m c X V v d D s s J n F 1 b 3 Q 7 U 2 V j d G l v b j E v U m V z b 3 V y Y 2 V z L 0 N o Y W 5 n Z W Q g V H l w Z S 5 7 S n V s L T E 5 L D I x f S Z x d W 9 0 O y w m c X V v d D t T Z W N 0 a W 9 u M S 9 S Z X N v d X J j Z X M v Q 2 h h b m d l Z C B U e X B l L n t B d W c t M T k s M j J 9 J n F 1 b 3 Q 7 L C Z x d W 9 0 O 1 N l Y 3 R p b 2 4 x L 1 J l c 2 9 1 c m N l c y 9 D a G F u Z 2 V k I F R 5 c G U u e 1 N l c C 0 x O S w y M 3 0 m c X V v d D s s J n F 1 b 3 Q 7 U 2 V j d G l v b j E v U m V z b 3 V y Y 2 V z L 0 N o Y W 5 n Z W Q g V H l w Z S 5 7 T 2 N 0 L T E 5 L D I 0 f S Z x d W 9 0 O 1 0 s J n F 1 b 3 Q 7 U m V s Y X R p b 2 5 z a G l w S W 5 m b y Z x d W 9 0 O z p b X X 0 i I C 8 + P E V u d H J 5 I F R 5 c G U 9 I l F 1 Z X J 5 S U Q i I F Z h b H V l P S J z N j k 0 N j l l N D U t N j l k N i 0 0 N j Y 4 L T k 0 O T c t M 2 V l Y T Y w N z Q x M W M 5 I i A v P j w v U 3 R h Y m x l R W 5 0 c m l l c z 4 8 L 0 l 0 Z W 0 + P E l 0 Z W 0 + P E l 0 Z W 1 M b 2 N h d G l v b j 4 8 S X R l b V R 5 c G U + R m 9 y b X V s Y T w v S X R l b V R 5 c G U + P E l 0 Z W 1 Q Y X R o P l N l Y 3 R p b 2 4 x L 1 J l c 2 9 1 c m N l c y 9 T b 3 V y Y 2 U 8 L 0 l 0 Z W 1 Q Y X R o P j w v S X R l b U x v Y 2 F 0 a W 9 u P j x T d G F i b G V F b n R y a W V z I C 8 + P C 9 J d G V t P j x J d G V t P j x J d G V t T G 9 j Y X R p b 2 4 + P E l 0 Z W 1 U e X B l P k Z v c m 1 1 b G E 8 L 0 l 0 Z W 1 U e X B l P j x J d G V t U G F 0 a D 5 T Z W N 0 a W 9 u M S 9 S Z X N v d X J j Z X M v Q 2 h h b m d l Z C U y M F R 5 c G U 8 L 0 l 0 Z W 1 Q Y X R o P j w v S X R l b U x v Y 2 F 0 a W 9 u P j x T d G F i b G V F b n R y a W V z I C 8 + P C 9 J d G V t P j x J d G V t P j x J d G V t T G 9 j Y X R p b 2 4 + P E l 0 Z W 1 U e X B l P k Z v c m 1 1 b G E 8 L 0 l 0 Z W 1 U e X B l P j x J d G V t U G F 0 a D 5 T Z W N 0 a W 9 u M S 9 S Z X N v d X J j Z U N v c 3 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2 I i A v P j x F b n R y e S B U e X B l P S J G a W x s R X J y b 3 J D b 2 R l I i B W Y W x 1 Z T 0 i c 1 V u a 2 5 v d 2 4 i I C 8 + P E V u d H J 5 I F R 5 c G U 9 I k Z p b G x F c n J v c k N v d W 5 0 I i B W Y W x 1 Z T 0 i b D A i I C 8 + P E V u d H J 5 I F R 5 c G U 9 I k Z p b G x M Y X N 0 V X B k Y X R l Z C I g V m F s d W U 9 I m Q y M D E 4 L T A 5 L T A 1 V D E z O j A 0 O j A 3 L j U 5 N z A y O T h a I i A v P j x F b n R y e S B U e X B l P S J G a W x s Q 2 9 s d W 1 u V H l w Z X M i I F Z h b H V l P S J z Q m d Z R 0 N R V U E i I C 8 + P E V u d H J 5 I F R 5 c G U 9 I k Z p b G x D b 2 x 1 b W 5 O Y W 1 l c y I g V m F s d W U 9 I n N b J n F 1 b 3 Q 7 T m F t Z S Z x d W 9 0 O y w m c X V v d D t U Z W F t J n F 1 b 3 Q 7 L C Z x d W 9 0 O 0 N v c 3 Q g V H l w Z S Z x d W 9 0 O y w m c X V v d D t E Y X R l J n F 1 b 3 Q 7 L C Z x d W 9 0 O 0 N v c 3 Q m c X V v d D s s J n F 1 b 3 Q 7 Q 2 9 z d C B D Y X R l Z 2 9 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J l c 2 9 1 c m N l Q 2 9 z d H M v V W 5 w a X Z v d G V k I E N v b H V t b n M u e 0 5 h b W U s M H 0 m c X V v d D s s J n F 1 b 3 Q 7 U 2 V j d G l v b j E v U m V z b 3 V y Y 2 V D b 3 N 0 c y 9 V b n B p d m 9 0 Z W Q g Q 2 9 s d W 1 u c y 5 7 V G V h b S w x f S Z x d W 9 0 O y w m c X V v d D t T Z W N 0 a W 9 u M S 9 S Z X N v d X J j Z U N v c 3 R z L 1 V u c G l 2 b 3 R l Z C B D b 2 x 1 b W 5 z L n t U e X B l L D N 9 J n F 1 b 3 Q 7 L C Z x d W 9 0 O 1 N l Y 3 R p b 2 4 x L 1 J l c 2 9 1 c m N l Q 2 9 z d H M v Q 2 h h b m d l Z C B U e X B l M S 5 7 R G F 0 Z S w 0 f S Z x d W 9 0 O y w m c X V v d D t T Z W N 0 a W 9 u M S 9 S Z X N v d X J j Z U N v c 3 R z L 1 V u c G l 2 b 3 R l Z C B D b 2 x 1 b W 5 z L n t W Y W x 1 Z S w 1 f S Z x d W 9 0 O y w m c X V v d D t T Z W N 0 a W 9 u M S 9 S Z X N v d X J j Z U N v c 3 R z L 0 F k Z G V k I E N 1 c 3 R v b S 5 7 Q 2 9 z d C B D Y X R l Z 2 9 y e S w 1 f S Z x d W 9 0 O 1 0 s J n F 1 b 3 Q 7 Q 2 9 s d W 1 u Q 2 9 1 b n Q m c X V v d D s 6 N i w m c X V v d D t L Z X l D b 2 x 1 b W 5 O Y W 1 l c y Z x d W 9 0 O z p b X S w m c X V v d D t D b 2 x 1 b W 5 J Z G V u d G l 0 a W V z J n F 1 b 3 Q 7 O l s m c X V v d D t T Z W N 0 a W 9 u M S 9 S Z X N v d X J j Z U N v c 3 R z L 1 V u c G l 2 b 3 R l Z C B D b 2 x 1 b W 5 z L n t O Y W 1 l L D B 9 J n F 1 b 3 Q 7 L C Z x d W 9 0 O 1 N l Y 3 R p b 2 4 x L 1 J l c 2 9 1 c m N l Q 2 9 z d H M v V W 5 w a X Z v d G V k I E N v b H V t b n M u e 1 R l Y W 0 s M X 0 m c X V v d D s s J n F 1 b 3 Q 7 U 2 V j d G l v b j E v U m V z b 3 V y Y 2 V D b 3 N 0 c y 9 V b n B p d m 9 0 Z W Q g Q 2 9 s d W 1 u c y 5 7 V H l w Z S w z f S Z x d W 9 0 O y w m c X V v d D t T Z W N 0 a W 9 u M S 9 S Z X N v d X J j Z U N v c 3 R z L 0 N o Y W 5 n Z W Q g V H l w Z T E u e 0 R h d G U s N H 0 m c X V v d D s s J n F 1 b 3 Q 7 U 2 V j d G l v b j E v U m V z b 3 V y Y 2 V D b 3 N 0 c y 9 V b n B p d m 9 0 Z W Q g Q 2 9 s d W 1 u c y 5 7 V m F s d W U s N X 0 m c X V v d D s s J n F 1 b 3 Q 7 U 2 V j d G l v b j E v U m V z b 3 V y Y 2 V D b 3 N 0 c y 9 B Z G R l Z C B D d X N 0 b 2 0 u e 0 N v c 3 Q g Q 2 F 0 Z W d v c n k s N X 0 m c X V v d D t d L C Z x d W 9 0 O 1 J l b G F 0 a W 9 u c 2 h p c E l u Z m 8 m c X V v d D s 6 W 1 1 9 I i A v P j x F b n R y e S B U e X B l P S J R d W V y e U l E I i B W Y W x 1 Z T 0 i c 2 U 2 N 2 E 4 M D I 1 L W I 1 Z T c t N D c 1 Y i 1 i N z c 1 L T A w N 2 J l Y T Y 0 Y m U 3 Z i I g L z 4 8 L 1 N 0 Y W J s Z U V u d H J p Z X M + P C 9 J d G V t P j x J d G V t P j x J d G V t T G 9 j Y X R p b 2 4 + P E l 0 Z W 1 U e X B l P k Z v c m 1 1 b G E 8 L 0 l 0 Z W 1 U e X B l P j x J d G V t U G F 0 a D 5 T Z W N 0 a W 9 u M S 9 S Z X N v d X J j Z U N v c 3 R z L 1 N v d X J j Z T w v S X R l b V B h d G g + P C 9 J d G V t T G 9 j Y X R p b 2 4 + P F N 0 Y W J s Z U V u d H J p Z X M g L z 4 8 L 0 l 0 Z W 0 + P E l 0 Z W 0 + P E l 0 Z W 1 M b 2 N h d G l v b j 4 8 S X R l b V R 5 c G U + R m 9 y b X V s Y T w v S X R l b V R 5 c G U + P E l 0 Z W 1 Q Y X R o P l N l Y 3 R p b 2 4 x L 1 J l c 2 9 1 c m N l Q 2 9 z d H M v Q 2 h h b m d l Z C U y M F R 5 c G U 8 L 0 l 0 Z W 1 Q Y X R o P j w v S X R l b U x v Y 2 F 0 a W 9 u P j x T d G F i b G V F b n R y a W V z I C 8 + P C 9 J d G V t P j x J d G V t P j x J d G V t T G 9 j Y X R p b 2 4 + P E l 0 Z W 1 U e X B l P k Z v c m 1 1 b G E 8 L 0 l 0 Z W 1 U e X B l P j x J d G V t U G F 0 a D 5 T Z W N 0 a W 9 u M S 9 N Y X R l c m l h b H M v V W 5 w a X Z v d G V k J T I w Q 2 9 s d W 1 u c z w v S X R l b V B h d G g + P C 9 J d G V t T G 9 j Y X R p b 2 4 + P F N 0 Y W J s Z U V u d H J p Z X M g L z 4 8 L 0 l 0 Z W 0 + P E l 0 Z W 0 + P E l 0 Z W 1 M b 2 N h d G l v b j 4 8 S X R l b V R 5 c G U + R m 9 y b X V s Y T w v S X R l b V R 5 c G U + P E l 0 Z W 1 Q Y X R o P l N l Y 3 R p b 2 4 x L 0 1 h d G V y a W F s c y 9 S Z W 5 h b W V k J T I w Q 2 9 s d W 1 u c z w v S X R l b V B h d G g + P C 9 J d G V t T G 9 j Y X R p b 2 4 + P F N 0 Y W J s Z U V u d H J p Z X M g L z 4 8 L 0 l 0 Z W 0 + P E l 0 Z W 0 + P E l 0 Z W 1 M b 2 N h d G l v b j 4 8 S X R l b V R 5 c G U + R m 9 y b X V s Y T w v S X R l b V R 5 c G U + P E l 0 Z W 1 Q Y X R o P l N l Y 3 R p b 2 4 x L 0 1 h d G V y a W F s c y 9 D a G F u Z 2 V k J T I w V H l w Z T I 8 L 0 l 0 Z W 1 Q Y X R o P j w v S X R l b U x v Y 2 F 0 a W 9 u P j x T d G F i b G V F b n R y a W V z I C 8 + P C 9 J d G V t P j x J d G V t P j x J d G V t T G 9 j Y X R p b 2 4 + P E l 0 Z W 1 U e X B l P k Z v c m 1 1 b G E 8 L 0 l 0 Z W 1 U e X B l P j x J d G V t U G F 0 a D 5 T Z W N 0 a W 9 u M S 9 N Y X R l c m l h b H M v U m V t b 3 Z l Z C U y M E N v b H V t b n M 8 L 0 l 0 Z W 1 Q Y X R o P j w v S X R l b U x v Y 2 F 0 a W 9 u P j x T d G F i b G V F b n R y a W V z I C 8 + P C 9 J d G V t P j x J d G V t P j x J d G V t T G 9 j Y X R p b 2 4 + P E l 0 Z W 1 U e X B l P k Z v c m 1 1 b G E 8 L 0 l 0 Z W 1 U e X B l P j x J d G V t U G F 0 a D 5 T Z W N 0 a W 9 u M S 9 N Y X R l c m l h b H M v U m V u Y W 1 l Z C U y M E N v b H V t b n M x P C 9 J d G V t U G F 0 a D 4 8 L 0 l 0 Z W 1 M b 2 N h d G l v b j 4 8 U 3 R h Y m x l R W 5 0 c m l l c y A v P j w v S X R l b T 4 8 S X R l b T 4 8 S X R l b U x v Y 2 F 0 a W 9 u P j x J d G V t V H l w Z T 5 G b 3 J t d W x h P C 9 J d G V t V H l w Z T 4 8 S X R l b V B h d G g + U 2 V j d G l v b j E v U m V z b 3 V y Y 2 V D b 3 N 0 c y 9 V b n B p d m 9 0 Z W Q l M j B D b 2 x 1 b W 5 z P C 9 J d G V t U G F 0 a D 4 8 L 0 l 0 Z W 1 M b 2 N h d G l v b j 4 8 U 3 R h Y m x l R W 5 0 c m l l c y A v P j w v S X R l b T 4 8 S X R l b T 4 8 S X R l b U x v Y 2 F 0 a W 9 u P j x J d G V t V H l w Z T 5 G b 3 J t d W x h P C 9 J d G V t V H l w Z T 4 8 S X R l b V B h d G g + U 2 V j d G l v b j E v U m V z b 3 V y Y 2 V D b 3 N 0 c y 9 S Z W 5 h b W V k J T I w Q 2 9 s d W 1 u c z w v S X R l b V B h d G g + P C 9 J d G V t T G 9 j Y X R p b 2 4 + P F N 0 Y W J s Z U V u d H J p Z X M g L z 4 8 L 0 l 0 Z W 0 + P E l 0 Z W 0 + P E l 0 Z W 1 M b 2 N h d G l v b j 4 8 S X R l b V R 5 c G U + R m 9 y b X V s Y T w v S X R l b V R 5 c G U + P E l 0 Z W 1 Q Y X R o P l N l Y 3 R p b 2 4 x L 1 J l c 2 9 1 c m N l Q 2 9 z d H M v Q 2 h h b m d l Z C U y M F R 5 c G U x P C 9 J d G V t U G F 0 a D 4 8 L 0 l 0 Z W 1 M b 2 N h d G l v b j 4 8 U 3 R h Y m x l R W 5 0 c m l l c y A v P j w v S X R l b T 4 8 S X R l b T 4 8 S X R l b U x v Y 2 F 0 a W 9 u P j x J d G V t V H l w Z T 5 G b 3 J t d W x h P C 9 J d G V t V H l w Z T 4 8 S X R l b V B h d G g + U 2 V j d G l v b j E v U m V z b 3 V y Y 2 V D b 3 N 0 c y 9 S Z W 5 h b W V k J T I w Q 2 9 s d W 1 u c z E 8 L 0 l 0 Z W 1 Q Y X R o P j w v S X R l b U x v Y 2 F 0 a W 9 u P j x T d G F i b G V F b n R y a W V z I C 8 + P C 9 J d G V t P j x J d G V t P j x J d G V t T G 9 j Y X R p b 2 4 + P E l 0 Z W 1 U e X B l P k Z v c m 1 1 b G E 8 L 0 l 0 Z W 1 U e X B l P j x J d G V t U G F 0 a D 5 T Z W N 0 a W 9 u M S 9 S Z X N v d X J j Z U N v c 3 R z L 1 J l b W 9 2 Z W Q l M j B D b 2 x 1 b W 5 z P C 9 J d G V t U G F 0 a D 4 8 L 0 l 0 Z W 1 M b 2 N h d G l v b j 4 8 U 3 R h Y m x l R W 5 0 c m l l c y A v P j w v S X R l b T 4 8 S X R l b T 4 8 S X R l b U x v Y 2 F 0 a W 9 u P j x J d G V t V H l w Z T 5 G b 3 J t d W x h P C 9 J d G V t V H l w Z T 4 8 S X R l b V B h d G g + U 2 V j d G l v b j E v T W F 0 Z X J p Y W x z L 0 F k Z G V k J T I w Q 3 V z d G 9 t P C 9 J d G V t U G F 0 a D 4 8 L 0 l 0 Z W 1 M b 2 N h d G l v b j 4 8 U 3 R h Y m x l R W 5 0 c m l l c y A v P j w v S X R l b T 4 8 S X R l b T 4 8 S X R l b U x v Y 2 F 0 a W 9 u P j x J d G V t V H l w Z T 5 G b 3 J t d W x h P C 9 J d G V t V H l w Z T 4 8 S X R l b V B h d G g + U 2 V j d G l v b j E v U m V z b 3 V y Y 2 V D b 3 N 0 c y 9 B Z G R l Z C U y M E N 1 c 3 R v b T w v S X R l b V B h d G g + P C 9 J d G V t T G 9 j Y X R p b 2 4 + P F N 0 Y W J s Z U V u d H J p Z X M g L z 4 8 L 0 l 0 Z W 0 + P E l 0 Z W 0 + P E l 0 Z W 1 M b 2 N h d G l v b j 4 8 S X R l b V R 5 c G U + R m 9 y b X V s Y T w v S X R l b V R 5 c G U + P E l 0 Z W 1 Q Y X R o P l N l Y 3 R p b 2 4 x L 0 1 h d G V y a W F s c y 9 S Z W 5 h b W V k J T I w Q 2 9 s d W 1 u c z I 8 L 0 l 0 Z W 1 Q Y X R o P j w v S X R l b U x v Y 2 F 0 a W 9 u P j x T d G F i b G V F b n R y a W V z I C 8 + P C 9 J d G V t P j x J d G V t P j x J d G V t T G 9 j Y X R p b 2 4 + P E l 0 Z W 1 U e X B l P k Z v c m 1 1 b G E 8 L 0 l 0 Z W 1 U e X B l P j x J d G V t U G F 0 a D 5 T Z W N 0 a W 9 u M S 9 D b 3 N 0 J T I w U 3 V t b W F y e 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Q 2 F w Z X g h U G l 2 b 3 R U Y W J s Z T Q 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E 4 L T A 5 L T A 1 V D E z O j A 0 O j A 3 L j Y x M j U z N z l a I i A v P j x F b n R y e S B U e X B l P S J G a W x s Q 2 9 s d W 1 u V H l w Z X M i I F Z h b H V l P S J z Q m d Z R 0 N R V U E i I C 8 + P E V u d H J 5 I F R 5 c G U 9 I k Z p b G x D b 2 x 1 b W 5 O Y W 1 l c y I g V m F s d W U 9 I n N b J n F 1 b 3 Q 7 T m F t Z S Z x d W 9 0 O y w m c X V v d D t U Z W F t J n F 1 b 3 Q 7 L C Z x d W 9 0 O 0 N v c 3 Q g V H l w Z S Z x d W 9 0 O y w m c X V v d D t E Y X R l J n F 1 b 3 Q 7 L C Z x d W 9 0 O 0 N v c 3 Q m c X V v d D s s J n F 1 b 3 Q 7 Q 2 9 z d C B D Y X R l Z 2 9 y e S Z x d W 9 0 O 1 0 i I C 8 + P E V u d H J 5 I F R 5 c G U 9 I k Z p b G x T d G F 0 d X M i I F Z h b H V l P S J z Q 2 9 t c G x l d G U i I C 8 + P E V u d H J 5 I F R 5 c G U 9 I k Z p b G x D b 3 V u d C I g V m F s d W U 9 I m w 3 M i I g L z 4 8 R W 5 0 c n k g V H l w Z T 0 i U m V s Y X R p b 2 5 z a G l w S W 5 m b 0 N v b n R h a W 5 l c i I g V m F s d W U 9 I n N 7 J n F 1 b 3 Q 7 Y 2 9 s d W 1 u Q 2 9 1 b n Q m c X V v d D s 6 N i w m c X V v d D t r Z X l D b 2 x 1 b W 5 O Y W 1 l c y Z x d W 9 0 O z p b X S w m c X V v d D t x d W V y e V J l b G F 0 a W 9 u c 2 h p c H M m c X V v d D s 6 W 1 0 s J n F 1 b 3 Q 7 Y 2 9 s d W 1 u S W R l b n R p d G l l c y Z x d W 9 0 O z p b J n F 1 b 3 Q 7 U 2 V j d G l v b j E v Q 2 9 z d C B T d W 1 t Y X J 5 L 0 F w c G V u Z G V k I F F 1 Z X J 5 L n t O Y W 1 l L D B 9 J n F 1 b 3 Q 7 L C Z x d W 9 0 O 1 N l Y 3 R p b 2 4 x L 0 N v c 3 Q g U 3 V t b W F y e S 9 B c H B l b m R l Z C B R d W V y e S 5 7 V G V h b S w x f S Z x d W 9 0 O y w m c X V v d D t T Z W N 0 a W 9 u M S 9 D b 3 N 0 I F N 1 b W 1 h c n k v Q X B w Z W 5 k Z W Q g U X V l c n k u e 0 N v c 3 Q g V H l w Z S w y f S Z x d W 9 0 O y w m c X V v d D t T Z W N 0 a W 9 u M S 9 D b 3 N 0 I F N 1 b W 1 h c n k v Q X B w Z W 5 k Z W Q g U X V l c n k u e 0 R h d G U s M 3 0 m c X V v d D s s J n F 1 b 3 Q 7 U 2 V j d G l v b j E v Q 2 9 z d C B T d W 1 t Y X J 5 L 0 F w c G V u Z G V k I F F 1 Z X J 5 L n t D b 3 N 0 L D R 9 J n F 1 b 3 Q 7 L C Z x d W 9 0 O 1 N l Y 3 R p b 2 4 x L 0 N v c 3 Q g U 3 V t b W F y e S 9 B c H B l b m R l Z C B R d W V y e S 5 7 Q 2 9 z d C B D Y X R l Z 2 9 y e S w 1 f S Z x d W 9 0 O 1 0 s J n F 1 b 3 Q 7 Q 2 9 s d W 1 u Q 2 9 1 b n Q m c X V v d D s 6 N i w m c X V v d D t L Z X l D b 2 x 1 b W 5 O Y W 1 l c y Z x d W 9 0 O z p b X S w m c X V v d D t D b 2 x 1 b W 5 J Z G V u d G l 0 a W V z J n F 1 b 3 Q 7 O l s m c X V v d D t T Z W N 0 a W 9 u M S 9 D b 3 N 0 I F N 1 b W 1 h c n k v Q X B w Z W 5 k Z W Q g U X V l c n k u e 0 5 h b W U s M H 0 m c X V v d D s s J n F 1 b 3 Q 7 U 2 V j d G l v b j E v Q 2 9 z d C B T d W 1 t Y X J 5 L 0 F w c G V u Z G V k I F F 1 Z X J 5 L n t U Z W F t L D F 9 J n F 1 b 3 Q 7 L C Z x d W 9 0 O 1 N l Y 3 R p b 2 4 x L 0 N v c 3 Q g U 3 V t b W F y e S 9 B c H B l b m R l Z C B R d W V y e S 5 7 Q 2 9 z d C B U e X B l L D J 9 J n F 1 b 3 Q 7 L C Z x d W 9 0 O 1 N l Y 3 R p b 2 4 x L 0 N v c 3 Q g U 3 V t b W F y e S 9 B c H B l b m R l Z C B R d W V y e S 5 7 R G F 0 Z S w z f S Z x d W 9 0 O y w m c X V v d D t T Z W N 0 a W 9 u M S 9 D b 3 N 0 I F N 1 b W 1 h c n k v Q X B w Z W 5 k Z W Q g U X V l c n k u e 0 N v c 3 Q s N H 0 m c X V v d D s s J n F 1 b 3 Q 7 U 2 V j d G l v b j E v Q 2 9 z d C B T d W 1 t Y X J 5 L 0 F w c G V u Z G V k I F F 1 Z X J 5 L n t D b 3 N 0 I E N h d G V n b 3 J 5 L D V 9 J n F 1 b 3 Q 7 X S w m c X V v d D t S Z W x h d G l v b n N o a X B J b m Z v J n F 1 b 3 Q 7 O l t d f S I g L z 4 8 R W 5 0 c n k g V H l w Z T 0 i U X V l c n l J R C I g V m F s d W U 9 I n M 0 Y T k 1 Z W Q 3 O S 1 h Z T Q x L T R l Z W M t O T U 2 M y 0 x Z m Y 3 N W M x Y z Q 4 M j I i I C 8 + P E V u d H J 5 I F R 5 c G U 9 I k x v Y W R l Z F R v Q W 5 h b H l z a X N T Z X J 2 a W N l c y I g V m F s d W U 9 I m w w I i A v P j w v U 3 R h Y m x l R W 5 0 c m l l c z 4 8 L 0 l 0 Z W 0 + P E l 0 Z W 0 + P E l 0 Z W 1 M b 2 N h d G l v b j 4 8 S X R l b V R 5 c G U + R m 9 y b X V s Y T w v S X R l b V R 5 c G U + P E l 0 Z W 1 Q Y X R o P l N l Y 3 R p b 2 4 x L 0 N v c 3 Q l M j B T d W 1 t Y X J 5 L 1 N v d X J j Z T w v S X R l b V B h d G g + P C 9 J d G V t T G 9 j Y X R p b 2 4 + P F N 0 Y W J s Z U V u d H J p Z X M g L z 4 8 L 0 l 0 Z W 0 + P E l 0 Z W 0 + P E l 0 Z W 1 M b 2 N h d G l v b j 4 8 S X R l b V R 5 c G U + R m 9 y b X V s Y T w v S X R l b V R 5 c G U + P E l 0 Z W 1 Q Y X R o P l N l Y 3 R p b 2 4 x L 0 N v c 3 Q l M j B T d W 1 t Y X J 5 L 0 N o Y W 5 n Z W Q l M j B U e X B l P C 9 J d G V t U G F 0 a D 4 8 L 0 l 0 Z W 1 M b 2 N h d G l v b j 4 8 U 3 R h Y m x l R W 5 0 c m l l c y A v P j w v S X R l b T 4 8 S X R l b T 4 8 S X R l b U x v Y 2 F 0 a W 9 u P j x J d G V t V H l w Z T 5 G b 3 J t d W x h P C 9 J d G V t V H l w Z T 4 8 S X R l b V B h d G g + U 2 V j d G l v b j E v Q 2 9 z d C U y M F N 1 b W 1 h c n k v V W 5 w a X Z v d G V k J T I w Q 2 9 s d W 1 u c z w v S X R l b V B h d G g + P C 9 J d G V t T G 9 j Y X R p b 2 4 + P F N 0 Y W J s Z U V u d H J p Z X M g L z 4 8 L 0 l 0 Z W 0 + P E l 0 Z W 0 + P E l 0 Z W 1 M b 2 N h d G l v b j 4 8 S X R l b V R 5 c G U + R m 9 y b X V s Y T w v S X R l b V R 5 c G U + P E l 0 Z W 1 Q Y X R o P l N l Y 3 R p b 2 4 x L 0 N v c 3 Q l M j B T d W 1 t Y X J 5 L 1 J l b m F t Z W Q l M j B D b 2 x 1 b W 5 z P C 9 J d G V t U G F 0 a D 4 8 L 0 l 0 Z W 1 M b 2 N h d G l v b j 4 8 U 3 R h Y m x l R W 5 0 c m l l c y A v P j w v S X R l b T 4 8 S X R l b T 4 8 S X R l b U x v Y 2 F 0 a W 9 u P j x J d G V t V H l w Z T 5 G b 3 J t d W x h P C 9 J d G V t V H l w Z T 4 8 S X R l b V B h d G g + U 2 V j d G l v b j E v Q 2 9 z d C U y M F N 1 b W 1 h c n k v Q 2 h h b m d l Z C U y M F R 5 c G U x P C 9 J d G V t U G F 0 a D 4 8 L 0 l 0 Z W 1 M b 2 N h d G l v b j 4 8 U 3 R h Y m x l R W 5 0 c m l l c y A v P j w v S X R l b T 4 8 S X R l b T 4 8 S X R l b U x v Y 2 F 0 a W 9 u P j x J d G V t V H l w Z T 5 G b 3 J t d W x h P C 9 J d G V t V H l w Z T 4 8 S X R l b V B h d G g + U 2 V j d G l v b j E v Q 2 9 z d C U y M F N 1 b W 1 h c n k v U m V u Y W 1 l Z C U y M E N v b H V t b n M x P C 9 J d G V t U G F 0 a D 4 8 L 0 l 0 Z W 1 M b 2 N h d G l v b j 4 8 U 3 R h Y m x l R W 5 0 c m l l c y A v P j w v S X R l b T 4 8 S X R l b T 4 8 S X R l b U x v Y 2 F 0 a W 9 u P j x J d G V t V H l w Z T 5 G b 3 J t d W x h P C 9 J d G V t V H l w Z T 4 8 S X R l b V B h d G g + U 2 V j d G l v b j E v Q 2 9 z d C U y M F N 1 b W 1 h c n k v U m V t b 3 Z l Z C U y M E N v b H V t b n M 8 L 0 l 0 Z W 1 Q Y X R o P j w v S X R l b U x v Y 2 F 0 a W 9 u P j x T d G F i b G V F b n R y a W V z I C 8 + P C 9 J d G V t P j x J d G V t P j x J d G V t T G 9 j Y X R p b 2 4 + P E l 0 Z W 1 U e X B l P k Z v c m 1 1 b G E 8 L 0 l 0 Z W 1 U e X B l P j x J d G V t U G F 0 a D 5 T Z W N 0 a W 9 u M S 9 D b 3 N 0 J T I w U 3 V t b W F y e S 9 B Z G R l Z C U y M E N 1 c 3 R v b T w v S X R l b V B h d G g + P C 9 J d G V t T G 9 j Y X R p b 2 4 + P F N 0 Y W J s Z U V u d H J p Z X M g L z 4 8 L 0 l 0 Z W 0 + P E l 0 Z W 0 + P E l 0 Z W 1 M b 2 N h d G l v b j 4 8 S X R l b V R 5 c G U + R m 9 y b X V s Y T w v S X R l b V R 5 c G U + P E l 0 Z W 1 Q Y X R o P l N l Y 3 R p b 2 4 x L 1 J l c 2 9 1 c m N l Q 2 9 z d H M v U m V u Y W 1 l Z C U y M E N v b H V t b n M y P C 9 J d G V t U G F 0 a D 4 8 L 0 l 0 Z W 1 M b 2 N h d G l v b j 4 8 U 3 R h Y m x l R W 5 0 c m l l c y A v P j w v S X R l b T 4 8 S X R l b T 4 8 S X R l b U x v Y 2 F 0 a W 9 u P j x J d G V t V H l w Z T 5 G b 3 J t d W x h P C 9 J d G V t V H l w Z T 4 8 S X R l b V B h d G g + U 2 V j d G l v b j E v Q 2 9 z d C U y M F N 1 b W 1 h c n k v U m V u Y W 1 l Z C U y M E N v b H V t b n M y P C 9 J d G V t U G F 0 a D 4 8 L 0 l 0 Z W 1 M b 2 N h d G l v b j 4 8 U 3 R h Y m x l R W 5 0 c m l l c y A v P j w v S X R l b T 4 8 S X R l b T 4 8 S X R l b U x v Y 2 F 0 a W 9 u P j x J d G V t V H l w Z T 5 G b 3 J t d W x h P C 9 J d G V t V H l w Z T 4 8 S X R l b V B h d G g + U 2 V j d G l v b j E v Q 2 9 z d C U y M F N 1 b W 1 h c n k v Q X B w Z W 5 k Z W Q l M j B R d W V y e T w v S X R l b V B h d G g + P C 9 J d G V t T G 9 j Y X R p b 2 4 + P F N 0 Y W J s Z U V u d H J p Z X M g L z 4 8 L 0 l 0 Z W 0 + P E l 0 Z W 0 + P E l 0 Z W 1 M b 2 N h d G l v b j 4 8 S X R l b V R 5 c G U + R m 9 y b X V s Y T w v S X R l b V R 5 c G U + P E l 0 Z W 1 Q Y X R o P l N l Y 3 R p b 2 4 x L 0 N v c 3 Q l M j B T d W 1 t Y X J 5 L 1 J l b W 9 2 Z W Q l M j B D b 2 x 1 b W 5 z M T w v S X R l b V B h d G g + P C 9 J d G V t T G 9 j Y X R p b 2 4 + P F N 0 Y W J s Z U V u d H J p Z X M g L z 4 8 L 0 l 0 Z W 0 + P C 9 J d G V t c z 4 8 L 0 x v Y 2 F s U G F j a 2 F n Z U 1 l d G F k Y X R h R m l s Z T 4 W A A A A U E s F B g A A A A A A A A A A A A A A A A A A A A A A A C Y B A A A B A A A A 0 I y d 3 w E V 0 R G M e g D A T 8 K X 6 w E A A A B E F J r C i 1 V Y Q 7 p A Y T n 6 1 X 6 P A A A A A A I A A A A A A B B m A A A A A Q A A I A A A A I k / + g r h f b k s u S O f u V b X t l Z f U u I h 2 5 i M 7 m G W P 3 D 1 1 T 6 0 A A A A A A 6 A A A A A A g A A I A A A A I R 0 W F 4 z 2 6 0 g B W 3 h H t K O 1 V t s 2 P V 0 2 x 5 z V q B 5 P / t J 3 / z h U A A A A F 5 m F 8 n R + B 4 r h 5 t T Q 3 K c 0 v c y S t B y B u j K l f l h v o 7 M q i m J z 0 O o u L O q F I q T K f 6 B R r J Z K u d J L p g 3 l J z d f K m 0 s s / 6 6 V J B f n v x L 6 B p 7 k a V Z 0 H N U 3 4 9 Q A A A A O 8 j 7 G M d c U G B F F R H p s D n m s b a I F X / X M b u u O f Y i g p X E 9 7 h A k Q I Y r t + D t m x 0 h Y Y j Q a c 2 c H x l s 5 E v u 9 a L 4 s M b a X A A O E = < / D a t a M a s h u p > 
</file>

<file path=customXml/item8.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FBA1F33-B389-4959-BD93-742BFF925205}">
  <ds:schemaRefs/>
</ds:datastoreItem>
</file>

<file path=customXml/itemProps10.xml><?xml version="1.0" encoding="utf-8"?>
<ds:datastoreItem xmlns:ds="http://schemas.openxmlformats.org/officeDocument/2006/customXml" ds:itemID="{7BE11B37-6F02-407E-BBEC-9065BD53A188}">
  <ds:schemaRefs/>
</ds:datastoreItem>
</file>

<file path=customXml/itemProps11.xml><?xml version="1.0" encoding="utf-8"?>
<ds:datastoreItem xmlns:ds="http://schemas.openxmlformats.org/officeDocument/2006/customXml" ds:itemID="{751FDA85-E128-4339-BECD-E17C9CBB1AE9}">
  <ds:schemaRefs/>
</ds:datastoreItem>
</file>

<file path=customXml/itemProps12.xml><?xml version="1.0" encoding="utf-8"?>
<ds:datastoreItem xmlns:ds="http://schemas.openxmlformats.org/officeDocument/2006/customXml" ds:itemID="{74083CF8-149C-4F43-AAD2-C90BCB991390}">
  <ds:schemaRefs/>
</ds:datastoreItem>
</file>

<file path=customXml/itemProps13.xml><?xml version="1.0" encoding="utf-8"?>
<ds:datastoreItem xmlns:ds="http://schemas.openxmlformats.org/officeDocument/2006/customXml" ds:itemID="{53AFF6BB-912C-4C45-801F-FEBEAD146E49}">
  <ds:schemaRefs/>
</ds:datastoreItem>
</file>

<file path=customXml/itemProps14.xml><?xml version="1.0" encoding="utf-8"?>
<ds:datastoreItem xmlns:ds="http://schemas.openxmlformats.org/officeDocument/2006/customXml" ds:itemID="{97F2860A-1EFA-4D60-BAE1-6A73DA393D0B}">
  <ds:schemaRefs/>
</ds:datastoreItem>
</file>

<file path=customXml/itemProps15.xml><?xml version="1.0" encoding="utf-8"?>
<ds:datastoreItem xmlns:ds="http://schemas.openxmlformats.org/officeDocument/2006/customXml" ds:itemID="{29794C58-5051-497E-87C3-B1E849DBE83A}">
  <ds:schemaRefs/>
</ds:datastoreItem>
</file>

<file path=customXml/itemProps16.xml><?xml version="1.0" encoding="utf-8"?>
<ds:datastoreItem xmlns:ds="http://schemas.openxmlformats.org/officeDocument/2006/customXml" ds:itemID="{2040D7ED-DF87-4CCB-8039-8FCF0F26161B}">
  <ds:schemaRefs/>
</ds:datastoreItem>
</file>

<file path=customXml/itemProps17.xml><?xml version="1.0" encoding="utf-8"?>
<ds:datastoreItem xmlns:ds="http://schemas.openxmlformats.org/officeDocument/2006/customXml" ds:itemID="{821AF55C-B8E0-4059-941A-BD62045DF5F0}">
  <ds:schemaRefs/>
</ds:datastoreItem>
</file>

<file path=customXml/itemProps18.xml><?xml version="1.0" encoding="utf-8"?>
<ds:datastoreItem xmlns:ds="http://schemas.openxmlformats.org/officeDocument/2006/customXml" ds:itemID="{56F3643E-37C8-4D70-89F0-168900084EDC}">
  <ds:schemaRefs/>
</ds:datastoreItem>
</file>

<file path=customXml/itemProps19.xml><?xml version="1.0" encoding="utf-8"?>
<ds:datastoreItem xmlns:ds="http://schemas.openxmlformats.org/officeDocument/2006/customXml" ds:itemID="{F4A9F75D-99C6-4658-AB6C-0F27E99D49B0}">
  <ds:schemaRefs/>
</ds:datastoreItem>
</file>

<file path=customXml/itemProps2.xml><?xml version="1.0" encoding="utf-8"?>
<ds:datastoreItem xmlns:ds="http://schemas.openxmlformats.org/officeDocument/2006/customXml" ds:itemID="{A6021D0F-4518-4002-8A31-89AB5FCFC971}">
  <ds:schemaRefs/>
</ds:datastoreItem>
</file>

<file path=customXml/itemProps20.xml><?xml version="1.0" encoding="utf-8"?>
<ds:datastoreItem xmlns:ds="http://schemas.openxmlformats.org/officeDocument/2006/customXml" ds:itemID="{6EFD4E44-8C39-442C-89A4-B75FE53793BA}">
  <ds:schemaRefs/>
</ds:datastoreItem>
</file>

<file path=customXml/itemProps3.xml><?xml version="1.0" encoding="utf-8"?>
<ds:datastoreItem xmlns:ds="http://schemas.openxmlformats.org/officeDocument/2006/customXml" ds:itemID="{88EC3948-E6D9-447F-B87F-45E36AAC5D5A}">
  <ds:schemaRefs/>
</ds:datastoreItem>
</file>

<file path=customXml/itemProps4.xml><?xml version="1.0" encoding="utf-8"?>
<ds:datastoreItem xmlns:ds="http://schemas.openxmlformats.org/officeDocument/2006/customXml" ds:itemID="{19727F46-D69D-4AF6-AB0B-7F036570BDBC}">
  <ds:schemaRefs/>
</ds:datastoreItem>
</file>

<file path=customXml/itemProps5.xml><?xml version="1.0" encoding="utf-8"?>
<ds:datastoreItem xmlns:ds="http://schemas.openxmlformats.org/officeDocument/2006/customXml" ds:itemID="{29D54084-71FF-4278-9BEA-563B90BB71CB}">
  <ds:schemaRefs/>
</ds:datastoreItem>
</file>

<file path=customXml/itemProps6.xml><?xml version="1.0" encoding="utf-8"?>
<ds:datastoreItem xmlns:ds="http://schemas.openxmlformats.org/officeDocument/2006/customXml" ds:itemID="{3C2727C6-A0B6-42B3-BDA7-8E7DD92990ED}">
  <ds:schemaRefs/>
</ds:datastoreItem>
</file>

<file path=customXml/itemProps7.xml><?xml version="1.0" encoding="utf-8"?>
<ds:datastoreItem xmlns:ds="http://schemas.openxmlformats.org/officeDocument/2006/customXml" ds:itemID="{327248F2-B1E2-4180-B1B4-E9BC00E7BE56}">
  <ds:schemaRefs>
    <ds:schemaRef ds:uri="http://schemas.microsoft.com/DataMashup"/>
  </ds:schemaRefs>
</ds:datastoreItem>
</file>

<file path=customXml/itemProps8.xml><?xml version="1.0" encoding="utf-8"?>
<ds:datastoreItem xmlns:ds="http://schemas.openxmlformats.org/officeDocument/2006/customXml" ds:itemID="{EDCE9397-F73C-44F8-A3A2-C837B9ABBDC9}">
  <ds:schemaRefs/>
</ds:datastoreItem>
</file>

<file path=customXml/itemProps9.xml><?xml version="1.0" encoding="utf-8"?>
<ds:datastoreItem xmlns:ds="http://schemas.openxmlformats.org/officeDocument/2006/customXml" ds:itemID="{99A0683D-8A63-478A-9B02-97D703D00E1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Summary</vt:lpstr>
      <vt:lpstr>Resource</vt:lpstr>
      <vt:lpstr>Materials</vt:lpstr>
      <vt:lpstr>Actuals</vt:lpstr>
      <vt:lpstr>Lookup</vt:lpstr>
      <vt:lpstr>Resource Costs</vt:lpstr>
      <vt:lpstr>Forecast</vt:lpstr>
      <vt:lpstr>Sheet1</vt:lpstr>
      <vt:lpstr>Cost Type</vt:lpstr>
      <vt:lpstr>Opex</vt:lpstr>
      <vt:lpstr>Capex</vt:lpstr>
      <vt:lpstr>BAC</vt:lpstr>
      <vt:lpstr>EAC</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McAleer</dc:creator>
  <cp:lastModifiedBy>Microsoft Office User</cp:lastModifiedBy>
  <dcterms:created xsi:type="dcterms:W3CDTF">2018-09-05T09:51:32Z</dcterms:created>
  <dcterms:modified xsi:type="dcterms:W3CDTF">2021-07-12T15:22:10Z</dcterms:modified>
</cp:coreProperties>
</file>