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11a50edbd69fea/Documentos/Github Proyects/Credit-default-model/predictions/"/>
    </mc:Choice>
  </mc:AlternateContent>
  <xr:revisionPtr revIDLastSave="1110" documentId="8_{F61F1D14-5F96-4CD4-82B2-3CCF8C5042FF}" xr6:coauthVersionLast="47" xr6:coauthVersionMax="47" xr10:uidLastSave="{1E3B267C-4A92-4958-A920-78668FF3256F}"/>
  <bookViews>
    <workbookView xWindow="-108" yWindow="-108" windowWidth="23256" windowHeight="12456" xr2:uid="{E06815C3-D8EC-40BE-AF15-B3E61E3D0F0F}"/>
  </bookViews>
  <sheets>
    <sheet name="Portfolio" sheetId="3" r:id="rId1"/>
    <sheet name="Testing data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E5" i="3"/>
  <c r="G9" i="2"/>
  <c r="M22" i="2"/>
  <c r="M21" i="2"/>
  <c r="M18" i="3"/>
  <c r="M19" i="3" s="1"/>
  <c r="N15" i="2"/>
  <c r="M15" i="2"/>
  <c r="L15" i="2"/>
  <c r="N14" i="3"/>
  <c r="L14" i="3"/>
  <c r="E6" i="3"/>
  <c r="P3" i="2"/>
  <c r="P3" i="3"/>
  <c r="D11" i="3"/>
  <c r="D10" i="3"/>
  <c r="E4" i="3"/>
  <c r="L3" i="3"/>
  <c r="P2" i="3"/>
  <c r="K2" i="3"/>
  <c r="K4" i="3" s="1"/>
  <c r="E5" i="2"/>
  <c r="C11" i="2" s="1"/>
  <c r="C10" i="2" s="1"/>
  <c r="B10" i="2" s="1"/>
  <c r="D10" i="2"/>
  <c r="E4" i="2"/>
  <c r="D9" i="2"/>
  <c r="D11" i="2"/>
  <c r="L3" i="2"/>
  <c r="P2" i="2"/>
  <c r="K2" i="2"/>
  <c r="L2" i="2" s="1"/>
  <c r="C11" i="3" l="1"/>
  <c r="C10" i="3" s="1"/>
  <c r="B10" i="3" s="1"/>
  <c r="B11" i="3"/>
  <c r="D9" i="3"/>
  <c r="L2" i="3"/>
  <c r="F10" i="3"/>
  <c r="E10" i="3" s="1"/>
  <c r="K4" i="2"/>
  <c r="E6" i="2"/>
  <c r="B11" i="2" s="1"/>
  <c r="B9" i="2" s="1"/>
  <c r="C9" i="2" s="1"/>
  <c r="B9" i="3" l="1"/>
  <c r="C9" i="3" s="1"/>
  <c r="G10" i="3"/>
  <c r="H10" i="3"/>
  <c r="J10" i="3" s="1"/>
  <c r="F9" i="3"/>
  <c r="H9" i="3" s="1"/>
  <c r="F10" i="2"/>
  <c r="H10" i="2" s="1"/>
  <c r="H11" i="3" l="1"/>
  <c r="J9" i="3"/>
  <c r="J11" i="3" s="1"/>
  <c r="I10" i="3"/>
  <c r="L10" i="3" s="1"/>
  <c r="E9" i="3"/>
  <c r="F11" i="3"/>
  <c r="E10" i="2"/>
  <c r="G10" i="2" s="1"/>
  <c r="J10" i="2"/>
  <c r="K10" i="3" l="1"/>
  <c r="M10" i="3" s="1"/>
  <c r="G9" i="3"/>
  <c r="E11" i="3"/>
  <c r="N10" i="3"/>
  <c r="F9" i="2"/>
  <c r="H9" i="2" s="1"/>
  <c r="H11" i="2" s="1"/>
  <c r="G11" i="3" l="1"/>
  <c r="I9" i="3"/>
  <c r="I11" i="3" s="1"/>
  <c r="F11" i="2"/>
  <c r="J9" i="2"/>
  <c r="J11" i="2" s="1"/>
  <c r="K9" i="3" l="1"/>
  <c r="K11" i="3" s="1"/>
  <c r="N9" i="3"/>
  <c r="N11" i="3" s="1"/>
  <c r="L9" i="3"/>
  <c r="L11" i="3" s="1"/>
  <c r="M9" i="3" l="1"/>
  <c r="M11" i="3"/>
  <c r="E9" i="2" l="1"/>
  <c r="E11" i="2" s="1"/>
  <c r="I10" i="2"/>
  <c r="L10" i="2" l="1"/>
  <c r="N10" i="2"/>
  <c r="K10" i="2"/>
  <c r="G11" i="2" l="1"/>
  <c r="I9" i="2"/>
  <c r="I11" i="2" s="1"/>
  <c r="M10" i="2"/>
  <c r="N9" i="2" l="1"/>
  <c r="N11" i="2" s="1"/>
  <c r="K9" i="2"/>
  <c r="L9" i="2"/>
  <c r="L11" i="2" s="1"/>
  <c r="K11" i="2" l="1"/>
  <c r="M9" i="2"/>
  <c r="M11" i="2" l="1"/>
</calcChain>
</file>

<file path=xl/sharedStrings.xml><?xml version="1.0" encoding="utf-8"?>
<sst xmlns="http://schemas.openxmlformats.org/spreadsheetml/2006/main" count="108" uniqueCount="49">
  <si>
    <t>Defaults</t>
  </si>
  <si>
    <t>Intense</t>
  </si>
  <si>
    <t>Total</t>
  </si>
  <si>
    <t>Cost std</t>
  </si>
  <si>
    <t>Cost Intense</t>
  </si>
  <si>
    <t>Prob. recover std</t>
  </si>
  <si>
    <t>Charged-off</t>
  </si>
  <si>
    <t>Total cost</t>
  </si>
  <si>
    <t>Total portfolio</t>
  </si>
  <si>
    <t>Alerts</t>
  </si>
  <si>
    <t>Real alerts</t>
  </si>
  <si>
    <t>Total defaults</t>
  </si>
  <si>
    <t>Assumptions</t>
  </si>
  <si>
    <t>Predictions</t>
  </si>
  <si>
    <t>Outcome</t>
  </si>
  <si>
    <t>Charged-off %</t>
  </si>
  <si>
    <t>Default resource allocation</t>
  </si>
  <si>
    <t>Not alerts</t>
  </si>
  <si>
    <t>Repaid</t>
  </si>
  <si>
    <t>Good</t>
  </si>
  <si>
    <t>Default</t>
  </si>
  <si>
    <t>Model</t>
  </si>
  <si>
    <t>Precision No Alerts</t>
  </si>
  <si>
    <t>Good-intense</t>
  </si>
  <si>
    <t>Default-std</t>
  </si>
  <si>
    <t>Std</t>
  </si>
  <si>
    <t>Not-alerts</t>
  </si>
  <si>
    <t>Random</t>
  </si>
  <si>
    <t>Allocation of resources</t>
  </si>
  <si>
    <t>Accounts</t>
  </si>
  <si>
    <t>Pct</t>
  </si>
  <si>
    <t>Prob. recover intense</t>
  </si>
  <si>
    <t>Success rate for defaults</t>
  </si>
  <si>
    <t xml:space="preserve">Not alerts </t>
  </si>
  <si>
    <t xml:space="preserve">Alerts </t>
  </si>
  <si>
    <t>Good-std*</t>
  </si>
  <si>
    <t>Default-intense*</t>
  </si>
  <si>
    <t>Optimal</t>
  </si>
  <si>
    <t>Scenario</t>
  </si>
  <si>
    <t>Even</t>
  </si>
  <si>
    <t>Intense follow-up</t>
  </si>
  <si>
    <t>Total good</t>
  </si>
  <si>
    <t>Recall</t>
  </si>
  <si>
    <t>Imrpovement</t>
  </si>
  <si>
    <t>Reduction points</t>
  </si>
  <si>
    <t>Portfolio level</t>
  </si>
  <si>
    <t>Portfolio saved</t>
  </si>
  <si>
    <t>Avg loan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</si>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</sst>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165" formatCode="&quot;$&quot;#,##0"/>
    <numFmt numFmtId="166" formatCode="0.000%"/>
    <numFmt numFmtId="169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9" fontId="0" fillId="2" borderId="1" xfId="0" applyNumberFormat="1" applyFill="1" applyBorder="1"/>
    <xf numFmtId="0" fontId="0" fillId="4" borderId="1" xfId="0" applyFill="1" applyBorder="1"/>
    <xf numFmtId="9" fontId="0" fillId="2" borderId="0" xfId="1" applyFont="1" applyFill="1"/>
    <xf numFmtId="0" fontId="0" fillId="5" borderId="1" xfId="0" applyFill="1" applyBorder="1"/>
    <xf numFmtId="9" fontId="0" fillId="5" borderId="1" xfId="1" applyFont="1" applyFill="1" applyBorder="1" applyAlignment="1"/>
    <xf numFmtId="9" fontId="0" fillId="3" borderId="1" xfId="1" applyFont="1" applyFill="1" applyBorder="1"/>
    <xf numFmtId="0" fontId="2" fillId="4" borderId="1" xfId="0" applyFont="1" applyFill="1" applyBorder="1"/>
    <xf numFmtId="9" fontId="0" fillId="2" borderId="1" xfId="1" applyFont="1" applyFill="1" applyBorder="1"/>
    <xf numFmtId="1" fontId="2" fillId="2" borderId="1" xfId="0" applyNumberFormat="1" applyFont="1" applyFill="1" applyBorder="1"/>
    <xf numFmtId="165" fontId="0" fillId="2" borderId="1" xfId="0" applyNumberFormat="1" applyFill="1" applyBorder="1"/>
    <xf numFmtId="0" fontId="2" fillId="2" borderId="1" xfId="0" applyFont="1" applyFill="1" applyBorder="1"/>
    <xf numFmtId="1" fontId="2" fillId="3" borderId="1" xfId="0" applyNumberFormat="1" applyFont="1" applyFill="1" applyBorder="1"/>
    <xf numFmtId="9" fontId="2" fillId="5" borderId="1" xfId="1" applyFont="1" applyFill="1" applyBorder="1" applyAlignment="1"/>
    <xf numFmtId="10" fontId="0" fillId="2" borderId="1" xfId="1" applyNumberFormat="1" applyFont="1" applyFill="1" applyBorder="1"/>
    <xf numFmtId="10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70" fontId="0" fillId="2" borderId="1" xfId="0" applyNumberFormat="1" applyFill="1" applyBorder="1"/>
    <xf numFmtId="1" fontId="0" fillId="2" borderId="0" xfId="0" applyNumberFormat="1" applyFill="1"/>
    <xf numFmtId="1" fontId="2" fillId="0" borderId="1" xfId="0" applyNumberFormat="1" applyFont="1" applyFill="1" applyBorder="1"/>
    <xf numFmtId="0" fontId="2" fillId="5" borderId="1" xfId="0" applyFont="1" applyFill="1" applyBorder="1"/>
    <xf numFmtId="166" fontId="2" fillId="2" borderId="1" xfId="1" applyNumberFormat="1" applyFont="1" applyFill="1" applyBorder="1"/>
    <xf numFmtId="169" fontId="2" fillId="2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Portfolio!$A$17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Portfolio!$B$16:$J$16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Portfolio!$B$17:$J$17</c:f>
              <c:numCache>
                <c:formatCode>0.00%</c:formatCode>
                <c:ptCount val="9"/>
                <c:pt idx="0">
                  <c:v>8.9899232245681332E-2</c:v>
                </c:pt>
                <c:pt idx="1">
                  <c:v>8.9575335892514263E-2</c:v>
                </c:pt>
                <c:pt idx="2">
                  <c:v>8.9251439539347402E-2</c:v>
                </c:pt>
                <c:pt idx="3">
                  <c:v>8.8603646833013486E-2</c:v>
                </c:pt>
                <c:pt idx="4">
                  <c:v>8.8279750479846403E-2</c:v>
                </c:pt>
                <c:pt idx="5">
                  <c:v>8.7955854126679334E-2</c:v>
                </c:pt>
                <c:pt idx="6">
                  <c:v>8.7308061420345404E-2</c:v>
                </c:pt>
                <c:pt idx="7">
                  <c:v>8.6984165067178543E-2</c:v>
                </c:pt>
                <c:pt idx="8">
                  <c:v>8.6731525911708213E-2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FC8-919D-9D2FFFF4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data sample'!$A$15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data sample'!$B$14:$J$14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'Testing data sample'!$B$15:$J$15</c:f>
              <c:numCache>
                <c:formatCode>0.00%</c:formatCode>
                <c:ptCount val="9"/>
                <c:pt idx="0">
                  <c:v>7.5941758850304505E-2</c:v>
                </c:pt>
                <c:pt idx="1">
                  <c:v>7.5581938760349535E-2</c:v>
                </c:pt>
                <c:pt idx="2">
                  <c:v>7.5222118670394578E-2</c:v>
                </c:pt>
                <c:pt idx="3">
                  <c:v>7.4502478490484497E-2</c:v>
                </c:pt>
                <c:pt idx="4">
                  <c:v>7.4142658400529401E-2</c:v>
                </c:pt>
                <c:pt idx="5">
                  <c:v>7.3782838310574431E-2</c:v>
                </c:pt>
                <c:pt idx="6">
                  <c:v>7.3106376541459031E-2</c:v>
                </c:pt>
                <c:pt idx="7">
                  <c:v>7.3106376541459031E-2</c:v>
                </c:pt>
                <c:pt idx="8">
                  <c:v>7.3106376541459031E-2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6B3-9D0A-07799CB8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</xdr:rowOff>
    </xdr:from>
    <xdr:to>
      <xdr:col>8</xdr:col>
      <xdr:colOff>22860</xdr:colOff>
      <xdr:row>40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F9740D-1E52-4C39-9B01-BD7CBFCC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175260</xdr:rowOff>
    </xdr:from>
    <xdr:to>
      <xdr:col>8</xdr:col>
      <xdr:colOff>22860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1370A2-98F0-4DC8-B997-98CA9F9D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E107-4431-4C3D-BEE3-A95E95AE3123}">
  <dimension ref="A1:R19"/>
  <sheetViews>
    <sheetView tabSelected="1" topLeftCell="A16" workbookViewId="0">
      <selection activeCell="M15" sqref="M15"/>
    </sheetView>
  </sheetViews>
  <sheetFormatPr baseColWidth="10" defaultRowHeight="14.4" x14ac:dyDescent="0.3"/>
  <cols>
    <col min="1" max="7" width="11.109375" style="1" customWidth="1"/>
    <col min="8" max="8" width="16.5546875" style="1" customWidth="1"/>
    <col min="9" max="9" width="11.109375" style="1" customWidth="1"/>
    <col min="10" max="10" width="12.21875" style="1" customWidth="1"/>
    <col min="11" max="11" width="11.109375" style="1" customWidth="1"/>
    <col min="12" max="13" width="13.33203125" style="1" customWidth="1"/>
    <col min="14" max="14" width="13" style="1" customWidth="1"/>
    <col min="15" max="16" width="11.109375" style="1" customWidth="1"/>
    <col min="17" max="16384" width="11.5546875" style="1"/>
  </cols>
  <sheetData>
    <row r="1" spans="1:18" x14ac:dyDescent="0.3">
      <c r="A1" s="22" t="s">
        <v>12</v>
      </c>
      <c r="B1" s="22"/>
      <c r="D1" s="22" t="s">
        <v>13</v>
      </c>
      <c r="E1" s="22"/>
      <c r="G1" s="22" t="s">
        <v>21</v>
      </c>
      <c r="H1" s="22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100</v>
      </c>
      <c r="D2" s="2" t="s">
        <v>8</v>
      </c>
      <c r="E2" s="5">
        <v>4168</v>
      </c>
      <c r="G2" s="2" t="s">
        <v>22</v>
      </c>
      <c r="H2" s="12">
        <v>0.89349999999999996</v>
      </c>
      <c r="J2" s="2" t="s">
        <v>26</v>
      </c>
      <c r="K2" s="7">
        <f>1-K3</f>
        <v>0</v>
      </c>
      <c r="L2" s="2">
        <f>+L4*K2</f>
        <v>0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489</v>
      </c>
      <c r="G3" s="2" t="s">
        <v>42</v>
      </c>
      <c r="H3" s="12">
        <v>0.2</v>
      </c>
      <c r="J3" s="2" t="s">
        <v>9</v>
      </c>
      <c r="K3" s="4">
        <v>1</v>
      </c>
      <c r="L3" s="2">
        <f>+L4*K3</f>
        <v>500</v>
      </c>
      <c r="N3" s="2" t="s">
        <v>9</v>
      </c>
      <c r="O3" s="12">
        <v>0.2</v>
      </c>
      <c r="P3" s="14">
        <f>1-O3</f>
        <v>0.8</v>
      </c>
    </row>
    <row r="4" spans="1:18" x14ac:dyDescent="0.3">
      <c r="A4" s="2" t="s">
        <v>4</v>
      </c>
      <c r="B4" s="3">
        <v>300</v>
      </c>
      <c r="D4" s="2" t="s">
        <v>10</v>
      </c>
      <c r="E4" s="6">
        <f>+E3*O3</f>
        <v>97.800000000000011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3">
        <f>+E4/H3</f>
        <v>489.00000000000006</v>
      </c>
    </row>
    <row r="6" spans="1:18" x14ac:dyDescent="0.3">
      <c r="D6" s="2" t="s">
        <v>41</v>
      </c>
      <c r="E6" s="23">
        <f>+E2-E5</f>
        <v>3679</v>
      </c>
    </row>
    <row r="7" spans="1:18" x14ac:dyDescent="0.3">
      <c r="D7" s="24"/>
      <c r="E7" s="24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3287.8</v>
      </c>
      <c r="C9" s="6">
        <f>+D9-B9</f>
        <v>391.19999999999982</v>
      </c>
      <c r="D9" s="15">
        <f>+D11-D10</f>
        <v>3679</v>
      </c>
      <c r="E9" s="6">
        <f>+D9-F9</f>
        <v>3668</v>
      </c>
      <c r="F9" s="6">
        <f>+L2+IF(E10=0,L3-D10,0)</f>
        <v>11</v>
      </c>
      <c r="G9" s="6">
        <f>+E9*P2</f>
        <v>3264.52</v>
      </c>
      <c r="H9" s="6">
        <f>+F9*O2</f>
        <v>1.21</v>
      </c>
      <c r="I9" s="6">
        <f>B9-G9</f>
        <v>23.2800000000002</v>
      </c>
      <c r="J9" s="6">
        <f>+C9-H9</f>
        <v>389.98999999999984</v>
      </c>
      <c r="K9" s="15">
        <f>+SUM(G9:J9)</f>
        <v>3679</v>
      </c>
      <c r="L9" s="6">
        <f>+G9+I9+H9*$B$5+J9*$B$3</f>
        <v>3366.4030000000002</v>
      </c>
      <c r="M9" s="6">
        <f>+K9-L9</f>
        <v>312.59699999999975</v>
      </c>
      <c r="N9" s="16">
        <f>+(G9+I9)*$B$2+(H9+J9)*$B$4</f>
        <v>446139.99999999994</v>
      </c>
    </row>
    <row r="10" spans="1:18" x14ac:dyDescent="0.3">
      <c r="A10" s="8" t="s">
        <v>34</v>
      </c>
      <c r="B10" s="6">
        <f>+D10-C10</f>
        <v>391.2</v>
      </c>
      <c r="C10" s="6">
        <f>+C11*H3</f>
        <v>97.800000000000011</v>
      </c>
      <c r="D10" s="15">
        <f>+E3</f>
        <v>489</v>
      </c>
      <c r="E10" s="6">
        <f>+D10-F10</f>
        <v>0</v>
      </c>
      <c r="F10" s="6">
        <f>IF(L3&lt;=D10,L3,D10)</f>
        <v>489</v>
      </c>
      <c r="G10" s="6">
        <f>+E10*P3</f>
        <v>0</v>
      </c>
      <c r="H10" s="6">
        <f>+F10*O3</f>
        <v>97.800000000000011</v>
      </c>
      <c r="I10" s="6">
        <f>B10-G10</f>
        <v>391.2</v>
      </c>
      <c r="J10" s="6">
        <f>+C10-H10</f>
        <v>0</v>
      </c>
      <c r="K10" s="15">
        <f>+SUM(G10:J10)</f>
        <v>489</v>
      </c>
      <c r="L10" s="6">
        <f>+G10+I10+H10*$B$5+J10*$B$3</f>
        <v>440.1</v>
      </c>
      <c r="M10" s="6">
        <f>+K10-L10</f>
        <v>48.899999999999977</v>
      </c>
      <c r="N10" s="16">
        <f>+(G10+I10)*$B$2+(H10+J10)*$B$4</f>
        <v>68460</v>
      </c>
    </row>
    <row r="11" spans="1:18" x14ac:dyDescent="0.3">
      <c r="A11" s="8" t="s">
        <v>2</v>
      </c>
      <c r="B11" s="6">
        <f>+E6</f>
        <v>3679</v>
      </c>
      <c r="C11" s="6">
        <f>E5</f>
        <v>489.00000000000006</v>
      </c>
      <c r="D11" s="15">
        <f>+E2</f>
        <v>4168</v>
      </c>
      <c r="E11" s="6">
        <f>+E10+E9</f>
        <v>3668</v>
      </c>
      <c r="F11" s="6">
        <f>+F10+F9</f>
        <v>500</v>
      </c>
      <c r="G11" s="6">
        <f t="shared" ref="G11" si="0">+G9+G10</f>
        <v>3264.52</v>
      </c>
      <c r="H11" s="6">
        <f>+H9+H10</f>
        <v>99.01</v>
      </c>
      <c r="I11" s="6">
        <f>+I9+I10</f>
        <v>414.48000000000019</v>
      </c>
      <c r="J11" s="6">
        <f>+J9+J10</f>
        <v>389.98999999999984</v>
      </c>
      <c r="K11" s="25">
        <f>+K9+K10</f>
        <v>4168</v>
      </c>
      <c r="L11" s="15">
        <f>+L10+L9</f>
        <v>3806.5030000000002</v>
      </c>
      <c r="M11" s="15">
        <f>K11-L11</f>
        <v>361.49699999999984</v>
      </c>
      <c r="N11" s="16">
        <f>+N10+N9</f>
        <v>514599.99999999994</v>
      </c>
    </row>
    <row r="12" spans="1:18" x14ac:dyDescent="0.3">
      <c r="B12" s="24"/>
    </row>
    <row r="13" spans="1:18" x14ac:dyDescent="0.3">
      <c r="L13" s="26" t="s">
        <v>14</v>
      </c>
      <c r="M13" s="26" t="s">
        <v>44</v>
      </c>
      <c r="N13" s="26" t="s">
        <v>43</v>
      </c>
    </row>
    <row r="14" spans="1:18" x14ac:dyDescent="0.3">
      <c r="L14" s="27">
        <f>+M11/K11</f>
        <v>8.6731525911708213E-2</v>
      </c>
      <c r="M14" s="28">
        <f>+(J17-C17)/C17*100</f>
        <v>-3.1747689835274233</v>
      </c>
      <c r="N14" s="27">
        <f>+(J17-C17)/C17</f>
        <v>-3.1747689835274234E-2</v>
      </c>
    </row>
    <row r="15" spans="1:18" x14ac:dyDescent="0.3">
      <c r="A15" s="2" t="s">
        <v>38</v>
      </c>
      <c r="B15" s="2"/>
      <c r="C15" s="17" t="s">
        <v>27</v>
      </c>
      <c r="D15" s="2"/>
      <c r="E15" s="2"/>
      <c r="F15" s="17" t="s">
        <v>39</v>
      </c>
      <c r="G15" s="2"/>
      <c r="H15" s="2"/>
      <c r="I15" s="2"/>
      <c r="J15" s="17" t="s">
        <v>37</v>
      </c>
    </row>
    <row r="16" spans="1:18" x14ac:dyDescent="0.3">
      <c r="A16" s="10" t="s">
        <v>16</v>
      </c>
      <c r="B16" s="11">
        <v>0</v>
      </c>
      <c r="C16" s="19">
        <v>0.1</v>
      </c>
      <c r="D16" s="11">
        <v>0.2</v>
      </c>
      <c r="E16" s="11">
        <v>0.4</v>
      </c>
      <c r="F16" s="11">
        <v>0.5</v>
      </c>
      <c r="G16" s="11">
        <v>0.6</v>
      </c>
      <c r="H16" s="11">
        <v>0.8</v>
      </c>
      <c r="I16" s="11">
        <v>0.9</v>
      </c>
      <c r="J16" s="19">
        <v>1</v>
      </c>
      <c r="L16" s="26" t="s">
        <v>47</v>
      </c>
      <c r="M16" s="16">
        <v>37000</v>
      </c>
    </row>
    <row r="17" spans="1:13" x14ac:dyDescent="0.3">
      <c r="A17" s="2" t="s">
        <v>15</v>
      </c>
      <c r="B17" s="20">
        <v>8.9899232245681332E-2</v>
      </c>
      <c r="C17" s="21">
        <v>8.9575335892514263E-2</v>
      </c>
      <c r="D17" s="20">
        <v>8.9251439539347402E-2</v>
      </c>
      <c r="E17" s="20">
        <v>8.8603646833013486E-2</v>
      </c>
      <c r="F17" s="20">
        <v>8.8279750479846403E-2</v>
      </c>
      <c r="G17" s="20">
        <v>8.7955854126679334E-2</v>
      </c>
      <c r="H17" s="20">
        <v>8.7308061420345404E-2</v>
      </c>
      <c r="I17" s="20">
        <v>8.6984165067178543E-2</v>
      </c>
      <c r="J17" s="21">
        <v>8.6731525911708213E-2</v>
      </c>
      <c r="L17" s="26" t="s">
        <v>48</v>
      </c>
      <c r="M17" s="7">
        <v>0.6</v>
      </c>
    </row>
    <row r="18" spans="1:13" x14ac:dyDescent="0.3">
      <c r="L18" s="26" t="s">
        <v>45</v>
      </c>
      <c r="M18" s="16">
        <f>+E2*M16*M17</f>
        <v>92529600</v>
      </c>
    </row>
    <row r="19" spans="1:13" x14ac:dyDescent="0.3">
      <c r="L19" s="26" t="s">
        <v>46</v>
      </c>
      <c r="M19" s="16">
        <f>+M14/100*M18*-1</f>
        <v>2937601.041381991</v>
      </c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M11 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DC11-6D84-4BDC-931F-71B71B18900A}">
  <dimension ref="A1:R22"/>
  <sheetViews>
    <sheetView workbookViewId="0">
      <selection activeCell="L21" sqref="L21"/>
    </sheetView>
  </sheetViews>
  <sheetFormatPr baseColWidth="10" defaultRowHeight="14.4" x14ac:dyDescent="0.3"/>
  <cols>
    <col min="1" max="6" width="11.109375" style="1" customWidth="1"/>
    <col min="7" max="7" width="15.21875" style="1" customWidth="1"/>
    <col min="8" max="8" width="16.5546875" style="1" customWidth="1"/>
    <col min="9" max="9" width="11.109375" style="1" customWidth="1"/>
    <col min="10" max="10" width="12.21875" style="1" customWidth="1"/>
    <col min="11" max="12" width="11.109375" style="1" customWidth="1"/>
    <col min="13" max="13" width="12.44140625" style="1" customWidth="1"/>
    <col min="14" max="16" width="11.109375" style="1" customWidth="1"/>
    <col min="17" max="16384" width="11.5546875" style="1"/>
  </cols>
  <sheetData>
    <row r="1" spans="1:18" x14ac:dyDescent="0.3">
      <c r="A1" s="22" t="s">
        <v>12</v>
      </c>
      <c r="B1" s="22"/>
      <c r="D1" s="22" t="s">
        <v>13</v>
      </c>
      <c r="E1" s="22"/>
      <c r="G1" s="22" t="s">
        <v>21</v>
      </c>
      <c r="H1" s="22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100</v>
      </c>
      <c r="D2" s="2" t="s">
        <v>8</v>
      </c>
      <c r="E2" s="5">
        <v>3335</v>
      </c>
      <c r="G2" s="2" t="s">
        <v>22</v>
      </c>
      <c r="H2" s="12">
        <v>0.89349999999999996</v>
      </c>
      <c r="J2" s="2" t="s">
        <v>26</v>
      </c>
      <c r="K2" s="7">
        <f>1-K3</f>
        <v>9.9999999999999978E-2</v>
      </c>
      <c r="L2" s="2">
        <f>+L4*K2</f>
        <v>49.999999999999986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394</v>
      </c>
      <c r="G3" s="2" t="s">
        <v>42</v>
      </c>
      <c r="H3" s="12">
        <v>0.222</v>
      </c>
      <c r="J3" s="2" t="s">
        <v>9</v>
      </c>
      <c r="K3" s="4">
        <v>0.9</v>
      </c>
      <c r="L3" s="2">
        <f>+L4*K3</f>
        <v>450</v>
      </c>
      <c r="N3" s="2" t="s">
        <v>9</v>
      </c>
      <c r="O3" s="12">
        <v>0.19</v>
      </c>
      <c r="P3" s="14">
        <f>1-O3</f>
        <v>0.81</v>
      </c>
    </row>
    <row r="4" spans="1:18" x14ac:dyDescent="0.3">
      <c r="A4" s="2" t="s">
        <v>4</v>
      </c>
      <c r="B4" s="3">
        <v>300</v>
      </c>
      <c r="D4" s="2" t="s">
        <v>10</v>
      </c>
      <c r="E4" s="6">
        <f>+E3*O3</f>
        <v>74.86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3">
        <f>+E4/H3</f>
        <v>337.2072072072072</v>
      </c>
    </row>
    <row r="6" spans="1:18" x14ac:dyDescent="0.3">
      <c r="D6" s="2" t="s">
        <v>41</v>
      </c>
      <c r="E6" s="23">
        <f>+E2-E5</f>
        <v>2997.7927927927926</v>
      </c>
    </row>
    <row r="7" spans="1:18" x14ac:dyDescent="0.3">
      <c r="D7" s="24"/>
      <c r="E7" s="24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2678.6527927927928</v>
      </c>
      <c r="C9" s="6">
        <f>+D9-B9</f>
        <v>262.34720720720725</v>
      </c>
      <c r="D9" s="15">
        <f>+D11-D10</f>
        <v>2941</v>
      </c>
      <c r="E9" s="6">
        <f>+D9-F9</f>
        <v>2835</v>
      </c>
      <c r="F9" s="6">
        <f>+L2+IF(E10=0,L3-D10,0)</f>
        <v>105.99999999999999</v>
      </c>
      <c r="G9" s="6">
        <f>+E9*P2</f>
        <v>2523.15</v>
      </c>
      <c r="H9" s="6">
        <f>+F9*O2</f>
        <v>11.659999999999998</v>
      </c>
      <c r="I9" s="6">
        <f>B9-G9</f>
        <v>155.50279279279266</v>
      </c>
      <c r="J9" s="6">
        <f>+C9-H9</f>
        <v>250.68720720720725</v>
      </c>
      <c r="K9" s="15">
        <f>+SUM(G9:J9)</f>
        <v>2941</v>
      </c>
      <c r="L9" s="6">
        <f>+G9+I9+H9*$B$5+J9*$B$3</f>
        <v>2734.620234234234</v>
      </c>
      <c r="M9" s="6">
        <f>+K9-L9</f>
        <v>206.37976576576602</v>
      </c>
      <c r="N9" s="16">
        <f>+(G9+I9)*$B$2+(H9+J9)*$B$4</f>
        <v>346569.44144144148</v>
      </c>
    </row>
    <row r="10" spans="1:18" x14ac:dyDescent="0.3">
      <c r="A10" s="8" t="s">
        <v>34</v>
      </c>
      <c r="B10" s="6">
        <f>+D10-C10</f>
        <v>319.14</v>
      </c>
      <c r="C10" s="6">
        <f>+C11*H3</f>
        <v>74.86</v>
      </c>
      <c r="D10" s="15">
        <f>+E3</f>
        <v>394</v>
      </c>
      <c r="E10" s="6">
        <f>+D10-F10</f>
        <v>0</v>
      </c>
      <c r="F10" s="6">
        <f>IF(L3&lt;=D10,L3,D10)</f>
        <v>394</v>
      </c>
      <c r="G10" s="6">
        <f>+E10*P3</f>
        <v>0</v>
      </c>
      <c r="H10" s="6">
        <f>+F10*O3</f>
        <v>74.86</v>
      </c>
      <c r="I10" s="6">
        <f>B10-G10</f>
        <v>319.14</v>
      </c>
      <c r="J10" s="6">
        <f>+C10-H10</f>
        <v>0</v>
      </c>
      <c r="K10" s="15">
        <f>+SUM(G10:J10)</f>
        <v>394</v>
      </c>
      <c r="L10" s="6">
        <f>+G10+I10+H10*$B$5+J10*$B$3</f>
        <v>356.57</v>
      </c>
      <c r="M10" s="6">
        <f>+K10-L10</f>
        <v>37.430000000000007</v>
      </c>
      <c r="N10" s="16">
        <f>+(G10+I10)*$B$2+(H10+J10)*$B$4</f>
        <v>54372</v>
      </c>
    </row>
    <row r="11" spans="1:18" x14ac:dyDescent="0.3">
      <c r="A11" s="8" t="s">
        <v>2</v>
      </c>
      <c r="B11" s="6">
        <f>+E6</f>
        <v>2997.7927927927926</v>
      </c>
      <c r="C11" s="6">
        <f>E5</f>
        <v>337.2072072072072</v>
      </c>
      <c r="D11" s="15">
        <f>+E2</f>
        <v>3335</v>
      </c>
      <c r="E11" s="6">
        <f>+E10+E9</f>
        <v>2835</v>
      </c>
      <c r="F11" s="6">
        <f>+F10+F9</f>
        <v>500</v>
      </c>
      <c r="G11" s="6">
        <f t="shared" ref="G11" si="0">+G9+G10</f>
        <v>2523.15</v>
      </c>
      <c r="H11" s="6">
        <f>+H9+H10</f>
        <v>86.52</v>
      </c>
      <c r="I11" s="6">
        <f>+I9+I10</f>
        <v>474.64279279279265</v>
      </c>
      <c r="J11" s="6">
        <f>+J9+J10</f>
        <v>250.68720720720725</v>
      </c>
      <c r="K11" s="18">
        <f>+K9+K10</f>
        <v>3335</v>
      </c>
      <c r="L11" s="15">
        <f>+L10+L9</f>
        <v>3091.1902342342341</v>
      </c>
      <c r="M11" s="15">
        <f>K11-L11</f>
        <v>243.80976576576586</v>
      </c>
      <c r="N11" s="16">
        <f>+N10+N9</f>
        <v>400941.44144144148</v>
      </c>
    </row>
    <row r="12" spans="1:18" x14ac:dyDescent="0.3">
      <c r="B12" s="24"/>
    </row>
    <row r="13" spans="1:18" x14ac:dyDescent="0.3">
      <c r="A13" s="2" t="s">
        <v>38</v>
      </c>
      <c r="B13" s="2"/>
      <c r="C13" s="17" t="s">
        <v>27</v>
      </c>
      <c r="D13" s="2"/>
      <c r="E13" s="2"/>
      <c r="F13" s="17" t="s">
        <v>39</v>
      </c>
      <c r="G13" s="2"/>
      <c r="H13" s="2"/>
      <c r="I13" s="2"/>
      <c r="J13" s="17" t="s">
        <v>37</v>
      </c>
    </row>
    <row r="14" spans="1:18" x14ac:dyDescent="0.3">
      <c r="A14" s="10" t="s">
        <v>16</v>
      </c>
      <c r="B14" s="11">
        <v>0</v>
      </c>
      <c r="C14" s="19">
        <v>0.1</v>
      </c>
      <c r="D14" s="11">
        <v>0.2</v>
      </c>
      <c r="E14" s="11">
        <v>0.4</v>
      </c>
      <c r="F14" s="11">
        <v>0.5</v>
      </c>
      <c r="G14" s="11">
        <v>0.6</v>
      </c>
      <c r="H14" s="11">
        <v>0.8</v>
      </c>
      <c r="I14" s="11">
        <v>0.9</v>
      </c>
      <c r="J14" s="19">
        <v>1</v>
      </c>
      <c r="L14" s="26" t="s">
        <v>14</v>
      </c>
      <c r="M14" s="26" t="s">
        <v>44</v>
      </c>
      <c r="N14" s="26" t="s">
        <v>43</v>
      </c>
    </row>
    <row r="15" spans="1:18" x14ac:dyDescent="0.3">
      <c r="A15" s="2" t="s">
        <v>15</v>
      </c>
      <c r="B15" s="20">
        <v>7.5941758850304505E-2</v>
      </c>
      <c r="C15" s="21">
        <v>7.5581938760349535E-2</v>
      </c>
      <c r="D15" s="20">
        <v>7.5222118670394578E-2</v>
      </c>
      <c r="E15" s="20">
        <v>7.4502478490484497E-2</v>
      </c>
      <c r="F15" s="20">
        <v>7.4142658400529401E-2</v>
      </c>
      <c r="G15" s="20">
        <v>7.3782838310574431E-2</v>
      </c>
      <c r="H15" s="20">
        <v>7.3106376541459031E-2</v>
      </c>
      <c r="I15" s="20">
        <v>7.3106376541459031E-2</v>
      </c>
      <c r="J15" s="20">
        <v>7.3106376541459031E-2</v>
      </c>
      <c r="L15" s="27">
        <f>+M11/K11</f>
        <v>7.3106376541459031E-2</v>
      </c>
      <c r="M15" s="28">
        <f>+(J15-C15)/C15*100</f>
        <v>-3.2753356946027288</v>
      </c>
      <c r="N15" s="27">
        <f>+(J15-C15)/C15</f>
        <v>-3.2753356946027289E-2</v>
      </c>
    </row>
    <row r="19" spans="12:13" x14ac:dyDescent="0.3">
      <c r="L19" s="26" t="s">
        <v>47</v>
      </c>
      <c r="M19" s="16">
        <v>37000</v>
      </c>
    </row>
    <row r="20" spans="12:13" x14ac:dyDescent="0.3">
      <c r="L20" s="26" t="s">
        <v>48</v>
      </c>
      <c r="M20" s="7">
        <v>0.6</v>
      </c>
    </row>
    <row r="21" spans="12:13" x14ac:dyDescent="0.3">
      <c r="L21" s="26" t="s">
        <v>45</v>
      </c>
      <c r="M21" s="16">
        <f>+E2*M19*M20</f>
        <v>74037000</v>
      </c>
    </row>
    <row r="22" spans="12:13" x14ac:dyDescent="0.3">
      <c r="L22" s="26" t="s">
        <v>46</v>
      </c>
      <c r="M22" s="16">
        <f>+M15/100*M21*-1</f>
        <v>2424960.2882130225</v>
      </c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C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Portfolio</vt:lpstr>
      <vt:lpstr>Testing data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figueroa arronte</dc:creator>
  <cp:lastModifiedBy>Kevin Figueroa</cp:lastModifiedBy>
  <dcterms:created xsi:type="dcterms:W3CDTF">2022-09-17T23:42:56Z</dcterms:created>
  <dcterms:modified xsi:type="dcterms:W3CDTF">2022-09-18T17:05:36Z</dcterms:modified>
</cp:coreProperties>
</file>