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1580" yWindow="0" windowWidth="23180" windowHeight="146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1" l="1"/>
  <c r="W18" i="1"/>
  <c r="W19" i="1"/>
  <c r="W20" i="1"/>
  <c r="W21" i="1"/>
  <c r="W22" i="1"/>
  <c r="W16" i="1"/>
  <c r="V17" i="1"/>
  <c r="V18" i="1"/>
  <c r="V19" i="1"/>
  <c r="V20" i="1"/>
  <c r="V21" i="1"/>
  <c r="V22" i="1"/>
  <c r="V16" i="1"/>
  <c r="N15" i="1"/>
  <c r="N16" i="1"/>
  <c r="N17" i="1"/>
  <c r="N18" i="1"/>
  <c r="N19" i="1"/>
  <c r="N20" i="1"/>
  <c r="N14" i="1"/>
  <c r="M15" i="1"/>
  <c r="M16" i="1"/>
  <c r="M17" i="1"/>
  <c r="M18" i="1"/>
  <c r="M19" i="1"/>
  <c r="M20" i="1"/>
  <c r="M14" i="1"/>
  <c r="AA8" i="1"/>
  <c r="J7" i="1"/>
  <c r="P7" i="1"/>
  <c r="J8" i="1"/>
  <c r="P8" i="1"/>
  <c r="J9" i="1"/>
  <c r="P9" i="1"/>
  <c r="J10" i="1"/>
  <c r="P10" i="1"/>
  <c r="J11" i="1"/>
  <c r="P11" i="1"/>
  <c r="J12" i="1"/>
  <c r="P12" i="1"/>
  <c r="P6" i="1"/>
  <c r="P2" i="1"/>
  <c r="O7" i="1"/>
  <c r="O8" i="1"/>
  <c r="O9" i="1"/>
  <c r="O10" i="1"/>
  <c r="O11" i="1"/>
  <c r="O12" i="1"/>
  <c r="O6" i="1"/>
  <c r="J3" i="1"/>
  <c r="W9" i="1"/>
  <c r="W10" i="1"/>
  <c r="W11" i="1"/>
  <c r="W12" i="1"/>
  <c r="W13" i="1"/>
  <c r="W14" i="1"/>
  <c r="T10" i="1"/>
  <c r="T11" i="1"/>
  <c r="T12" i="1"/>
  <c r="T13" i="1"/>
  <c r="T14" i="1"/>
  <c r="M7" i="1"/>
  <c r="M8" i="1"/>
  <c r="M9" i="1"/>
  <c r="M10" i="1"/>
  <c r="M11" i="1"/>
  <c r="M12" i="1"/>
  <c r="M6" i="1"/>
  <c r="I47" i="1"/>
  <c r="I42" i="1"/>
  <c r="I43" i="1"/>
  <c r="I44" i="1"/>
  <c r="I45" i="1"/>
  <c r="I46" i="1"/>
  <c r="I41" i="1"/>
  <c r="W8" i="1"/>
  <c r="T9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8" i="1"/>
  <c r="AA9" i="1"/>
  <c r="U5" i="1"/>
  <c r="Q13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B8" i="1"/>
  <c r="X9" i="1"/>
  <c r="X10" i="1"/>
  <c r="X11" i="1"/>
  <c r="X12" i="1"/>
  <c r="X13" i="1"/>
  <c r="X14" i="1"/>
  <c r="X8" i="1"/>
  <c r="N7" i="1"/>
  <c r="N8" i="1"/>
  <c r="N9" i="1"/>
  <c r="N10" i="1"/>
  <c r="N11" i="1"/>
  <c r="N12" i="1"/>
  <c r="N6" i="1"/>
</calcChain>
</file>

<file path=xl/sharedStrings.xml><?xml version="1.0" encoding="utf-8"?>
<sst xmlns="http://schemas.openxmlformats.org/spreadsheetml/2006/main" count="34" uniqueCount="24">
  <si>
    <t xml:space="preserve"> </t>
  </si>
  <si>
    <t>Calibration</t>
  </si>
  <si>
    <t>ch</t>
  </si>
  <si>
    <t>energy</t>
  </si>
  <si>
    <t>naïve assumption</t>
  </si>
  <si>
    <t>E=0.34 x ch</t>
  </si>
  <si>
    <t>aluminium</t>
  </si>
  <si>
    <t>left</t>
  </si>
  <si>
    <t>right</t>
  </si>
  <si>
    <t>std dev</t>
  </si>
  <si>
    <t>Plastic</t>
  </si>
  <si>
    <t xml:space="preserve">left </t>
  </si>
  <si>
    <t>per Al plate</t>
  </si>
  <si>
    <t>m</t>
  </si>
  <si>
    <t>per plastic plate</t>
  </si>
  <si>
    <t>distance</t>
  </si>
  <si>
    <t>k</t>
  </si>
  <si>
    <t>B</t>
  </si>
  <si>
    <t>R(E)=kE^B</t>
  </si>
  <si>
    <t>d2</t>
  </si>
  <si>
    <t>RCALC</t>
  </si>
  <si>
    <t>energy(keV)</t>
  </si>
  <si>
    <t>density Al (mg/cm^3)</t>
  </si>
  <si>
    <t>Rcalc (mg/cm^2)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</si>
</sst>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0702302437262"/>
                  <c:y val="-0.165537698198684"/>
                </c:manualLayout>
              </c:layout>
              <c:numFmt formatCode="General" sourceLinked="0"/>
            </c:trendlineLbl>
          </c:trendline>
          <c:xVal>
            <c:numRef>
              <c:f>Sheet1!$N$6:$N$12</c:f>
              <c:numCache>
                <c:formatCode>General</c:formatCode>
                <c:ptCount val="7"/>
                <c:pt idx="0">
                  <c:v>0.0</c:v>
                </c:pt>
                <c:pt idx="1">
                  <c:v>5.4E-5</c:v>
                </c:pt>
                <c:pt idx="2">
                  <c:v>0.000108</c:v>
                </c:pt>
                <c:pt idx="3">
                  <c:v>0.000162</c:v>
                </c:pt>
                <c:pt idx="4">
                  <c:v>0.000216</c:v>
                </c:pt>
                <c:pt idx="5">
                  <c:v>0.00027</c:v>
                </c:pt>
                <c:pt idx="6">
                  <c:v>0.000324</c:v>
                </c:pt>
              </c:numCache>
            </c:numRef>
          </c:xVal>
          <c:yVal>
            <c:numRef>
              <c:f>Sheet1!$J$6:$J$12</c:f>
              <c:numCache>
                <c:formatCode>General</c:formatCode>
                <c:ptCount val="7"/>
                <c:pt idx="0">
                  <c:v>624.259</c:v>
                </c:pt>
                <c:pt idx="1">
                  <c:v>601.0</c:v>
                </c:pt>
                <c:pt idx="2">
                  <c:v>577.5</c:v>
                </c:pt>
                <c:pt idx="3">
                  <c:v>550.5</c:v>
                </c:pt>
                <c:pt idx="4">
                  <c:v>505.5</c:v>
                </c:pt>
                <c:pt idx="5">
                  <c:v>470.5</c:v>
                </c:pt>
                <c:pt idx="6">
                  <c:v>450.5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41528"/>
        <c:axId val="2086962712"/>
      </c:scatterChart>
      <c:valAx>
        <c:axId val="208724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962712"/>
        <c:crosses val="autoZero"/>
        <c:crossBetween val="midCat"/>
      </c:valAx>
      <c:valAx>
        <c:axId val="2086962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241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111760</xdr:rowOff>
    </xdr:from>
    <xdr:to>
      <xdr:col>8</xdr:col>
      <xdr:colOff>248920</xdr:colOff>
      <xdr:row>33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C47"/>
  <sheetViews>
    <sheetView tabSelected="1" topLeftCell="P1" zoomScale="125" zoomScaleNormal="125" zoomScalePageLayoutView="125" workbookViewId="0">
      <selection activeCell="W16" sqref="W16:W22"/>
    </sheetView>
  </sheetViews>
  <sheetFormatPr baseColWidth="10" defaultColWidth="8.83203125" defaultRowHeight="14" x14ac:dyDescent="0"/>
  <cols>
    <col min="3" max="3" width="10.6640625" bestFit="1" customWidth="1"/>
    <col min="9" max="9" width="10.5" bestFit="1" customWidth="1"/>
    <col min="10" max="10" width="9.1640625" bestFit="1" customWidth="1"/>
    <col min="11" max="11" width="8" customWidth="1"/>
    <col min="15" max="15" width="14.5" customWidth="1"/>
    <col min="16" max="16" width="10.1640625" customWidth="1"/>
    <col min="17" max="17" width="12.1640625" bestFit="1" customWidth="1"/>
    <col min="19" max="19" width="10.1640625" bestFit="1" customWidth="1"/>
  </cols>
  <sheetData>
    <row r="2" spans="3:29">
      <c r="O2" t="s">
        <v>22</v>
      </c>
      <c r="P2">
        <f>2.7*1000</f>
        <v>2700</v>
      </c>
    </row>
    <row r="3" spans="3:29">
      <c r="I3" t="s">
        <v>12</v>
      </c>
      <c r="J3">
        <f>3*18*10^-6</f>
        <v>5.3999999999999998E-5</v>
      </c>
      <c r="K3" t="s">
        <v>13</v>
      </c>
      <c r="O3" t="s">
        <v>16</v>
      </c>
      <c r="P3">
        <v>412</v>
      </c>
    </row>
    <row r="4" spans="3:29">
      <c r="C4" t="s">
        <v>1</v>
      </c>
      <c r="O4" t="s">
        <v>17</v>
      </c>
      <c r="P4">
        <v>1.2649999999999999</v>
      </c>
    </row>
    <row r="5" spans="3:29">
      <c r="C5" t="s">
        <v>3</v>
      </c>
      <c r="D5" t="s">
        <v>2</v>
      </c>
      <c r="I5" t="s">
        <v>6</v>
      </c>
      <c r="J5" t="s">
        <v>21</v>
      </c>
      <c r="K5" t="s">
        <v>7</v>
      </c>
      <c r="L5" t="s">
        <v>8</v>
      </c>
      <c r="M5" t="s">
        <v>9</v>
      </c>
      <c r="N5" t="s">
        <v>15</v>
      </c>
      <c r="O5" t="s">
        <v>23</v>
      </c>
      <c r="S5" t="s">
        <v>14</v>
      </c>
      <c r="U5">
        <f>100*10^-6</f>
        <v>9.9999999999999991E-5</v>
      </c>
      <c r="V5" t="s">
        <v>13</v>
      </c>
      <c r="Z5" t="s">
        <v>17</v>
      </c>
      <c r="AA5">
        <v>1</v>
      </c>
    </row>
    <row r="6" spans="3:29">
      <c r="C6">
        <v>624.25900000000001</v>
      </c>
      <c r="D6">
        <v>1838</v>
      </c>
      <c r="I6">
        <v>0</v>
      </c>
      <c r="J6">
        <v>624.25900000000001</v>
      </c>
      <c r="K6">
        <v>620</v>
      </c>
      <c r="L6">
        <v>626</v>
      </c>
      <c r="M6">
        <f>ABS(K6-L6)/2</f>
        <v>3</v>
      </c>
      <c r="N6">
        <f>J$3*I6</f>
        <v>0</v>
      </c>
      <c r="O6">
        <f>(0.000167932*J6)*P$2</f>
        <v>283.04926844760001</v>
      </c>
      <c r="P6">
        <f>(P$3*(J6/1000)^(P$4-0.0954*LN(J6/1000)))</f>
        <v>222.24655664199273</v>
      </c>
      <c r="Z6" t="s">
        <v>16</v>
      </c>
      <c r="AA6">
        <v>412</v>
      </c>
    </row>
    <row r="7" spans="3:29">
      <c r="C7">
        <v>0</v>
      </c>
      <c r="D7">
        <v>0</v>
      </c>
      <c r="E7" t="s">
        <v>4</v>
      </c>
      <c r="I7">
        <v>1</v>
      </c>
      <c r="J7">
        <f>(K7+L7)/2</f>
        <v>601</v>
      </c>
      <c r="K7">
        <v>597</v>
      </c>
      <c r="L7">
        <v>605</v>
      </c>
      <c r="M7">
        <f t="shared" ref="M7:M12" si="0">ABS(K7-L7)/2</f>
        <v>4</v>
      </c>
      <c r="N7">
        <f>J$3*I7</f>
        <v>5.3999999999999998E-5</v>
      </c>
      <c r="O7">
        <f>(0.000167932*J7)*P$2</f>
        <v>272.5032564</v>
      </c>
      <c r="P7">
        <f>(P$3*(J7/1000)^(P$4-0.0954*LN(J7/1000)))</f>
        <v>211.07290847074341</v>
      </c>
      <c r="S7" t="s">
        <v>10</v>
      </c>
      <c r="T7" t="s">
        <v>3</v>
      </c>
      <c r="U7" t="s">
        <v>11</v>
      </c>
      <c r="V7" t="s">
        <v>8</v>
      </c>
      <c r="W7" t="s">
        <v>9</v>
      </c>
      <c r="X7" t="s">
        <v>15</v>
      </c>
      <c r="Z7" t="s">
        <v>3</v>
      </c>
      <c r="AA7" t="s">
        <v>18</v>
      </c>
      <c r="AB7" t="s">
        <v>19</v>
      </c>
      <c r="AC7" t="s">
        <v>20</v>
      </c>
    </row>
    <row r="8" spans="3:29">
      <c r="C8" t="s">
        <v>0</v>
      </c>
      <c r="I8">
        <v>2</v>
      </c>
      <c r="J8">
        <f t="shared" ref="J8:J12" si="1">(K8+L8)/2</f>
        <v>577.5</v>
      </c>
      <c r="K8">
        <v>576</v>
      </c>
      <c r="L8">
        <v>579</v>
      </c>
      <c r="M8">
        <f t="shared" si="0"/>
        <v>1.5</v>
      </c>
      <c r="N8">
        <f>J$3*I8</f>
        <v>1.08E-4</v>
      </c>
      <c r="O8">
        <f>(0.000167932*J8)*P$2</f>
        <v>261.84797100000003</v>
      </c>
      <c r="P8">
        <f>(P$3*(J8/1000)^(P$4-0.0954*LN(J8/1000)))</f>
        <v>199.88067017633378</v>
      </c>
      <c r="S8">
        <v>0</v>
      </c>
      <c r="T8">
        <v>624.25900000000001</v>
      </c>
      <c r="U8">
        <v>620</v>
      </c>
      <c r="V8">
        <v>626</v>
      </c>
      <c r="W8">
        <f>ABS(U8-V8)/2</f>
        <v>3</v>
      </c>
      <c r="X8">
        <f>U$5*S8</f>
        <v>0</v>
      </c>
      <c r="Z8">
        <v>624.25900000000001</v>
      </c>
      <c r="AA8">
        <f>AA$6*(Z8/1000)^AA$5</f>
        <v>257.19470799999999</v>
      </c>
      <c r="AB8">
        <f>-(AA8-Q$13)</f>
        <v>-257.19470799999999</v>
      </c>
      <c r="AC8">
        <f>0.000004*Z8^0.9627</f>
        <v>1.964073319733574E-3</v>
      </c>
    </row>
    <row r="9" spans="3:29">
      <c r="C9" t="s">
        <v>5</v>
      </c>
      <c r="I9">
        <v>3</v>
      </c>
      <c r="J9">
        <f t="shared" si="1"/>
        <v>550.5</v>
      </c>
      <c r="K9">
        <v>543</v>
      </c>
      <c r="L9">
        <v>558</v>
      </c>
      <c r="M9">
        <f t="shared" si="0"/>
        <v>7.5</v>
      </c>
      <c r="N9">
        <f>J$3*I9</f>
        <v>1.6199999999999998E-4</v>
      </c>
      <c r="O9">
        <f>(0.000167932*J9)*P$2</f>
        <v>249.60572820000002</v>
      </c>
      <c r="P9">
        <f>(P$3*(J9/1000)^(P$4-0.0954*LN(J9/1000)))</f>
        <v>187.15099790855024</v>
      </c>
      <c r="S9">
        <v>1</v>
      </c>
      <c r="T9">
        <f>(U9+V9)/2</f>
        <v>591.5</v>
      </c>
      <c r="U9">
        <v>585</v>
      </c>
      <c r="V9">
        <v>598</v>
      </c>
      <c r="W9">
        <f t="shared" ref="W9:W14" si="2">ABS(U9-V9)/2</f>
        <v>6.5</v>
      </c>
      <c r="X9">
        <f>U$5*S9</f>
        <v>9.9999999999999991E-5</v>
      </c>
      <c r="Z9">
        <v>591.5</v>
      </c>
      <c r="AA9">
        <f>AA$6*Z9^AA$5</f>
        <v>243698</v>
      </c>
      <c r="AB9">
        <f>-(AA9-Q$13)</f>
        <v>-243698</v>
      </c>
      <c r="AC9">
        <f t="shared" ref="AC9:AC27" si="3">0.000004*Z9^0.9627</f>
        <v>1.8647509116980381E-3</v>
      </c>
    </row>
    <row r="10" spans="3:29">
      <c r="I10">
        <v>4</v>
      </c>
      <c r="J10">
        <f t="shared" si="1"/>
        <v>505.5</v>
      </c>
      <c r="K10">
        <v>504</v>
      </c>
      <c r="L10">
        <v>507</v>
      </c>
      <c r="M10">
        <f t="shared" si="0"/>
        <v>1.5</v>
      </c>
      <c r="N10">
        <f>J$3*I10</f>
        <v>2.1599999999999999E-4</v>
      </c>
      <c r="O10">
        <f>(0.000167932*J10)*P$2</f>
        <v>229.20199019999998</v>
      </c>
      <c r="P10">
        <f>(P$3*(J10/1000)^(P$4-0.0954*LN(J10/1000)))</f>
        <v>166.27306206364543</v>
      </c>
      <c r="S10">
        <v>2</v>
      </c>
      <c r="T10">
        <f t="shared" ref="T10:T14" si="4">(U10+V10)/2</f>
        <v>567.5</v>
      </c>
      <c r="U10">
        <v>562</v>
      </c>
      <c r="V10">
        <v>573</v>
      </c>
      <c r="W10">
        <f t="shared" si="2"/>
        <v>5.5</v>
      </c>
      <c r="X10">
        <f>U$5*S10</f>
        <v>1.9999999999999998E-4</v>
      </c>
      <c r="Z10">
        <v>567.5</v>
      </c>
      <c r="AA10">
        <f>AA$6*Z10^AA$5</f>
        <v>233810</v>
      </c>
      <c r="AB10">
        <f>-(AA10-Q$13)</f>
        <v>-233810</v>
      </c>
      <c r="AC10">
        <f t="shared" si="3"/>
        <v>1.791855278529531E-3</v>
      </c>
    </row>
    <row r="11" spans="3:29">
      <c r="I11">
        <v>5</v>
      </c>
      <c r="J11">
        <f t="shared" si="1"/>
        <v>470.5</v>
      </c>
      <c r="K11">
        <v>462</v>
      </c>
      <c r="L11">
        <v>479</v>
      </c>
      <c r="M11">
        <f t="shared" si="0"/>
        <v>8.5</v>
      </c>
      <c r="N11">
        <f>J$3*I11</f>
        <v>2.7E-4</v>
      </c>
      <c r="O11">
        <f>(0.000167932*J11)*P$2</f>
        <v>213.33241619999998</v>
      </c>
      <c r="P11">
        <f>(P$3*(J11/1000)^(P$4-0.0954*LN(J11/1000)))</f>
        <v>150.36027316101197</v>
      </c>
      <c r="S11">
        <v>3</v>
      </c>
      <c r="T11">
        <f t="shared" si="4"/>
        <v>537.5</v>
      </c>
      <c r="U11">
        <v>531</v>
      </c>
      <c r="V11">
        <v>544</v>
      </c>
      <c r="W11">
        <f t="shared" si="2"/>
        <v>6.5</v>
      </c>
      <c r="X11">
        <f>U$5*S11</f>
        <v>2.9999999999999997E-4</v>
      </c>
      <c r="Z11">
        <v>537.5</v>
      </c>
      <c r="AA11">
        <f>AA$6*Z11^AA$5</f>
        <v>221450</v>
      </c>
      <c r="AB11">
        <f>-(AA11-Q$13)</f>
        <v>-221450</v>
      </c>
      <c r="AC11">
        <f t="shared" si="3"/>
        <v>1.7005732487893721E-3</v>
      </c>
    </row>
    <row r="12" spans="3:29">
      <c r="I12">
        <v>6</v>
      </c>
      <c r="J12">
        <f t="shared" si="1"/>
        <v>450.5</v>
      </c>
      <c r="K12">
        <v>440</v>
      </c>
      <c r="L12">
        <v>461</v>
      </c>
      <c r="M12">
        <f t="shared" si="0"/>
        <v>10.5</v>
      </c>
      <c r="N12">
        <f>J$3*I12</f>
        <v>3.2399999999999996E-4</v>
      </c>
      <c r="O12">
        <f>(0.000167932*J12)*P$2</f>
        <v>204.2640882</v>
      </c>
      <c r="P12">
        <f>(P$3*(J12/1000)^(P$4-0.0954*LN(J12/1000)))</f>
        <v>141.40901881423534</v>
      </c>
      <c r="S12">
        <v>4</v>
      </c>
      <c r="T12">
        <f t="shared" si="4"/>
        <v>501</v>
      </c>
      <c r="U12">
        <v>492</v>
      </c>
      <c r="V12">
        <v>510</v>
      </c>
      <c r="W12">
        <f t="shared" si="2"/>
        <v>9</v>
      </c>
      <c r="X12">
        <f>U$5*S12</f>
        <v>3.9999999999999996E-4</v>
      </c>
      <c r="Z12">
        <v>501</v>
      </c>
      <c r="AA12">
        <f>AA$6*Z12^AA$5</f>
        <v>206412</v>
      </c>
      <c r="AB12">
        <f>-(AA12-Q$13)</f>
        <v>-206412</v>
      </c>
      <c r="AC12">
        <f t="shared" si="3"/>
        <v>1.5892556717537641E-3</v>
      </c>
    </row>
    <row r="13" spans="3:29">
      <c r="Q13">
        <f>X28</f>
        <v>0</v>
      </c>
      <c r="S13">
        <v>5</v>
      </c>
      <c r="T13">
        <f t="shared" si="4"/>
        <v>470.5</v>
      </c>
      <c r="U13">
        <v>466</v>
      </c>
      <c r="V13">
        <v>475</v>
      </c>
      <c r="W13">
        <f t="shared" si="2"/>
        <v>4.5</v>
      </c>
      <c r="X13">
        <f>U$5*S13</f>
        <v>5.0000000000000001E-4</v>
      </c>
      <c r="Z13">
        <v>470.5</v>
      </c>
      <c r="AA13">
        <f>AA$6*Z13^AA$5</f>
        <v>193846</v>
      </c>
      <c r="AB13">
        <f>-(AA13-Q$13)</f>
        <v>-193846</v>
      </c>
      <c r="AC13">
        <f t="shared" si="3"/>
        <v>1.4960053442290696E-3</v>
      </c>
    </row>
    <row r="14" spans="3:29">
      <c r="M14">
        <f>M6/1000</f>
        <v>3.0000000000000001E-3</v>
      </c>
      <c r="N14">
        <f>453*M14</f>
        <v>1.359</v>
      </c>
      <c r="S14">
        <v>7</v>
      </c>
      <c r="T14">
        <f t="shared" si="4"/>
        <v>413</v>
      </c>
      <c r="U14">
        <v>400</v>
      </c>
      <c r="V14">
        <v>426</v>
      </c>
      <c r="W14">
        <f t="shared" si="2"/>
        <v>13</v>
      </c>
      <c r="X14">
        <f>U$5*S14</f>
        <v>6.9999999999999988E-4</v>
      </c>
      <c r="Z14">
        <v>413</v>
      </c>
      <c r="AA14">
        <f>AA$6*Z14^AA$5</f>
        <v>170156</v>
      </c>
      <c r="AB14">
        <f>-(AA14-Q$13)</f>
        <v>-170156</v>
      </c>
      <c r="AC14">
        <f t="shared" si="3"/>
        <v>1.3195781205655303E-3</v>
      </c>
    </row>
    <row r="15" spans="3:29">
      <c r="M15">
        <f t="shared" ref="M15:M20" si="5">M7/1000</f>
        <v>4.0000000000000001E-3</v>
      </c>
      <c r="N15">
        <f t="shared" ref="N15:N20" si="6">453*M15</f>
        <v>1.8120000000000001</v>
      </c>
      <c r="Z15">
        <v>381.80999999999995</v>
      </c>
      <c r="AA15">
        <f>AA$6*Z15^AA$5</f>
        <v>157305.71999999997</v>
      </c>
      <c r="AB15">
        <f>-(AA15-Q$13)</f>
        <v>-157305.71999999997</v>
      </c>
      <c r="AC15">
        <f t="shared" si="3"/>
        <v>1.2235011613217451E-3</v>
      </c>
    </row>
    <row r="16" spans="3:29">
      <c r="M16">
        <f t="shared" si="5"/>
        <v>1.5E-3</v>
      </c>
      <c r="N16">
        <f t="shared" si="6"/>
        <v>0.67949999999999999</v>
      </c>
      <c r="V16">
        <f>W8/1000</f>
        <v>3.0000000000000001E-3</v>
      </c>
      <c r="W16">
        <f>V16*458.8</f>
        <v>1.3764000000000001</v>
      </c>
      <c r="Z16">
        <v>351.44</v>
      </c>
      <c r="AA16">
        <f>AA$6*Z16^AA$5</f>
        <v>144793.28</v>
      </c>
      <c r="AB16">
        <f>-(AA16-Q$13)</f>
        <v>-144793.28</v>
      </c>
      <c r="AC16">
        <f t="shared" si="3"/>
        <v>1.1296682743652119E-3</v>
      </c>
    </row>
    <row r="17" spans="13:29">
      <c r="M17">
        <f t="shared" si="5"/>
        <v>7.4999999999999997E-3</v>
      </c>
      <c r="N17">
        <f t="shared" si="6"/>
        <v>3.3975</v>
      </c>
      <c r="V17">
        <f t="shared" ref="V17:V22" si="7">W9/1000</f>
        <v>6.4999999999999997E-3</v>
      </c>
      <c r="W17">
        <f t="shared" ref="W17:W22" si="8">V17*458.8</f>
        <v>2.9821999999999997</v>
      </c>
      <c r="Z17">
        <v>321.07</v>
      </c>
      <c r="AA17">
        <f>AA$6*Z17^AA$5</f>
        <v>132280.84</v>
      </c>
      <c r="AB17">
        <f>-(AA17-Q$13)</f>
        <v>-132280.84</v>
      </c>
      <c r="AC17">
        <f t="shared" si="3"/>
        <v>1.0355320608336444E-3</v>
      </c>
    </row>
    <row r="18" spans="13:29">
      <c r="M18">
        <f t="shared" si="5"/>
        <v>1.5E-3</v>
      </c>
      <c r="N18">
        <f t="shared" si="6"/>
        <v>0.67949999999999999</v>
      </c>
      <c r="V18">
        <f t="shared" si="7"/>
        <v>5.4999999999999997E-3</v>
      </c>
      <c r="W18">
        <f t="shared" si="8"/>
        <v>2.5234000000000001</v>
      </c>
      <c r="Z18">
        <v>290.7</v>
      </c>
      <c r="AA18">
        <f>AA$6*Z18^AA$5</f>
        <v>119768.4</v>
      </c>
      <c r="AB18">
        <f>-(AA18-Q$13)</f>
        <v>-119768.4</v>
      </c>
      <c r="AC18">
        <f t="shared" si="3"/>
        <v>9.4106262062473172E-4</v>
      </c>
    </row>
    <row r="19" spans="13:29">
      <c r="M19">
        <f t="shared" si="5"/>
        <v>8.5000000000000006E-3</v>
      </c>
      <c r="N19">
        <f t="shared" si="6"/>
        <v>3.8505000000000003</v>
      </c>
      <c r="V19">
        <f t="shared" si="7"/>
        <v>6.4999999999999997E-3</v>
      </c>
      <c r="W19">
        <f t="shared" si="8"/>
        <v>2.9821999999999997</v>
      </c>
      <c r="Z19">
        <v>260.33</v>
      </c>
      <c r="AA19">
        <f>AA$6*Z19^AA$5</f>
        <v>107255.95999999999</v>
      </c>
      <c r="AB19">
        <f>-(AA19-Q$13)</f>
        <v>-107255.95999999999</v>
      </c>
      <c r="AC19">
        <f t="shared" si="3"/>
        <v>8.4622364544343872E-4</v>
      </c>
    </row>
    <row r="20" spans="13:29">
      <c r="M20">
        <f t="shared" si="5"/>
        <v>1.0500000000000001E-2</v>
      </c>
      <c r="N20">
        <f t="shared" si="6"/>
        <v>4.7565</v>
      </c>
      <c r="V20">
        <f t="shared" si="7"/>
        <v>8.9999999999999993E-3</v>
      </c>
      <c r="W20">
        <f t="shared" si="8"/>
        <v>4.1292</v>
      </c>
      <c r="Z20">
        <v>229.95999999999998</v>
      </c>
      <c r="AA20">
        <f>AA$6*Z20^AA$5</f>
        <v>94743.51999999999</v>
      </c>
      <c r="AB20">
        <f>-(AA20-Q$13)</f>
        <v>-94743.51999999999</v>
      </c>
      <c r="AC20">
        <f t="shared" si="3"/>
        <v>7.5097012537013897E-4</v>
      </c>
    </row>
    <row r="21" spans="13:29">
      <c r="V21">
        <f t="shared" si="7"/>
        <v>4.4999999999999997E-3</v>
      </c>
      <c r="W21">
        <f t="shared" si="8"/>
        <v>2.0646</v>
      </c>
      <c r="Z21">
        <v>199.58999999999997</v>
      </c>
      <c r="AA21">
        <f>AA$6*Z21^AA$5</f>
        <v>82231.079999999987</v>
      </c>
      <c r="AB21">
        <f>-(AA21-Q$13)</f>
        <v>-82231.079999999987</v>
      </c>
      <c r="AC21">
        <f t="shared" si="3"/>
        <v>6.5524481505998969E-4</v>
      </c>
    </row>
    <row r="22" spans="13:29">
      <c r="V22">
        <f t="shared" si="7"/>
        <v>1.2999999999999999E-2</v>
      </c>
      <c r="W22">
        <f t="shared" si="8"/>
        <v>5.9643999999999995</v>
      </c>
      <c r="Z22">
        <v>169.21999999999997</v>
      </c>
      <c r="AA22">
        <f>AA$6*Z22^AA$5</f>
        <v>69718.639999999985</v>
      </c>
      <c r="AB22">
        <f>-(AA22-Q$13)</f>
        <v>-69718.639999999985</v>
      </c>
      <c r="AC22">
        <f t="shared" si="3"/>
        <v>5.5897248935710792E-4</v>
      </c>
    </row>
    <row r="23" spans="13:29">
      <c r="Z23">
        <v>138.84999999999997</v>
      </c>
      <c r="AA23">
        <f>AA$6*Z23^AA$5</f>
        <v>57206.199999999983</v>
      </c>
      <c r="AB23">
        <f>-(AA23-Q$13)</f>
        <v>-57206.199999999983</v>
      </c>
      <c r="AC23">
        <f t="shared" si="3"/>
        <v>4.6204993548196215E-4</v>
      </c>
    </row>
    <row r="24" spans="13:29">
      <c r="Z24">
        <v>108.48000000000002</v>
      </c>
      <c r="AA24">
        <f>AA$6*Z24^AA$5</f>
        <v>44693.760000000009</v>
      </c>
      <c r="AB24">
        <f>-(AA24-Q$13)</f>
        <v>-44693.760000000009</v>
      </c>
      <c r="AC24">
        <f t="shared" si="3"/>
        <v>3.6432680474295201E-4</v>
      </c>
    </row>
    <row r="25" spans="13:29">
      <c r="Z25">
        <v>78.110000000000014</v>
      </c>
      <c r="AA25">
        <f>AA$6*Z25^AA$5</f>
        <v>32181.320000000007</v>
      </c>
      <c r="AB25">
        <f>-(AA25-Q$13)</f>
        <v>-32181.320000000007</v>
      </c>
      <c r="AC25">
        <f t="shared" si="3"/>
        <v>2.6556367594632524E-4</v>
      </c>
    </row>
    <row r="26" spans="13:29">
      <c r="Z26">
        <v>47.740000000000009</v>
      </c>
      <c r="AA26">
        <f>AA$6*Z26^AA$5</f>
        <v>19668.880000000005</v>
      </c>
      <c r="AB26">
        <f>-(AA26-Q$13)</f>
        <v>-19668.880000000005</v>
      </c>
      <c r="AC26">
        <f t="shared" si="3"/>
        <v>1.6531798071566824E-4</v>
      </c>
    </row>
    <row r="27" spans="13:29">
      <c r="Z27">
        <v>17.370000000000005</v>
      </c>
      <c r="AA27">
        <f>AA$6*Z27^AA$5</f>
        <v>7156.4400000000023</v>
      </c>
      <c r="AB27">
        <f>-(AA27-Q$13)</f>
        <v>-7156.4400000000023</v>
      </c>
      <c r="AC27">
        <f t="shared" si="3"/>
        <v>6.2461912346766126E-5</v>
      </c>
    </row>
    <row r="28" spans="13:29">
      <c r="Z28">
        <v>-13</v>
      </c>
      <c r="AA28">
        <f>AA$6*Z28^AA$5</f>
        <v>-5356</v>
      </c>
      <c r="AB28">
        <f>-(AA28-Q$13)</f>
        <v>5356</v>
      </c>
    </row>
    <row r="40" spans="8:10">
      <c r="H40" t="s">
        <v>15</v>
      </c>
      <c r="J40" t="s">
        <v>3</v>
      </c>
    </row>
    <row r="41" spans="8:10">
      <c r="H41">
        <v>0</v>
      </c>
      <c r="I41">
        <f xml:space="preserve"> -564998*H41 + 631.5</f>
        <v>631.5</v>
      </c>
      <c r="J41">
        <v>624.25900000000001</v>
      </c>
    </row>
    <row r="42" spans="8:10">
      <c r="H42">
        <v>5.3999999999999998E-5</v>
      </c>
      <c r="I42">
        <f t="shared" ref="I42:I46" si="9" xml:space="preserve"> -564998*H42 + 631.5</f>
        <v>600.99010799999996</v>
      </c>
      <c r="J42">
        <v>601</v>
      </c>
    </row>
    <row r="43" spans="8:10">
      <c r="H43">
        <v>1.08E-4</v>
      </c>
      <c r="I43">
        <f t="shared" si="9"/>
        <v>570.48021600000004</v>
      </c>
      <c r="J43">
        <v>577.5</v>
      </c>
    </row>
    <row r="44" spans="8:10">
      <c r="H44">
        <v>1.6199999999999998E-4</v>
      </c>
      <c r="I44">
        <f t="shared" si="9"/>
        <v>539.97032400000001</v>
      </c>
      <c r="J44">
        <v>550.5</v>
      </c>
    </row>
    <row r="45" spans="8:10">
      <c r="H45">
        <v>2.1599999999999999E-4</v>
      </c>
      <c r="I45">
        <f t="shared" si="9"/>
        <v>509.46043200000003</v>
      </c>
      <c r="J45">
        <v>505.5</v>
      </c>
    </row>
    <row r="46" spans="8:10">
      <c r="H46">
        <v>2.7E-4</v>
      </c>
      <c r="I46">
        <f t="shared" si="9"/>
        <v>478.95053999999999</v>
      </c>
      <c r="J46">
        <v>470.5</v>
      </c>
    </row>
    <row r="47" spans="8:10">
      <c r="H47">
        <v>3.2399999999999996E-4</v>
      </c>
      <c r="I47">
        <f xml:space="preserve"> Y5</f>
        <v>0</v>
      </c>
      <c r="J47">
        <v>450.5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zhenping</dc:creator>
  <cp:lastModifiedBy>Kevin</cp:lastModifiedBy>
  <dcterms:created xsi:type="dcterms:W3CDTF">2014-03-05T08:36:50Z</dcterms:created>
  <dcterms:modified xsi:type="dcterms:W3CDTF">2014-03-18T18:07:21Z</dcterms:modified>
</cp:coreProperties>
</file>