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<sst xmlns="http://schemas.openxmlformats.org/spreadsheetml/2006/main" count="254" uniqueCount="205">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</sst>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0" borderId="1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26" fillId="14" borderId="10" applyNumberFormat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10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13" sqref="D13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2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2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H19" sqref="H19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112.87</v>
      </c>
      <c r="D4" s="22">
        <v>108.36</v>
      </c>
      <c r="E4" s="22">
        <v>95.81</v>
      </c>
      <c r="G4" s="23" t="s">
        <v>91</v>
      </c>
      <c r="H4" s="24" t="s">
        <v>92</v>
      </c>
      <c r="I4" s="24">
        <v>19</v>
      </c>
      <c r="J4" s="24">
        <v>12.88</v>
      </c>
      <c r="K4" s="24">
        <v>6.64</v>
      </c>
      <c r="L4" s="43"/>
    </row>
    <row r="5" spans="2:11">
      <c r="B5" s="22" t="s">
        <v>93</v>
      </c>
      <c r="C5" s="22">
        <v>79.41</v>
      </c>
      <c r="D5" s="22">
        <v>77.38</v>
      </c>
      <c r="E5" s="22">
        <v>65.89</v>
      </c>
      <c r="G5" s="23" t="s">
        <v>94</v>
      </c>
      <c r="H5" s="22" t="s">
        <v>95</v>
      </c>
      <c r="I5" s="22">
        <v>8.69</v>
      </c>
      <c r="J5" s="22">
        <v>9.15</v>
      </c>
      <c r="K5" s="22">
        <v>6.01</v>
      </c>
    </row>
    <row r="6" spans="2:11">
      <c r="B6" s="22" t="s">
        <v>96</v>
      </c>
      <c r="C6" s="22">
        <v>0.923113</v>
      </c>
      <c r="D6" s="22">
        <v>0.857525</v>
      </c>
      <c r="E6" s="22">
        <v>0.810438</v>
      </c>
      <c r="G6" s="23"/>
      <c r="H6" s="22" t="s">
        <v>97</v>
      </c>
      <c r="I6" s="22">
        <v>0.018</v>
      </c>
      <c r="J6" s="22">
        <v>0.024</v>
      </c>
      <c r="K6" s="22">
        <v>0.545</v>
      </c>
    </row>
    <row r="7" spans="2:11">
      <c r="B7" s="22" t="s">
        <v>98</v>
      </c>
      <c r="C7" s="22">
        <v>5.89</v>
      </c>
      <c r="D7" s="22">
        <v>5.32</v>
      </c>
      <c r="E7" s="22">
        <v>4.89</v>
      </c>
      <c r="G7" s="23"/>
      <c r="H7" s="24" t="s">
        <v>99</v>
      </c>
      <c r="I7" s="24">
        <v>2.23</v>
      </c>
      <c r="J7" s="24">
        <v>-12.79</v>
      </c>
      <c r="K7" s="24">
        <v>-17.72</v>
      </c>
    </row>
    <row r="8" spans="2:11">
      <c r="B8" s="22" t="s">
        <v>100</v>
      </c>
      <c r="C8" s="22">
        <v>5.96</v>
      </c>
      <c r="D8" s="22">
        <v>5.82</v>
      </c>
      <c r="E8" s="22">
        <v>5.45</v>
      </c>
      <c r="G8" s="23" t="s">
        <v>101</v>
      </c>
      <c r="H8" s="22" t="s">
        <v>102</v>
      </c>
      <c r="I8" s="22">
        <v>0</v>
      </c>
      <c r="J8" s="22">
        <v>1.07</v>
      </c>
      <c r="K8" s="22">
        <v>13.12</v>
      </c>
    </row>
    <row r="9" spans="2:11">
      <c r="B9" s="22" t="s">
        <v>103</v>
      </c>
      <c r="C9" s="22">
        <v>5.32</v>
      </c>
      <c r="D9" s="22">
        <v>4.37</v>
      </c>
      <c r="E9" s="22">
        <v>3.27</v>
      </c>
      <c r="G9" s="23"/>
      <c r="H9" s="22" t="s">
        <v>104</v>
      </c>
      <c r="I9" s="22">
        <v>22.21</v>
      </c>
      <c r="J9" s="22">
        <v>13.7</v>
      </c>
      <c r="K9" s="22">
        <v>12.47</v>
      </c>
    </row>
    <row r="10" spans="2:11">
      <c r="B10" s="22" t="s">
        <v>105</v>
      </c>
      <c r="C10" s="22">
        <v>-0.077728</v>
      </c>
      <c r="D10" s="22">
        <v>0.522122</v>
      </c>
      <c r="E10" s="22">
        <v>1.25</v>
      </c>
      <c r="G10" s="23"/>
      <c r="H10" s="22" t="s">
        <v>106</v>
      </c>
      <c r="I10" s="22">
        <v>21.23</v>
      </c>
      <c r="J10" s="22">
        <v>10.25</v>
      </c>
      <c r="K10" s="27">
        <v>9.22</v>
      </c>
    </row>
    <row r="11" spans="2:11">
      <c r="B11" s="22" t="s">
        <v>107</v>
      </c>
      <c r="C11" s="22">
        <v>0.278952</v>
      </c>
      <c r="D11" s="22">
        <v>0.547829</v>
      </c>
      <c r="E11" s="22">
        <v>0.485624</v>
      </c>
      <c r="G11" s="23"/>
      <c r="H11" s="22" t="s">
        <v>108</v>
      </c>
      <c r="I11" s="22">
        <v>5.95</v>
      </c>
      <c r="J11" s="22">
        <v>5.89</v>
      </c>
      <c r="K11" s="22">
        <v>6.84</v>
      </c>
    </row>
    <row r="12" spans="2:11">
      <c r="B12" s="22" t="s">
        <v>109</v>
      </c>
      <c r="C12" s="22">
        <v>0.033741</v>
      </c>
      <c r="D12" s="22">
        <v>0</v>
      </c>
      <c r="E12" s="22">
        <v>0</v>
      </c>
      <c r="G12" s="23"/>
      <c r="H12" s="22" t="s">
        <v>110</v>
      </c>
      <c r="I12" s="22">
        <v>2.99</v>
      </c>
      <c r="J12" s="22">
        <v>0.711032</v>
      </c>
      <c r="K12" s="22">
        <v>0.465756</v>
      </c>
    </row>
    <row r="13" spans="2:11">
      <c r="B13" s="22" t="s">
        <v>111</v>
      </c>
      <c r="C13" s="22">
        <v>0.253355</v>
      </c>
      <c r="D13" s="22">
        <v>0.485114</v>
      </c>
      <c r="E13" s="22">
        <v>0.379827</v>
      </c>
      <c r="G13" s="23"/>
      <c r="H13" s="24" t="s">
        <v>112</v>
      </c>
      <c r="I13" s="24">
        <v>-7.34</v>
      </c>
      <c r="J13" s="24">
        <v>-2.03</v>
      </c>
      <c r="K13" s="24">
        <v>9.09</v>
      </c>
    </row>
    <row r="14" spans="2:11">
      <c r="B14" s="22" t="s">
        <v>113</v>
      </c>
      <c r="C14" s="22">
        <v>0.002788</v>
      </c>
      <c r="D14" s="22">
        <v>0.002561</v>
      </c>
      <c r="E14" s="22">
        <v>-0.052399</v>
      </c>
      <c r="G14" s="25" t="s">
        <v>114</v>
      </c>
      <c r="H14" s="26" t="s">
        <v>114</v>
      </c>
      <c r="I14" s="26">
        <f>I4-I5-I6</f>
        <v>10.292</v>
      </c>
      <c r="J14" s="26">
        <f>J4-J5-J6</f>
        <v>3.706</v>
      </c>
      <c r="K14" s="26">
        <f>K4-K5-K6</f>
        <v>0.0849999999999999</v>
      </c>
    </row>
    <row r="15" spans="2:11">
      <c r="B15" s="22" t="s">
        <v>115</v>
      </c>
      <c r="C15" s="27">
        <v>1.02</v>
      </c>
      <c r="D15" s="22">
        <v>0.612269</v>
      </c>
      <c r="E15" s="22">
        <v>0.524335</v>
      </c>
      <c r="G15" s="28"/>
      <c r="H15" s="28"/>
      <c r="I15" s="28"/>
      <c r="J15" s="28"/>
      <c r="K15" s="28"/>
    </row>
    <row r="16" spans="2:11">
      <c r="B16" s="22" t="s">
        <v>116</v>
      </c>
      <c r="C16" s="22">
        <v>0.0679223</v>
      </c>
      <c r="D16" s="22">
        <v>0.019996</v>
      </c>
      <c r="E16" s="22">
        <v>0.109694</v>
      </c>
      <c r="G16" s="29" t="s">
        <v>117</v>
      </c>
      <c r="H16" s="30" t="s">
        <v>118</v>
      </c>
      <c r="I16" s="30">
        <f>SUM(I14:K14)/3</f>
        <v>4.69433333333333</v>
      </c>
      <c r="J16" s="28"/>
      <c r="K16" s="28"/>
    </row>
    <row r="17" spans="2:11">
      <c r="B17" s="22" t="s">
        <v>119</v>
      </c>
      <c r="C17" s="22">
        <v>0.077131</v>
      </c>
      <c r="D17" s="22">
        <v>0.090204</v>
      </c>
      <c r="E17" s="22">
        <v>0.066463</v>
      </c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>
        <v>14.34</v>
      </c>
      <c r="D18" s="22">
        <v>13.11</v>
      </c>
      <c r="E18" s="22">
        <v>12.51</v>
      </c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33.46</v>
      </c>
      <c r="D19" s="32">
        <f>D4-D5</f>
        <v>30.98</v>
      </c>
      <c r="E19" s="32">
        <f>E4-E5</f>
        <v>29.92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>
        <f>C19/C4</f>
        <v>0.296447240187827</v>
      </c>
      <c r="D20" s="33">
        <f>D19/D4</f>
        <v>0.285898855666298</v>
      </c>
      <c r="E20" s="33">
        <f>E19/E4</f>
        <v>0.312284730195178</v>
      </c>
      <c r="G20" s="31"/>
      <c r="H20" s="30" t="s">
        <v>126</v>
      </c>
      <c r="I20" s="45">
        <v>35.92</v>
      </c>
      <c r="J20" s="28"/>
      <c r="K20" s="28"/>
    </row>
    <row r="21" spans="2:11">
      <c r="B21" s="34" t="s">
        <v>127</v>
      </c>
      <c r="C21" s="34">
        <f>C4-C5-C6-C7-C8-C9-C10</f>
        <v>15.444615</v>
      </c>
      <c r="D21" s="34">
        <f>D4-D5-D6-D7-D8-D9-D10</f>
        <v>14.090353</v>
      </c>
      <c r="E21" s="34">
        <f>E4-E5-E6-E7-E8-E9-E10</f>
        <v>14.249562</v>
      </c>
      <c r="G21" s="31"/>
      <c r="H21" s="30" t="s">
        <v>128</v>
      </c>
      <c r="I21" s="30">
        <f>I16*(1+I19)/POWER(1+I17,1)</f>
        <v>4.78126543209877</v>
      </c>
      <c r="J21" s="28"/>
      <c r="K21" s="28"/>
    </row>
    <row r="22" spans="2:11">
      <c r="B22" s="34" t="s">
        <v>129</v>
      </c>
      <c r="C22" s="35">
        <f>C21/C4</f>
        <v>0.13683543014087</v>
      </c>
      <c r="D22" s="35">
        <f>D21/D4</f>
        <v>0.130032788851975</v>
      </c>
      <c r="E22" s="35">
        <f>E21/E4</f>
        <v>0.14872729360192</v>
      </c>
      <c r="G22" s="31"/>
      <c r="H22" s="30" t="s">
        <v>130</v>
      </c>
      <c r="I22" s="30">
        <f>I16*POWER(1+I19,2)/POWER(1+I17,2)</f>
        <v>4.86980738454504</v>
      </c>
      <c r="J22" s="28"/>
      <c r="K22" s="28"/>
    </row>
    <row r="23" spans="2:11">
      <c r="B23" s="36" t="s">
        <v>131</v>
      </c>
      <c r="C23" s="37">
        <f>C21/I4</f>
        <v>0.812874473684211</v>
      </c>
      <c r="D23" s="37">
        <f>D21/J4</f>
        <v>1.09397150621118</v>
      </c>
      <c r="E23" s="37">
        <f>E21/K4</f>
        <v>2.14601837349398</v>
      </c>
      <c r="G23" s="31"/>
      <c r="H23" s="30" t="s">
        <v>132</v>
      </c>
      <c r="I23" s="30">
        <f>I16*POWER(1+I19,3)/POWER(1+I17,3)</f>
        <v>4.95998900277736</v>
      </c>
      <c r="J23" s="28"/>
      <c r="K23" s="28"/>
    </row>
    <row r="24" spans="2:11">
      <c r="B24" s="24" t="s">
        <v>133</v>
      </c>
      <c r="C24" s="38">
        <f>C7/C4</f>
        <v>0.0521839284132187</v>
      </c>
      <c r="D24" s="38">
        <f>D7/D4</f>
        <v>0.0490956072351421</v>
      </c>
      <c r="E24" s="38">
        <f>E7/E4</f>
        <v>0.0510385137250809</v>
      </c>
      <c r="G24" s="31"/>
      <c r="H24" s="30" t="s">
        <v>134</v>
      </c>
      <c r="I24" s="30">
        <f>(SUM(I21:I23)*(1+I18))/I17-I18</f>
        <v>188.087420925047</v>
      </c>
      <c r="J24" s="28"/>
      <c r="K24" s="28"/>
    </row>
    <row r="25" spans="2:11">
      <c r="B25" s="24" t="s">
        <v>135</v>
      </c>
      <c r="C25" s="38">
        <f>C8/C4</f>
        <v>0.0528041109240719</v>
      </c>
      <c r="D25" s="38">
        <f>D8/D4</f>
        <v>0.0537098560354374</v>
      </c>
      <c r="E25" s="38">
        <f>E8/E4</f>
        <v>0.0568834150923703</v>
      </c>
      <c r="G25" s="31"/>
      <c r="H25" s="30" t="s">
        <v>136</v>
      </c>
      <c r="I25" s="30">
        <f>SUM(I21:I24)</f>
        <v>202.698482744469</v>
      </c>
      <c r="J25" s="28"/>
      <c r="K25" s="28"/>
    </row>
    <row r="26" spans="2:9">
      <c r="B26" s="24" t="s">
        <v>137</v>
      </c>
      <c r="C26" s="38">
        <f>C16/C4</f>
        <v>0.000601774607956056</v>
      </c>
      <c r="D26" s="38">
        <f>D16/D4</f>
        <v>0.00018453303802141</v>
      </c>
      <c r="E26" s="38">
        <f>E16/E4</f>
        <v>0.0011449118046133</v>
      </c>
      <c r="G26" s="39"/>
      <c r="H26" s="16" t="s">
        <v>138</v>
      </c>
      <c r="I26" s="16">
        <f>I25/I20</f>
        <v>5.64305352852084</v>
      </c>
    </row>
    <row r="27" spans="2:5">
      <c r="B27" s="24" t="s">
        <v>139</v>
      </c>
      <c r="C27" s="38">
        <f>C18/C4</f>
        <v>0.127048817223354</v>
      </c>
      <c r="D27" s="38">
        <f>D18/D4</f>
        <v>0.120985603543743</v>
      </c>
      <c r="E27" s="38">
        <f>E18/E4</f>
        <v>0.130570921615698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477.1635</v>
      </c>
      <c r="J31" s="13">
        <f>I31/I20</f>
        <v>13.2840618040089</v>
      </c>
    </row>
    <row r="32" spans="7:10">
      <c r="G32" s="41"/>
      <c r="H32" s="13" t="s">
        <v>145</v>
      </c>
      <c r="I32" s="13">
        <f>I31*0.7</f>
        <v>334.01445</v>
      </c>
      <c r="J32" s="13">
        <f>I32/I20</f>
        <v>9.29884326280624</v>
      </c>
    </row>
    <row r="33" spans="7:10">
      <c r="G33" s="42"/>
      <c r="H33" s="13" t="s">
        <v>146</v>
      </c>
      <c r="I33" s="13">
        <f>(C18*POWER(1+I28,3))*J30</f>
        <v>954.327</v>
      </c>
      <c r="J33" s="13">
        <f>I33/I20</f>
        <v>26.5681236080178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79.41</v>
      </c>
      <c r="E9" s="12">
        <f>'利润&amp;现金流结构分析'!D5</f>
        <v>77.38</v>
      </c>
      <c r="F9" s="12">
        <f>'利润&amp;现金流结构分析'!E5</f>
        <v>65.89</v>
      </c>
      <c r="H9" s="12" t="s">
        <v>93</v>
      </c>
      <c r="I9" s="12">
        <f>D9</f>
        <v>79.41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15.444615</v>
      </c>
      <c r="E12" s="12">
        <f>'利润&amp;现金流结构分析'!D21</f>
        <v>14.090353</v>
      </c>
      <c r="F12" s="12">
        <f>'利润&amp;现金流结构分析'!E21</f>
        <v>14.249562</v>
      </c>
      <c r="H12" s="12" t="s">
        <v>127</v>
      </c>
      <c r="I12" s="12">
        <f>D12</f>
        <v>15.444615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19</v>
      </c>
      <c r="E13" s="12">
        <f>'利润&amp;现金流结构分析'!J4</f>
        <v>12.88</v>
      </c>
      <c r="F13" s="14">
        <f>'利润&amp;现金流结构分析'!K4</f>
        <v>6.64</v>
      </c>
      <c r="H13" s="12" t="s">
        <v>92</v>
      </c>
      <c r="I13" s="12">
        <f>D13</f>
        <v>19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