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addc2d4c2a25cf/CIVE/CIVE 403/Project/Project Code/"/>
    </mc:Choice>
  </mc:AlternateContent>
  <xr:revisionPtr revIDLastSave="64" documentId="8_{1E43F800-C120-4885-96E7-49C98DC6E74A}" xr6:coauthVersionLast="34" xr6:coauthVersionMax="34" xr10:uidLastSave="{9EC1A6C6-91FD-43B6-BE20-6F749BE80B5E}"/>
  <bookViews>
    <workbookView xWindow="0" yWindow="0" windowWidth="14370" windowHeight="12345" tabRatio="704" xr2:uid="{2E44C3DD-250E-46E6-A4D4-1BF1008523A2}"/>
  </bookViews>
  <sheets>
    <sheet name="Member End Results" sheetId="6" r:id="rId1"/>
    <sheet name="Section Design" sheetId="11" r:id="rId2"/>
    <sheet name="node dP" sheetId="13" r:id="rId3"/>
    <sheet name="member prop" sheetId="7" r:id="rId4"/>
    <sheet name="member end fm" sheetId="1" r:id="rId5"/>
    <sheet name="member end disp" sheetId="3" r:id="rId6"/>
    <sheet name="moving load critical fm" sheetId="8" r:id="rId7"/>
    <sheet name="moving load critical disp" sheetId="9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1" l="1"/>
  <c r="E28" i="11"/>
  <c r="D28" i="11"/>
  <c r="I31" i="11" l="1"/>
  <c r="H31" i="11"/>
  <c r="E40" i="11"/>
  <c r="D40" i="11"/>
  <c r="B34" i="11"/>
  <c r="G37" i="11"/>
  <c r="F37" i="11"/>
  <c r="I34" i="11"/>
  <c r="H37" i="11" s="1"/>
  <c r="J34" i="11"/>
  <c r="F40" i="11" s="1"/>
  <c r="B40" i="11"/>
  <c r="K37" i="11"/>
  <c r="E37" i="11"/>
  <c r="D37" i="11"/>
  <c r="C28" i="11" l="1"/>
  <c r="I21" i="11" l="1"/>
  <c r="K21" i="11" s="1"/>
  <c r="H21" i="11"/>
  <c r="J21" i="11" s="1"/>
  <c r="K15" i="11" l="1"/>
  <c r="G14" i="11"/>
  <c r="K14" i="11" s="1"/>
  <c r="G12" i="11"/>
  <c r="K12" i="11" s="1"/>
  <c r="K13" i="11" s="1"/>
  <c r="D63" i="11"/>
  <c r="C63" i="11"/>
  <c r="F63" i="11"/>
  <c r="E63" i="11"/>
  <c r="H63" i="11"/>
  <c r="I63" i="11"/>
  <c r="G63" i="11"/>
  <c r="C66" i="11" l="1"/>
  <c r="D72" i="11"/>
  <c r="E56" i="11"/>
  <c r="D56" i="11"/>
  <c r="E66" i="11" l="1"/>
  <c r="F48" i="11"/>
  <c r="G48" i="11" s="1"/>
  <c r="F47" i="11"/>
  <c r="F46" i="11"/>
  <c r="G46" i="11" s="1"/>
  <c r="H56" i="11"/>
  <c r="K53" i="11"/>
  <c r="I53" i="11"/>
  <c r="D53" i="11"/>
  <c r="C53" i="11"/>
  <c r="K52" i="11"/>
  <c r="I52" i="11"/>
  <c r="D52" i="11"/>
  <c r="C52" i="11"/>
  <c r="K51" i="11"/>
  <c r="I51" i="11"/>
  <c r="D51" i="11"/>
  <c r="C51" i="11"/>
  <c r="G47" i="11" l="1"/>
  <c r="E72" i="11"/>
  <c r="G66" i="11"/>
  <c r="C56" i="11"/>
  <c r="K56" i="11" s="1"/>
  <c r="F56" i="11"/>
  <c r="E52" i="11"/>
  <c r="E53" i="11"/>
  <c r="E51" i="11"/>
  <c r="K6" i="6"/>
  <c r="K30" i="6"/>
  <c r="R30" i="6"/>
  <c r="S30" i="6"/>
  <c r="Q30" i="6"/>
  <c r="P30" i="6"/>
  <c r="E42" i="6" s="1"/>
  <c r="T30" i="6"/>
  <c r="T6" i="6"/>
  <c r="S6" i="6"/>
  <c r="R6" i="6"/>
  <c r="Q6" i="6"/>
  <c r="P6" i="6"/>
  <c r="F72" i="11" l="1"/>
  <c r="G72" i="11" s="1"/>
  <c r="K72" i="11" s="1"/>
  <c r="D74" i="11" s="1"/>
  <c r="F52" i="11"/>
  <c r="G52" i="11" s="1"/>
  <c r="H52" i="11" s="1"/>
  <c r="J52" i="11" s="1"/>
  <c r="F51" i="11"/>
  <c r="F53" i="11"/>
  <c r="G53" i="11" s="1"/>
  <c r="H53" i="11" s="1"/>
  <c r="J53" i="11" s="1"/>
  <c r="N12" i="6"/>
  <c r="T12" i="6"/>
  <c r="T9" i="6"/>
  <c r="N9" i="6"/>
  <c r="I26" i="6"/>
  <c r="R18" i="6"/>
  <c r="E18" i="6"/>
  <c r="E23" i="6"/>
  <c r="I50" i="6"/>
  <c r="N33" i="6"/>
  <c r="E47" i="6"/>
  <c r="T33" i="6"/>
  <c r="R42" i="6"/>
  <c r="N44" i="6"/>
  <c r="F17" i="6"/>
  <c r="E21" i="6"/>
  <c r="J24" i="6"/>
  <c r="N20" i="6"/>
  <c r="S16" i="6"/>
  <c r="G51" i="11" l="1"/>
  <c r="H51" i="11" s="1"/>
  <c r="J51" i="11" s="1"/>
  <c r="G56" i="11" s="1"/>
  <c r="F41" i="6"/>
  <c r="E45" i="6"/>
  <c r="J48" i="6"/>
  <c r="N36" i="6"/>
  <c r="T36" i="6"/>
  <c r="S40" i="6"/>
  <c r="N19" i="6"/>
  <c r="N43" i="6"/>
  <c r="I66" i="11" l="1"/>
  <c r="H66" i="11"/>
  <c r="D66" i="11"/>
  <c r="F66" i="11" s="1"/>
  <c r="C69" i="11" s="1"/>
  <c r="D69" i="11" l="1"/>
  <c r="E69" i="11" l="1"/>
  <c r="F69" i="11"/>
  <c r="G69" i="11" s="1"/>
  <c r="K69" i="11" s="1"/>
  <c r="C74" i="11" s="1"/>
  <c r="K74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</author>
  </authors>
  <commentList>
    <comment ref="Y2" authorId="0" shapeId="0" xr:uid="{91963C29-9D18-4C06-BA61-73E5DF4DD50D}">
      <text>
        <r>
          <rPr>
            <sz val="9"/>
            <color indexed="81"/>
            <rFont val="Tahoma"/>
            <family val="2"/>
          </rPr>
          <t xml:space="preserve">PW
</t>
        </r>
      </text>
    </comment>
    <comment ref="J6" authorId="0" shapeId="0" xr:uid="{921C2685-2E21-4E0E-AECC-DCBE864D59A4}">
      <text>
        <r>
          <rPr>
            <sz val="9"/>
            <color indexed="81"/>
            <rFont val="Tahoma"/>
            <family val="2"/>
          </rPr>
          <t>Note:
Metric: m / mm
Imperial: ft / in</t>
        </r>
      </text>
    </comment>
    <comment ref="J30" authorId="0" shapeId="0" xr:uid="{3393BCEF-6AF4-4538-B412-098B6D4728F5}">
      <text>
        <r>
          <rPr>
            <sz val="9"/>
            <color indexed="81"/>
            <rFont val="Tahoma"/>
            <family val="2"/>
          </rPr>
          <t>Note:
Metric: m / mm
Imperial: ft / in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GG</author>
  </authors>
  <commentList>
    <comment ref="K2" authorId="0" shapeId="0" xr:uid="{0660C71C-71DB-4952-AB44-6B29717F3EA2}">
      <text>
        <r>
          <rPr>
            <sz val="9"/>
            <color indexed="81"/>
            <rFont val="Tahoma"/>
            <family val="2"/>
          </rPr>
          <t>PW</t>
        </r>
      </text>
    </comment>
    <comment ref="K42" authorId="0" shapeId="0" xr:uid="{225CB914-F906-4A82-8FC6-97DC44DB2951}">
      <text>
        <r>
          <rPr>
            <sz val="9"/>
            <color indexed="81"/>
            <rFont val="Tahoma"/>
            <family val="2"/>
          </rPr>
          <t>PW</t>
        </r>
      </text>
    </comment>
  </commentList>
</comments>
</file>

<file path=xl/sharedStrings.xml><?xml version="1.0" encoding="utf-8"?>
<sst xmlns="http://schemas.openxmlformats.org/spreadsheetml/2006/main" count="303" uniqueCount="173">
  <si>
    <t>Forces and Moments</t>
  </si>
  <si>
    <t>Display Results for Member :</t>
  </si>
  <si>
    <t>Member End Results Sheet</t>
  </si>
  <si>
    <t>unit:</t>
  </si>
  <si>
    <t>pw: 1</t>
  </si>
  <si>
    <t>Displacements and Rotations</t>
  </si>
  <si>
    <t>mm</t>
  </si>
  <si>
    <t>AY</t>
  </si>
  <si>
    <t>Yb</t>
  </si>
  <si>
    <t>Y-Yb</t>
  </si>
  <si>
    <t>A(Y-Yb)^2</t>
  </si>
  <si>
    <t>Ioz</t>
  </si>
  <si>
    <t>A</t>
  </si>
  <si>
    <t>[mm^2]</t>
  </si>
  <si>
    <t>Iz</t>
  </si>
  <si>
    <t>[mm^4]</t>
  </si>
  <si>
    <t>Iy</t>
  </si>
  <si>
    <t>J</t>
  </si>
  <si>
    <t>b/2t =</t>
  </si>
  <si>
    <t>h/w =</t>
  </si>
  <si>
    <t>Fy</t>
  </si>
  <si>
    <t>Icz</t>
  </si>
  <si>
    <t>Icy</t>
  </si>
  <si>
    <t>Steel</t>
  </si>
  <si>
    <t>Top Flange</t>
  </si>
  <si>
    <t>Web</t>
  </si>
  <si>
    <t>Bottom Flange</t>
  </si>
  <si>
    <t>Width</t>
  </si>
  <si>
    <t>Height</t>
  </si>
  <si>
    <t>Y</t>
  </si>
  <si>
    <t>E</t>
  </si>
  <si>
    <t>G</t>
  </si>
  <si>
    <t>[MPa]</t>
  </si>
  <si>
    <t>[GPa]</t>
  </si>
  <si>
    <t>[mm]</t>
  </si>
  <si>
    <t>My</t>
  </si>
  <si>
    <t>[kNm]</t>
  </si>
  <si>
    <t>Mu</t>
  </si>
  <si>
    <t>ω2</t>
  </si>
  <si>
    <t>Mmax</t>
  </si>
  <si>
    <t>Ma</t>
  </si>
  <si>
    <t>Mb</t>
  </si>
  <si>
    <t>Mc</t>
  </si>
  <si>
    <t>B1</t>
  </si>
  <si>
    <t>B2</t>
  </si>
  <si>
    <r>
      <rPr>
        <sz val="10"/>
        <color theme="1"/>
        <rFont val="Calibri"/>
        <family val="2"/>
      </rPr>
      <t>β</t>
    </r>
    <r>
      <rPr>
        <sz val="10"/>
        <color theme="1"/>
        <rFont val="Arial Narrow"/>
        <family val="2"/>
      </rPr>
      <t>x</t>
    </r>
  </si>
  <si>
    <t>Cw</t>
  </si>
  <si>
    <t>w</t>
  </si>
  <si>
    <t>[mm^3]</t>
  </si>
  <si>
    <r>
      <rPr>
        <sz val="10"/>
        <color theme="1"/>
        <rFont val="Calibri"/>
        <family val="2"/>
      </rPr>
      <t>φ</t>
    </r>
    <r>
      <rPr>
        <sz val="10"/>
        <color theme="1"/>
        <rFont val="Arial Narrow"/>
        <family val="2"/>
      </rPr>
      <t>s</t>
    </r>
  </si>
  <si>
    <t>St</t>
  </si>
  <si>
    <t>Sb</t>
  </si>
  <si>
    <t>Mr</t>
  </si>
  <si>
    <t>Mf</t>
  </si>
  <si>
    <t>Results from Analysis</t>
  </si>
  <si>
    <t>[kN/m^3]</t>
  </si>
  <si>
    <t>Properties for Input</t>
  </si>
  <si>
    <t>0.67My</t>
  </si>
  <si>
    <r>
      <rPr>
        <sz val="10"/>
        <color theme="1"/>
        <rFont val="Calibri"/>
        <family val="2"/>
      </rPr>
      <t>φ</t>
    </r>
    <r>
      <rPr>
        <sz val="10"/>
        <color theme="1"/>
        <rFont val="Arial Narrow"/>
        <family val="2"/>
      </rPr>
      <t>sMy</t>
    </r>
  </si>
  <si>
    <t>Mr'</t>
  </si>
  <si>
    <t>a</t>
  </si>
  <si>
    <t>kv</t>
  </si>
  <si>
    <t>Fcr</t>
  </si>
  <si>
    <t>Ft</t>
  </si>
  <si>
    <t>Fs</t>
  </si>
  <si>
    <t>Vr</t>
  </si>
  <si>
    <t>[kN]</t>
  </si>
  <si>
    <t>γ</t>
  </si>
  <si>
    <t>Shear Resistance</t>
  </si>
  <si>
    <t>Moment Resistance</t>
  </si>
  <si>
    <t>Vf</t>
  </si>
  <si>
    <t>Vf/Vr</t>
  </si>
  <si>
    <t>Mf/Mr</t>
  </si>
  <si>
    <t>0.727Mf/Mr+0.455Vf/Vr</t>
  </si>
  <si>
    <t>[kN/mm]</t>
  </si>
  <si>
    <t>Unbraced Segment Members</t>
  </si>
  <si>
    <t>Classification</t>
  </si>
  <si>
    <t>Section</t>
  </si>
  <si>
    <t>Combined Shear and Moment</t>
  </si>
  <si>
    <t>pw : 1</t>
  </si>
  <si>
    <t>account for stiffeners</t>
  </si>
  <si>
    <t xml:space="preserve">Load modifier to </t>
  </si>
  <si>
    <t>(CSA S6-14 Cl 10.10)</t>
  </si>
  <si>
    <t>Asphalt</t>
  </si>
  <si>
    <t>t</t>
  </si>
  <si>
    <t>w per girder</t>
  </si>
  <si>
    <t>Apply on all girders</t>
  </si>
  <si>
    <t>Orthotropic Steel Deck</t>
  </si>
  <si>
    <t>Concrete Deck</t>
  </si>
  <si>
    <t>assume</t>
  </si>
  <si>
    <t>lighter than concrete deck (CANAM)</t>
  </si>
  <si>
    <t>Apply on exterior girders</t>
  </si>
  <si>
    <t>WIND LOAD</t>
  </si>
  <si>
    <t>(CSA S6-14 Cl 3.10)</t>
  </si>
  <si>
    <t>q</t>
  </si>
  <si>
    <t>Ce</t>
  </si>
  <si>
    <t>Cg</t>
  </si>
  <si>
    <t>Ch</t>
  </si>
  <si>
    <t>Cv</t>
  </si>
  <si>
    <t>16-25 m</t>
  </si>
  <si>
    <t>Horizontal</t>
  </si>
  <si>
    <t>Vertical</t>
  </si>
  <si>
    <t>Not sensitive</t>
  </si>
  <si>
    <t>[Pa]</t>
  </si>
  <si>
    <t>Fh</t>
  </si>
  <si>
    <t>Fv</t>
  </si>
  <si>
    <t>Waterloo - 10 Year Return Rate</t>
  </si>
  <si>
    <t>self-weight</t>
  </si>
  <si>
    <t>wh</t>
  </si>
  <si>
    <t>wv</t>
  </si>
  <si>
    <t>(Based on MTO design guide and CANAM specification)</t>
  </si>
  <si>
    <t>Concrete Barrier</t>
  </si>
  <si>
    <t>m</t>
  </si>
  <si>
    <t>Member</t>
  </si>
  <si>
    <t>Length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</si>
  <si>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</si>
  <si>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</si>
  <si>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</si>
  <si>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</si>
  <si>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</si>
  <si>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</si>
  <si>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</si>
  <si>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</si>
  <si>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</si>
  <si>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</si>
  <si>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</si>
  <si>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</si>
  <si>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</si>
  <si>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</si>
  <si>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</si>
  <si>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</si>
  <si>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</si>
  <si>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</si>
  <si>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</si>
  <si>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</si>
  <si>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</si>
  <si>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</si>
  <si>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</si>
  <si>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</si>
  <si>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d</t>
  </si>
  <si>
    <t>MATERIAL PROPERTIES</t>
  </si>
  <si>
    <t xml:space="preserve">STEEL PLATE GIRDER DESIGN </t>
  </si>
  <si>
    <t>STEEL PLATE GIRDER SECTION PROPERTIES</t>
  </si>
  <si>
    <t>DEAD LOAD</t>
  </si>
  <si>
    <t>Segment Members</t>
  </si>
  <si>
    <t>L</t>
  </si>
  <si>
    <t>Mf-strong</t>
  </si>
  <si>
    <t>Mf-weak</t>
  </si>
  <si>
    <t>Cross Beam</t>
  </si>
  <si>
    <t>Mr-strong</t>
  </si>
  <si>
    <t>Mr-weak</t>
  </si>
  <si>
    <t>b</t>
  </si>
  <si>
    <t>Sy</t>
  </si>
  <si>
    <t>Sz</t>
  </si>
  <si>
    <t>Zy</t>
  </si>
  <si>
    <t>Zz</t>
  </si>
  <si>
    <t>(CSA S16-16 Cl 13.4 &amp; Cl 13.5)</t>
  </si>
  <si>
    <t>[10^3mm^3]</t>
  </si>
  <si>
    <t>W250x80</t>
  </si>
  <si>
    <t>[10^6mm^3]</t>
  </si>
  <si>
    <t>[10^3mm^4]</t>
  </si>
  <si>
    <t>Flange</t>
  </si>
  <si>
    <t>CROSS BEAM PROPERTIES AND DESIGN</t>
  </si>
  <si>
    <t>Assume L-T buckling</t>
  </si>
  <si>
    <t>will not govern</t>
  </si>
  <si>
    <t>Node</t>
  </si>
  <si>
    <t>P1</t>
  </si>
  <si>
    <t>P2</t>
  </si>
  <si>
    <t>P3</t>
  </si>
  <si>
    <t>P4</t>
  </si>
  <si>
    <t>P5</t>
  </si>
  <si>
    <t>P6</t>
  </si>
  <si>
    <t>Factored effects are magnitude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</si>
</sst>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Arial Nova"/>
      <family val="2"/>
    </font>
    <font>
      <b/>
      <sz val="10"/>
      <color theme="1"/>
      <name val="Arial Narrow"/>
      <family val="2"/>
    </font>
    <font>
      <b/>
      <sz val="10"/>
      <color theme="1"/>
      <name val="Arial Nova"/>
      <family val="2"/>
    </font>
    <font>
      <sz val="10"/>
      <color theme="0" tint="-0.14999847407452621"/>
      <name val="Arial Nov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0" tint="-0.1499984740745262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5" fillId="2" borderId="7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3" borderId="6" xfId="0" applyFont="1" applyFill="1" applyBorder="1" applyAlignment="1">
      <alignment horizontal="center" vertical="center"/>
    </xf>
    <xf numFmtId="11" fontId="1" fillId="3" borderId="6" xfId="0" applyNumberFormat="1" applyFont="1" applyFill="1" applyBorder="1" applyAlignment="1">
      <alignment horizontal="center" vertical="center"/>
    </xf>
    <xf numFmtId="11" fontId="1" fillId="3" borderId="7" xfId="0" applyNumberFormat="1" applyFont="1" applyFill="1" applyBorder="1" applyAlignment="1">
      <alignment horizontal="center" vertical="center"/>
    </xf>
    <xf numFmtId="11" fontId="1" fillId="3" borderId="0" xfId="0" applyNumberFormat="1" applyFont="1" applyFill="1" applyBorder="1" applyAlignment="1">
      <alignment horizontal="center" vertical="center"/>
    </xf>
    <xf numFmtId="11" fontId="1" fillId="3" borderId="9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1" fontId="1" fillId="3" borderId="11" xfId="0" applyNumberFormat="1" applyFont="1" applyFill="1" applyBorder="1" applyAlignment="1">
      <alignment horizontal="center" vertical="center"/>
    </xf>
    <xf numFmtId="11" fontId="1" fillId="3" borderId="12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164" fontId="1" fillId="3" borderId="11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 applyProtection="1">
      <alignment horizontal="center" vertical="center"/>
      <protection locked="0"/>
    </xf>
    <xf numFmtId="1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1" fillId="3" borderId="0" xfId="0" applyFont="1" applyFill="1" applyBorder="1" applyAlignment="1" applyProtection="1">
      <alignment horizontal="center" vertical="center"/>
      <protection locked="0"/>
    </xf>
    <xf numFmtId="2" fontId="1" fillId="3" borderId="12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3" borderId="7" xfId="0" applyNumberFormat="1" applyFont="1" applyFill="1" applyBorder="1" applyAlignment="1">
      <alignment horizontal="right" vertical="center"/>
    </xf>
    <xf numFmtId="165" fontId="1" fillId="3" borderId="12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11" fontId="1" fillId="3" borderId="0" xfId="0" applyNumberFormat="1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NumberFormat="1" applyFont="1" applyFill="1" applyBorder="1" applyAlignment="1">
      <alignment horizontal="center" vertical="center"/>
    </xf>
    <xf numFmtId="11" fontId="1" fillId="2" borderId="6" xfId="0" applyNumberFormat="1" applyFont="1" applyFill="1" applyBorder="1" applyAlignment="1">
      <alignment horizontal="center" vertical="center"/>
    </xf>
    <xf numFmtId="11" fontId="1" fillId="2" borderId="7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center" vertical="center"/>
    </xf>
    <xf numFmtId="11" fontId="1" fillId="2" borderId="11" xfId="0" applyNumberFormat="1" applyFont="1" applyFill="1" applyBorder="1" applyAlignment="1">
      <alignment horizontal="center" vertical="center"/>
    </xf>
    <xf numFmtId="11" fontId="1" fillId="2" borderId="12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 wrapText="1"/>
    </xf>
    <xf numFmtId="164" fontId="1" fillId="3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1" fillId="3" borderId="0" xfId="0" applyNumberFormat="1" applyFont="1" applyFill="1" applyBorder="1" applyAlignment="1">
      <alignment horizontal="left" vertical="center"/>
    </xf>
    <xf numFmtId="164" fontId="1" fillId="3" borderId="6" xfId="0" applyNumberFormat="1" applyFont="1" applyFill="1" applyBorder="1" applyAlignment="1">
      <alignment horizontal="center" vertical="center"/>
    </xf>
    <xf numFmtId="165" fontId="1" fillId="3" borderId="9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5" fontId="1" fillId="2" borderId="12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right" vertical="center"/>
    </xf>
    <xf numFmtId="0" fontId="1" fillId="3" borderId="11" xfId="0" applyNumberFormat="1" applyFont="1" applyFill="1" applyBorder="1" applyAlignment="1">
      <alignment horizontal="right" vertical="center"/>
    </xf>
    <xf numFmtId="0" fontId="1" fillId="3" borderId="0" xfId="0" applyNumberFormat="1" applyFont="1" applyFill="1" applyBorder="1" applyAlignment="1">
      <alignment vertical="center"/>
    </xf>
    <xf numFmtId="0" fontId="1" fillId="3" borderId="0" xfId="0" applyNumberFormat="1" applyFont="1" applyFill="1" applyBorder="1" applyAlignment="1">
      <alignment horizontal="right" vertical="center" wrapText="1"/>
    </xf>
    <xf numFmtId="0" fontId="1" fillId="3" borderId="0" xfId="0" applyNumberFormat="1" applyFont="1" applyFill="1" applyBorder="1" applyAlignment="1" applyProtection="1">
      <alignment horizontal="center" vertical="center"/>
      <protection locked="0"/>
    </xf>
    <xf numFmtId="9" fontId="1" fillId="3" borderId="0" xfId="1" applyFont="1" applyFill="1" applyBorder="1" applyAlignment="1" applyProtection="1">
      <alignment horizontal="center" vertical="center"/>
      <protection locked="0"/>
    </xf>
    <xf numFmtId="0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NumberFormat="1" applyFont="1" applyFill="1" applyBorder="1" applyAlignment="1" applyProtection="1">
      <alignment horizontal="center" vertical="center"/>
      <protection locked="0"/>
    </xf>
    <xf numFmtId="0" fontId="1" fillId="2" borderId="6" xfId="0" applyNumberFormat="1" applyFont="1" applyFill="1" applyBorder="1" applyAlignment="1">
      <alignment horizontal="left" vertical="center"/>
    </xf>
    <xf numFmtId="0" fontId="1" fillId="2" borderId="6" xfId="0" applyNumberFormat="1" applyFont="1" applyFill="1" applyBorder="1" applyAlignment="1">
      <alignment horizontal="right" vertical="center"/>
    </xf>
    <xf numFmtId="0" fontId="1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NumberFormat="1" applyFont="1" applyFill="1" applyBorder="1" applyAlignment="1">
      <alignment horizontal="left"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3" borderId="6" xfId="0" applyNumberFormat="1" applyFont="1" applyFill="1" applyBorder="1" applyAlignment="1" applyProtection="1">
      <alignment horizontal="center" vertical="center"/>
      <protection locked="0"/>
    </xf>
    <xf numFmtId="0" fontId="1" fillId="3" borderId="6" xfId="0" applyNumberFormat="1" applyFont="1" applyFill="1" applyBorder="1" applyAlignment="1">
      <alignment horizontal="center" vertical="center"/>
    </xf>
    <xf numFmtId="165" fontId="1" fillId="3" borderId="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3" borderId="11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 applyProtection="1">
      <alignment horizontal="left" vertical="center"/>
      <protection locked="0"/>
    </xf>
    <xf numFmtId="164" fontId="1" fillId="3" borderId="3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12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 applyProtection="1">
      <alignment horizontal="right" vertical="center"/>
      <protection locked="0"/>
    </xf>
    <xf numFmtId="0" fontId="1" fillId="0" borderId="0" xfId="0" applyNumberFormat="1" applyFont="1" applyAlignment="1">
      <alignment horizontal="center" vertical="center"/>
    </xf>
    <xf numFmtId="0" fontId="1" fillId="3" borderId="11" xfId="0" applyFont="1" applyFill="1" applyBorder="1" applyAlignment="1" applyProtection="1">
      <alignment horizontal="center" vertical="center"/>
    </xf>
    <xf numFmtId="166" fontId="1" fillId="3" borderId="11" xfId="0" applyNumberFormat="1" applyFont="1" applyFill="1" applyBorder="1" applyAlignment="1">
      <alignment horizontal="center" vertical="center"/>
    </xf>
    <xf numFmtId="166" fontId="1" fillId="3" borderId="11" xfId="0" applyNumberFormat="1" applyFont="1" applyFill="1" applyBorder="1" applyAlignment="1" applyProtection="1">
      <alignment horizontal="center" vertical="center"/>
      <protection locked="0"/>
    </xf>
    <xf numFmtId="0" fontId="1" fillId="3" borderId="11" xfId="0" applyNumberFormat="1" applyFont="1" applyFill="1" applyBorder="1" applyAlignment="1" applyProtection="1">
      <alignment horizontal="center" vertical="center"/>
    </xf>
    <xf numFmtId="11" fontId="1" fillId="3" borderId="11" xfId="0" applyNumberFormat="1" applyFont="1" applyFill="1" applyBorder="1" applyAlignment="1" applyProtection="1">
      <alignment horizontal="center" vertical="center"/>
    </xf>
    <xf numFmtId="165" fontId="1" fillId="3" borderId="12" xfId="0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right" vertical="center"/>
      <protection locked="0"/>
    </xf>
    <xf numFmtId="0" fontId="1" fillId="0" borderId="6" xfId="0" applyFont="1" applyBorder="1" applyAlignment="1">
      <alignment horizontal="center" vertical="center"/>
    </xf>
    <xf numFmtId="165" fontId="1" fillId="3" borderId="6" xfId="0" applyNumberFormat="1" applyFont="1" applyFill="1" applyBorder="1" applyAlignment="1">
      <alignment horizontal="center" vertical="center"/>
    </xf>
    <xf numFmtId="166" fontId="1" fillId="0" borderId="11" xfId="0" applyNumberFormat="1" applyFont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>
      <alignment horizontal="center" vertical="center"/>
    </xf>
    <xf numFmtId="2" fontId="1" fillId="3" borderId="11" xfId="0" quotePrefix="1" applyNumberFormat="1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24845</xdr:colOff>
      <xdr:row>8</xdr:row>
      <xdr:rowOff>124239</xdr:rowOff>
    </xdr:from>
    <xdr:to>
      <xdr:col>20</xdr:col>
      <xdr:colOff>231912</xdr:colOff>
      <xdr:row>25</xdr:row>
      <xdr:rowOff>125574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253A379-1A96-47ED-975B-979A29AFF9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10" t="6373" r="7860" b="6944"/>
        <a:stretch/>
      </xdr:blipFill>
      <xdr:spPr>
        <a:xfrm>
          <a:off x="1209258" y="1002196"/>
          <a:ext cx="3934241" cy="2833987"/>
        </a:xfrm>
        <a:prstGeom prst="rect">
          <a:avLst/>
        </a:prstGeom>
      </xdr:spPr>
    </xdr:pic>
    <xdr:clientData/>
  </xdr:twoCellAnchor>
  <xdr:oneCellAnchor>
    <xdr:from>
      <xdr:col>5</xdr:col>
      <xdr:colOff>24845</xdr:colOff>
      <xdr:row>32</xdr:row>
      <xdr:rowOff>124239</xdr:rowOff>
    </xdr:from>
    <xdr:ext cx="3934241" cy="2833987"/>
    <xdr:pic>
      <xdr:nvPicPr>
        <xdr:cNvPr id="8" name="Picture 7">
          <a:extLst>
            <a:ext uri="{FF2B5EF4-FFF2-40B4-BE49-F238E27FC236}">
              <a16:creationId xmlns:a16="http://schemas.microsoft.com/office/drawing/2014/main" id="{87427C46-1ACD-4075-9079-49AC17DBD5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10" t="6373" r="7860" b="6944"/>
        <a:stretch/>
      </xdr:blipFill>
      <xdr:spPr>
        <a:xfrm>
          <a:off x="1209258" y="1200978"/>
          <a:ext cx="3934241" cy="283398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BDC5-5BC1-4C32-BA4A-600ED55E22C3}">
  <sheetPr codeName="Sheet6">
    <tabColor rgb="FF00B050"/>
  </sheetPr>
  <dimension ref="A1:AG54"/>
  <sheetViews>
    <sheetView tabSelected="1" showWhiteSpace="0" zoomScaleNormal="100" workbookViewId="0">
      <selection activeCell="Y12" sqref="Y12"/>
    </sheetView>
  </sheetViews>
  <sheetFormatPr defaultRowHeight="12.75" x14ac:dyDescent="0.25"/>
  <cols>
    <col min="1" max="1" width="2.85546875" style="1" customWidth="1"/>
    <col min="2" max="25" width="3.7109375" style="1" customWidth="1"/>
    <col min="26" max="26" width="2.85546875" style="1" customWidth="1"/>
    <col min="27" max="16384" width="9.140625" style="1"/>
  </cols>
  <sheetData>
    <row r="1" spans="1:26" ht="13.5" thickBot="1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" customHeight="1" x14ac:dyDescent="0.25">
      <c r="A2" s="11"/>
      <c r="B2" s="25" t="s">
        <v>2</v>
      </c>
      <c r="C2" s="19"/>
      <c r="D2" s="19"/>
      <c r="E2" s="19"/>
      <c r="F2" s="19"/>
      <c r="G2" s="19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37" t="s">
        <v>4</v>
      </c>
      <c r="Z2" s="11"/>
    </row>
    <row r="3" spans="1:26" ht="15.75" customHeight="1" thickBot="1" x14ac:dyDescent="0.3">
      <c r="A3" s="11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3"/>
      <c r="Z3" s="11"/>
    </row>
    <row r="4" spans="1:26" ht="15.75" customHeight="1" thickBot="1" x14ac:dyDescent="0.3">
      <c r="A4" s="11"/>
      <c r="B4" s="27" t="s">
        <v>1</v>
      </c>
      <c r="C4" s="16"/>
      <c r="D4" s="16"/>
      <c r="E4" s="16"/>
      <c r="F4" s="16"/>
      <c r="G4" s="16"/>
      <c r="H4" s="16"/>
      <c r="I4" s="36">
        <v>20</v>
      </c>
      <c r="J4" s="24"/>
      <c r="K4" s="17"/>
      <c r="L4" s="17"/>
      <c r="M4" s="17"/>
      <c r="N4" s="17"/>
      <c r="O4" s="17"/>
      <c r="P4" s="17"/>
      <c r="Q4" s="28"/>
      <c r="R4" s="16"/>
      <c r="S4" s="16"/>
      <c r="T4" s="16"/>
      <c r="U4" s="16"/>
      <c r="V4" s="16"/>
      <c r="W4" s="16"/>
      <c r="X4" s="16"/>
      <c r="Y4" s="18"/>
      <c r="Z4" s="11"/>
    </row>
    <row r="5" spans="1:26" ht="13.5" thickBot="1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thickBot="1" x14ac:dyDescent="0.3">
      <c r="A6" s="11"/>
      <c r="B6" s="29" t="s">
        <v>0</v>
      </c>
      <c r="C6" s="30"/>
      <c r="D6" s="30"/>
      <c r="E6" s="30"/>
      <c r="F6" s="30"/>
      <c r="G6" s="30"/>
      <c r="H6" s="33"/>
      <c r="I6" s="30" t="s">
        <v>3</v>
      </c>
      <c r="J6" s="35" t="s">
        <v>112</v>
      </c>
      <c r="K6" s="30" t="str">
        <f>IF(OR(J6="m",J6="mm",J6="ft",J6="in"),"","check units")</f>
        <v/>
      </c>
      <c r="L6" s="34"/>
      <c r="M6" s="34"/>
      <c r="N6" s="34"/>
      <c r="O6" s="34"/>
      <c r="P6" s="32">
        <f>IF($J$6="m", 0.001, 1)</f>
        <v>1E-3</v>
      </c>
      <c r="Q6" s="32">
        <f>IF($J$6="mm", 1, 1)</f>
        <v>1</v>
      </c>
      <c r="R6" s="32">
        <f>IF($J$6="ft", 1/12, 1)</f>
        <v>1</v>
      </c>
      <c r="S6" s="32">
        <f>IF($J$6="in", 1, 1)</f>
        <v>1</v>
      </c>
      <c r="T6" s="32" t="str">
        <f>IF(OR(J6="m",J6="mm"), "kN",IF(OR(J6="ft", J6="in"), "kip", "ER"))</f>
        <v>kN</v>
      </c>
      <c r="U6" s="30"/>
      <c r="V6" s="30"/>
      <c r="W6" s="30"/>
      <c r="X6" s="30"/>
      <c r="Y6" s="31"/>
      <c r="Z6" s="11"/>
    </row>
    <row r="7" spans="1:26" x14ac:dyDescent="0.25">
      <c r="A7" s="11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Z7" s="11"/>
    </row>
    <row r="8" spans="1:26" x14ac:dyDescent="0.25">
      <c r="A8" s="11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11"/>
    </row>
    <row r="9" spans="1:26" x14ac:dyDescent="0.25">
      <c r="A9" s="11"/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0" t="str">
        <f>"Q9 = " &amp; ROUNDDOWN(VLOOKUP($I$4,'member end fm'!$A$1:$M$100000,10,0),1) &amp; " " &amp;$T$6</f>
        <v>Q9 = -0.1 kN</v>
      </c>
      <c r="O9" s="8"/>
      <c r="P9" s="8"/>
      <c r="Q9" s="8"/>
      <c r="R9" s="8"/>
      <c r="S9" s="8"/>
      <c r="T9" s="8" t="str">
        <f>"Q7 = " &amp; ROUNDDOWN(VLOOKUP($I$4,'member end fm'!$A$1:$M$100000,8,0),1) &amp; " " &amp;$T$6</f>
        <v>Q7 = 48 kN</v>
      </c>
      <c r="U9" s="11"/>
      <c r="V9" s="8"/>
      <c r="W9" s="8"/>
      <c r="X9" s="8"/>
      <c r="Y9" s="9"/>
      <c r="Z9" s="11"/>
    </row>
    <row r="10" spans="1:26" x14ac:dyDescent="0.25">
      <c r="A10" s="11"/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1"/>
      <c r="V10" s="8"/>
      <c r="W10" s="8"/>
      <c r="X10" s="8"/>
      <c r="Y10" s="9"/>
      <c r="Z10" s="11"/>
    </row>
    <row r="11" spans="1:26" x14ac:dyDescent="0.25">
      <c r="A11" s="11"/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  <c r="Z11" s="11"/>
    </row>
    <row r="12" spans="1:26" x14ac:dyDescent="0.25">
      <c r="A12" s="11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0" t="str">
        <f>"Q12 = " &amp; ROUNDDOWN(VLOOKUP($I$4,'member end fm'!$A$1:$M$100000,13,0)*$P$6*$Q$6*$R$6*$S$6,1) &amp; " " &amp;$T$6&amp;$J$6</f>
        <v>Q12 = 23.1 kNm</v>
      </c>
      <c r="O12" s="8"/>
      <c r="P12" s="8"/>
      <c r="Q12" s="8"/>
      <c r="R12" s="8"/>
      <c r="S12" s="8"/>
      <c r="T12" s="8" t="str">
        <f>"Q10 = " &amp; ROUNDDOWN(VLOOKUP($I$4,'member end fm'!$A$1:$M$100000,11,0)*$P$6*$Q$6*$R$6*$S$6,1) &amp; " " &amp;$T$6&amp;$J$6</f>
        <v>Q10 = 0 kNm</v>
      </c>
      <c r="U12" s="8"/>
      <c r="V12" s="8"/>
      <c r="W12" s="8"/>
      <c r="X12" s="8"/>
      <c r="Y12" s="9"/>
      <c r="Z12" s="11"/>
    </row>
    <row r="13" spans="1:26" x14ac:dyDescent="0.25">
      <c r="A13" s="11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  <c r="Z13" s="11"/>
    </row>
    <row r="14" spans="1:26" x14ac:dyDescent="0.25">
      <c r="A14" s="11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  <c r="Z14" s="11"/>
    </row>
    <row r="15" spans="1:26" x14ac:dyDescent="0.25">
      <c r="A15" s="11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  <c r="Z15" s="11"/>
    </row>
    <row r="16" spans="1:26" x14ac:dyDescent="0.25">
      <c r="A16" s="11"/>
      <c r="B16" s="7"/>
      <c r="C16" s="8"/>
      <c r="D16" s="8"/>
      <c r="E16" s="8"/>
      <c r="F16" s="11"/>
      <c r="G16" s="1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 t="str">
        <f>"Q11 = " &amp; ROUNDDOWN(VLOOKUP($I$4,'member end fm'!$A$1:$M$100000,12,0)*$P$6*$Q$6*$R$6*$S$6,1) &amp; " " &amp;$T$6&amp;$J$6</f>
        <v>Q11 = -0.3 kNm</v>
      </c>
      <c r="T16" s="8"/>
      <c r="U16" s="8"/>
      <c r="V16" s="8"/>
      <c r="W16" s="8"/>
      <c r="X16" s="8"/>
      <c r="Y16" s="9"/>
      <c r="Z16" s="11"/>
    </row>
    <row r="17" spans="1:29" x14ac:dyDescent="0.25">
      <c r="A17" s="11"/>
      <c r="B17" s="7"/>
      <c r="C17" s="8"/>
      <c r="D17" s="8"/>
      <c r="E17" s="11"/>
      <c r="F17" s="8" t="str">
        <f>"Q6 = " &amp; ROUNDDOWN(VLOOKUP($I$4,'member end fm'!$A$1:$M$100000,7,0)*$P$6*$Q$6*$R$6*$S$6,1) &amp; " " &amp;$T$6&amp;$J$6</f>
        <v>Q6 = 50.1 kNm</v>
      </c>
      <c r="G17" s="1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11"/>
    </row>
    <row r="18" spans="1:29" ht="13.5" thickBot="1" x14ac:dyDescent="0.3">
      <c r="A18" s="11"/>
      <c r="B18" s="7"/>
      <c r="C18" s="8"/>
      <c r="D18" s="8"/>
      <c r="E18" s="10" t="str">
        <f>"Q3 = " &amp; ROUNDDOWN(VLOOKUP($I$4,'member end fm'!$A$1:$M$100000,4,0),1) &amp; " " &amp;$T$6</f>
        <v>Q3 = 0.1 kN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 t="str">
        <f>"Q8 = " &amp; ROUNDDOWN(VLOOKUP($I$4,'member end fm'!$A$1:$M$100000,9,0),1) &amp; " " &amp;$T$6</f>
        <v>Q8 = -18.7 kN</v>
      </c>
      <c r="S18" s="8"/>
      <c r="T18" s="8"/>
      <c r="U18" s="8"/>
      <c r="V18" s="8"/>
      <c r="W18" s="8"/>
      <c r="X18" s="8"/>
      <c r="Y18" s="9"/>
      <c r="Z18" s="11"/>
    </row>
    <row r="19" spans="1:29" ht="13.5" thickBot="1" x14ac:dyDescent="0.3">
      <c r="A19" s="11"/>
      <c r="B19" s="7"/>
      <c r="C19" s="8"/>
      <c r="D19" s="8"/>
      <c r="E19" s="11"/>
      <c r="F19" s="8"/>
      <c r="G19" s="8"/>
      <c r="H19" s="8"/>
      <c r="I19" s="8"/>
      <c r="J19" s="8"/>
      <c r="K19" s="8"/>
      <c r="L19" s="8"/>
      <c r="M19" s="8"/>
      <c r="N19" s="12">
        <f>$I$4</f>
        <v>20</v>
      </c>
      <c r="O19" s="11"/>
      <c r="P19" s="8"/>
      <c r="Q19" s="8"/>
      <c r="R19" s="8"/>
      <c r="S19" s="8"/>
      <c r="T19" s="8"/>
      <c r="U19" s="8"/>
      <c r="V19" s="8"/>
      <c r="W19" s="8"/>
      <c r="X19" s="8"/>
      <c r="Y19" s="9"/>
      <c r="Z19" s="11"/>
    </row>
    <row r="20" spans="1:29" x14ac:dyDescent="0.25">
      <c r="A20" s="11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26" t="str">
        <f>"L = " &amp; ROUNDDOWN(VLOOKUP($I$4,'member prop'!$A$1:$B$100000,2,0)*$P$6*$Q$6*$R$6*$S$6,2) &amp; " " &amp;J6</f>
        <v>L = 3.9 m</v>
      </c>
      <c r="O20" s="8"/>
      <c r="P20" s="11"/>
      <c r="Q20" s="8"/>
      <c r="R20" s="8"/>
      <c r="S20" s="8"/>
      <c r="T20" s="8"/>
      <c r="U20" s="8"/>
      <c r="V20" s="8"/>
      <c r="W20" s="8"/>
      <c r="X20" s="8"/>
      <c r="Y20" s="9"/>
      <c r="Z20" s="11"/>
    </row>
    <row r="21" spans="1:29" x14ac:dyDescent="0.25">
      <c r="A21" s="11"/>
      <c r="B21" s="7"/>
      <c r="C21" s="8"/>
      <c r="D21" s="8"/>
      <c r="E21" s="10" t="str">
        <f>"Q4 = " &amp; ROUNDDOWN(VLOOKUP($I$4,'member end fm'!$A$1:$M$100000,5,0)*$P$6*$Q$6*$R$6*$S$6,1) &amp; " " &amp;$T$6&amp;$J$6</f>
        <v>Q4 = 0 kNm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9"/>
      <c r="Z21" s="11"/>
    </row>
    <row r="22" spans="1:29" x14ac:dyDescent="0.25">
      <c r="A22" s="11"/>
      <c r="B22" s="7"/>
      <c r="C22" s="8"/>
      <c r="D22" s="8"/>
      <c r="E22" s="11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9"/>
      <c r="Z22" s="11"/>
    </row>
    <row r="23" spans="1:29" x14ac:dyDescent="0.25">
      <c r="A23" s="11"/>
      <c r="B23" s="7"/>
      <c r="C23" s="8"/>
      <c r="D23" s="8"/>
      <c r="E23" s="10" t="str">
        <f>"Q1 = " &amp; ROUNDDOWN(VLOOKUP($I$4,'member end fm'!$A$1:$M$100000,2,0),1) &amp; " " &amp;$T$6</f>
        <v>Q1 = -48 kN</v>
      </c>
      <c r="F23" s="8"/>
      <c r="G23" s="8"/>
      <c r="H23" s="8"/>
      <c r="I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9"/>
      <c r="Z23" s="11"/>
    </row>
    <row r="24" spans="1:29" x14ac:dyDescent="0.25">
      <c r="A24" s="11"/>
      <c r="B24" s="7"/>
      <c r="C24" s="8"/>
      <c r="D24" s="8"/>
      <c r="E24" s="11"/>
      <c r="F24" s="11"/>
      <c r="G24" s="8"/>
      <c r="H24" s="8"/>
      <c r="I24" s="8"/>
      <c r="J24" s="8" t="str">
        <f>"Q5 = " &amp; ROUNDDOWN(VLOOKUP($I$4,'member end fm'!$A$1:$M$100000,6,0)*$P$6*$Q$6*$R$6*$S$6,1) &amp; " " &amp;$T$6&amp;$J$6</f>
        <v>Q5 = -0.1 kNm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11"/>
    </row>
    <row r="25" spans="1:29" x14ac:dyDescent="0.25">
      <c r="A25" s="11"/>
      <c r="B25" s="7"/>
      <c r="C25" s="8"/>
      <c r="D25" s="8"/>
      <c r="E25" s="11"/>
      <c r="F25" s="11"/>
      <c r="G25" s="8"/>
      <c r="H25" s="8"/>
      <c r="I25" s="11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11"/>
    </row>
    <row r="26" spans="1:29" x14ac:dyDescent="0.25">
      <c r="A26" s="11"/>
      <c r="B26" s="7"/>
      <c r="C26" s="8"/>
      <c r="D26" s="8"/>
      <c r="E26" s="11"/>
      <c r="F26" s="8"/>
      <c r="G26" s="8"/>
      <c r="H26" s="8"/>
      <c r="I26" s="8" t="str">
        <f>"Q2 = " &amp; ROUNDDOWN(VLOOKUP($I$4,'member end fm'!$A$1:$M$100000,3,0),1) &amp; " " &amp;$T$6</f>
        <v>Q2 = 18.7 kN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11"/>
    </row>
    <row r="27" spans="1:29" x14ac:dyDescent="0.25">
      <c r="A27" s="11"/>
      <c r="B27" s="7"/>
      <c r="C27" s="8"/>
      <c r="D27" s="8"/>
      <c r="E27" s="8"/>
      <c r="F27" s="8"/>
      <c r="G27" s="11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11"/>
    </row>
    <row r="28" spans="1:29" ht="13.5" thickBot="1" x14ac:dyDescent="0.3">
      <c r="A28" s="11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5"/>
      <c r="Z28" s="11"/>
    </row>
    <row r="29" spans="1:29" ht="13.5" thickBot="1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9" ht="13.5" thickBot="1" x14ac:dyDescent="0.3">
      <c r="A30" s="11"/>
      <c r="B30" s="29" t="s">
        <v>5</v>
      </c>
      <c r="C30" s="30"/>
      <c r="D30" s="30"/>
      <c r="E30" s="30"/>
      <c r="F30" s="30"/>
      <c r="G30" s="30"/>
      <c r="H30" s="30"/>
      <c r="I30" s="30" t="s">
        <v>3</v>
      </c>
      <c r="J30" s="35" t="s">
        <v>6</v>
      </c>
      <c r="K30" s="30" t="str">
        <f>IF(OR(J30="m",J30="mm",J30="ft",J30="in"),"","check units")</f>
        <v/>
      </c>
      <c r="L30" s="30"/>
      <c r="M30" s="30"/>
      <c r="N30" s="30"/>
      <c r="O30" s="30"/>
      <c r="P30" s="32">
        <f>IF($J$30="m", 0.001, 1)</f>
        <v>1</v>
      </c>
      <c r="Q30" s="32">
        <f>IF($J$30="mm", 1, 1)</f>
        <v>1</v>
      </c>
      <c r="R30" s="32">
        <f>IF($J$30="ft", 1/12, 1)</f>
        <v>1</v>
      </c>
      <c r="S30" s="32">
        <f>IF($J$30="in", 1, 1)</f>
        <v>1</v>
      </c>
      <c r="T30" s="32" t="str">
        <f>IF(OR(J30="m",J30="mm"), "kN",IF(OR(J30="ft", J30="in"), "kip", "ER"))</f>
        <v>kN</v>
      </c>
      <c r="U30" s="30"/>
      <c r="V30" s="30"/>
      <c r="W30" s="30"/>
      <c r="X30" s="30"/>
      <c r="Y30" s="31"/>
      <c r="Z30" s="11"/>
    </row>
    <row r="31" spans="1:29" x14ac:dyDescent="0.25">
      <c r="A31" s="11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  <c r="Z31" s="11"/>
      <c r="AC31" s="2"/>
    </row>
    <row r="32" spans="1:29" x14ac:dyDescent="0.25">
      <c r="A32" s="11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11"/>
      <c r="AB32" s="3"/>
    </row>
    <row r="33" spans="1:33" x14ac:dyDescent="0.25">
      <c r="A33" s="11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0" t="str">
        <f>"u9 = " &amp; ROUNDDOWN(VLOOKUP($I$4,'member end disp'!$A$1:$M$100000,10,0)*$P$30*$Q$30*$R$30*$S$30,3) &amp; " " &amp; $J$30</f>
        <v>u9 = -17.664 mm</v>
      </c>
      <c r="O33" s="8"/>
      <c r="P33" s="8"/>
      <c r="Q33" s="8"/>
      <c r="R33" s="8"/>
      <c r="S33" s="8"/>
      <c r="T33" s="8" t="str">
        <f>"u7 = " &amp; ROUNDDOWN(VLOOKUP($I$4,'member end disp'!$A$1:$M$100000,8,0)*$P$30*$Q$30*$R$30*$S$30,3) &amp; " " &amp; $J$30</f>
        <v>u7 = 19.345 mm</v>
      </c>
      <c r="U33" s="11"/>
      <c r="V33" s="8"/>
      <c r="W33" s="8"/>
      <c r="X33" s="8"/>
      <c r="Y33" s="9"/>
      <c r="Z33" s="11"/>
      <c r="AB33" s="3"/>
      <c r="AG33" s="2"/>
    </row>
    <row r="34" spans="1:33" x14ac:dyDescent="0.25">
      <c r="A34" s="11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11"/>
      <c r="V34" s="8"/>
      <c r="W34" s="8"/>
      <c r="X34" s="8"/>
      <c r="Y34" s="9"/>
      <c r="Z34" s="11"/>
      <c r="AD34" s="3"/>
    </row>
    <row r="35" spans="1:33" x14ac:dyDescent="0.25">
      <c r="A35" s="11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11"/>
      <c r="AE35" s="2"/>
    </row>
    <row r="36" spans="1:33" x14ac:dyDescent="0.25">
      <c r="A36" s="11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0" t="str">
        <f>"u12 = " &amp; ROUNDDOWN(VLOOKUP($I$4,'member end disp'!$A$1:$M$100000,13,0),3) &amp; " rad"</f>
        <v>u12 = -0.004 rad</v>
      </c>
      <c r="O36" s="8"/>
      <c r="P36" s="8"/>
      <c r="Q36" s="8"/>
      <c r="R36" s="8"/>
      <c r="S36" s="8"/>
      <c r="T36" s="8" t="str">
        <f>"u10 = " &amp; ROUNDDOWN(VLOOKUP($I$4,'member end disp'!$A$1:$M$100000,11,0),3) &amp; " rad"</f>
        <v>u10 = -0.003 rad</v>
      </c>
      <c r="U36" s="8"/>
      <c r="V36" s="8"/>
      <c r="W36" s="8"/>
      <c r="X36" s="8"/>
      <c r="Y36" s="9"/>
      <c r="Z36" s="11"/>
    </row>
    <row r="37" spans="1:33" x14ac:dyDescent="0.25">
      <c r="A37" s="11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11"/>
    </row>
    <row r="38" spans="1:33" x14ac:dyDescent="0.25">
      <c r="A38" s="11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11"/>
    </row>
    <row r="39" spans="1:33" x14ac:dyDescent="0.25">
      <c r="A39" s="11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11"/>
    </row>
    <row r="40" spans="1:33" x14ac:dyDescent="0.25">
      <c r="A40" s="11"/>
      <c r="B40" s="7"/>
      <c r="C40" s="8"/>
      <c r="D40" s="8"/>
      <c r="E40" s="8"/>
      <c r="F40" s="11"/>
      <c r="G40" s="1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 t="str">
        <f>"u11 = " &amp; ROUNDDOWN(VLOOKUP($I$4,'member end disp'!$A$1:$M$100000,12,0),3) &amp; " rad"</f>
        <v>u11 = 0 rad</v>
      </c>
      <c r="T40" s="8"/>
      <c r="U40" s="8"/>
      <c r="V40" s="8"/>
      <c r="W40" s="8"/>
      <c r="X40" s="8"/>
      <c r="Y40" s="9"/>
      <c r="Z40" s="11"/>
    </row>
    <row r="41" spans="1:33" x14ac:dyDescent="0.25">
      <c r="A41" s="11"/>
      <c r="B41" s="7"/>
      <c r="C41" s="8"/>
      <c r="D41" s="8"/>
      <c r="E41" s="11"/>
      <c r="F41" s="8" t="str">
        <f>"u6 = " &amp; ROUNDDOWN(VLOOKUP($I$4,'member end disp'!$A$1:$M$100000,7,0),3) &amp; " rad"</f>
        <v>u6 = -0.002 rad</v>
      </c>
      <c r="G41" s="11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11"/>
    </row>
    <row r="42" spans="1:33" ht="13.5" thickBot="1" x14ac:dyDescent="0.3">
      <c r="A42" s="11"/>
      <c r="B42" s="7"/>
      <c r="C42" s="8"/>
      <c r="D42" s="8"/>
      <c r="E42" s="10" t="str">
        <f>"u3 = " &amp; ROUNDDOWN(VLOOKUP($I$4,'member end disp'!$A$1:$M$100000,10,0)*$P$30*$Q$30*$R$30*$S$30,4) &amp; " " &amp; $J$30</f>
        <v>u3 = -17.6645 mm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 t="str">
        <f>"u8 = " &amp; ROUNDDOWN(VLOOKUP($I$4,'member end disp'!$A$1:$M$100000,9,0)*$P$30*$Q$30*$R$30*$S$30,3) &amp; " " &amp; $J$30</f>
        <v>u8 = -17.665 mm</v>
      </c>
      <c r="S42" s="8"/>
      <c r="T42" s="8"/>
      <c r="U42" s="8"/>
      <c r="V42" s="8"/>
      <c r="W42" s="8"/>
      <c r="X42" s="8"/>
      <c r="Y42" s="9"/>
      <c r="Z42" s="11"/>
    </row>
    <row r="43" spans="1:33" ht="13.5" thickBot="1" x14ac:dyDescent="0.3">
      <c r="A43" s="11"/>
      <c r="B43" s="7"/>
      <c r="C43" s="8"/>
      <c r="D43" s="8"/>
      <c r="E43" s="11"/>
      <c r="F43" s="8"/>
      <c r="G43" s="8"/>
      <c r="H43" s="8"/>
      <c r="I43" s="8"/>
      <c r="J43" s="8"/>
      <c r="K43" s="8"/>
      <c r="L43" s="8"/>
      <c r="M43" s="8"/>
      <c r="N43" s="12">
        <f>$I$4</f>
        <v>20</v>
      </c>
      <c r="O43" s="11"/>
      <c r="P43" s="8"/>
      <c r="Q43" s="8"/>
      <c r="R43" s="8"/>
      <c r="S43" s="8"/>
      <c r="T43" s="8"/>
      <c r="U43" s="8"/>
      <c r="V43" s="8"/>
      <c r="W43" s="8"/>
      <c r="X43" s="8"/>
      <c r="Y43" s="9"/>
      <c r="Z43" s="11"/>
    </row>
    <row r="44" spans="1:33" x14ac:dyDescent="0.25">
      <c r="A44" s="11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26" t="str">
        <f>"L = " &amp; ROUNDDOWN(VLOOKUP($I$4,'member prop'!$A$1:$B$100000,2,0)*$P$30*$Q$30*$R$30*$S$30,2) &amp; " " &amp;J30</f>
        <v>L = 3905.12 mm</v>
      </c>
      <c r="O44" s="8"/>
      <c r="P44" s="11"/>
      <c r="Q44" s="8"/>
      <c r="R44" s="8"/>
      <c r="S44" s="8"/>
      <c r="T44" s="8"/>
      <c r="U44" s="8"/>
      <c r="V44" s="8"/>
      <c r="W44" s="8"/>
      <c r="X44" s="8"/>
      <c r="Y44" s="9"/>
      <c r="Z44" s="11"/>
    </row>
    <row r="45" spans="1:33" x14ac:dyDescent="0.25">
      <c r="A45" s="11"/>
      <c r="B45" s="7"/>
      <c r="C45" s="8"/>
      <c r="D45" s="8"/>
      <c r="E45" s="10" t="str">
        <f>"u4 = " &amp; ROUNDDOWN(VLOOKUP($I$4,'member end disp'!$A$1:$M$100000,5,0),3) &amp; " rad"</f>
        <v>u4 = -0.001 rad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11"/>
    </row>
    <row r="46" spans="1:33" x14ac:dyDescent="0.25">
      <c r="A46" s="11"/>
      <c r="B46" s="7"/>
      <c r="C46" s="8"/>
      <c r="D46" s="8"/>
      <c r="E46" s="11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11"/>
    </row>
    <row r="47" spans="1:33" x14ac:dyDescent="0.25">
      <c r="A47" s="11"/>
      <c r="B47" s="7"/>
      <c r="C47" s="8"/>
      <c r="D47" s="8"/>
      <c r="E47" s="10" t="str">
        <f>"u1 = " &amp; ROUNDDOWN(VLOOKUP($I$4,'member end disp'!$A$1:$M$100000,2,0)*$P$30*$Q$30*$R$30*$S$30,3) &amp; " " &amp; $J$30</f>
        <v>u1 = 19.188 mm</v>
      </c>
      <c r="F47" s="8"/>
      <c r="G47" s="8"/>
      <c r="H47" s="8"/>
      <c r="I47" s="8"/>
      <c r="J47" s="11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11"/>
    </row>
    <row r="48" spans="1:33" x14ac:dyDescent="0.25">
      <c r="A48" s="11"/>
      <c r="B48" s="7"/>
      <c r="C48" s="8"/>
      <c r="D48" s="8"/>
      <c r="E48" s="11"/>
      <c r="F48" s="11"/>
      <c r="G48" s="8"/>
      <c r="H48" s="8"/>
      <c r="I48" s="8"/>
      <c r="J48" s="8" t="str">
        <f>"u5 = " &amp; ROUNDDOWN(VLOOKUP($I$4,'member end disp'!$A$1:$M$100000,6,0),3) &amp; " rad"</f>
        <v>u5 = 0 rad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11"/>
    </row>
    <row r="49" spans="1:26" x14ac:dyDescent="0.25">
      <c r="A49" s="11"/>
      <c r="B49" s="7"/>
      <c r="C49" s="8"/>
      <c r="D49" s="8"/>
      <c r="E49" s="11"/>
      <c r="F49" s="11"/>
      <c r="G49" s="8"/>
      <c r="H49" s="8"/>
      <c r="I49" s="11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11"/>
    </row>
    <row r="50" spans="1:26" x14ac:dyDescent="0.25">
      <c r="A50" s="11"/>
      <c r="B50" s="7"/>
      <c r="C50" s="8"/>
      <c r="D50" s="8"/>
      <c r="E50" s="11"/>
      <c r="F50" s="8"/>
      <c r="G50" s="8"/>
      <c r="H50" s="8"/>
      <c r="I50" s="8" t="str">
        <f>"u2 = " &amp; ROUNDDOWN(VLOOKUP($I$4,'member end disp'!$A$1:$M$100000,3,0)*$P$30*$Q$30*$R$30*$S$30,3) &amp; " " &amp; $J$30</f>
        <v>u2 = -0.292 mm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11"/>
    </row>
    <row r="51" spans="1:26" x14ac:dyDescent="0.25">
      <c r="A51" s="11"/>
      <c r="B51" s="7"/>
      <c r="C51" s="8"/>
      <c r="D51" s="8"/>
      <c r="E51" s="8"/>
      <c r="F51" s="8"/>
      <c r="G51" s="11"/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11"/>
    </row>
    <row r="52" spans="1:26" ht="13.5" thickBot="1" x14ac:dyDescent="0.3">
      <c r="A52" s="11"/>
      <c r="B52" s="13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5"/>
      <c r="Z52" s="11"/>
    </row>
    <row r="53" spans="1:26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</sheetData>
  <sheetProtection algorithmName="SHA-512" hashValue="Z7jCwpfle/vKJUsP52GypJJQRco3Ivnl6nZXHFOslltpCzz5QoCy15CDNw0cK32p4YWh+jJIbmGNrz/56Niokw==" saltValue="IiRnIwja+vbD+kWB7BVP6g==" spinCount="100000" sheet="1" objects="1" scenarios="1"/>
  <pageMargins left="0.25" right="0.25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E9E61-9827-455B-9E4B-B98E665784DE}">
  <sheetPr>
    <tabColor rgb="FF00B050"/>
  </sheetPr>
  <dimension ref="A1:O75"/>
  <sheetViews>
    <sheetView topLeftCell="A19" workbookViewId="0">
      <selection activeCell="F29" sqref="F29"/>
    </sheetView>
  </sheetViews>
  <sheetFormatPr defaultRowHeight="12.75" x14ac:dyDescent="0.25"/>
  <cols>
    <col min="1" max="1" width="2.85546875" style="38" customWidth="1"/>
    <col min="2" max="2" width="16.140625" style="40" customWidth="1"/>
    <col min="3" max="11" width="8.7109375" style="38" customWidth="1"/>
    <col min="12" max="12" width="2.85546875" style="38" customWidth="1"/>
    <col min="13" max="13" width="8.7109375" style="38" customWidth="1"/>
    <col min="14" max="14" width="9.140625" style="38"/>
    <col min="15" max="15" width="11" style="38" bestFit="1" customWidth="1"/>
    <col min="16" max="16384" width="9.140625" style="38"/>
  </cols>
  <sheetData>
    <row r="1" spans="1:15" ht="13.5" thickBot="1" x14ac:dyDescent="0.3">
      <c r="A1" s="62"/>
      <c r="B1" s="87"/>
      <c r="C1" s="88"/>
      <c r="D1" s="26"/>
      <c r="E1" s="26"/>
      <c r="F1" s="88"/>
      <c r="G1" s="88"/>
      <c r="H1" s="88"/>
      <c r="I1" s="26"/>
      <c r="J1" s="26"/>
      <c r="K1" s="89"/>
      <c r="L1" s="73"/>
      <c r="M1" s="39"/>
      <c r="N1" s="39"/>
      <c r="O1" s="39"/>
    </row>
    <row r="2" spans="1:15" x14ac:dyDescent="0.25">
      <c r="A2" s="62"/>
      <c r="B2" s="25" t="s">
        <v>140</v>
      </c>
      <c r="C2" s="74"/>
      <c r="D2" s="74"/>
      <c r="E2" s="74"/>
      <c r="F2" s="74"/>
      <c r="G2" s="74"/>
      <c r="H2" s="74"/>
      <c r="I2" s="74"/>
      <c r="J2" s="74"/>
      <c r="K2" s="85" t="s">
        <v>79</v>
      </c>
      <c r="L2" s="62"/>
    </row>
    <row r="3" spans="1:15" ht="13.5" thickBot="1" x14ac:dyDescent="0.3">
      <c r="A3" s="62"/>
      <c r="B3" s="79"/>
      <c r="C3" s="80"/>
      <c r="D3" s="80"/>
      <c r="E3" s="80"/>
      <c r="F3" s="80"/>
      <c r="G3" s="80"/>
      <c r="H3" s="80"/>
      <c r="I3" s="80"/>
      <c r="J3" s="80"/>
      <c r="K3" s="86"/>
      <c r="L3" s="62"/>
    </row>
    <row r="4" spans="1:15" x14ac:dyDescent="0.25">
      <c r="A4" s="62"/>
      <c r="B4" s="60"/>
      <c r="C4" s="41" t="s">
        <v>20</v>
      </c>
      <c r="D4" s="41" t="s">
        <v>30</v>
      </c>
      <c r="E4" s="41" t="s">
        <v>31</v>
      </c>
      <c r="F4" s="50" t="s">
        <v>67</v>
      </c>
      <c r="G4" s="41" t="s">
        <v>49</v>
      </c>
      <c r="H4" s="41"/>
      <c r="I4" s="41"/>
      <c r="J4" s="41"/>
      <c r="K4" s="56"/>
      <c r="L4" s="62"/>
    </row>
    <row r="5" spans="1:15" x14ac:dyDescent="0.25">
      <c r="A5" s="62"/>
      <c r="B5" s="59"/>
      <c r="C5" s="26" t="s">
        <v>32</v>
      </c>
      <c r="D5" s="26" t="s">
        <v>33</v>
      </c>
      <c r="E5" s="26" t="s">
        <v>33</v>
      </c>
      <c r="F5" s="26" t="s">
        <v>55</v>
      </c>
      <c r="G5" s="26"/>
      <c r="H5" s="26"/>
      <c r="I5" s="26"/>
      <c r="J5" s="26"/>
      <c r="K5" s="55"/>
      <c r="L5" s="62"/>
    </row>
    <row r="6" spans="1:15" ht="13.5" thickBot="1" x14ac:dyDescent="0.3">
      <c r="A6" s="62"/>
      <c r="B6" s="121" t="s">
        <v>23</v>
      </c>
      <c r="C6" s="68">
        <v>350</v>
      </c>
      <c r="D6" s="68">
        <v>200</v>
      </c>
      <c r="E6" s="68">
        <v>77</v>
      </c>
      <c r="F6" s="68">
        <v>77</v>
      </c>
      <c r="G6" s="68">
        <v>0.95</v>
      </c>
      <c r="H6" s="46"/>
      <c r="I6" s="46"/>
      <c r="J6" s="46"/>
      <c r="K6" s="57"/>
      <c r="L6" s="62"/>
    </row>
    <row r="7" spans="1:15" ht="13.5" thickBot="1" x14ac:dyDescent="0.3">
      <c r="A7" s="62"/>
      <c r="B7" s="87"/>
      <c r="C7" s="88"/>
      <c r="D7" s="26"/>
      <c r="E7" s="26"/>
      <c r="F7" s="88"/>
      <c r="G7" s="88"/>
      <c r="H7" s="88"/>
      <c r="I7" s="26"/>
      <c r="J7" s="26"/>
      <c r="K7" s="89"/>
      <c r="L7" s="73"/>
      <c r="M7" s="39"/>
      <c r="N7" s="39"/>
      <c r="O7" s="39"/>
    </row>
    <row r="8" spans="1:15" x14ac:dyDescent="0.25">
      <c r="A8" s="62"/>
      <c r="B8" s="25" t="s">
        <v>143</v>
      </c>
      <c r="C8" s="95"/>
      <c r="D8" s="74"/>
      <c r="E8" s="74"/>
      <c r="F8" s="95"/>
      <c r="G8" s="95"/>
      <c r="H8" s="95"/>
      <c r="I8" s="74"/>
      <c r="J8" s="74"/>
      <c r="K8" s="142"/>
      <c r="L8" s="73"/>
      <c r="M8" s="39"/>
      <c r="N8" s="39"/>
      <c r="O8" s="39"/>
    </row>
    <row r="9" spans="1:15" ht="13.5" thickBot="1" x14ac:dyDescent="0.3">
      <c r="A9" s="62"/>
      <c r="B9" s="79" t="s">
        <v>110</v>
      </c>
      <c r="C9" s="97"/>
      <c r="D9" s="80"/>
      <c r="E9" s="80"/>
      <c r="F9" s="97"/>
      <c r="G9" s="97"/>
      <c r="H9" s="97"/>
      <c r="I9" s="80"/>
      <c r="J9" s="80"/>
      <c r="K9" s="98"/>
      <c r="L9" s="73"/>
      <c r="M9" s="39"/>
      <c r="N9" s="39"/>
      <c r="O9" s="39"/>
    </row>
    <row r="10" spans="1:15" x14ac:dyDescent="0.25">
      <c r="A10" s="62"/>
      <c r="B10" s="60"/>
      <c r="C10" s="41"/>
      <c r="D10" s="50" t="s">
        <v>67</v>
      </c>
      <c r="E10" s="41" t="s">
        <v>85</v>
      </c>
      <c r="F10" s="41" t="s">
        <v>84</v>
      </c>
      <c r="G10" s="92" t="s">
        <v>12</v>
      </c>
      <c r="H10" s="41"/>
      <c r="I10" s="41"/>
      <c r="J10" s="41"/>
      <c r="K10" s="99" t="s">
        <v>47</v>
      </c>
      <c r="L10" s="73"/>
      <c r="M10" s="39"/>
      <c r="N10" s="39"/>
      <c r="O10" s="39"/>
    </row>
    <row r="11" spans="1:15" x14ac:dyDescent="0.25">
      <c r="A11" s="62"/>
      <c r="B11" s="59"/>
      <c r="C11" s="26"/>
      <c r="D11" s="26" t="s">
        <v>55</v>
      </c>
      <c r="E11" s="26" t="s">
        <v>34</v>
      </c>
      <c r="F11" s="26" t="s">
        <v>34</v>
      </c>
      <c r="G11" s="26" t="s">
        <v>13</v>
      </c>
      <c r="H11" s="26"/>
      <c r="I11" s="26"/>
      <c r="J11" s="26"/>
      <c r="K11" s="100" t="s">
        <v>74</v>
      </c>
      <c r="L11" s="73"/>
      <c r="M11" s="39"/>
      <c r="N11" s="39"/>
      <c r="O11" s="39"/>
    </row>
    <row r="12" spans="1:15" x14ac:dyDescent="0.25">
      <c r="A12" s="62"/>
      <c r="B12" s="63" t="s">
        <v>88</v>
      </c>
      <c r="C12" s="26"/>
      <c r="D12" s="105">
        <v>24</v>
      </c>
      <c r="E12" s="105">
        <v>3000</v>
      </c>
      <c r="F12" s="105">
        <v>250</v>
      </c>
      <c r="G12" s="54">
        <f>E12*F12</f>
        <v>750000</v>
      </c>
      <c r="H12" s="26"/>
      <c r="I12" s="54"/>
      <c r="J12" s="54"/>
      <c r="K12" s="93">
        <f>-D12*(G12/10^6)/1000</f>
        <v>-1.7999999999999999E-2</v>
      </c>
      <c r="L12" s="73"/>
      <c r="M12" s="39"/>
      <c r="N12" s="39"/>
      <c r="O12" s="39"/>
    </row>
    <row r="13" spans="1:15" ht="12.75" customHeight="1" x14ac:dyDescent="0.25">
      <c r="A13" s="62"/>
      <c r="B13" s="59" t="s">
        <v>87</v>
      </c>
      <c r="C13" s="26"/>
      <c r="D13" s="104" t="s">
        <v>89</v>
      </c>
      <c r="E13" s="106">
        <v>0.4</v>
      </c>
      <c r="F13" s="103" t="s">
        <v>90</v>
      </c>
      <c r="G13" s="103"/>
      <c r="H13" s="26"/>
      <c r="I13" s="91"/>
      <c r="J13" s="101" t="s">
        <v>86</v>
      </c>
      <c r="K13" s="93">
        <f>K12*(1-E13)</f>
        <v>-1.0799999999999999E-2</v>
      </c>
      <c r="L13" s="73"/>
      <c r="M13" s="39"/>
      <c r="N13" s="39"/>
      <c r="O13" s="39"/>
    </row>
    <row r="14" spans="1:15" x14ac:dyDescent="0.25">
      <c r="A14" s="62"/>
      <c r="B14" s="59" t="s">
        <v>83</v>
      </c>
      <c r="C14" s="26"/>
      <c r="D14" s="105">
        <v>24</v>
      </c>
      <c r="E14" s="105">
        <v>3000</v>
      </c>
      <c r="F14" s="105">
        <v>90</v>
      </c>
      <c r="G14" s="54">
        <f>E14*F14</f>
        <v>270000</v>
      </c>
      <c r="H14" s="26"/>
      <c r="I14" s="91"/>
      <c r="J14" s="101" t="s">
        <v>86</v>
      </c>
      <c r="K14" s="93">
        <f>-D14*(G14/10^6)/1000</f>
        <v>-6.4800000000000005E-3</v>
      </c>
      <c r="L14" s="73"/>
      <c r="M14" s="39"/>
      <c r="N14" s="39"/>
      <c r="O14" s="39"/>
    </row>
    <row r="15" spans="1:15" ht="13.5" thickBot="1" x14ac:dyDescent="0.3">
      <c r="A15" s="62"/>
      <c r="B15" s="61" t="s">
        <v>111</v>
      </c>
      <c r="C15" s="46"/>
      <c r="D15" s="107">
        <v>24</v>
      </c>
      <c r="E15" s="46"/>
      <c r="F15" s="47"/>
      <c r="G15" s="107">
        <v>309000</v>
      </c>
      <c r="H15" s="46"/>
      <c r="I15" s="94"/>
      <c r="J15" s="102" t="s">
        <v>91</v>
      </c>
      <c r="K15" s="70">
        <f>-D15*(G15/10^6)/1000</f>
        <v>-7.4160000000000007E-3</v>
      </c>
      <c r="L15" s="73"/>
      <c r="M15" s="39"/>
      <c r="N15" s="39"/>
      <c r="O15" s="39"/>
    </row>
    <row r="16" spans="1:15" ht="13.5" thickBot="1" x14ac:dyDescent="0.3">
      <c r="A16" s="62"/>
      <c r="B16" s="90"/>
      <c r="C16" s="26"/>
      <c r="D16" s="105"/>
      <c r="E16" s="26"/>
      <c r="F16" s="54"/>
      <c r="G16" s="105"/>
      <c r="H16" s="26"/>
      <c r="I16" s="91"/>
      <c r="J16" s="101"/>
      <c r="K16" s="89"/>
      <c r="L16" s="73"/>
      <c r="M16" s="39"/>
      <c r="N16" s="39"/>
      <c r="O16" s="39"/>
    </row>
    <row r="17" spans="1:15" x14ac:dyDescent="0.25">
      <c r="A17" s="62"/>
      <c r="B17" s="25" t="s">
        <v>92</v>
      </c>
      <c r="C17" s="74"/>
      <c r="D17" s="108"/>
      <c r="E17" s="74"/>
      <c r="F17" s="76"/>
      <c r="G17" s="108"/>
      <c r="H17" s="74"/>
      <c r="I17" s="109"/>
      <c r="J17" s="110"/>
      <c r="K17" s="96"/>
      <c r="L17" s="73"/>
      <c r="M17" s="39"/>
      <c r="N17" s="39"/>
      <c r="O17" s="39"/>
    </row>
    <row r="18" spans="1:15" ht="13.5" thickBot="1" x14ac:dyDescent="0.3">
      <c r="A18" s="62"/>
      <c r="B18" s="79" t="s">
        <v>93</v>
      </c>
      <c r="C18" s="80"/>
      <c r="D18" s="111"/>
      <c r="E18" s="80"/>
      <c r="F18" s="82"/>
      <c r="G18" s="111"/>
      <c r="H18" s="80"/>
      <c r="I18" s="112"/>
      <c r="J18" s="113"/>
      <c r="K18" s="98"/>
      <c r="L18" s="73"/>
      <c r="M18" s="39"/>
      <c r="N18" s="39"/>
      <c r="O18" s="39"/>
    </row>
    <row r="19" spans="1:15" x14ac:dyDescent="0.25">
      <c r="A19" s="62"/>
      <c r="B19" s="60"/>
      <c r="C19" s="41" t="s">
        <v>94</v>
      </c>
      <c r="D19" s="114" t="s">
        <v>95</v>
      </c>
      <c r="E19" s="41" t="s">
        <v>96</v>
      </c>
      <c r="F19" s="115" t="s">
        <v>97</v>
      </c>
      <c r="G19" s="114" t="s">
        <v>98</v>
      </c>
      <c r="H19" s="41" t="s">
        <v>104</v>
      </c>
      <c r="I19" s="115" t="s">
        <v>105</v>
      </c>
      <c r="J19" s="115" t="s">
        <v>108</v>
      </c>
      <c r="K19" s="116" t="s">
        <v>109</v>
      </c>
      <c r="L19" s="73"/>
      <c r="M19" s="39"/>
      <c r="N19" s="39"/>
      <c r="O19" s="39"/>
    </row>
    <row r="20" spans="1:15" ht="15" customHeight="1" x14ac:dyDescent="0.25">
      <c r="A20" s="62"/>
      <c r="B20" s="145" t="s">
        <v>106</v>
      </c>
      <c r="C20" s="26" t="s">
        <v>103</v>
      </c>
      <c r="D20" s="26" t="s">
        <v>99</v>
      </c>
      <c r="E20" s="117" t="s">
        <v>102</v>
      </c>
      <c r="F20" s="54" t="s">
        <v>100</v>
      </c>
      <c r="G20" s="105" t="s">
        <v>101</v>
      </c>
      <c r="H20" s="26" t="s">
        <v>103</v>
      </c>
      <c r="I20" s="54" t="s">
        <v>103</v>
      </c>
      <c r="J20" s="54" t="s">
        <v>74</v>
      </c>
      <c r="K20" s="93" t="s">
        <v>74</v>
      </c>
      <c r="L20" s="73"/>
      <c r="M20" s="39"/>
      <c r="N20" s="39"/>
      <c r="O20" s="39"/>
    </row>
    <row r="21" spans="1:15" ht="13.5" thickBot="1" x14ac:dyDescent="0.3">
      <c r="A21" s="62"/>
      <c r="B21" s="146"/>
      <c r="C21" s="68">
        <v>275</v>
      </c>
      <c r="D21" s="107">
        <v>1.2</v>
      </c>
      <c r="E21" s="68">
        <v>2</v>
      </c>
      <c r="F21" s="107">
        <v>2</v>
      </c>
      <c r="G21" s="107">
        <v>1</v>
      </c>
      <c r="H21" s="46">
        <f>C21*D21*E21*F21</f>
        <v>1320</v>
      </c>
      <c r="I21" s="47">
        <f>C21*D21*E21*G21</f>
        <v>660</v>
      </c>
      <c r="J21" s="118">
        <f>-(H21/10^9)*(SUM(D46:D48))</f>
        <v>-2.3364000000000002E-3</v>
      </c>
      <c r="K21" s="70">
        <f>(I21/10^9)*E12</f>
        <v>1.98E-3</v>
      </c>
      <c r="L21" s="73"/>
      <c r="M21" s="39"/>
      <c r="N21" s="39"/>
      <c r="O21" s="39"/>
    </row>
    <row r="22" spans="1:15" ht="13.5" thickBot="1" x14ac:dyDescent="0.3">
      <c r="A22" s="62"/>
      <c r="B22" s="90"/>
      <c r="C22" s="26"/>
      <c r="D22" s="105"/>
      <c r="E22" s="26"/>
      <c r="F22" s="54"/>
      <c r="G22" s="105"/>
      <c r="H22" s="26"/>
      <c r="I22" s="54"/>
      <c r="J22" s="54"/>
      <c r="K22" s="89"/>
      <c r="L22" s="73"/>
      <c r="M22" s="39"/>
      <c r="N22" s="39"/>
      <c r="O22" s="39"/>
    </row>
    <row r="23" spans="1:15" x14ac:dyDescent="0.25">
      <c r="A23" s="62"/>
      <c r="B23" s="25" t="s">
        <v>162</v>
      </c>
      <c r="C23" s="74"/>
      <c r="D23" s="74"/>
      <c r="E23" s="74"/>
      <c r="F23" s="74"/>
      <c r="G23" s="74"/>
      <c r="H23" s="74"/>
      <c r="I23" s="74"/>
      <c r="J23" s="74"/>
      <c r="K23" s="85"/>
      <c r="L23" s="73"/>
      <c r="M23" s="39"/>
      <c r="N23" s="39"/>
      <c r="O23" s="39"/>
    </row>
    <row r="24" spans="1:15" ht="13.5" thickBot="1" x14ac:dyDescent="0.3">
      <c r="A24" s="62"/>
      <c r="B24" s="79" t="s">
        <v>156</v>
      </c>
      <c r="C24" s="80"/>
      <c r="D24" s="80"/>
      <c r="E24" s="80"/>
      <c r="F24" s="80"/>
      <c r="G24" s="80"/>
      <c r="H24" s="80"/>
      <c r="I24" s="80"/>
      <c r="J24" s="80"/>
      <c r="K24" s="86"/>
      <c r="L24" s="73"/>
      <c r="M24" s="39"/>
      <c r="N24" s="39"/>
      <c r="O24" s="39"/>
    </row>
    <row r="25" spans="1:15" ht="13.5" thickBot="1" x14ac:dyDescent="0.3">
      <c r="A25" s="62"/>
      <c r="B25" s="27" t="s">
        <v>144</v>
      </c>
      <c r="C25" s="122"/>
      <c r="D25" s="125">
        <v>81</v>
      </c>
      <c r="E25" s="125">
        <v>82</v>
      </c>
      <c r="F25" s="125">
        <v>83</v>
      </c>
      <c r="G25" s="125">
        <v>84</v>
      </c>
      <c r="H25" s="124"/>
      <c r="I25" s="124"/>
      <c r="J25" s="125"/>
      <c r="K25" s="126"/>
      <c r="L25" s="73"/>
      <c r="M25" s="39"/>
      <c r="N25" s="39"/>
      <c r="O25" s="39"/>
    </row>
    <row r="26" spans="1:15" x14ac:dyDescent="0.25">
      <c r="A26" s="62"/>
      <c r="B26" s="60"/>
      <c r="C26" s="92" t="s">
        <v>145</v>
      </c>
      <c r="D26" s="41" t="s">
        <v>146</v>
      </c>
      <c r="E26" s="41" t="s">
        <v>147</v>
      </c>
      <c r="F26" s="92" t="s">
        <v>70</v>
      </c>
      <c r="G26" s="92"/>
      <c r="H26" s="92"/>
      <c r="I26" s="41"/>
      <c r="J26" s="123"/>
      <c r="K26" s="116"/>
      <c r="L26" s="73"/>
      <c r="M26" s="39"/>
      <c r="N26" s="39"/>
      <c r="O26" s="39"/>
    </row>
    <row r="27" spans="1:15" x14ac:dyDescent="0.25">
      <c r="A27" s="62"/>
      <c r="B27" s="128"/>
      <c r="C27" s="88" t="s">
        <v>34</v>
      </c>
      <c r="D27" s="26" t="s">
        <v>36</v>
      </c>
      <c r="E27" s="26" t="s">
        <v>36</v>
      </c>
      <c r="F27" s="88" t="s">
        <v>66</v>
      </c>
      <c r="G27" s="88"/>
      <c r="H27" s="88"/>
      <c r="I27" s="26"/>
      <c r="J27" s="66"/>
      <c r="K27" s="93"/>
      <c r="L27" s="73"/>
      <c r="M27" s="39"/>
      <c r="N27" s="39"/>
      <c r="O27" s="39"/>
    </row>
    <row r="28" spans="1:15" ht="13.5" thickBot="1" x14ac:dyDescent="0.3">
      <c r="A28" s="62"/>
      <c r="B28" s="129" t="s">
        <v>148</v>
      </c>
      <c r="C28" s="52" t="e">
        <f>VLOOKUP(D25,'member prop'!$A$1:$B$100000,2,0)+VLOOKUP(E25,'member prop'!$A$1:$B$100000,2,0)+VLOOKUP(F25,'member prop'!$A$1:$B$100000,2,0)+VLOOKUP(G25,'member prop'!$A$1:$B$100000,2,0)</f>
        <v>#N/A</v>
      </c>
      <c r="D28" s="52" t="e">
        <f>MAX(ABS(VLOOKUP(D25,'member end fm'!$A$1:$M$100000,7,0)),ABS(VLOOKUP(D25,'member end fm'!$A$1:$M$100000,13,0)),ABS(VLOOKUP(E25,'member end fm'!$A$1:$M$100000,13,0)),ABS(VLOOKUP(F25,'member end fm'!$A$1:$M$100000,13,0)),ABS(VLOOKUP(G25,'member end fm'!$A$1:$M$100000,13,0)))/1000</f>
        <v>#N/A</v>
      </c>
      <c r="E28" s="52" t="e">
        <f>MAX(ABS(VLOOKUP(D25,'member end fm'!$A$1:$M$100000,6,0)),ABS(VLOOKUP(D25,'member end fm'!$A$1:$M$100000,12,0)),ABS(VLOOKUP(E25,'member end fm'!$A$1:$M$100000,12,0)),ABS(VLOOKUP(F25,'member end fm'!$A$1:$M$100000,12,0)),ABS(VLOOKUP(G25,'member end fm'!$A$1:$M$100000,12,0)))/1000</f>
        <v>#N/A</v>
      </c>
      <c r="F28" s="52" t="e">
        <f>MAX(ABS(VLOOKUP(D25,'member end fm'!$A$1:$M$100000,3,0)),ABS(VLOOKUP(D25,'member end fm'!$A$1:$M$100000,9,0)),ABS(VLOOKUP(E25,'member end fm'!$A$1:$M$100000,9,0)),ABS(VLOOKUP(F25,'member end fm'!$A$1:$M$100000,9,0)),ABS(VLOOKUP(G25,'member end fm'!$A$1:$M$100000,9,0)))</f>
        <v>#N/A</v>
      </c>
      <c r="G28" s="94" t="s">
        <v>172</v>
      </c>
      <c r="H28" s="47"/>
      <c r="I28" s="47"/>
      <c r="J28" s="107"/>
      <c r="K28" s="127"/>
      <c r="L28" s="73"/>
      <c r="M28" s="39"/>
      <c r="N28" s="39"/>
      <c r="O28" s="39"/>
    </row>
    <row r="29" spans="1:15" ht="13.5" customHeight="1" x14ac:dyDescent="0.25">
      <c r="A29" s="62"/>
      <c r="B29" s="60"/>
      <c r="C29" s="92" t="s">
        <v>139</v>
      </c>
      <c r="D29" s="41" t="s">
        <v>151</v>
      </c>
      <c r="E29" s="41" t="s">
        <v>84</v>
      </c>
      <c r="F29" s="41" t="s">
        <v>47</v>
      </c>
      <c r="G29" s="41"/>
      <c r="H29" s="41" t="s">
        <v>161</v>
      </c>
      <c r="I29" s="41" t="s">
        <v>25</v>
      </c>
      <c r="J29" s="144"/>
      <c r="K29" s="56"/>
      <c r="L29" s="73"/>
      <c r="M29" s="39"/>
      <c r="N29" s="39"/>
      <c r="O29" s="39"/>
    </row>
    <row r="30" spans="1:15" ht="13.5" customHeight="1" x14ac:dyDescent="0.25">
      <c r="A30" s="62"/>
      <c r="B30" s="128"/>
      <c r="C30" s="88" t="s">
        <v>34</v>
      </c>
      <c r="D30" s="88" t="s">
        <v>34</v>
      </c>
      <c r="E30" s="88" t="s">
        <v>34</v>
      </c>
      <c r="F30" s="88" t="s">
        <v>34</v>
      </c>
      <c r="G30" s="26"/>
      <c r="H30" s="26" t="s">
        <v>76</v>
      </c>
      <c r="I30" s="26" t="s">
        <v>76</v>
      </c>
      <c r="J30" s="8" t="s">
        <v>163</v>
      </c>
      <c r="K30" s="55"/>
      <c r="L30" s="73"/>
      <c r="M30" s="39"/>
      <c r="N30" s="39"/>
      <c r="O30" s="39"/>
    </row>
    <row r="31" spans="1:15" ht="13.5" customHeight="1" thickBot="1" x14ac:dyDescent="0.3">
      <c r="A31" s="62"/>
      <c r="B31" s="129" t="s">
        <v>158</v>
      </c>
      <c r="C31" s="107">
        <v>256</v>
      </c>
      <c r="D31" s="68">
        <v>255</v>
      </c>
      <c r="E31" s="68">
        <v>15.6</v>
      </c>
      <c r="F31" s="107">
        <v>9.4</v>
      </c>
      <c r="G31" s="46"/>
      <c r="H31" s="46" t="str">
        <f>IF(D31/(2*E31)&lt;=145/SQRT(C6),"Class 1",IF(D31/(2*E31)&lt;=170/SQRT(C6),"Class 2","Use Class 1/2 "))</f>
        <v>Class 2</v>
      </c>
      <c r="I31" s="46" t="str">
        <f>IF((C31-2*E31)/F31&lt;=1100/SQRT(C6),"Class 1",IF((C31-2*E31)/F31&lt;=1700/SQRT(C6),"Class 2","Use Class 1/2 "))</f>
        <v>Class 1</v>
      </c>
      <c r="J31" s="14" t="s">
        <v>164</v>
      </c>
      <c r="K31" s="57"/>
      <c r="L31" s="73"/>
      <c r="M31" s="131"/>
      <c r="N31" s="131"/>
      <c r="O31" s="131"/>
    </row>
    <row r="32" spans="1:15" x14ac:dyDescent="0.25">
      <c r="A32" s="62"/>
      <c r="B32" s="60"/>
      <c r="C32" s="139" t="s">
        <v>16</v>
      </c>
      <c r="D32" s="41" t="s">
        <v>152</v>
      </c>
      <c r="E32" s="41" t="s">
        <v>154</v>
      </c>
      <c r="F32" s="139" t="s">
        <v>14</v>
      </c>
      <c r="G32" s="123" t="s">
        <v>153</v>
      </c>
      <c r="H32" s="123" t="s">
        <v>155</v>
      </c>
      <c r="I32" s="41" t="s">
        <v>17</v>
      </c>
      <c r="J32" s="140" t="s">
        <v>64</v>
      </c>
      <c r="K32" s="116"/>
      <c r="L32" s="73"/>
      <c r="M32" s="39"/>
      <c r="N32" s="39"/>
      <c r="O32" s="39"/>
    </row>
    <row r="33" spans="1:15" x14ac:dyDescent="0.25">
      <c r="A33" s="62"/>
      <c r="B33" s="128"/>
      <c r="C33" s="26" t="s">
        <v>159</v>
      </c>
      <c r="D33" s="26" t="s">
        <v>157</v>
      </c>
      <c r="E33" s="26" t="s">
        <v>157</v>
      </c>
      <c r="F33" s="26" t="s">
        <v>159</v>
      </c>
      <c r="G33" s="26" t="s">
        <v>157</v>
      </c>
      <c r="H33" s="26" t="s">
        <v>157</v>
      </c>
      <c r="I33" s="26" t="s">
        <v>160</v>
      </c>
      <c r="J33" s="54" t="s">
        <v>32</v>
      </c>
      <c r="K33" s="45"/>
      <c r="L33" s="73"/>
      <c r="M33" s="39"/>
      <c r="N33" s="39"/>
      <c r="O33" s="39"/>
    </row>
    <row r="34" spans="1:15" ht="15.75" customHeight="1" thickBot="1" x14ac:dyDescent="0.3">
      <c r="A34" s="62"/>
      <c r="B34" s="129" t="str">
        <f>B31</f>
        <v>W250x80</v>
      </c>
      <c r="C34" s="141">
        <v>43.1</v>
      </c>
      <c r="D34" s="134">
        <v>338</v>
      </c>
      <c r="E34" s="134">
        <v>513</v>
      </c>
      <c r="F34" s="141">
        <v>126</v>
      </c>
      <c r="G34" s="134">
        <v>982</v>
      </c>
      <c r="H34" s="134">
        <v>1090</v>
      </c>
      <c r="I34" s="134">
        <f>757</f>
        <v>757</v>
      </c>
      <c r="J34" s="133">
        <f>IF((C31-2*E31)/F31&lt;=1014/SQRT(C6), 0.66*C6, IF((C31-2*E31)/F31&lt;=1435/SQRT(C6), 670*SQRT(C6)/(C31-2*E31), 961200/(C31-2*E31)^2))</f>
        <v>231</v>
      </c>
      <c r="K34" s="70"/>
      <c r="L34" s="73"/>
      <c r="M34" s="39"/>
      <c r="N34" s="39"/>
      <c r="O34" s="39"/>
    </row>
    <row r="35" spans="1:15" x14ac:dyDescent="0.25">
      <c r="A35" s="62"/>
      <c r="B35" s="59"/>
      <c r="C35" s="88" t="s">
        <v>12</v>
      </c>
      <c r="D35" s="26" t="s">
        <v>30</v>
      </c>
      <c r="E35" s="26" t="s">
        <v>31</v>
      </c>
      <c r="F35" s="26" t="s">
        <v>16</v>
      </c>
      <c r="G35" s="26" t="s">
        <v>14</v>
      </c>
      <c r="H35" s="26" t="s">
        <v>17</v>
      </c>
      <c r="I35" s="66"/>
      <c r="J35" s="138"/>
      <c r="K35" s="93" t="s">
        <v>107</v>
      </c>
      <c r="L35" s="73"/>
      <c r="M35" s="39"/>
      <c r="N35" s="39"/>
      <c r="O35" s="39"/>
    </row>
    <row r="36" spans="1:15" x14ac:dyDescent="0.25">
      <c r="A36" s="62"/>
      <c r="B36" s="145" t="s">
        <v>56</v>
      </c>
      <c r="C36" s="26" t="s">
        <v>13</v>
      </c>
      <c r="D36" s="26" t="s">
        <v>33</v>
      </c>
      <c r="E36" s="26" t="s">
        <v>33</v>
      </c>
      <c r="F36" s="26" t="s">
        <v>15</v>
      </c>
      <c r="G36" s="26" t="s">
        <v>15</v>
      </c>
      <c r="H36" s="26" t="s">
        <v>15</v>
      </c>
      <c r="I36" s="66"/>
      <c r="K36" s="45" t="s">
        <v>74</v>
      </c>
      <c r="L36" s="73"/>
      <c r="M36" s="39"/>
      <c r="N36" s="39"/>
      <c r="O36" s="39"/>
    </row>
    <row r="37" spans="1:15" ht="15.75" customHeight="1" thickBot="1" x14ac:dyDescent="0.3">
      <c r="A37" s="62"/>
      <c r="B37" s="146"/>
      <c r="C37" s="136">
        <v>10200</v>
      </c>
      <c r="D37" s="132">
        <f>D6</f>
        <v>200</v>
      </c>
      <c r="E37" s="132">
        <f>E6</f>
        <v>77</v>
      </c>
      <c r="F37" s="136">
        <f>C34*10^6</f>
        <v>43100000</v>
      </c>
      <c r="G37" s="136">
        <f>F34*10^6</f>
        <v>126000000</v>
      </c>
      <c r="H37" s="136">
        <f>I34*10^3</f>
        <v>757000</v>
      </c>
      <c r="I37" s="135"/>
      <c r="J37" s="135"/>
      <c r="K37" s="137">
        <f>-C37*(F6/10^6)/1000</f>
        <v>-7.8540000000000001E-4</v>
      </c>
      <c r="L37" s="73"/>
      <c r="M37" s="39"/>
      <c r="N37" s="39"/>
      <c r="O37" s="39"/>
    </row>
    <row r="38" spans="1:15" x14ac:dyDescent="0.25">
      <c r="A38" s="62"/>
      <c r="B38" s="60"/>
      <c r="C38" s="92"/>
      <c r="D38" s="41" t="s">
        <v>149</v>
      </c>
      <c r="E38" s="41" t="s">
        <v>150</v>
      </c>
      <c r="F38" s="92" t="s">
        <v>65</v>
      </c>
      <c r="G38" s="123"/>
      <c r="H38" s="92"/>
      <c r="I38" s="123"/>
      <c r="J38" s="130"/>
      <c r="K38" s="116"/>
      <c r="L38" s="73"/>
      <c r="M38" s="39"/>
      <c r="N38" s="39"/>
      <c r="O38" s="39"/>
    </row>
    <row r="39" spans="1:15" x14ac:dyDescent="0.25">
      <c r="A39" s="62"/>
      <c r="B39" s="120"/>
      <c r="C39" s="88"/>
      <c r="D39" s="26" t="s">
        <v>36</v>
      </c>
      <c r="E39" s="26" t="s">
        <v>36</v>
      </c>
      <c r="F39" s="88" t="s">
        <v>66</v>
      </c>
      <c r="G39" s="88"/>
      <c r="H39" s="144"/>
      <c r="I39" s="66"/>
      <c r="K39" s="45"/>
      <c r="L39" s="73"/>
      <c r="M39" s="39"/>
      <c r="N39" s="39"/>
      <c r="O39" s="39"/>
    </row>
    <row r="40" spans="1:15" ht="13.5" thickBot="1" x14ac:dyDescent="0.3">
      <c r="A40" s="62"/>
      <c r="B40" s="119" t="str">
        <f>B31</f>
        <v>W250x80</v>
      </c>
      <c r="C40" s="47"/>
      <c r="D40" s="52">
        <f>G6*G34*10^3*C6/10^6</f>
        <v>326.51499999999999</v>
      </c>
      <c r="E40" s="143">
        <f>G6*D34*10^3*C6/10^6</f>
        <v>112.38499999999999</v>
      </c>
      <c r="F40" s="52">
        <f>G6*(C31-2*E31)*J34*F31/1000</f>
        <v>463.72418400000004</v>
      </c>
      <c r="G40" s="52"/>
      <c r="H40" s="94"/>
      <c r="I40" s="47"/>
      <c r="J40" s="107"/>
      <c r="K40" s="127"/>
      <c r="L40" s="73"/>
      <c r="M40" s="39"/>
      <c r="N40" s="39"/>
      <c r="O40" s="39"/>
    </row>
    <row r="41" spans="1:15" ht="13.5" thickBot="1" x14ac:dyDescent="0.3">
      <c r="A41" s="62"/>
      <c r="B41" s="87"/>
      <c r="C41" s="88"/>
      <c r="D41" s="26"/>
      <c r="E41" s="26"/>
      <c r="F41" s="88"/>
      <c r="G41" s="88"/>
      <c r="H41" s="88"/>
      <c r="I41" s="26"/>
      <c r="J41" s="66"/>
      <c r="K41" s="89"/>
      <c r="L41" s="73"/>
      <c r="M41" s="39"/>
      <c r="N41" s="39"/>
      <c r="O41" s="39"/>
    </row>
    <row r="42" spans="1:15" x14ac:dyDescent="0.25">
      <c r="A42" s="62"/>
      <c r="B42" s="25" t="s">
        <v>142</v>
      </c>
      <c r="C42" s="74"/>
      <c r="D42" s="74"/>
      <c r="E42" s="74"/>
      <c r="F42" s="74"/>
      <c r="G42" s="74"/>
      <c r="H42" s="74"/>
      <c r="I42" s="74"/>
      <c r="J42" s="74"/>
      <c r="K42" s="85" t="s">
        <v>79</v>
      </c>
      <c r="L42" s="73"/>
      <c r="M42" s="39"/>
      <c r="N42" s="39"/>
      <c r="O42" s="39"/>
    </row>
    <row r="43" spans="1:15" ht="13.5" thickBot="1" x14ac:dyDescent="0.3">
      <c r="A43" s="62"/>
      <c r="B43" s="79"/>
      <c r="C43" s="80"/>
      <c r="D43" s="80"/>
      <c r="E43" s="80"/>
      <c r="F43" s="80"/>
      <c r="G43" s="80"/>
      <c r="H43" s="80"/>
      <c r="I43" s="80"/>
      <c r="J43" s="80"/>
      <c r="K43" s="86"/>
      <c r="L43" s="73"/>
      <c r="M43" s="39"/>
      <c r="N43" s="39"/>
      <c r="O43" s="39"/>
    </row>
    <row r="44" spans="1:15" x14ac:dyDescent="0.25">
      <c r="A44" s="62"/>
      <c r="B44" s="60"/>
      <c r="C44" s="41" t="s">
        <v>27</v>
      </c>
      <c r="D44" s="41" t="s">
        <v>28</v>
      </c>
      <c r="E44" s="41"/>
      <c r="F44" s="41"/>
      <c r="G44" s="41" t="s">
        <v>77</v>
      </c>
      <c r="H44" s="41"/>
      <c r="I44" s="41"/>
      <c r="J44" s="41"/>
      <c r="K44" s="56"/>
      <c r="L44" s="62"/>
    </row>
    <row r="45" spans="1:15" x14ac:dyDescent="0.25">
      <c r="A45" s="62"/>
      <c r="B45" s="59"/>
      <c r="C45" s="26" t="s">
        <v>34</v>
      </c>
      <c r="D45" s="26" t="s">
        <v>34</v>
      </c>
      <c r="E45" s="26"/>
      <c r="F45" s="26"/>
      <c r="G45" s="26" t="s">
        <v>76</v>
      </c>
      <c r="H45" s="26"/>
      <c r="I45" s="26"/>
      <c r="J45" s="26"/>
      <c r="K45" s="55"/>
      <c r="L45" s="62"/>
    </row>
    <row r="46" spans="1:15" x14ac:dyDescent="0.25">
      <c r="A46" s="62"/>
      <c r="B46" s="59" t="s">
        <v>24</v>
      </c>
      <c r="C46" s="64">
        <v>600</v>
      </c>
      <c r="D46" s="64">
        <v>35</v>
      </c>
      <c r="E46" s="26" t="s">
        <v>18</v>
      </c>
      <c r="F46" s="58">
        <f>C46/(2*D46)</f>
        <v>8.5714285714285712</v>
      </c>
      <c r="G46" s="44" t="str">
        <f>IF(F46&lt;=145/SQRT(C6),"Class 1",IF(F46&lt;=170/SQRT(C6),"Class 2",IF(F46&lt;=200/SQRT(C6),"Class 3","Class 4")))</f>
        <v>Class 2</v>
      </c>
      <c r="H46" s="26"/>
      <c r="I46" s="26"/>
      <c r="J46" s="26"/>
      <c r="K46" s="55"/>
      <c r="L46" s="62"/>
    </row>
    <row r="47" spans="1:15" x14ac:dyDescent="0.25">
      <c r="A47" s="62"/>
      <c r="B47" s="59" t="s">
        <v>25</v>
      </c>
      <c r="C47" s="64">
        <v>15</v>
      </c>
      <c r="D47" s="64">
        <v>1700</v>
      </c>
      <c r="E47" s="26" t="s">
        <v>19</v>
      </c>
      <c r="F47" s="58">
        <f>D47/C47</f>
        <v>113.33333333333333</v>
      </c>
      <c r="G47" s="44" t="str">
        <f>IF(F47&lt;=1100/SQRT(C6),"Class 1",IF(F47&lt;=1700/SQRT(C6),"Class 2",IF(F47&lt;=1900/SQRT(C6),"Class 3","Class 4")))</f>
        <v>Class 4</v>
      </c>
      <c r="H47" s="26"/>
      <c r="I47" s="26"/>
      <c r="J47" s="26"/>
      <c r="K47" s="55"/>
      <c r="L47" s="62"/>
    </row>
    <row r="48" spans="1:15" ht="13.5" thickBot="1" x14ac:dyDescent="0.3">
      <c r="A48" s="62"/>
      <c r="B48" s="61" t="s">
        <v>26</v>
      </c>
      <c r="C48" s="65">
        <v>600</v>
      </c>
      <c r="D48" s="65">
        <v>35</v>
      </c>
      <c r="E48" s="46" t="s">
        <v>18</v>
      </c>
      <c r="F48" s="52">
        <f>C48/(2*D48)</f>
        <v>8.5714285714285712</v>
      </c>
      <c r="G48" s="48" t="str">
        <f>IF(F48&lt;=145/SQRT(C6),"Class 1",IF(F48&lt;=170/SQRT(C6),"Class 2",IF(F48&lt;=200/SQRT(C6),"Class 3","Class 4")))</f>
        <v>Class 2</v>
      </c>
      <c r="H48" s="46"/>
      <c r="I48" s="46"/>
      <c r="J48" s="46"/>
      <c r="K48" s="57"/>
      <c r="L48" s="62"/>
      <c r="N48" s="39"/>
      <c r="O48" s="39"/>
    </row>
    <row r="49" spans="1:15" x14ac:dyDescent="0.25">
      <c r="A49" s="62"/>
      <c r="B49" s="60"/>
      <c r="C49" s="41" t="s">
        <v>12</v>
      </c>
      <c r="D49" s="41" t="s">
        <v>29</v>
      </c>
      <c r="E49" s="41" t="s">
        <v>7</v>
      </c>
      <c r="F49" s="41" t="s">
        <v>8</v>
      </c>
      <c r="G49" s="41" t="s">
        <v>9</v>
      </c>
      <c r="H49" s="41" t="s">
        <v>10</v>
      </c>
      <c r="I49" s="41" t="s">
        <v>11</v>
      </c>
      <c r="J49" s="41" t="s">
        <v>21</v>
      </c>
      <c r="K49" s="56" t="s">
        <v>22</v>
      </c>
      <c r="L49" s="73"/>
      <c r="M49" s="39"/>
      <c r="N49" s="39"/>
      <c r="O49" s="39"/>
    </row>
    <row r="50" spans="1:15" x14ac:dyDescent="0.25">
      <c r="A50" s="62"/>
      <c r="B50" s="59"/>
      <c r="C50" s="26" t="s">
        <v>13</v>
      </c>
      <c r="D50" s="26" t="s">
        <v>34</v>
      </c>
      <c r="E50" s="26" t="s">
        <v>48</v>
      </c>
      <c r="F50" s="26" t="s">
        <v>34</v>
      </c>
      <c r="G50" s="26" t="s">
        <v>34</v>
      </c>
      <c r="H50" s="26" t="s">
        <v>15</v>
      </c>
      <c r="I50" s="26" t="s">
        <v>15</v>
      </c>
      <c r="J50" s="26" t="s">
        <v>15</v>
      </c>
      <c r="K50" s="55" t="s">
        <v>15</v>
      </c>
      <c r="L50" s="73"/>
      <c r="M50" s="39"/>
      <c r="N50" s="39"/>
      <c r="O50" s="39"/>
    </row>
    <row r="51" spans="1:15" x14ac:dyDescent="0.25">
      <c r="A51" s="62"/>
      <c r="B51" s="59" t="s">
        <v>24</v>
      </c>
      <c r="C51" s="44">
        <f>C46*D46</f>
        <v>21000</v>
      </c>
      <c r="D51" s="44">
        <f>D46/2+D47+D48</f>
        <v>1752.5</v>
      </c>
      <c r="E51" s="44">
        <f>C51*D51</f>
        <v>36802500</v>
      </c>
      <c r="F51" s="44">
        <f>SUM($E$51:$E$53)/SUM($C$51:$C$53)</f>
        <v>885</v>
      </c>
      <c r="G51" s="44">
        <f>D51-F51</f>
        <v>867.5</v>
      </c>
      <c r="H51" s="44">
        <f>C51* G51^2</f>
        <v>15803681250</v>
      </c>
      <c r="I51" s="44">
        <f>C46*D46^3/12</f>
        <v>2143750</v>
      </c>
      <c r="J51" s="44">
        <f>I51+H51</f>
        <v>15805825000</v>
      </c>
      <c r="K51" s="45">
        <f>D46*C46^3/12</f>
        <v>630000000</v>
      </c>
      <c r="L51" s="73"/>
      <c r="M51" s="39"/>
      <c r="N51" s="39"/>
      <c r="O51" s="39"/>
    </row>
    <row r="52" spans="1:15" x14ac:dyDescent="0.25">
      <c r="A52" s="62"/>
      <c r="B52" s="59" t="s">
        <v>25</v>
      </c>
      <c r="C52" s="44">
        <f>C47*D47</f>
        <v>25500</v>
      </c>
      <c r="D52" s="44">
        <f>D47/2+D48</f>
        <v>885</v>
      </c>
      <c r="E52" s="44">
        <f>C52*D52</f>
        <v>22567500</v>
      </c>
      <c r="F52" s="44">
        <f>SUM($E$51:$E$53)/SUM($C$51:$C$53)</f>
        <v>885</v>
      </c>
      <c r="G52" s="44">
        <f>D52-F52</f>
        <v>0</v>
      </c>
      <c r="H52" s="44">
        <f>C52* G52^2</f>
        <v>0</v>
      </c>
      <c r="I52" s="44">
        <f>C47*D47^3/12</f>
        <v>6141250000</v>
      </c>
      <c r="J52" s="44">
        <f>I52+H52</f>
        <v>6141250000</v>
      </c>
      <c r="K52" s="45">
        <f>D47*C47^3/12</f>
        <v>478125</v>
      </c>
      <c r="L52" s="73"/>
      <c r="M52" s="39"/>
      <c r="N52" s="39"/>
      <c r="O52" s="39"/>
    </row>
    <row r="53" spans="1:15" ht="13.5" thickBot="1" x14ac:dyDescent="0.3">
      <c r="A53" s="62"/>
      <c r="B53" s="61" t="s">
        <v>26</v>
      </c>
      <c r="C53" s="48">
        <f>C48*D48</f>
        <v>21000</v>
      </c>
      <c r="D53" s="48">
        <f>D48/2</f>
        <v>17.5</v>
      </c>
      <c r="E53" s="48">
        <f>C53*D53</f>
        <v>367500</v>
      </c>
      <c r="F53" s="48">
        <f>SUM($E$51:$E$53)/SUM($C$51:$C$53)</f>
        <v>885</v>
      </c>
      <c r="G53" s="48">
        <f>D53-F53</f>
        <v>-867.5</v>
      </c>
      <c r="H53" s="48">
        <f>C53* G53^2</f>
        <v>15803681250</v>
      </c>
      <c r="I53" s="48">
        <f>C48*D48^3/12</f>
        <v>2143750</v>
      </c>
      <c r="J53" s="48">
        <f>I53+H53</f>
        <v>15805825000</v>
      </c>
      <c r="K53" s="49">
        <f>D48*C48^3/12</f>
        <v>630000000</v>
      </c>
      <c r="L53" s="73"/>
      <c r="M53" s="39"/>
      <c r="N53" s="39"/>
      <c r="O53" s="39"/>
    </row>
    <row r="54" spans="1:15" x14ac:dyDescent="0.25">
      <c r="A54" s="62"/>
      <c r="B54" s="60"/>
      <c r="C54" s="41" t="s">
        <v>12</v>
      </c>
      <c r="D54" s="41" t="s">
        <v>30</v>
      </c>
      <c r="E54" s="41" t="s">
        <v>31</v>
      </c>
      <c r="F54" s="41" t="s">
        <v>16</v>
      </c>
      <c r="G54" s="41" t="s">
        <v>14</v>
      </c>
      <c r="H54" s="41" t="s">
        <v>17</v>
      </c>
      <c r="I54" s="5"/>
      <c r="J54" s="71" t="s">
        <v>81</v>
      </c>
      <c r="K54" s="43" t="s">
        <v>107</v>
      </c>
      <c r="L54" s="73"/>
      <c r="M54" s="39"/>
      <c r="N54" s="39"/>
      <c r="O54" s="39"/>
    </row>
    <row r="55" spans="1:15" ht="15" customHeight="1" x14ac:dyDescent="0.25">
      <c r="A55" s="62"/>
      <c r="B55" s="145" t="s">
        <v>56</v>
      </c>
      <c r="C55" s="26" t="s">
        <v>13</v>
      </c>
      <c r="D55" s="26" t="s">
        <v>33</v>
      </c>
      <c r="E55" s="26" t="s">
        <v>33</v>
      </c>
      <c r="F55" s="26" t="s">
        <v>15</v>
      </c>
      <c r="G55" s="26" t="s">
        <v>15</v>
      </c>
      <c r="H55" s="26" t="s">
        <v>15</v>
      </c>
      <c r="I55" s="8"/>
      <c r="J55" s="10" t="s">
        <v>80</v>
      </c>
      <c r="K55" s="45" t="s">
        <v>74</v>
      </c>
      <c r="L55" s="73"/>
      <c r="M55" s="39"/>
      <c r="N55" s="39"/>
      <c r="O55" s="39"/>
    </row>
    <row r="56" spans="1:15" ht="13.5" thickBot="1" x14ac:dyDescent="0.3">
      <c r="A56" s="62"/>
      <c r="B56" s="146"/>
      <c r="C56" s="53">
        <f>SUM(C51:C53)</f>
        <v>67500</v>
      </c>
      <c r="D56" s="46">
        <f>D6</f>
        <v>200</v>
      </c>
      <c r="E56" s="46">
        <f>E6</f>
        <v>77</v>
      </c>
      <c r="F56" s="53">
        <f>SUM(K51:K53)</f>
        <v>1260478125</v>
      </c>
      <c r="G56" s="53">
        <f>SUM(J51:J53)</f>
        <v>37752900000</v>
      </c>
      <c r="H56" s="53">
        <f>(1/3)*(C46*D46^3+C48*D48^3+D47*C47^3)</f>
        <v>19062500</v>
      </c>
      <c r="I56" s="46"/>
      <c r="J56" s="68">
        <v>1.2</v>
      </c>
      <c r="K56" s="70">
        <f>-F6*J56*(C56/10^6)/1000</f>
        <v>-6.2370000000000004E-3</v>
      </c>
      <c r="L56" s="73"/>
      <c r="M56" s="39"/>
      <c r="N56" s="39"/>
      <c r="O56" s="39"/>
    </row>
    <row r="57" spans="1:15" ht="13.5" thickBot="1" x14ac:dyDescent="0.3">
      <c r="A57" s="62"/>
      <c r="B57" s="87"/>
      <c r="C57" s="88"/>
      <c r="D57" s="26"/>
      <c r="E57" s="26"/>
      <c r="F57" s="88"/>
      <c r="G57" s="88"/>
      <c r="H57" s="88"/>
      <c r="I57" s="26"/>
      <c r="J57" s="66"/>
      <c r="K57" s="89"/>
      <c r="L57" s="73"/>
      <c r="M57" s="39"/>
      <c r="N57" s="39"/>
      <c r="O57" s="39"/>
    </row>
    <row r="58" spans="1:15" x14ac:dyDescent="0.25">
      <c r="A58" s="62"/>
      <c r="B58" s="25" t="s">
        <v>141</v>
      </c>
      <c r="C58" s="74"/>
      <c r="D58" s="75"/>
      <c r="E58" s="74"/>
      <c r="F58" s="74"/>
      <c r="G58" s="76"/>
      <c r="H58" s="77"/>
      <c r="I58" s="77"/>
      <c r="J58" s="77"/>
      <c r="K58" s="78"/>
      <c r="L58" s="73"/>
      <c r="M58" s="39"/>
      <c r="N58" s="39"/>
      <c r="O58" s="39"/>
    </row>
    <row r="59" spans="1:15" ht="13.5" thickBot="1" x14ac:dyDescent="0.3">
      <c r="A59" s="62"/>
      <c r="B59" s="79" t="s">
        <v>82</v>
      </c>
      <c r="C59" s="80"/>
      <c r="D59" s="81"/>
      <c r="E59" s="80"/>
      <c r="F59" s="80"/>
      <c r="G59" s="82"/>
      <c r="H59" s="83"/>
      <c r="I59" s="83"/>
      <c r="J59" s="83"/>
      <c r="K59" s="84"/>
      <c r="L59" s="73"/>
      <c r="M59" s="39"/>
      <c r="N59" s="39"/>
      <c r="O59" s="39"/>
    </row>
    <row r="60" spans="1:15" ht="13.5" thickBot="1" x14ac:dyDescent="0.3">
      <c r="A60" s="62"/>
      <c r="B60" s="61" t="s">
        <v>75</v>
      </c>
      <c r="C60" s="62"/>
      <c r="D60" s="68">
        <v>9</v>
      </c>
      <c r="E60" s="68">
        <v>10</v>
      </c>
      <c r="F60" s="68">
        <v>11</v>
      </c>
      <c r="G60" s="68">
        <v>12</v>
      </c>
      <c r="H60" s="48"/>
      <c r="I60" s="48"/>
      <c r="J60" s="48"/>
      <c r="K60" s="49"/>
      <c r="L60" s="73"/>
      <c r="M60" s="39"/>
      <c r="N60" s="39"/>
      <c r="O60" s="39"/>
    </row>
    <row r="61" spans="1:15" x14ac:dyDescent="0.25">
      <c r="A61" s="62"/>
      <c r="B61" s="60"/>
      <c r="C61" s="41" t="s">
        <v>53</v>
      </c>
      <c r="D61" s="41" t="s">
        <v>70</v>
      </c>
      <c r="E61" s="41" t="s">
        <v>145</v>
      </c>
      <c r="F61" s="41" t="s">
        <v>39</v>
      </c>
      <c r="G61" s="41" t="s">
        <v>40</v>
      </c>
      <c r="H61" s="41" t="s">
        <v>41</v>
      </c>
      <c r="I61" s="41" t="s">
        <v>42</v>
      </c>
      <c r="J61" s="42"/>
      <c r="K61" s="43"/>
      <c r="L61" s="73"/>
      <c r="M61" s="39"/>
      <c r="N61" s="39"/>
      <c r="O61" s="39"/>
    </row>
    <row r="62" spans="1:15" ht="15" customHeight="1" x14ac:dyDescent="0.25">
      <c r="A62" s="62"/>
      <c r="B62" s="145" t="s">
        <v>54</v>
      </c>
      <c r="C62" s="26" t="s">
        <v>36</v>
      </c>
      <c r="D62" s="26" t="s">
        <v>66</v>
      </c>
      <c r="E62" s="26" t="s">
        <v>34</v>
      </c>
      <c r="F62" s="26" t="s">
        <v>36</v>
      </c>
      <c r="G62" s="26" t="s">
        <v>36</v>
      </c>
      <c r="H62" s="26" t="s">
        <v>36</v>
      </c>
      <c r="I62" s="26" t="s">
        <v>36</v>
      </c>
      <c r="J62" s="44"/>
      <c r="K62" s="45"/>
      <c r="L62" s="73"/>
      <c r="M62" s="39"/>
      <c r="N62" s="39"/>
      <c r="O62" s="39"/>
    </row>
    <row r="63" spans="1:15" ht="13.5" thickBot="1" x14ac:dyDescent="0.3">
      <c r="A63" s="62"/>
      <c r="B63" s="146"/>
      <c r="C63" s="52">
        <f>VLOOKUP(E60,'member end fm'!$A$1:$M$100000,13,0)/1000</f>
        <v>-76.337693161010222</v>
      </c>
      <c r="D63" s="52">
        <f>ABS(VLOOKUP(D60,'member end fm'!$A$1:$M$100000,3,0))</f>
        <v>23.211050884505937</v>
      </c>
      <c r="E63" s="47">
        <f>VLOOKUP(D60,'member prop'!$A$1:$B$100000,2,0)+VLOOKUP(E60,'member prop'!$A$1:$B$100000,2,0)+VLOOKUP(F60,'member prop'!$A$1:$B$100000,2,0)+VLOOKUP(G60,'member prop'!$A$1:$B$100000,2,0)</f>
        <v>18000</v>
      </c>
      <c r="F63" s="52">
        <f>MAX(-VLOOKUP(D60,'member end fm'!$A$1:$M$100000,7,0),VLOOKUP(D60,'member end fm'!$A$1:$M$100000,13,0),-VLOOKUP(E60,'member end fm'!$A$1:$M$100000,7,0),VLOOKUP(E60,'member end fm'!$A$1:$M$100000,13,0),-VLOOKUP(F60,'member end fm'!$A$1:$M$100000,7,0),VLOOKUP(F60,'member end fm'!$A$1:$M$100000,13,0),-VLOOKUP(G60,'member end fm'!$A$1:$M$100000,7,0),VLOOKUP(G60,'member end fm'!$A$1:$M$100000,13,0))/1000</f>
        <v>50.376210689337775</v>
      </c>
      <c r="G63" s="52">
        <f>VLOOKUP(D60,'member end fm'!$A$1:$M$100000,13,0)/1000</f>
        <v>34.302211223241549</v>
      </c>
      <c r="H63" s="52">
        <f>VLOOKUP(E60,'member end fm'!$A$1:$M$100000,13,0)/1000</f>
        <v>-76.337693161010222</v>
      </c>
      <c r="I63" s="52">
        <f>VLOOKUP(F60,'member end fm'!$A$1:$M$100000,13,0)/1000</f>
        <v>-73.602293776096886</v>
      </c>
      <c r="J63" s="48"/>
      <c r="K63" s="49"/>
      <c r="L63" s="73"/>
      <c r="M63" s="39"/>
      <c r="N63" s="39"/>
      <c r="O63" s="39"/>
    </row>
    <row r="64" spans="1:15" x14ac:dyDescent="0.25">
      <c r="A64" s="62"/>
      <c r="B64" s="60"/>
      <c r="C64" s="50" t="s">
        <v>38</v>
      </c>
      <c r="D64" s="41" t="s">
        <v>45</v>
      </c>
      <c r="E64" s="41" t="s">
        <v>46</v>
      </c>
      <c r="F64" s="41" t="s">
        <v>43</v>
      </c>
      <c r="G64" s="41" t="s">
        <v>44</v>
      </c>
      <c r="H64" s="41" t="s">
        <v>50</v>
      </c>
      <c r="I64" s="41" t="s">
        <v>51</v>
      </c>
      <c r="J64" s="42"/>
      <c r="K64" s="43"/>
      <c r="L64" s="73"/>
      <c r="M64" s="39"/>
      <c r="N64" s="39"/>
      <c r="O64" s="39"/>
    </row>
    <row r="65" spans="1:15" x14ac:dyDescent="0.25">
      <c r="A65" s="62"/>
      <c r="B65" s="59"/>
      <c r="C65" s="51"/>
      <c r="D65" s="26"/>
      <c r="E65" s="26"/>
      <c r="F65" s="26"/>
      <c r="G65" s="26"/>
      <c r="H65" s="26" t="s">
        <v>48</v>
      </c>
      <c r="I65" s="26" t="s">
        <v>48</v>
      </c>
      <c r="J65" s="44"/>
      <c r="K65" s="45"/>
      <c r="L65" s="73"/>
      <c r="M65" s="39"/>
      <c r="N65" s="39"/>
      <c r="O65" s="39"/>
    </row>
    <row r="66" spans="1:15" ht="13.5" thickBot="1" x14ac:dyDescent="0.3">
      <c r="A66" s="62"/>
      <c r="B66" s="61"/>
      <c r="C66" s="52">
        <f>MIN((4*F63)/SQRT(F63^2+4*G63^2+7*H63^2+4*I63^2),2.5)</f>
        <v>0.76322322768143658</v>
      </c>
      <c r="D66" s="52">
        <f>0.9*(D47+D46/2+D48/2)*(2*(K51/F56)-1)*(1-(F56/G56)^2)</f>
        <v>-0.59164845737628868</v>
      </c>
      <c r="E66" s="48">
        <f>(1/12)*(D47+D46/2+D48/2)^2*(C46^3*D46*C48^3*D48)/(C46^3*D46+C48^3*D48)</f>
        <v>948220875000000</v>
      </c>
      <c r="F66" s="52">
        <f>(PI()*D66/(2*E63))*SQRT(D6*F56/(E6*H56))</f>
        <v>-6.7664125277392697E-4</v>
      </c>
      <c r="G66" s="52">
        <f>PI()^2*D6*E66/(E63^2*E6*H56)</f>
        <v>3.9357151724814328</v>
      </c>
      <c r="H66" s="48">
        <f>G56/(D46+D47+D48-F51)</f>
        <v>42658644.06779661</v>
      </c>
      <c r="I66" s="48">
        <f>G56/F52</f>
        <v>42658644.06779661</v>
      </c>
      <c r="J66" s="48"/>
      <c r="K66" s="49"/>
      <c r="L66" s="73"/>
      <c r="M66" s="39"/>
      <c r="N66" s="39"/>
      <c r="O66" s="39"/>
    </row>
    <row r="67" spans="1:15" x14ac:dyDescent="0.25">
      <c r="A67" s="62"/>
      <c r="B67" s="60"/>
      <c r="C67" s="41" t="s">
        <v>37</v>
      </c>
      <c r="D67" s="41" t="s">
        <v>35</v>
      </c>
      <c r="E67" s="41" t="s">
        <v>57</v>
      </c>
      <c r="F67" s="41" t="s">
        <v>58</v>
      </c>
      <c r="G67" s="42" t="s">
        <v>52</v>
      </c>
      <c r="H67" s="41"/>
      <c r="I67" s="41"/>
      <c r="J67" s="41"/>
      <c r="K67" s="43" t="s">
        <v>59</v>
      </c>
      <c r="L67" s="73"/>
      <c r="M67" s="39"/>
      <c r="N67" s="39"/>
      <c r="O67" s="39"/>
    </row>
    <row r="68" spans="1:15" ht="15" customHeight="1" x14ac:dyDescent="0.25">
      <c r="A68" s="62"/>
      <c r="B68" s="145" t="s">
        <v>69</v>
      </c>
      <c r="C68" s="26" t="s">
        <v>36</v>
      </c>
      <c r="D68" s="26" t="s">
        <v>36</v>
      </c>
      <c r="E68" s="26" t="s">
        <v>36</v>
      </c>
      <c r="F68" s="26" t="s">
        <v>36</v>
      </c>
      <c r="G68" s="44" t="s">
        <v>36</v>
      </c>
      <c r="H68" s="26"/>
      <c r="I68" s="26"/>
      <c r="J68" s="26"/>
      <c r="K68" s="45" t="s">
        <v>36</v>
      </c>
      <c r="L68" s="73"/>
      <c r="M68" s="39"/>
      <c r="N68" s="39"/>
      <c r="O68" s="39"/>
    </row>
    <row r="69" spans="1:15" ht="13.5" thickBot="1" x14ac:dyDescent="0.3">
      <c r="A69" s="62"/>
      <c r="B69" s="146"/>
      <c r="C69" s="52">
        <f>(C66*PI()/E63)*(SQRT(D6*1000*F56*E6*1000*H56)*(F66+SQRT(1+G66+F66^2)))/10^6</f>
        <v>5691.0141430112508</v>
      </c>
      <c r="D69" s="52">
        <f>MIN(H66:I66)*C6/10^6</f>
        <v>14930.525423728814</v>
      </c>
      <c r="E69" s="52">
        <f>0.67*D69</f>
        <v>10003.452033898306</v>
      </c>
      <c r="F69" s="52">
        <f>G6*D69</f>
        <v>14183.999152542372</v>
      </c>
      <c r="G69" s="52">
        <f>IF(C69&lt;=0.67*D69,G6*C69,MIN(1.15*G6*D69*(1-0.28*D69/C69),F69))</f>
        <v>5406.4634358606882</v>
      </c>
      <c r="H69" s="46"/>
      <c r="I69" s="46"/>
      <c r="J69" s="46"/>
      <c r="K69" s="67" t="e">
        <f>IF(2*(SUM(D46:D48)-F51)/C47&gt;1900/SQRT(C63*10^6/(G6*MIN(H66:I66))), G69*(1-((1/(300+1200*C51/C52))*((2*(SUM(D46:D48)-F51)/C47)-1900/SQRT(C63*10^6/(G6*MIN(H66:I66)))))), G69)</f>
        <v>#NUM!</v>
      </c>
      <c r="L69" s="73"/>
      <c r="M69" s="39"/>
      <c r="N69" s="39"/>
      <c r="O69" s="39"/>
    </row>
    <row r="70" spans="1:15" x14ac:dyDescent="0.25">
      <c r="A70" s="62"/>
      <c r="B70" s="60"/>
      <c r="C70" s="41" t="s">
        <v>60</v>
      </c>
      <c r="D70" s="41" t="s">
        <v>61</v>
      </c>
      <c r="E70" s="41" t="s">
        <v>62</v>
      </c>
      <c r="F70" s="42" t="s">
        <v>63</v>
      </c>
      <c r="G70" s="42" t="s">
        <v>64</v>
      </c>
      <c r="H70" s="41"/>
      <c r="I70" s="41"/>
      <c r="J70" s="41"/>
      <c r="K70" s="43" t="s">
        <v>65</v>
      </c>
      <c r="L70" s="73"/>
      <c r="M70" s="39"/>
      <c r="N70" s="39"/>
      <c r="O70" s="39"/>
    </row>
    <row r="71" spans="1:15" ht="15" customHeight="1" x14ac:dyDescent="0.25">
      <c r="A71" s="62"/>
      <c r="B71" s="148" t="s">
        <v>68</v>
      </c>
      <c r="C71" s="26" t="s">
        <v>34</v>
      </c>
      <c r="D71" s="26"/>
      <c r="E71" s="54" t="s">
        <v>32</v>
      </c>
      <c r="F71" s="54" t="s">
        <v>32</v>
      </c>
      <c r="G71" s="54" t="s">
        <v>32</v>
      </c>
      <c r="H71" s="26"/>
      <c r="I71" s="26"/>
      <c r="J71" s="26"/>
      <c r="K71" s="45" t="s">
        <v>66</v>
      </c>
      <c r="L71" s="73"/>
      <c r="M71" s="39"/>
      <c r="N71" s="39"/>
      <c r="O71" s="39"/>
    </row>
    <row r="72" spans="1:15" ht="13.5" thickBot="1" x14ac:dyDescent="0.3">
      <c r="A72" s="62"/>
      <c r="B72" s="149"/>
      <c r="C72" s="68">
        <v>10000000</v>
      </c>
      <c r="D72" s="52">
        <f>IF(C72/D47&lt;1, 4+5.34/(C72/D47)^2, 5.34+4/(C72/D47)^2)</f>
        <v>5.3400001155999997</v>
      </c>
      <c r="E72" s="52">
        <f>IF(F47&lt;=502*SQRT(D72/C6), 0.577*C6, IF(F47&lt;=621*SQRT(D72/C6), 290*SQRT(C6*D72)/(F47), IF(F47&gt;621*SQRT(D72/C6),180000*D72/(F47^2))))</f>
        <v>74.833911654602076</v>
      </c>
      <c r="F72" s="52">
        <f>IF(F47&lt;=502*SQRT(D72/C6), 0, IF(F47&lt;=621*SQRT(D72/C6), (0.5*C6-0.866*E72)*(1/SQRT(1+(C72/D47)^2)), IF(F47&gt;621*SQRT(D72/C6),(0.5*C6-0.866*E72)*(1/SQRT(1+(C72/D47)^2)))))</f>
        <v>1.873295125551834E-2</v>
      </c>
      <c r="G72" s="52">
        <f>SUM(E72:F72)</f>
        <v>74.852644605857591</v>
      </c>
      <c r="H72" s="46"/>
      <c r="I72" s="46"/>
      <c r="J72" s="46"/>
      <c r="K72" s="67">
        <f>G6*C52*G72/1000</f>
        <v>1813.3053155769003</v>
      </c>
      <c r="L72" s="73"/>
      <c r="M72" s="39"/>
      <c r="N72" s="39"/>
      <c r="O72" s="39"/>
    </row>
    <row r="73" spans="1:15" ht="15" customHeight="1" x14ac:dyDescent="0.25">
      <c r="A73" s="62"/>
      <c r="B73" s="147" t="s">
        <v>78</v>
      </c>
      <c r="C73" s="41" t="s">
        <v>72</v>
      </c>
      <c r="D73" s="41" t="s">
        <v>71</v>
      </c>
      <c r="E73" s="41"/>
      <c r="F73" s="41"/>
      <c r="G73" s="42"/>
      <c r="H73" s="42"/>
      <c r="I73" s="41"/>
      <c r="J73" s="41"/>
      <c r="K73" s="69" t="s">
        <v>73</v>
      </c>
      <c r="L73" s="73"/>
      <c r="M73" s="39"/>
      <c r="N73" s="39"/>
      <c r="O73" s="39"/>
    </row>
    <row r="74" spans="1:15" ht="13.5" thickBot="1" x14ac:dyDescent="0.3">
      <c r="A74" s="62"/>
      <c r="B74" s="146"/>
      <c r="C74" s="52" t="e">
        <f>C63/K69</f>
        <v>#NUM!</v>
      </c>
      <c r="D74" s="52">
        <f>D63/K72</f>
        <v>1.2800409663565883E-2</v>
      </c>
      <c r="E74" s="46"/>
      <c r="F74" s="48"/>
      <c r="G74" s="48"/>
      <c r="H74" s="48"/>
      <c r="I74" s="46"/>
      <c r="J74" s="46"/>
      <c r="K74" s="67" t="e">
        <f>0.727*C74+0.455*D74</f>
        <v>#NUM!</v>
      </c>
      <c r="L74" s="73"/>
      <c r="M74" s="39"/>
      <c r="N74" s="39"/>
      <c r="O74" s="39"/>
    </row>
    <row r="75" spans="1:15" x14ac:dyDescent="0.25">
      <c r="A75" s="62"/>
      <c r="B75" s="72"/>
      <c r="C75" s="62"/>
      <c r="D75" s="62"/>
      <c r="E75" s="73"/>
      <c r="F75" s="73"/>
      <c r="G75" s="73"/>
      <c r="H75" s="73"/>
      <c r="I75" s="73"/>
      <c r="J75" s="73"/>
      <c r="K75" s="73"/>
      <c r="L75" s="73"/>
      <c r="M75" s="39"/>
      <c r="N75" s="39"/>
      <c r="O75" s="39"/>
    </row>
  </sheetData>
  <sheetProtection algorithmName="SHA-512" hashValue="uHJfYPVYEPeNmz6HQdAqrfTVTC9qJm7YWKN095ekWDB1L8QwSMati6JOy/dxMzh5KT4uCW9FbFLEKAC61C7apw==" saltValue="a3awQor+GLzhNVrsnwlBXw==" spinCount="100000" sheet="1" objects="1" scenarios="1"/>
  <mergeCells count="7">
    <mergeCell ref="B20:B21"/>
    <mergeCell ref="B73:B74"/>
    <mergeCell ref="B71:B72"/>
    <mergeCell ref="B68:B69"/>
    <mergeCell ref="B62:B63"/>
    <mergeCell ref="B55:B56"/>
    <mergeCell ref="B36:B37"/>
  </mergeCells>
  <pageMargins left="0.25" right="0.25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83A9-71C8-479D-851F-A57E4E3EAE29}">
  <sheetPr>
    <tabColor theme="0" tint="-0.499984740745262"/>
  </sheetPr>
  <dimension ref="A1:M15"/>
  <sheetViews>
    <sheetView workbookViewId="0">
      <selection activeCell="H16" sqref="H16"/>
    </sheetView>
  </sheetViews>
  <sheetFormatPr defaultRowHeight="15" x14ac:dyDescent="0.25"/>
  <sheetData>
    <row r="1" spans="1:13" x14ac:dyDescent="0.25">
      <c r="A1" t="s">
        <v>165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-13.842623700900543</v>
      </c>
      <c r="I2">
        <v>-9.5370013966049196</v>
      </c>
      <c r="J2">
        <v>7.8202709776512851</v>
      </c>
      <c r="K2">
        <v>13725.500090354522</v>
      </c>
      <c r="L2">
        <v>5.2232700651193079E-2</v>
      </c>
      <c r="M2">
        <v>23205.042763807065</v>
      </c>
    </row>
    <row r="3" spans="1:13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-11.092626552952941</v>
      </c>
      <c r="I3">
        <v>116.899594521371</v>
      </c>
      <c r="J3">
        <v>13.506985538559015</v>
      </c>
      <c r="K3">
        <v>19119.729676213719</v>
      </c>
      <c r="L3">
        <v>0.37566592663440301</v>
      </c>
      <c r="M3">
        <v>20422.631547053159</v>
      </c>
    </row>
    <row r="4" spans="1:13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-13.690716588189993</v>
      </c>
      <c r="I4">
        <v>-18.011990807923482</v>
      </c>
      <c r="J4">
        <v>7.2443112097591094</v>
      </c>
      <c r="K4">
        <v>11738.190280655155</v>
      </c>
      <c r="L4">
        <v>0.38067592784207677</v>
      </c>
      <c r="M4">
        <v>22987.252231099417</v>
      </c>
    </row>
    <row r="5" spans="1:1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-11.374033157947689</v>
      </c>
      <c r="I5">
        <v>105.64939768314933</v>
      </c>
      <c r="J5">
        <v>1.4284322740498387</v>
      </c>
      <c r="K5">
        <v>5103.6143290456357</v>
      </c>
      <c r="L5">
        <v>2.9219142153733023E-2</v>
      </c>
      <c r="M5">
        <v>20640.112435376112</v>
      </c>
    </row>
    <row r="6" spans="1:13" x14ac:dyDescent="0.25">
      <c r="A6">
        <v>5</v>
      </c>
      <c r="B6">
        <v>10.127616774778689</v>
      </c>
      <c r="C6">
        <v>1.6830002464596917E-2</v>
      </c>
      <c r="D6">
        <v>-0.88578436690548479</v>
      </c>
      <c r="E6">
        <v>-1.995093623877591E-4</v>
      </c>
      <c r="F6">
        <v>-3.7854720652833764E-6</v>
      </c>
      <c r="G6">
        <v>-1.7604138551367177E-3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6</v>
      </c>
      <c r="B7">
        <v>10.092553479194949</v>
      </c>
      <c r="C7">
        <v>-0.20629340209653707</v>
      </c>
      <c r="D7">
        <v>-0.84191162064820468</v>
      </c>
      <c r="E7">
        <v>1.1407486316248084E-4</v>
      </c>
      <c r="F7">
        <v>-2.7225719777536419E-5</v>
      </c>
      <c r="G7">
        <v>-2.7286238348248194E-3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>
        <v>7</v>
      </c>
      <c r="B8">
        <v>10.056348652185678</v>
      </c>
      <c r="C8">
        <v>3.1785866131629675E-2</v>
      </c>
      <c r="D8">
        <v>-0.89908186063440609</v>
      </c>
      <c r="E8">
        <v>-3.8717234660164878E-4</v>
      </c>
      <c r="F8">
        <v>-2.7588810702995811E-5</v>
      </c>
      <c r="G8">
        <v>-1.7676759727027135E-3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>
        <v>8</v>
      </c>
      <c r="B9">
        <v>10.02340306452594</v>
      </c>
      <c r="C9">
        <v>-0.18644011355849882</v>
      </c>
      <c r="D9">
        <v>-0.77627730824936891</v>
      </c>
      <c r="E9">
        <v>-5.9609659179708752E-4</v>
      </c>
      <c r="F9">
        <v>-2.1176053509684615E-6</v>
      </c>
      <c r="G9">
        <v>-2.5810548306162842E-3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>
        <v>9</v>
      </c>
      <c r="B10">
        <v>26.007735733273456</v>
      </c>
      <c r="C10">
        <v>3.0134206512404119E-2</v>
      </c>
      <c r="D10">
        <v>-1.7009321885854023</v>
      </c>
      <c r="E10">
        <v>-1.1307661154096416E-4</v>
      </c>
      <c r="F10">
        <v>-1.0109098287517736E-4</v>
      </c>
      <c r="G10">
        <v>-8.0159580167255093E-4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>
        <v>10</v>
      </c>
      <c r="B11">
        <v>26.100604444193447</v>
      </c>
      <c r="C11">
        <v>-0.29251944251180761</v>
      </c>
      <c r="D11">
        <v>-1.3468965776921293</v>
      </c>
      <c r="E11">
        <v>5.1430753051753255E-4</v>
      </c>
      <c r="F11">
        <v>-3.2556758669177446E-5</v>
      </c>
      <c r="G11">
        <v>-2.64030239344732E-3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>
        <v>11</v>
      </c>
      <c r="B12">
        <v>25.573218360647108</v>
      </c>
      <c r="C12">
        <v>4.9646923256548244E-2</v>
      </c>
      <c r="D12">
        <v>-1.7201988235783943</v>
      </c>
      <c r="E12">
        <v>-1.6259143281511883E-4</v>
      </c>
      <c r="F12">
        <v>-3.5303910145098634E-5</v>
      </c>
      <c r="G12">
        <v>-7.8836889815071625E-4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>
        <v>12</v>
      </c>
      <c r="B13">
        <v>25.663080784175119</v>
      </c>
      <c r="C13">
        <v>-0.2666457716862734</v>
      </c>
      <c r="D13">
        <v>-1.5551402169297817</v>
      </c>
      <c r="E13">
        <v>-7.0232328086958175E-4</v>
      </c>
      <c r="F13">
        <v>-1.1736703540324585E-4</v>
      </c>
      <c r="G13">
        <v>-2.5635605180222105E-3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5">
      <c r="A14">
        <v>13</v>
      </c>
      <c r="B14">
        <v>9.9667911521255714</v>
      </c>
      <c r="C14">
        <v>-17.598009494387256</v>
      </c>
      <c r="D14">
        <v>-0.77042709224690697</v>
      </c>
      <c r="E14">
        <v>1.3812570607258544E-5</v>
      </c>
      <c r="F14">
        <v>-1.2725075774475959E-5</v>
      </c>
      <c r="G14">
        <v>-6.0070582103487653E-3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>
        <v>14</v>
      </c>
      <c r="B15">
        <v>26.169982201306333</v>
      </c>
      <c r="C15">
        <v>-17.665684233487532</v>
      </c>
      <c r="D15">
        <v>-1.1857332329352985</v>
      </c>
      <c r="E15">
        <v>-3.3624686110382696E-5</v>
      </c>
      <c r="F15">
        <v>-9.4445049647434595E-5</v>
      </c>
      <c r="G15">
        <v>-5.9556216999970372E-3</v>
      </c>
      <c r="H15">
        <v>50</v>
      </c>
      <c r="I15">
        <v>-75</v>
      </c>
      <c r="J15">
        <v>0</v>
      </c>
      <c r="K15">
        <v>0</v>
      </c>
      <c r="L15">
        <v>0</v>
      </c>
      <c r="M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34C3-BC40-4A7A-B8B2-7B3473A5C9DD}">
  <sheetPr>
    <tabColor theme="0" tint="-0.499984740745262"/>
  </sheetPr>
  <dimension ref="A1:B22"/>
  <sheetViews>
    <sheetView workbookViewId="0">
      <selection activeCell="A2" sqref="A2:B22"/>
    </sheetView>
  </sheetViews>
  <sheetFormatPr defaultRowHeight="15" x14ac:dyDescent="0.25"/>
  <sheetData>
    <row r="1" spans="1:2" x14ac:dyDescent="0.25">
      <c r="A1" t="s">
        <v>113</v>
      </c>
      <c r="B1" t="s">
        <v>114</v>
      </c>
    </row>
    <row r="2" spans="1:2" x14ac:dyDescent="0.25">
      <c r="A2">
        <v>1</v>
      </c>
      <c r="B2">
        <v>3000</v>
      </c>
    </row>
    <row r="3" spans="1:2" x14ac:dyDescent="0.25">
      <c r="A3">
        <v>2</v>
      </c>
      <c r="B3">
        <v>3000</v>
      </c>
    </row>
    <row r="4" spans="1:2" x14ac:dyDescent="0.25">
      <c r="A4">
        <v>3</v>
      </c>
      <c r="B4">
        <v>3000</v>
      </c>
    </row>
    <row r="5" spans="1:2" x14ac:dyDescent="0.25">
      <c r="A5">
        <v>4</v>
      </c>
      <c r="B5">
        <v>3000</v>
      </c>
    </row>
    <row r="6" spans="1:2" x14ac:dyDescent="0.25">
      <c r="A6">
        <v>5</v>
      </c>
      <c r="B6">
        <v>3000</v>
      </c>
    </row>
    <row r="7" spans="1:2" x14ac:dyDescent="0.25">
      <c r="A7">
        <v>6</v>
      </c>
      <c r="B7">
        <v>3000</v>
      </c>
    </row>
    <row r="8" spans="1:2" x14ac:dyDescent="0.25">
      <c r="A8">
        <v>7</v>
      </c>
      <c r="B8">
        <v>3000</v>
      </c>
    </row>
    <row r="9" spans="1:2" x14ac:dyDescent="0.25">
      <c r="A9">
        <v>8</v>
      </c>
      <c r="B9">
        <v>3000</v>
      </c>
    </row>
    <row r="10" spans="1:2" x14ac:dyDescent="0.25">
      <c r="A10">
        <v>9</v>
      </c>
      <c r="B10">
        <v>3000</v>
      </c>
    </row>
    <row r="11" spans="1:2" x14ac:dyDescent="0.25">
      <c r="A11">
        <v>10</v>
      </c>
      <c r="B11">
        <v>5000</v>
      </c>
    </row>
    <row r="12" spans="1:2" x14ac:dyDescent="0.25">
      <c r="A12">
        <v>11</v>
      </c>
      <c r="B12">
        <v>5000</v>
      </c>
    </row>
    <row r="13" spans="1:2" x14ac:dyDescent="0.25">
      <c r="A13">
        <v>12</v>
      </c>
      <c r="B13">
        <v>5000</v>
      </c>
    </row>
    <row r="14" spans="1:2" x14ac:dyDescent="0.25">
      <c r="A14">
        <v>13</v>
      </c>
      <c r="B14">
        <v>5000</v>
      </c>
    </row>
    <row r="15" spans="1:2" x14ac:dyDescent="0.25">
      <c r="A15">
        <v>14</v>
      </c>
      <c r="B15">
        <v>5000</v>
      </c>
    </row>
    <row r="16" spans="1:2" x14ac:dyDescent="0.25">
      <c r="A16">
        <v>15</v>
      </c>
      <c r="B16">
        <v>5000</v>
      </c>
    </row>
    <row r="17" spans="1:2" x14ac:dyDescent="0.25">
      <c r="A17">
        <v>16</v>
      </c>
      <c r="B17">
        <v>5000</v>
      </c>
    </row>
    <row r="18" spans="1:2" x14ac:dyDescent="0.25">
      <c r="A18">
        <v>17</v>
      </c>
      <c r="B18">
        <v>5000</v>
      </c>
    </row>
    <row r="19" spans="1:2" x14ac:dyDescent="0.25">
      <c r="A19">
        <v>18</v>
      </c>
      <c r="B19">
        <v>3905.1248379533272</v>
      </c>
    </row>
    <row r="20" spans="1:2" x14ac:dyDescent="0.25">
      <c r="A20">
        <v>19</v>
      </c>
      <c r="B20">
        <v>3905.1248379533272</v>
      </c>
    </row>
    <row r="21" spans="1:2" x14ac:dyDescent="0.25">
      <c r="A21">
        <v>20</v>
      </c>
      <c r="B21">
        <v>3905.1248379533272</v>
      </c>
    </row>
    <row r="22" spans="1:2" x14ac:dyDescent="0.25">
      <c r="A22">
        <v>21</v>
      </c>
      <c r="B22">
        <v>3905.1248379533272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9673-82A1-49ED-9E7C-83CC477DC19B}">
  <sheetPr codeName="Sheet3">
    <tabColor theme="0" tint="-0.499984740745262"/>
  </sheetPr>
  <dimension ref="A1:M22"/>
  <sheetViews>
    <sheetView workbookViewId="0">
      <selection activeCell="A2" sqref="A2:M22"/>
    </sheetView>
  </sheetViews>
  <sheetFormatPr defaultRowHeight="15" x14ac:dyDescent="0.25"/>
  <sheetData>
    <row r="1" spans="1:13" x14ac:dyDescent="0.25">
      <c r="A1" t="s">
        <v>113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</row>
    <row r="2" spans="1:13" x14ac:dyDescent="0.25">
      <c r="A2">
        <v>1</v>
      </c>
      <c r="B2">
        <v>-9.5370013966049196</v>
      </c>
      <c r="C2">
        <v>7.8202709776512869</v>
      </c>
      <c r="D2">
        <v>-13.842623700900543</v>
      </c>
      <c r="E2">
        <v>5.2232700651193079E-2</v>
      </c>
      <c r="F2">
        <v>23205.042763807065</v>
      </c>
      <c r="G2">
        <v>13725.500090354526</v>
      </c>
      <c r="H2">
        <v>9.5370013966049196</v>
      </c>
      <c r="I2">
        <v>-7.8202709776512869</v>
      </c>
      <c r="J2">
        <v>13.842623700900543</v>
      </c>
      <c r="K2">
        <v>-5.2232700651193079E-2</v>
      </c>
      <c r="L2">
        <v>18322.828338894571</v>
      </c>
      <c r="M2">
        <v>9735.3128425993418</v>
      </c>
    </row>
    <row r="3" spans="1:13" x14ac:dyDescent="0.25">
      <c r="A3">
        <v>2</v>
      </c>
      <c r="B3">
        <v>116.899594521371</v>
      </c>
      <c r="C3">
        <v>13.506985538559018</v>
      </c>
      <c r="D3">
        <v>-11.092626552952941</v>
      </c>
      <c r="E3">
        <v>0.37566592663440301</v>
      </c>
      <c r="F3">
        <v>20422.631547053159</v>
      </c>
      <c r="G3">
        <v>19119.729676213719</v>
      </c>
      <c r="H3">
        <v>-116.899594521371</v>
      </c>
      <c r="I3">
        <v>-13.506985538559018</v>
      </c>
      <c r="J3">
        <v>11.092626552952941</v>
      </c>
      <c r="K3">
        <v>-0.37566592663440301</v>
      </c>
      <c r="L3">
        <v>12855.24811180566</v>
      </c>
      <c r="M3">
        <v>21401.226939463333</v>
      </c>
    </row>
    <row r="4" spans="1:13" x14ac:dyDescent="0.25">
      <c r="A4">
        <v>3</v>
      </c>
      <c r="B4">
        <v>-18.011990807923482</v>
      </c>
      <c r="C4">
        <v>7.2443112097591111</v>
      </c>
      <c r="D4">
        <v>-13.690716588189993</v>
      </c>
      <c r="E4">
        <v>0.38067592784207677</v>
      </c>
      <c r="F4">
        <v>22987.252231099417</v>
      </c>
      <c r="G4">
        <v>11738.190280655159</v>
      </c>
      <c r="H4">
        <v>18.011990807923482</v>
      </c>
      <c r="I4">
        <v>-1.2443112097591111</v>
      </c>
      <c r="J4">
        <v>13.690716588189993</v>
      </c>
      <c r="K4">
        <v>-0.38067592784207677</v>
      </c>
      <c r="L4">
        <v>18084.897533470561</v>
      </c>
      <c r="M4">
        <v>994.74334862217984</v>
      </c>
    </row>
    <row r="5" spans="1:13" x14ac:dyDescent="0.25">
      <c r="A5">
        <v>4</v>
      </c>
      <c r="B5">
        <v>105.64939768314933</v>
      </c>
      <c r="C5">
        <v>1.4284322740498414</v>
      </c>
      <c r="D5">
        <v>-11.374033157947689</v>
      </c>
      <c r="E5">
        <v>2.9219142153733023E-2</v>
      </c>
      <c r="F5">
        <v>20640.112435376112</v>
      </c>
      <c r="G5">
        <v>5103.6143290456403</v>
      </c>
      <c r="H5">
        <v>-105.64939768314933</v>
      </c>
      <c r="I5">
        <v>4.5715677259501586</v>
      </c>
      <c r="J5">
        <v>11.374033157947689</v>
      </c>
      <c r="K5">
        <v>-2.9219142153733023E-2</v>
      </c>
      <c r="L5">
        <v>13481.987038466948</v>
      </c>
      <c r="M5">
        <v>-9818.3175068961118</v>
      </c>
    </row>
    <row r="6" spans="1:13" x14ac:dyDescent="0.25">
      <c r="A6">
        <v>5</v>
      </c>
      <c r="B6">
        <v>-7.5390489604240809</v>
      </c>
      <c r="C6">
        <v>4.6169181438244422</v>
      </c>
      <c r="D6">
        <v>-22.255268715043734</v>
      </c>
      <c r="E6">
        <v>1.3426408992570791</v>
      </c>
      <c r="F6">
        <v>32053.342038428615</v>
      </c>
      <c r="G6">
        <v>6061.049707268714</v>
      </c>
      <c r="H6">
        <v>7.5390489604240809</v>
      </c>
      <c r="I6">
        <v>-4.6169181438244422</v>
      </c>
      <c r="J6">
        <v>22.255268715043734</v>
      </c>
      <c r="K6">
        <v>-1.3426408992570791</v>
      </c>
      <c r="L6">
        <v>34712.464106702566</v>
      </c>
      <c r="M6">
        <v>7789.7047242046137</v>
      </c>
    </row>
    <row r="7" spans="1:13" x14ac:dyDescent="0.25">
      <c r="A7">
        <v>6</v>
      </c>
      <c r="B7">
        <v>48.861422901986629</v>
      </c>
      <c r="C7">
        <v>19.300780634185937</v>
      </c>
      <c r="D7">
        <v>-14.70728548887805</v>
      </c>
      <c r="E7">
        <v>7.3558740834641201E-2</v>
      </c>
      <c r="F7">
        <v>21938.455834606924</v>
      </c>
      <c r="G7">
        <v>24948.844277728385</v>
      </c>
      <c r="H7">
        <v>-48.861422901986629</v>
      </c>
      <c r="I7">
        <v>-19.300780634185937</v>
      </c>
      <c r="J7">
        <v>14.70728548887805</v>
      </c>
      <c r="K7">
        <v>-7.3558740834641201E-2</v>
      </c>
      <c r="L7">
        <v>22183.400632027184</v>
      </c>
      <c r="M7">
        <v>32953.497624829426</v>
      </c>
    </row>
    <row r="8" spans="1:13" x14ac:dyDescent="0.25">
      <c r="A8">
        <v>7</v>
      </c>
      <c r="B8">
        <v>-10.121265704120521</v>
      </c>
      <c r="C8">
        <v>4.4529505842511643</v>
      </c>
      <c r="D8">
        <v>-21.600203552477396</v>
      </c>
      <c r="E8">
        <v>0.10645448512202316</v>
      </c>
      <c r="F8">
        <v>31042.332852003998</v>
      </c>
      <c r="G8">
        <v>-66.383261488552307</v>
      </c>
      <c r="H8">
        <v>10.121265704120521</v>
      </c>
      <c r="I8">
        <v>4.5470494157488357</v>
      </c>
      <c r="J8">
        <v>21.600203552477396</v>
      </c>
      <c r="K8">
        <v>-0.10645448512202316</v>
      </c>
      <c r="L8">
        <v>33758.277805428203</v>
      </c>
      <c r="M8">
        <v>-74.764985757949034</v>
      </c>
    </row>
    <row r="9" spans="1:13" x14ac:dyDescent="0.25">
      <c r="A9">
        <v>8</v>
      </c>
      <c r="B9">
        <v>45.44987293907225</v>
      </c>
      <c r="C9">
        <v>-11.083558670927873</v>
      </c>
      <c r="D9">
        <v>-14.64829312810506</v>
      </c>
      <c r="E9">
        <v>1.5902346857473337</v>
      </c>
      <c r="F9">
        <v>21948.180912027135</v>
      </c>
      <c r="G9">
        <v>-20063.071115666869</v>
      </c>
      <c r="H9">
        <v>-45.44987293907225</v>
      </c>
      <c r="I9">
        <v>20.083558670927872</v>
      </c>
      <c r="J9">
        <v>14.64829312810506</v>
      </c>
      <c r="K9">
        <v>-1.5902346857473337</v>
      </c>
      <c r="L9">
        <v>21996.698472288033</v>
      </c>
      <c r="M9">
        <v>-26687.604897116755</v>
      </c>
    </row>
    <row r="10" spans="1:13" x14ac:dyDescent="0.25">
      <c r="A10">
        <v>9</v>
      </c>
      <c r="B10">
        <v>38.349018823490042</v>
      </c>
      <c r="C10">
        <v>23.211050884505937</v>
      </c>
      <c r="D10">
        <v>-0.71290930867742786</v>
      </c>
      <c r="E10">
        <v>1.1275885434938577</v>
      </c>
      <c r="F10">
        <v>1135.1436256646043</v>
      </c>
      <c r="G10">
        <v>35330.941430276071</v>
      </c>
      <c r="H10">
        <v>-38.349018823490042</v>
      </c>
      <c r="I10">
        <v>-23.211050884505937</v>
      </c>
      <c r="J10">
        <v>0.71290930867742786</v>
      </c>
      <c r="K10">
        <v>-1.1275885434938577</v>
      </c>
      <c r="L10">
        <v>1003.5843003676796</v>
      </c>
      <c r="M10">
        <v>34302.211223241553</v>
      </c>
    </row>
    <row r="11" spans="1:13" x14ac:dyDescent="0.25">
      <c r="A11">
        <v>10</v>
      </c>
      <c r="B11">
        <v>8.4151909400975455</v>
      </c>
      <c r="C11">
        <v>-15.342780770069602</v>
      </c>
      <c r="D11">
        <v>1.1954338885838096E-2</v>
      </c>
      <c r="E11">
        <v>-1.740706036029382</v>
      </c>
      <c r="F11">
        <v>-12.540063907527959</v>
      </c>
      <c r="G11">
        <v>-50376.210689337771</v>
      </c>
      <c r="H11">
        <v>-8.4151909400975455</v>
      </c>
      <c r="I11">
        <v>35.342780770069602</v>
      </c>
      <c r="J11">
        <v>-1.1954338885838096E-2</v>
      </c>
      <c r="K11">
        <v>1.740706036029382</v>
      </c>
      <c r="L11">
        <v>-47.231630521662524</v>
      </c>
      <c r="M11">
        <v>-76337.693161010218</v>
      </c>
    </row>
    <row r="12" spans="1:13" x14ac:dyDescent="0.25">
      <c r="A12">
        <v>11</v>
      </c>
      <c r="B12">
        <v>7.9069410383372087</v>
      </c>
      <c r="C12">
        <v>-14.545896769911373</v>
      </c>
      <c r="D12">
        <v>-1.7240879551244943E-2</v>
      </c>
      <c r="E12">
        <v>1.1597384850798802</v>
      </c>
      <c r="F12">
        <v>24.253506917612057</v>
      </c>
      <c r="G12">
        <v>-49127.190073459955</v>
      </c>
      <c r="H12">
        <v>-7.9069410383372087</v>
      </c>
      <c r="I12">
        <v>34.545896769911373</v>
      </c>
      <c r="J12">
        <v>1.7240879551244943E-2</v>
      </c>
      <c r="K12">
        <v>-1.1597384850798802</v>
      </c>
      <c r="L12">
        <v>61.950890838612594</v>
      </c>
      <c r="M12">
        <v>-73602.293776096893</v>
      </c>
    </row>
    <row r="13" spans="1:13" x14ac:dyDescent="0.25">
      <c r="A13">
        <v>12</v>
      </c>
      <c r="B13">
        <v>3.1913984949411258</v>
      </c>
      <c r="C13">
        <v>13.344828333890145</v>
      </c>
      <c r="D13">
        <v>2.545925953194382E-3</v>
      </c>
      <c r="E13">
        <v>4.0312014608844038E-2</v>
      </c>
      <c r="F13">
        <v>11.249655708922376</v>
      </c>
      <c r="G13">
        <v>15794.621843832028</v>
      </c>
      <c r="H13">
        <v>-3.1913984949411258</v>
      </c>
      <c r="I13">
        <v>6.6551716661098546</v>
      </c>
      <c r="J13">
        <v>-2.545925953194382E-3</v>
      </c>
      <c r="K13">
        <v>-4.0312014608844038E-2</v>
      </c>
      <c r="L13">
        <v>-23.979285474892436</v>
      </c>
      <c r="M13">
        <v>929.51982561870136</v>
      </c>
    </row>
    <row r="14" spans="1:13" x14ac:dyDescent="0.25">
      <c r="A14">
        <v>13</v>
      </c>
      <c r="B14">
        <v>-15.752234975720597</v>
      </c>
      <c r="C14">
        <v>12.730703180143696</v>
      </c>
      <c r="D14">
        <v>1.494645423680591E-3</v>
      </c>
      <c r="E14">
        <v>-0.81915554236157995</v>
      </c>
      <c r="F14">
        <v>-22.316618234860599</v>
      </c>
      <c r="G14">
        <v>11751.268299886642</v>
      </c>
      <c r="H14">
        <v>15.752234975720597</v>
      </c>
      <c r="I14">
        <v>7.2692968198563053</v>
      </c>
      <c r="J14">
        <v>-1.494645423680591E-3</v>
      </c>
      <c r="K14">
        <v>0.81915554236157995</v>
      </c>
      <c r="L14">
        <v>14.84339111645906</v>
      </c>
      <c r="M14">
        <v>1902.2476008318317</v>
      </c>
    </row>
    <row r="15" spans="1:13" x14ac:dyDescent="0.25">
      <c r="A15">
        <v>14</v>
      </c>
      <c r="B15">
        <v>-22.288490620798257</v>
      </c>
      <c r="C15">
        <v>-14.081939596538675</v>
      </c>
      <c r="D15">
        <v>-7.0742544979035399E-3</v>
      </c>
      <c r="E15">
        <v>-3.4826093725667153</v>
      </c>
      <c r="F15">
        <v>-33.029689667681289</v>
      </c>
      <c r="G15">
        <v>-34712.390684161124</v>
      </c>
      <c r="H15">
        <v>22.288490620798257</v>
      </c>
      <c r="I15">
        <v>24.081939596538675</v>
      </c>
      <c r="J15">
        <v>7.0742544979035399E-3</v>
      </c>
      <c r="K15">
        <v>3.4826093725667153</v>
      </c>
      <c r="L15">
        <v>68.400962157198578</v>
      </c>
      <c r="M15">
        <v>-60697.307298532236</v>
      </c>
    </row>
    <row r="16" spans="1:13" x14ac:dyDescent="0.25">
      <c r="A16">
        <v>15</v>
      </c>
      <c r="B16">
        <v>-21.566981646722525</v>
      </c>
      <c r="C16">
        <v>-13.578375068007798</v>
      </c>
      <c r="D16">
        <v>7.6942982565342682E-2</v>
      </c>
      <c r="E16">
        <v>2.9960514885503233</v>
      </c>
      <c r="F16">
        <v>-131.63074372232774</v>
      </c>
      <c r="G16">
        <v>-33758.351227969659</v>
      </c>
      <c r="H16">
        <v>21.566981646722525</v>
      </c>
      <c r="I16">
        <v>23.578375068007798</v>
      </c>
      <c r="J16">
        <v>-7.6942982565342682E-2</v>
      </c>
      <c r="K16">
        <v>-2.9960514885503233</v>
      </c>
      <c r="L16">
        <v>-253.08416910438575</v>
      </c>
      <c r="M16">
        <v>-59133.524112069332</v>
      </c>
    </row>
    <row r="17" spans="1:13" x14ac:dyDescent="0.25">
      <c r="A17">
        <v>16</v>
      </c>
      <c r="B17">
        <v>4.6239923983180802</v>
      </c>
      <c r="C17">
        <v>6.5428906361125296</v>
      </c>
      <c r="D17">
        <v>-3.3221905754875124E-2</v>
      </c>
      <c r="E17">
        <v>-7.3422541449704504E-2</v>
      </c>
      <c r="F17">
        <v>34.372330566929435</v>
      </c>
      <c r="G17">
        <v>7786.2221148320496</v>
      </c>
      <c r="H17">
        <v>-4.6239923983180802</v>
      </c>
      <c r="I17">
        <v>3.4571093638874704</v>
      </c>
      <c r="J17">
        <v>3.3221905754875124E-2</v>
      </c>
      <c r="K17">
        <v>7.3422541449704504E-2</v>
      </c>
      <c r="L17">
        <v>131.73719820744617</v>
      </c>
      <c r="M17">
        <v>-71.768934269400233</v>
      </c>
    </row>
    <row r="18" spans="1:13" x14ac:dyDescent="0.25">
      <c r="A18">
        <v>17</v>
      </c>
      <c r="B18">
        <v>49.978473417036525</v>
      </c>
      <c r="C18">
        <v>6.0233577844457722</v>
      </c>
      <c r="D18">
        <v>-2.2276074902198323E-2</v>
      </c>
      <c r="E18">
        <v>-0.42599415048478129</v>
      </c>
      <c r="F18">
        <v>118.44979203870565</v>
      </c>
      <c r="G18">
        <v>885.23323312294997</v>
      </c>
      <c r="H18">
        <v>-49.978473417036525</v>
      </c>
      <c r="I18">
        <v>3.9766422155542278</v>
      </c>
      <c r="J18">
        <v>2.2276074902198323E-2</v>
      </c>
      <c r="K18">
        <v>0.42599415048478129</v>
      </c>
      <c r="L18">
        <v>-7.069417527713199</v>
      </c>
      <c r="M18">
        <v>4231.5556891059141</v>
      </c>
    </row>
    <row r="19" spans="1:13" x14ac:dyDescent="0.25">
      <c r="A19">
        <v>18</v>
      </c>
      <c r="B19">
        <v>15.625625721040706</v>
      </c>
      <c r="C19">
        <v>19.964687669171234</v>
      </c>
      <c r="D19">
        <v>-4.2810064621854091E-2</v>
      </c>
      <c r="E19">
        <v>15.464308525985471</v>
      </c>
      <c r="F19">
        <v>69.850355942341452</v>
      </c>
      <c r="G19">
        <v>54066.334094309932</v>
      </c>
      <c r="H19">
        <v>-15.625625721040706</v>
      </c>
      <c r="I19">
        <v>-19.964687669171234</v>
      </c>
      <c r="J19">
        <v>4.2810064621854091E-2</v>
      </c>
      <c r="K19">
        <v>-15.464308525985471</v>
      </c>
      <c r="L19">
        <v>97.328290726849161</v>
      </c>
      <c r="M19">
        <v>23898.263604551146</v>
      </c>
    </row>
    <row r="20" spans="1:13" x14ac:dyDescent="0.25">
      <c r="A20">
        <v>19</v>
      </c>
      <c r="B20">
        <v>14.514985747456649</v>
      </c>
      <c r="C20">
        <v>18.384331154320932</v>
      </c>
      <c r="D20">
        <v>4.5276702821530859E-2</v>
      </c>
      <c r="E20">
        <v>-18.918419404510516</v>
      </c>
      <c r="F20">
        <v>-78.355297498647957</v>
      </c>
      <c r="G20">
        <v>49672.140575291713</v>
      </c>
      <c r="H20">
        <v>-14.514985747456649</v>
      </c>
      <c r="I20">
        <v>-18.384331154320932</v>
      </c>
      <c r="J20">
        <v>-4.5276702821530859E-2</v>
      </c>
      <c r="K20">
        <v>18.918419404510516</v>
      </c>
      <c r="L20">
        <v>-98.455879270341313</v>
      </c>
      <c r="M20">
        <v>22120.967644606091</v>
      </c>
    </row>
    <row r="21" spans="1:13" x14ac:dyDescent="0.25">
      <c r="A21">
        <v>20</v>
      </c>
      <c r="B21">
        <v>-48.081964582090222</v>
      </c>
      <c r="C21">
        <v>18.756125521001756</v>
      </c>
      <c r="D21">
        <v>0.12568851695140004</v>
      </c>
      <c r="E21">
        <v>18.076412747589629</v>
      </c>
      <c r="F21">
        <v>-186.77719545507045</v>
      </c>
      <c r="G21">
        <v>50119.36201948463</v>
      </c>
      <c r="H21">
        <v>48.081964582090222</v>
      </c>
      <c r="I21">
        <v>-18.756125521001756</v>
      </c>
      <c r="J21">
        <v>-0.12568851695140004</v>
      </c>
      <c r="K21">
        <v>-18.076412747589629</v>
      </c>
      <c r="L21">
        <v>-304.05215393735239</v>
      </c>
      <c r="M21">
        <v>23125.649616349605</v>
      </c>
    </row>
    <row r="22" spans="1:13" x14ac:dyDescent="0.25">
      <c r="A22">
        <v>21</v>
      </c>
      <c r="B22">
        <v>-46.991747520583885</v>
      </c>
      <c r="C22">
        <v>17.894855655507556</v>
      </c>
      <c r="D22">
        <v>-0.14517424853844674</v>
      </c>
      <c r="E22">
        <v>-19.084972705370689</v>
      </c>
      <c r="F22">
        <v>261.74382131784967</v>
      </c>
      <c r="G22">
        <v>48324.854738850197</v>
      </c>
      <c r="H22">
        <v>46.991747520583885</v>
      </c>
      <c r="I22">
        <v>-17.894855655507556</v>
      </c>
      <c r="J22">
        <v>0.14517424853844674</v>
      </c>
      <c r="K22">
        <v>19.084972705370689</v>
      </c>
      <c r="L22">
        <v>305.17974248084897</v>
      </c>
      <c r="M22">
        <v>21556.790553061917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28BB-6AFC-4540-83E0-1EFBF1F1F7B7}">
  <sheetPr codeName="Sheet4">
    <tabColor theme="0" tint="-0.499984740745262"/>
  </sheetPr>
  <dimension ref="A1:M22"/>
  <sheetViews>
    <sheetView workbookViewId="0">
      <selection activeCell="A2" sqref="A2:M22"/>
    </sheetView>
  </sheetViews>
  <sheetFormatPr defaultRowHeight="15" x14ac:dyDescent="0.25"/>
  <sheetData>
    <row r="1" spans="1:13" x14ac:dyDescent="0.25">
      <c r="A1" t="s">
        <v>113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1.6830002464596917E-2</v>
      </c>
      <c r="I2">
        <v>-0.88578436690548545</v>
      </c>
      <c r="J2">
        <v>10.127616774778689</v>
      </c>
      <c r="K2">
        <v>-3.7854720652833764E-6</v>
      </c>
      <c r="L2">
        <v>-1.7604138551367177E-3</v>
      </c>
      <c r="M2">
        <v>-1.9950936238775921E-4</v>
      </c>
    </row>
    <row r="3" spans="1:13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-0.20629340209653707</v>
      </c>
      <c r="I3">
        <v>-0.84191162064820535</v>
      </c>
      <c r="J3">
        <v>10.092553479194949</v>
      </c>
      <c r="K3">
        <v>-2.7225719777536419E-5</v>
      </c>
      <c r="L3">
        <v>-2.7286238348248194E-3</v>
      </c>
      <c r="M3">
        <v>1.1407486316248068E-4</v>
      </c>
    </row>
    <row r="4" spans="1:13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3.1785866131629675E-2</v>
      </c>
      <c r="I4">
        <v>-0.89908186063440676</v>
      </c>
      <c r="J4">
        <v>10.056348652185678</v>
      </c>
      <c r="K4">
        <v>-2.7588810702995811E-5</v>
      </c>
      <c r="L4">
        <v>-1.7676759727027135E-3</v>
      </c>
      <c r="M4">
        <v>-3.8717234660164888E-4</v>
      </c>
    </row>
    <row r="5" spans="1:13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-0.18644011355849882</v>
      </c>
      <c r="I5">
        <v>-0.77627730824936958</v>
      </c>
      <c r="J5">
        <v>10.02340306452594</v>
      </c>
      <c r="K5">
        <v>-2.1176053509684615E-6</v>
      </c>
      <c r="L5">
        <v>-2.5810548306162842E-3</v>
      </c>
      <c r="M5">
        <v>-5.9609659179708763E-4</v>
      </c>
    </row>
    <row r="6" spans="1:13" x14ac:dyDescent="0.25">
      <c r="A6">
        <v>5</v>
      </c>
      <c r="B6">
        <v>1.6830002464596917E-2</v>
      </c>
      <c r="C6">
        <v>-0.88578436690548545</v>
      </c>
      <c r="D6">
        <v>10.127616774778689</v>
      </c>
      <c r="E6">
        <v>-3.7854720652833764E-6</v>
      </c>
      <c r="F6">
        <v>-1.7604138551367177E-3</v>
      </c>
      <c r="G6">
        <v>-1.9950936238775921E-4</v>
      </c>
      <c r="H6">
        <v>3.0134206512404119E-2</v>
      </c>
      <c r="I6">
        <v>-1.7009321885854038</v>
      </c>
      <c r="J6">
        <v>26.007735733273456</v>
      </c>
      <c r="K6">
        <v>-1.0109098287517736E-4</v>
      </c>
      <c r="L6">
        <v>-8.0159580167255093E-4</v>
      </c>
      <c r="M6">
        <v>-1.1307661154096422E-4</v>
      </c>
    </row>
    <row r="7" spans="1:13" x14ac:dyDescent="0.25">
      <c r="A7">
        <v>6</v>
      </c>
      <c r="B7">
        <v>-0.20629340209653707</v>
      </c>
      <c r="C7">
        <v>-0.84191162064820535</v>
      </c>
      <c r="D7">
        <v>10.092553479194949</v>
      </c>
      <c r="E7">
        <v>-2.7225719777536419E-5</v>
      </c>
      <c r="F7">
        <v>-2.7286238348248194E-3</v>
      </c>
      <c r="G7">
        <v>1.1407486316248068E-4</v>
      </c>
      <c r="H7">
        <v>-0.29251944251180761</v>
      </c>
      <c r="I7">
        <v>-1.3468965776921309</v>
      </c>
      <c r="J7">
        <v>26.100604444193447</v>
      </c>
      <c r="K7">
        <v>-3.2556758669177446E-5</v>
      </c>
      <c r="L7">
        <v>-2.64030239344732E-3</v>
      </c>
      <c r="M7">
        <v>5.1430753051753245E-4</v>
      </c>
    </row>
    <row r="8" spans="1:13" x14ac:dyDescent="0.25">
      <c r="A8">
        <v>7</v>
      </c>
      <c r="B8">
        <v>3.1785866131629675E-2</v>
      </c>
      <c r="C8">
        <v>-0.89908186063440676</v>
      </c>
      <c r="D8">
        <v>10.056348652185678</v>
      </c>
      <c r="E8">
        <v>-2.7588810702995811E-5</v>
      </c>
      <c r="F8">
        <v>-1.7676759727027135E-3</v>
      </c>
      <c r="G8">
        <v>-3.8717234660164888E-4</v>
      </c>
      <c r="H8">
        <v>4.9646923256548244E-2</v>
      </c>
      <c r="I8">
        <v>-1.7201988235783958</v>
      </c>
      <c r="J8">
        <v>25.573218360647108</v>
      </c>
      <c r="K8">
        <v>-3.5303910145098634E-5</v>
      </c>
      <c r="L8">
        <v>-7.8836889815071625E-4</v>
      </c>
      <c r="M8">
        <v>-1.6259143281511888E-4</v>
      </c>
    </row>
    <row r="9" spans="1:13" x14ac:dyDescent="0.25">
      <c r="A9">
        <v>8</v>
      </c>
      <c r="B9">
        <v>-0.18644011355849882</v>
      </c>
      <c r="C9">
        <v>-0.77627730824936958</v>
      </c>
      <c r="D9">
        <v>10.02340306452594</v>
      </c>
      <c r="E9">
        <v>-2.1176053509684615E-6</v>
      </c>
      <c r="F9">
        <v>-2.5810548306162842E-3</v>
      </c>
      <c r="G9">
        <v>-5.9609659179708763E-4</v>
      </c>
      <c r="H9">
        <v>-0.2666457716862734</v>
      </c>
      <c r="I9">
        <v>-1.5551402169297832</v>
      </c>
      <c r="J9">
        <v>25.663080784175119</v>
      </c>
      <c r="K9">
        <v>-1.1736703540324585E-4</v>
      </c>
      <c r="L9">
        <v>-2.5635605180222105E-3</v>
      </c>
      <c r="M9">
        <v>-7.0232328086958186E-4</v>
      </c>
    </row>
    <row r="10" spans="1:13" x14ac:dyDescent="0.25">
      <c r="A10">
        <v>9</v>
      </c>
      <c r="B10">
        <v>-17.598009494387256</v>
      </c>
      <c r="C10">
        <v>9.9667911521255714</v>
      </c>
      <c r="D10">
        <v>0.7704270922469082</v>
      </c>
      <c r="E10">
        <v>-1.2725075774475959E-5</v>
      </c>
      <c r="F10">
        <v>1.3812570607257808E-5</v>
      </c>
      <c r="G10">
        <v>6.0070582103487653E-3</v>
      </c>
      <c r="H10">
        <v>-17.665684233487532</v>
      </c>
      <c r="I10">
        <v>26.169982201306333</v>
      </c>
      <c r="J10">
        <v>1.1857332329353016</v>
      </c>
      <c r="K10">
        <v>-9.4445049647434595E-5</v>
      </c>
      <c r="L10">
        <v>-3.3624686110383428E-5</v>
      </c>
      <c r="M10">
        <v>5.9556216999970372E-3</v>
      </c>
    </row>
    <row r="11" spans="1:13" x14ac:dyDescent="0.25">
      <c r="A11">
        <v>10</v>
      </c>
      <c r="B11">
        <v>10.127616774778689</v>
      </c>
      <c r="C11">
        <v>1.6830002464596917E-2</v>
      </c>
      <c r="D11">
        <v>-0.88578436690548479</v>
      </c>
      <c r="E11">
        <v>-1.995093623877591E-4</v>
      </c>
      <c r="F11">
        <v>-3.7854720652833764E-6</v>
      </c>
      <c r="G11">
        <v>-1.7604138551367177E-3</v>
      </c>
      <c r="H11">
        <v>10.092553479194949</v>
      </c>
      <c r="I11">
        <v>-0.20629340209653707</v>
      </c>
      <c r="J11">
        <v>-0.84191162064820468</v>
      </c>
      <c r="K11">
        <v>1.1407486316248084E-4</v>
      </c>
      <c r="L11">
        <v>-2.7225719777536419E-5</v>
      </c>
      <c r="M11">
        <v>-2.7286238348248194E-3</v>
      </c>
    </row>
    <row r="12" spans="1:13" x14ac:dyDescent="0.25">
      <c r="A12">
        <v>11</v>
      </c>
      <c r="B12">
        <v>10.056348652185678</v>
      </c>
      <c r="C12">
        <v>3.1785866131629675E-2</v>
      </c>
      <c r="D12">
        <v>-0.89908186063440609</v>
      </c>
      <c r="E12">
        <v>-3.8717234660164878E-4</v>
      </c>
      <c r="F12">
        <v>-2.7588810702995811E-5</v>
      </c>
      <c r="G12">
        <v>-1.7676759727027135E-3</v>
      </c>
      <c r="H12">
        <v>10.02340306452594</v>
      </c>
      <c r="I12">
        <v>-0.18644011355849882</v>
      </c>
      <c r="J12">
        <v>-0.77627730824936891</v>
      </c>
      <c r="K12">
        <v>-5.9609659179708752E-4</v>
      </c>
      <c r="L12">
        <v>-2.1176053509684615E-6</v>
      </c>
      <c r="M12">
        <v>-2.5810548306162842E-3</v>
      </c>
    </row>
    <row r="13" spans="1:13" x14ac:dyDescent="0.25">
      <c r="A13">
        <v>12</v>
      </c>
      <c r="B13">
        <v>-0.88578436690548479</v>
      </c>
      <c r="C13">
        <v>1.6830002464596917E-2</v>
      </c>
      <c r="D13">
        <v>-10.127616774778689</v>
      </c>
      <c r="E13">
        <v>-1.7604138551367177E-3</v>
      </c>
      <c r="F13">
        <v>-3.7854720652833764E-6</v>
      </c>
      <c r="G13">
        <v>1.995093623877591E-4</v>
      </c>
      <c r="H13">
        <v>-0.89908186063440609</v>
      </c>
      <c r="I13">
        <v>3.1785866131629675E-2</v>
      </c>
      <c r="J13">
        <v>-10.056348652185678</v>
      </c>
      <c r="K13">
        <v>-1.7676759727027135E-3</v>
      </c>
      <c r="L13">
        <v>-2.7588810702995811E-5</v>
      </c>
      <c r="M13">
        <v>3.8717234660164878E-4</v>
      </c>
    </row>
    <row r="14" spans="1:13" x14ac:dyDescent="0.25">
      <c r="A14">
        <v>13</v>
      </c>
      <c r="B14">
        <v>-0.84191162064820468</v>
      </c>
      <c r="C14">
        <v>-0.20629340209653707</v>
      </c>
      <c r="D14">
        <v>-10.092553479194949</v>
      </c>
      <c r="E14">
        <v>-2.7286238348248194E-3</v>
      </c>
      <c r="F14">
        <v>-2.7225719777536419E-5</v>
      </c>
      <c r="G14">
        <v>-1.1407486316248084E-4</v>
      </c>
      <c r="H14">
        <v>-0.77627730824936891</v>
      </c>
      <c r="I14">
        <v>-0.18644011355849882</v>
      </c>
      <c r="J14">
        <v>-10.02340306452594</v>
      </c>
      <c r="K14">
        <v>-2.5810548306162842E-3</v>
      </c>
      <c r="L14">
        <v>-2.1176053509684615E-6</v>
      </c>
      <c r="M14">
        <v>5.9609659179708752E-4</v>
      </c>
    </row>
    <row r="15" spans="1:13" x14ac:dyDescent="0.25">
      <c r="A15">
        <v>14</v>
      </c>
      <c r="B15">
        <v>26.007735733273456</v>
      </c>
      <c r="C15">
        <v>3.0134206512404119E-2</v>
      </c>
      <c r="D15">
        <v>-1.7009321885854023</v>
      </c>
      <c r="E15">
        <v>-1.1307661154096416E-4</v>
      </c>
      <c r="F15">
        <v>-1.0109098287517736E-4</v>
      </c>
      <c r="G15">
        <v>-8.0159580167255093E-4</v>
      </c>
      <c r="H15">
        <v>26.100604444193447</v>
      </c>
      <c r="I15">
        <v>-0.29251944251180761</v>
      </c>
      <c r="J15">
        <v>-1.3468965776921293</v>
      </c>
      <c r="K15">
        <v>5.1430753051753255E-4</v>
      </c>
      <c r="L15">
        <v>-3.2556758669177446E-5</v>
      </c>
      <c r="M15">
        <v>-2.64030239344732E-3</v>
      </c>
    </row>
    <row r="16" spans="1:13" x14ac:dyDescent="0.25">
      <c r="A16">
        <v>15</v>
      </c>
      <c r="B16">
        <v>25.573218360647108</v>
      </c>
      <c r="C16">
        <v>4.9646923256548244E-2</v>
      </c>
      <c r="D16">
        <v>-1.7201988235783943</v>
      </c>
      <c r="E16">
        <v>-1.6259143281511883E-4</v>
      </c>
      <c r="F16">
        <v>-3.5303910145098634E-5</v>
      </c>
      <c r="G16">
        <v>-7.8836889815071625E-4</v>
      </c>
      <c r="H16">
        <v>25.663080784175119</v>
      </c>
      <c r="I16">
        <v>-0.2666457716862734</v>
      </c>
      <c r="J16">
        <v>-1.5551402169297817</v>
      </c>
      <c r="K16">
        <v>-7.0232328086958175E-4</v>
      </c>
      <c r="L16">
        <v>-1.1736703540324585E-4</v>
      </c>
      <c r="M16">
        <v>-2.5635605180222105E-3</v>
      </c>
    </row>
    <row r="17" spans="1:13" x14ac:dyDescent="0.25">
      <c r="A17">
        <v>16</v>
      </c>
      <c r="B17">
        <v>-1.7009321885854023</v>
      </c>
      <c r="C17">
        <v>3.0134206512404119E-2</v>
      </c>
      <c r="D17">
        <v>-26.007735733273456</v>
      </c>
      <c r="E17">
        <v>-8.0159580167255093E-4</v>
      </c>
      <c r="F17">
        <v>-1.0109098287517736E-4</v>
      </c>
      <c r="G17">
        <v>1.1307661154096416E-4</v>
      </c>
      <c r="H17">
        <v>-1.7201988235783943</v>
      </c>
      <c r="I17">
        <v>4.9646923256548244E-2</v>
      </c>
      <c r="J17">
        <v>-25.573218360647108</v>
      </c>
      <c r="K17">
        <v>-7.8836889815071625E-4</v>
      </c>
      <c r="L17">
        <v>-3.5303910145098634E-5</v>
      </c>
      <c r="M17">
        <v>1.6259143281511883E-4</v>
      </c>
    </row>
    <row r="18" spans="1:13" x14ac:dyDescent="0.25">
      <c r="A18">
        <v>17</v>
      </c>
      <c r="B18">
        <v>-1.3468965776921293</v>
      </c>
      <c r="C18">
        <v>-0.29251944251180761</v>
      </c>
      <c r="D18">
        <v>-26.100604444193447</v>
      </c>
      <c r="E18">
        <v>-2.64030239344732E-3</v>
      </c>
      <c r="F18">
        <v>-3.2556758669177446E-5</v>
      </c>
      <c r="G18">
        <v>-5.1430753051753255E-4</v>
      </c>
      <c r="H18">
        <v>-1.5551402169297817</v>
      </c>
      <c r="I18">
        <v>-0.2666457716862734</v>
      </c>
      <c r="J18">
        <v>-25.663080784175119</v>
      </c>
      <c r="K18">
        <v>-2.5635605180222105E-3</v>
      </c>
      <c r="L18">
        <v>-1.1736703540324585E-4</v>
      </c>
      <c r="M18">
        <v>7.0232328086958175E-4</v>
      </c>
    </row>
    <row r="19" spans="1:13" x14ac:dyDescent="0.25">
      <c r="A19">
        <v>18</v>
      </c>
      <c r="B19">
        <v>7.2143356627568718</v>
      </c>
      <c r="C19">
        <v>-0.20629340209653707</v>
      </c>
      <c r="D19">
        <v>-7.1078697126823398</v>
      </c>
      <c r="E19">
        <v>-1.6591876742589411E-3</v>
      </c>
      <c r="F19">
        <v>-2.7225719777536419E-5</v>
      </c>
      <c r="G19">
        <v>-2.1692158417195018E-3</v>
      </c>
      <c r="H19">
        <v>7.1634856468303729</v>
      </c>
      <c r="I19">
        <v>-17.598009494387256</v>
      </c>
      <c r="J19">
        <v>-6.9724426969471622</v>
      </c>
      <c r="K19">
        <v>-3.8350138434752718E-3</v>
      </c>
      <c r="L19">
        <v>-1.2725075774475959E-5</v>
      </c>
      <c r="M19">
        <v>-4.6235925371920826E-3</v>
      </c>
    </row>
    <row r="20" spans="1:13" x14ac:dyDescent="0.25">
      <c r="A20">
        <v>19</v>
      </c>
      <c r="B20">
        <v>8.1971521507051559</v>
      </c>
      <c r="C20">
        <v>-0.18644011355849882</v>
      </c>
      <c r="D20">
        <v>5.8204735263929095</v>
      </c>
      <c r="E20">
        <v>1.1944169507251984E-3</v>
      </c>
      <c r="F20">
        <v>-2.1176053509684615E-6</v>
      </c>
      <c r="G20">
        <v>-2.3644329834486911E-3</v>
      </c>
      <c r="H20">
        <v>8.1499164579010461</v>
      </c>
      <c r="I20">
        <v>-17.598009494387256</v>
      </c>
      <c r="J20">
        <v>5.7887257236623544</v>
      </c>
      <c r="K20">
        <v>3.8562360648081461E-3</v>
      </c>
      <c r="L20">
        <v>-1.2725075774475959E-5</v>
      </c>
      <c r="M20">
        <v>-4.6059073527480203E-3</v>
      </c>
    </row>
    <row r="21" spans="1:13" x14ac:dyDescent="0.25">
      <c r="A21">
        <v>20</v>
      </c>
      <c r="B21">
        <v>19.188777567383269</v>
      </c>
      <c r="C21">
        <v>-0.29251944251180761</v>
      </c>
      <c r="D21">
        <v>-17.743914399386011</v>
      </c>
      <c r="E21">
        <v>-1.2951784134810165E-3</v>
      </c>
      <c r="F21">
        <v>-3.2556758669177446E-5</v>
      </c>
      <c r="G21">
        <v>-2.3575881408854022E-3</v>
      </c>
      <c r="H21">
        <v>19.345249295839196</v>
      </c>
      <c r="I21">
        <v>-17.665684233487532</v>
      </c>
      <c r="J21">
        <v>-17.664519846240108</v>
      </c>
      <c r="K21">
        <v>-3.8385273020311301E-3</v>
      </c>
      <c r="L21">
        <v>-9.4445049647434595E-5</v>
      </c>
      <c r="M21">
        <v>-4.5537093236781402E-3</v>
      </c>
    </row>
    <row r="22" spans="1:13" x14ac:dyDescent="0.25">
      <c r="A22">
        <v>21</v>
      </c>
      <c r="B22">
        <v>20.71050126459912</v>
      </c>
      <c r="C22">
        <v>-0.2666457716862734</v>
      </c>
      <c r="D22">
        <v>15.234412157955058</v>
      </c>
      <c r="E22">
        <v>1.1016117617129544E-3</v>
      </c>
      <c r="F22">
        <v>-1.1736703540324585E-4</v>
      </c>
      <c r="G22">
        <v>-2.4189981494142153E-3</v>
      </c>
      <c r="H22">
        <v>20.863425131617007</v>
      </c>
      <c r="I22">
        <v>-17.665684233487532</v>
      </c>
      <c r="J22">
        <v>15.842708843306729</v>
      </c>
      <c r="K22">
        <v>3.7868649032515738E-3</v>
      </c>
      <c r="L22">
        <v>-9.4445049647434595E-5</v>
      </c>
      <c r="M22">
        <v>-4.5967613226611049E-3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5258-1A86-42D1-9E3D-A39C0FE5D624}">
  <sheetPr>
    <tabColor theme="0" tint="-0.499984740745262"/>
  </sheetPr>
  <dimension ref="A1:M1"/>
  <sheetViews>
    <sheetView workbookViewId="0">
      <selection activeCell="D32" sqref="D32"/>
    </sheetView>
  </sheetViews>
  <sheetFormatPr defaultRowHeight="15" x14ac:dyDescent="0.25"/>
  <sheetData>
    <row r="1" spans="1:13" x14ac:dyDescent="0.25">
      <c r="A1" t="s">
        <v>113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2A92-F27E-46EA-BF6F-BDA8B4844060}">
  <sheetPr>
    <tabColor theme="0" tint="-0.499984740745262"/>
  </sheetPr>
  <dimension ref="A1:M1"/>
  <sheetViews>
    <sheetView workbookViewId="0">
      <selection activeCell="P30" sqref="P30"/>
    </sheetView>
  </sheetViews>
  <sheetFormatPr defaultRowHeight="15" x14ac:dyDescent="0.25"/>
  <sheetData>
    <row r="1" spans="1:13" x14ac:dyDescent="0.25">
      <c r="A1" t="s">
        <v>113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Member End Results</vt:lpstr>
      <vt:lpstr>Section Design</vt:lpstr>
      <vt:lpstr>node dP</vt:lpstr>
      <vt:lpstr>member prop</vt:lpstr>
      <vt:lpstr>member end fm</vt:lpstr>
      <vt:lpstr>member end disp</vt:lpstr>
      <vt:lpstr>moving load critical fm</vt:lpstr>
      <vt:lpstr>moving load critical disp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GG</cp:lastModifiedBy>
  <dcterms:created xsi:type="dcterms:W3CDTF">2018-07-27T05:04:48Z</dcterms:created>
  <dcterms:modified xsi:type="dcterms:W3CDTF">2018-08-08T09:27:11Z</dcterms:modified>
</cp:coreProperties>
</file>