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1" sheetId="1" r:id="rId4"/>
    <sheet state="visible" name="Scenario 2" sheetId="2" r:id="rId5"/>
    <sheet state="visible" name="Scenario 3" sheetId="3" r:id="rId6"/>
    <sheet state="visible" name="Scenario 4" sheetId="4" r:id="rId7"/>
  </sheets>
  <definedNames/>
  <calcPr/>
</workbook>
</file>

<file path=xl/sharedStrings.xml><?xml version="1.0" encoding="utf-8"?>
<sst xmlns="http://schemas.openxmlformats.org/spreadsheetml/2006/main" count="287" uniqueCount="41">
  <si>
    <t>Runs (Fixed Share)</t>
  </si>
  <si>
    <t>Total</t>
  </si>
  <si>
    <t>Mean RTT error 1</t>
  </si>
  <si>
    <t>Mean RTT error 2</t>
  </si>
  <si>
    <t>Mean RTT error 3</t>
  </si>
  <si>
    <t>Mean RTT error 4</t>
  </si>
  <si>
    <t>Mean RTT error 5</t>
  </si>
  <si>
    <t>Fixed Share RTT Mean Error</t>
  </si>
  <si>
    <t>Goodput 1</t>
  </si>
  <si>
    <t>Goodput 2</t>
  </si>
  <si>
    <t>Goodput 3</t>
  </si>
  <si>
    <t>Goodput 4</t>
  </si>
  <si>
    <t>Goodput 5</t>
  </si>
  <si>
    <t>Fixed Share Goodput</t>
  </si>
  <si>
    <t>Delivery Ratio 1</t>
  </si>
  <si>
    <t>Delivery Ratio 2</t>
  </si>
  <si>
    <t>Delivery Ratio 3</t>
  </si>
  <si>
    <t>Delivery Ratio 4</t>
  </si>
  <si>
    <t>Delivery Ratio 5</t>
  </si>
  <si>
    <t>Fixed Share Delivery Ratio</t>
  </si>
  <si>
    <t>Retransmit Ratio 1</t>
  </si>
  <si>
    <t>Retransmit Ratio 2</t>
  </si>
  <si>
    <t>Retransmit Ratio 3</t>
  </si>
  <si>
    <t>Retransmit Ratio 4</t>
  </si>
  <si>
    <t>Retransmit Ratio 5</t>
  </si>
  <si>
    <t>Fixed Share Retransmission Ratio</t>
  </si>
  <si>
    <t>Cwnd 1</t>
  </si>
  <si>
    <t>Cwnd 2</t>
  </si>
  <si>
    <t>Cwnd 3</t>
  </si>
  <si>
    <t>Cwnd 4</t>
  </si>
  <si>
    <t>Cwnd 5</t>
  </si>
  <si>
    <t>Fixed Share Cwnd</t>
  </si>
  <si>
    <t>Runs (Mean Dev)</t>
  </si>
  <si>
    <t>Mean Dev RTT Mean Error</t>
  </si>
  <si>
    <t>Mean Dev Goodput</t>
  </si>
  <si>
    <t>Mean Dev Delivery Ratio</t>
  </si>
  <si>
    <t>Mean Dev Retransmission Ratio</t>
  </si>
  <si>
    <t>Mean Dev Cwnd</t>
  </si>
  <si>
    <t>[1-10]</t>
  </si>
  <si>
    <t>[20-30]</t>
  </si>
  <si>
    <t>[40-50]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</si>
</sst>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Monospace"/>
    </font>
    <font>
      <sz val="11.0"/>
      <color rgb="FF000000"/>
      <name val="Inconsolata"/>
    </font>
    <font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left" readingOrder="0" shrinkToFit="0" wrapText="1"/>
    </xf>
    <xf borderId="0" fillId="2" fontId="4" numFmtId="0" xfId="0" applyAlignment="1" applyFont="1">
      <alignment readingOrder="0"/>
    </xf>
    <xf borderId="0" fillId="0" fontId="1" numFmtId="3" xfId="0" applyAlignment="1" applyFont="1" applyNumberFormat="1">
      <alignment horizontal="left" readingOrder="0"/>
    </xf>
    <xf borderId="0" fillId="2" fontId="4" numFmtId="11" xfId="0" applyAlignment="1" applyFont="1" applyNumberFormat="1">
      <alignment horizontal="left" readingOrder="0" shrinkToFit="0" wrapText="1"/>
    </xf>
    <xf borderId="0" fillId="2" fontId="2" numFmtId="11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Scenario 4 Mean RTT Error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'Scenario 4'!$A$8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4'!$B$8:$G$8</c:f>
            </c:numRef>
          </c:val>
          <c:smooth val="0"/>
        </c:ser>
        <c:ser>
          <c:idx val="1"/>
          <c:order val="1"/>
          <c:tx>
            <c:strRef>
              <c:f>'Scenario 4'!$A$39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4'!$B$39:$G$39</c:f>
            </c:numRef>
          </c:val>
          <c:smooth val="0"/>
        </c:ser>
        <c:axId val="17425844"/>
        <c:axId val="1335925281"/>
      </c:lineChart>
      <c:catAx>
        <c:axId val="17425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Speed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925281"/>
      </c:catAx>
      <c:valAx>
        <c:axId val="1335925281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Mean Error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5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Scenario 4 Goodput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'Scenario 4'!$A$15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4'!$B$15:$G$15</c:f>
            </c:numRef>
          </c:val>
          <c:smooth val="0"/>
        </c:ser>
        <c:ser>
          <c:idx val="1"/>
          <c:order val="1"/>
          <c:tx>
            <c:strRef>
              <c:f>'Scenario 4'!$A$46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4'!$B$46:$G$46</c:f>
            </c:numRef>
          </c:val>
          <c:smooth val="0"/>
        </c:ser>
        <c:axId val="1825592078"/>
        <c:axId val="583049907"/>
      </c:lineChart>
      <c:catAx>
        <c:axId val="1825592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Speed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049907"/>
      </c:catAx>
      <c:valAx>
        <c:axId val="583049907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Goodput (p/s)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592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Scenario 4 Delivery Ratio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'Scenario 4'!$A$22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4'!$B$22:$G$22</c:f>
            </c:numRef>
          </c:val>
          <c:smooth val="0"/>
        </c:ser>
        <c:ser>
          <c:idx val="1"/>
          <c:order val="1"/>
          <c:tx>
            <c:strRef>
              <c:f>'Scenario 4'!$A$53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4'!$B$53:$G$53</c:f>
            </c:numRef>
          </c:val>
          <c:smooth val="0"/>
        </c:ser>
        <c:axId val="706112641"/>
        <c:axId val="1009839006"/>
      </c:lineChart>
      <c:catAx>
        <c:axId val="706112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Speed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839006"/>
      </c:catAx>
      <c:valAx>
        <c:axId val="100983900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Delivery 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112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Scenario 4 Retransmission Ratio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'Scenario 4'!$A$29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4'!$B$29:$G$29</c:f>
            </c:numRef>
          </c:val>
          <c:smooth val="0"/>
        </c:ser>
        <c:ser>
          <c:idx val="1"/>
          <c:order val="1"/>
          <c:tx>
            <c:strRef>
              <c:f>'Scenario 4'!$A$60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'Scenario 4'!$B$2:$G$2</c:f>
            </c:strRef>
          </c:cat>
          <c:val>
            <c:numRef>
              <c:f>'Scenario 4'!$B$60:$G$60</c:f>
            </c:numRef>
          </c:val>
          <c:smooth val="0"/>
        </c:ser>
        <c:axId val="538836929"/>
        <c:axId val="1535568082"/>
      </c:lineChart>
      <c:catAx>
        <c:axId val="538836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Speed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568082"/>
      </c:catAx>
      <c:valAx>
        <c:axId val="1535568082"/>
        <c:scaling>
          <c:orientation val="minMax"/>
          <c:min val="0.0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Retransmission 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836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38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47625</xdr:colOff>
      <xdr:row>56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2.0"/>
  </cols>
  <sheetData>
    <row r="1">
      <c r="A1" s="1" t="s">
        <v>0</v>
      </c>
      <c r="B1" s="1">
        <v>3.0</v>
      </c>
      <c r="C1" s="1" t="s">
        <v>1</v>
      </c>
      <c r="D1" s="1">
        <v>7.0</v>
      </c>
      <c r="E1" s="1" t="s">
        <v>1</v>
      </c>
      <c r="F1" s="1">
        <v>17.0</v>
      </c>
      <c r="G1" s="1" t="s">
        <v>1</v>
      </c>
      <c r="H1" s="1">
        <v>34.0</v>
      </c>
      <c r="I1" s="1" t="s">
        <v>1</v>
      </c>
      <c r="J1" s="1">
        <v>68.0</v>
      </c>
      <c r="K1" s="1" t="s">
        <v>1</v>
      </c>
      <c r="L1" s="1">
        <v>100.0</v>
      </c>
      <c r="M1" s="1" t="s">
        <v>1</v>
      </c>
      <c r="N1" s="1">
        <v>130.0</v>
      </c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" t="s">
        <v>2</v>
      </c>
      <c r="B2" s="3">
        <v>52.5131</v>
      </c>
      <c r="C2" s="3">
        <v>1832.0</v>
      </c>
      <c r="D2" s="3">
        <v>58.424503632236</v>
      </c>
      <c r="E2" s="3">
        <v>1762.0</v>
      </c>
      <c r="F2" s="3">
        <v>32.8436</v>
      </c>
      <c r="G2" s="1">
        <v>1752.0</v>
      </c>
      <c r="H2" s="3">
        <v>57.384627087087</v>
      </c>
      <c r="I2" s="3">
        <v>4995.0</v>
      </c>
      <c r="J2" s="3">
        <v>39.7864719527038</v>
      </c>
      <c r="K2" s="3">
        <v>5751.0</v>
      </c>
      <c r="L2" s="3">
        <v>38.7708008387034</v>
      </c>
      <c r="M2" s="3">
        <v>30881.0</v>
      </c>
      <c r="N2" s="3">
        <v>37.7761570467092</v>
      </c>
      <c r="O2" s="3">
        <v>32242.0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" t="s">
        <v>3</v>
      </c>
      <c r="B3" s="3">
        <v>50.1401</v>
      </c>
      <c r="C3" s="3">
        <v>735.0</v>
      </c>
      <c r="D3" s="3">
        <v>36.5786</v>
      </c>
      <c r="E3" s="1">
        <v>280.0</v>
      </c>
      <c r="F3" s="3">
        <v>46.9158288499889</v>
      </c>
      <c r="G3" s="3">
        <v>4513.0</v>
      </c>
      <c r="H3" s="3">
        <v>52.8406764373897</v>
      </c>
      <c r="I3" s="3">
        <v>8505.0</v>
      </c>
      <c r="J3" s="3">
        <v>39.5613740458015</v>
      </c>
      <c r="K3" s="3">
        <v>12183.0</v>
      </c>
      <c r="L3" s="3">
        <v>37.2652528949172</v>
      </c>
      <c r="M3" s="3">
        <v>27721.0</v>
      </c>
      <c r="N3" s="3">
        <v>42.2134039301801</v>
      </c>
      <c r="O3" s="3">
        <v>17760.0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" t="s">
        <v>4</v>
      </c>
      <c r="B4" s="3">
        <v>39.5090985401459</v>
      </c>
      <c r="C4" s="3">
        <v>1096.0</v>
      </c>
      <c r="D4" s="3">
        <v>36.4438773188708</v>
      </c>
      <c r="E4" s="3">
        <v>7191.0</v>
      </c>
      <c r="F4" s="3">
        <v>37.6718236363636</v>
      </c>
      <c r="G4" s="1">
        <v>1100.0</v>
      </c>
      <c r="H4" s="3">
        <v>37.2007437714481</v>
      </c>
      <c r="I4" s="3">
        <v>5828.0</v>
      </c>
      <c r="J4" s="3">
        <v>36.4759126603165</v>
      </c>
      <c r="K4" s="3">
        <v>13333.0</v>
      </c>
      <c r="L4" s="3">
        <v>61.3399589894241</v>
      </c>
      <c r="M4" s="3">
        <v>27232.0</v>
      </c>
      <c r="N4" s="3">
        <v>52.5404040349529</v>
      </c>
      <c r="O4" s="3">
        <v>52070.0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1" t="s">
        <v>5</v>
      </c>
      <c r="B5" s="3">
        <v>35.1744</v>
      </c>
      <c r="C5" s="3">
        <v>1015.0</v>
      </c>
      <c r="D5" s="3">
        <v>45.6266033124128</v>
      </c>
      <c r="E5" s="3">
        <v>2868.0</v>
      </c>
      <c r="F5" s="3">
        <v>46.6623325658577</v>
      </c>
      <c r="G5" s="3">
        <v>4821.0</v>
      </c>
      <c r="H5" s="3">
        <v>38.5400059528411</v>
      </c>
      <c r="I5" s="3">
        <v>2587.0</v>
      </c>
      <c r="J5" s="3">
        <v>48.8992748583569</v>
      </c>
      <c r="K5" s="3">
        <v>24004.0</v>
      </c>
      <c r="L5" s="3">
        <v>45.1604579916608</v>
      </c>
      <c r="M5" s="3">
        <v>31658.0</v>
      </c>
      <c r="N5" s="3">
        <v>59.6282464956959</v>
      </c>
      <c r="O5" s="3">
        <v>33573.0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1" t="s">
        <v>6</v>
      </c>
      <c r="B6" s="3">
        <v>35.7533</v>
      </c>
      <c r="C6" s="3">
        <v>304.0</v>
      </c>
      <c r="D6" s="3">
        <v>34.385262568306</v>
      </c>
      <c r="E6" s="3">
        <v>2562.0</v>
      </c>
      <c r="F6" s="3">
        <v>45.5836130334486</v>
      </c>
      <c r="G6" s="1">
        <v>867.0</v>
      </c>
      <c r="H6" s="3">
        <v>34.135839068564</v>
      </c>
      <c r="I6" s="1">
        <v>7730.0</v>
      </c>
      <c r="J6" s="3">
        <v>41.6670618451162</v>
      </c>
      <c r="K6" s="3">
        <v>16606.0</v>
      </c>
      <c r="L6" s="3">
        <v>51.4237673736817</v>
      </c>
      <c r="M6" s="3">
        <v>25412.0</v>
      </c>
      <c r="N6" s="3">
        <v>51.4818462901612</v>
      </c>
      <c r="O6" s="3">
        <v>31996.0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1" t="s">
        <v>7</v>
      </c>
      <c r="B7" s="1">
        <f>IFERROR(__xludf.DUMMYFUNCTION("AVERAGE.WEIGHTED(B2:B6, C2:C6)"),44.747082276194284)</f>
        <v>44.74708228</v>
      </c>
      <c r="C7" s="2"/>
      <c r="D7" s="4">
        <f>IFERROR(__xludf.DUMMYFUNCTION("AVERAGE.WEIGHTED(D2:D6, E2:E6)"),40.52417964945779)</f>
        <v>40.52417965</v>
      </c>
      <c r="E7" s="2"/>
      <c r="F7" s="4">
        <f>IFERROR(__xludf.DUMMYFUNCTION("AVERAGE.WEIGHTED(F2:F6, G2:G6)"),44.0659025971041)</f>
        <v>44.0659026</v>
      </c>
      <c r="G7" s="2"/>
      <c r="H7" s="4">
        <f>IFERROR(__xludf.DUMMYFUNCTION("AVERAGE.WEIGHTED(H2:H6, I2:I6)"),44.40631241356041)</f>
        <v>44.40631241</v>
      </c>
      <c r="I7" s="2"/>
      <c r="J7" s="4">
        <f>IFERROR(__xludf.DUMMYFUNCTION("AVERAGE.WEIGHTED(J2:J6, K2:K6)"),42.612003650681)</f>
        <v>42.61200365</v>
      </c>
      <c r="K7" s="2"/>
      <c r="L7" s="4">
        <f>IFERROR(__xludf.DUMMYFUNCTION("AVERAGE.WEIGHTED(L2:L6, M2:M6)"),46.44510647007777)</f>
        <v>46.44510647</v>
      </c>
      <c r="M7" s="2"/>
      <c r="N7" s="4">
        <f>IFERROR(__xludf.DUMMYFUNCTION("AVERAGE.WEIGHTED(N2:N6, O2:O6)"),49.824207806562775)</f>
        <v>49.82420781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" t="s">
        <v>8</v>
      </c>
      <c r="B9" s="3">
        <v>132.337475608628</v>
      </c>
      <c r="C9" s="3">
        <v>1729.0</v>
      </c>
      <c r="D9" s="3">
        <v>125.267403980528</v>
      </c>
      <c r="E9" s="3">
        <v>3861.0</v>
      </c>
      <c r="F9" s="3">
        <v>25.7547462207178</v>
      </c>
      <c r="G9" s="3">
        <v>3781.0</v>
      </c>
      <c r="H9" s="3">
        <v>68.3582380950217</v>
      </c>
      <c r="I9" s="3">
        <v>11011.0</v>
      </c>
      <c r="J9" s="3">
        <v>66.8753576151067</v>
      </c>
      <c r="K9" s="3">
        <v>12432.0</v>
      </c>
      <c r="L9" s="3">
        <v>105.479069008363</v>
      </c>
      <c r="M9" s="3">
        <v>64636.0</v>
      </c>
      <c r="N9" s="3">
        <v>105.087915224005</v>
      </c>
      <c r="O9" s="3">
        <v>67617.0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1" t="s">
        <v>9</v>
      </c>
      <c r="B10" s="3">
        <v>105.999197304613</v>
      </c>
      <c r="C10" s="3">
        <v>1698.0</v>
      </c>
      <c r="D10" s="3">
        <v>56.9916835940613</v>
      </c>
      <c r="E10" s="3">
        <v>632.0</v>
      </c>
      <c r="F10" s="3">
        <v>94.809752500775</v>
      </c>
      <c r="G10" s="3">
        <v>9742.0</v>
      </c>
      <c r="H10" s="3">
        <v>102.089969804102</v>
      </c>
      <c r="I10" s="3">
        <v>18195.0</v>
      </c>
      <c r="J10" s="3">
        <v>111.502225919719</v>
      </c>
      <c r="K10" s="3">
        <v>25648.0</v>
      </c>
      <c r="L10" s="3">
        <v>111.963062221242</v>
      </c>
      <c r="M10" s="3">
        <v>58093.0</v>
      </c>
      <c r="N10" s="3">
        <v>88.7943458598455</v>
      </c>
      <c r="O10" s="3">
        <v>38216.0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1" t="s">
        <v>10</v>
      </c>
      <c r="B11" s="3">
        <v>136.149728792272</v>
      </c>
      <c r="C11" s="3">
        <v>2297.0</v>
      </c>
      <c r="D11" s="3">
        <v>51.9734855011885</v>
      </c>
      <c r="E11" s="3">
        <v>14865.0</v>
      </c>
      <c r="F11" s="3">
        <v>135.589829535076</v>
      </c>
      <c r="G11" s="3">
        <v>2297.0</v>
      </c>
      <c r="H11" s="3">
        <v>99.2962478596286</v>
      </c>
      <c r="I11" s="3">
        <v>12556.0</v>
      </c>
      <c r="J11" s="3">
        <v>77.485084242061</v>
      </c>
      <c r="K11" s="3">
        <v>28225.0</v>
      </c>
      <c r="L11" s="3">
        <v>108.553465120054</v>
      </c>
      <c r="M11" s="3">
        <v>56899.0</v>
      </c>
      <c r="N11" s="3">
        <v>110.442767198633</v>
      </c>
      <c r="O11" s="3">
        <v>108585.0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1" t="s">
        <v>11</v>
      </c>
      <c r="B12" s="3">
        <v>13.8477521726269</v>
      </c>
      <c r="C12" s="3">
        <v>2266.0</v>
      </c>
      <c r="D12" s="3">
        <v>117.883725067277</v>
      </c>
      <c r="E12" s="3">
        <v>5947.0</v>
      </c>
      <c r="F12" s="3">
        <v>94.2750662503542</v>
      </c>
      <c r="G12" s="3">
        <v>10157.0</v>
      </c>
      <c r="H12" s="3">
        <v>132.790444002327</v>
      </c>
      <c r="I12" s="3">
        <v>5453.0</v>
      </c>
      <c r="J12" s="3">
        <v>110.151295114857</v>
      </c>
      <c r="K12" s="3">
        <v>49676.0</v>
      </c>
      <c r="L12" s="3">
        <v>121.54311077783</v>
      </c>
      <c r="M12" s="3">
        <v>65564.0</v>
      </c>
      <c r="N12" s="3">
        <v>90.3951702521149</v>
      </c>
      <c r="O12" s="3">
        <v>70270.0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1" t="s">
        <v>12</v>
      </c>
      <c r="B13" s="3">
        <v>132.409337750432</v>
      </c>
      <c r="C13" s="3">
        <v>667.0</v>
      </c>
      <c r="D13" s="3">
        <v>49.1028296294811</v>
      </c>
      <c r="E13" s="3">
        <v>5430.0</v>
      </c>
      <c r="F13" s="3">
        <v>136.408527958679</v>
      </c>
      <c r="G13" s="3">
        <v>1884.0</v>
      </c>
      <c r="H13" s="3">
        <v>101.96171483299</v>
      </c>
      <c r="I13" s="3">
        <v>16048.0</v>
      </c>
      <c r="J13" s="3">
        <v>81.9884999981865</v>
      </c>
      <c r="K13" s="3">
        <v>35116.0</v>
      </c>
      <c r="L13" s="3">
        <v>94.8231854829626</v>
      </c>
      <c r="M13" s="3">
        <v>53649.0</v>
      </c>
      <c r="N13" s="3">
        <v>108.675069464483</v>
      </c>
      <c r="O13" s="3">
        <v>67833.0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6" t="s">
        <v>13</v>
      </c>
      <c r="B14" s="4">
        <f>IFERROR(__xludf.DUMMYFUNCTION("AVERAGE.WEIGHTED(B9:B13, C9:C13)"),97.1733965679924)</f>
        <v>97.17339657</v>
      </c>
      <c r="C14" s="2"/>
      <c r="D14" s="4">
        <f>IFERROR(__xludf.DUMMYFUNCTION("AVERAGE.WEIGHTED(D9:D13, E9:E13)"),73.53001238453265)</f>
        <v>73.53001238</v>
      </c>
      <c r="E14" s="2"/>
      <c r="F14" s="4">
        <f>IFERROR(__xludf.DUMMYFUNCTION("AVERAGE.WEIGHTED(F9:F13, G9:G13)"),91.41849385679454)</f>
        <v>91.41849386</v>
      </c>
      <c r="G14" s="2"/>
      <c r="H14" s="4">
        <f>IFERROR(__xludf.DUMMYFUNCTION("AVERAGE.WEIGHTED(H9:H13, I9:I13)"),98.27815846798174)</f>
        <v>98.27815847</v>
      </c>
      <c r="I14" s="2"/>
      <c r="J14" s="4">
        <f>IFERROR(__xludf.DUMMYFUNCTION("AVERAGE.WEIGHTED(J9:J13, K9:K13)"),94.1726436729656)</f>
        <v>94.17264367</v>
      </c>
      <c r="K14" s="2"/>
      <c r="L14" s="4">
        <f>IFERROR(__xludf.DUMMYFUNCTION("AVERAGE.WEIGHTED(L9:L13, M9:M13)"),108.93625868914313)</f>
        <v>108.9362587</v>
      </c>
      <c r="M14" s="2"/>
      <c r="N14" s="4">
        <f>IFERROR(__xludf.DUMMYFUNCTION("AVERAGE.WEIGHTED(N9:N13, O9:O13)"),102.73245214312156)</f>
        <v>102.7324521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1" t="s">
        <v>14</v>
      </c>
      <c r="B16" s="3">
        <v>0.976286871023713</v>
      </c>
      <c r="C16" s="3">
        <v>1729.0</v>
      </c>
      <c r="D16" s="3">
        <v>0.951566951566951</v>
      </c>
      <c r="E16" s="3">
        <v>3861.0</v>
      </c>
      <c r="F16" s="3">
        <v>0.965617561491668</v>
      </c>
      <c r="G16" s="3">
        <v>3781.0</v>
      </c>
      <c r="H16" s="3">
        <v>0.956861320497684</v>
      </c>
      <c r="I16" s="3">
        <v>11011.0</v>
      </c>
      <c r="J16" s="3">
        <v>0.955678893178893</v>
      </c>
      <c r="K16" s="3">
        <v>12432.0</v>
      </c>
      <c r="L16" s="3">
        <v>0.97721084225509</v>
      </c>
      <c r="M16" s="3">
        <v>64636.0</v>
      </c>
      <c r="N16" s="3">
        <v>0.975080231302778</v>
      </c>
      <c r="O16" s="3">
        <v>67617.0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1" t="s">
        <v>15</v>
      </c>
      <c r="B17" s="3">
        <v>0.958775029446407</v>
      </c>
      <c r="C17" s="3">
        <v>1698.0</v>
      </c>
      <c r="D17" s="3">
        <v>0.920886075949367</v>
      </c>
      <c r="E17" s="3">
        <v>632.0</v>
      </c>
      <c r="F17" s="3">
        <v>0.960583042496407</v>
      </c>
      <c r="G17" s="3">
        <v>9742.0</v>
      </c>
      <c r="H17" s="3">
        <v>0.97092607859302</v>
      </c>
      <c r="I17" s="3">
        <v>18195.0</v>
      </c>
      <c r="J17" s="3">
        <v>0.971498752339363</v>
      </c>
      <c r="K17" s="3">
        <v>25648.0</v>
      </c>
      <c r="L17" s="3">
        <v>0.978603274060558</v>
      </c>
      <c r="M17" s="3">
        <v>58093.0</v>
      </c>
      <c r="N17" s="3">
        <v>0.965066987649152</v>
      </c>
      <c r="O17" s="3">
        <v>38216.0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1" t="s">
        <v>16</v>
      </c>
      <c r="B18" s="3">
        <v>0.964736612973443</v>
      </c>
      <c r="C18" s="3">
        <v>2297.0</v>
      </c>
      <c r="D18" s="3">
        <v>0.988698284561049</v>
      </c>
      <c r="E18" s="3">
        <v>14865.0</v>
      </c>
      <c r="F18" s="3">
        <v>0.963430561602089</v>
      </c>
      <c r="G18" s="3">
        <v>2297.0</v>
      </c>
      <c r="H18" s="3">
        <v>0.962488053520229</v>
      </c>
      <c r="I18" s="3">
        <v>12556.0</v>
      </c>
      <c r="J18" s="3">
        <v>0.972825509300265</v>
      </c>
      <c r="K18" s="3">
        <v>28225.0</v>
      </c>
      <c r="L18" s="3">
        <v>0.976097998207349</v>
      </c>
      <c r="M18" s="3">
        <v>56899.0</v>
      </c>
      <c r="N18" s="3">
        <v>0.980559009071234</v>
      </c>
      <c r="O18" s="3">
        <v>108585.0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1" t="s">
        <v>17</v>
      </c>
      <c r="B19" s="3">
        <v>0.950132391879964</v>
      </c>
      <c r="C19" s="3">
        <v>2266.0</v>
      </c>
      <c r="D19" s="3">
        <v>0.97729947872877</v>
      </c>
      <c r="E19" s="3">
        <v>5947.0</v>
      </c>
      <c r="F19" s="3">
        <v>0.971546716550162</v>
      </c>
      <c r="G19" s="3">
        <v>10157.0</v>
      </c>
      <c r="H19" s="3">
        <v>0.958188153310104</v>
      </c>
      <c r="I19" s="3">
        <v>5453.0</v>
      </c>
      <c r="J19" s="3">
        <v>0.985224253160479</v>
      </c>
      <c r="K19" s="3">
        <v>49676.0</v>
      </c>
      <c r="L19" s="3">
        <v>0.979989018363736</v>
      </c>
      <c r="M19" s="3">
        <v>65564.0</v>
      </c>
      <c r="N19" s="3">
        <v>0.979820691618044</v>
      </c>
      <c r="O19" s="3">
        <v>70270.0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1" t="s">
        <v>18</v>
      </c>
      <c r="B20" s="3">
        <v>0.943028485757121</v>
      </c>
      <c r="C20" s="3">
        <v>667.0</v>
      </c>
      <c r="D20" s="3">
        <v>0.959668508287292</v>
      </c>
      <c r="E20" s="3">
        <v>5430.0</v>
      </c>
      <c r="F20" s="3">
        <v>0.934713375796178</v>
      </c>
      <c r="G20" s="3">
        <v>1884.0</v>
      </c>
      <c r="H20" s="3">
        <v>0.973579262213359</v>
      </c>
      <c r="I20" s="3">
        <v>16048.0</v>
      </c>
      <c r="J20" s="3">
        <v>0.973402437635266</v>
      </c>
      <c r="K20" s="3">
        <v>35116.0</v>
      </c>
      <c r="L20" s="3">
        <v>0.974333165576245</v>
      </c>
      <c r="M20" s="3">
        <v>53649.0</v>
      </c>
      <c r="N20" s="3">
        <v>0.972977754190438</v>
      </c>
      <c r="O20" s="3">
        <v>67833.0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1" t="s">
        <v>19</v>
      </c>
      <c r="B21" s="2">
        <f>IFERROR(__xludf.DUMMYFUNCTION("AVERAGE.WEIGHTED(B16:B20, C16:C20)"),0.9603788841400018)</f>
        <v>0.9603788841</v>
      </c>
      <c r="C21" s="2"/>
      <c r="D21" s="2">
        <f>IFERROR(__xludf.DUMMYFUNCTION("AVERAGE.WEIGHTED(D16:D20, E16:E20)"),0.9753050268423615)</f>
        <v>0.9753050268</v>
      </c>
      <c r="E21" s="2"/>
      <c r="F21" s="2">
        <f>IFERROR(__xludf.DUMMYFUNCTION("AVERAGE.WEIGHTED(F16:F20, G16:G20)"),0.9637486091669354)</f>
        <v>0.9637486092</v>
      </c>
      <c r="G21" s="2"/>
      <c r="H21" s="2">
        <f>IFERROR(__xludf.DUMMYFUNCTION("AVERAGE.WEIGHTED(H16:H20, I16:I20)"),0.9663784518596964)</f>
        <v>0.9663784519</v>
      </c>
      <c r="I21" s="2"/>
      <c r="J21" s="2">
        <f>IFERROR(__xludf.DUMMYFUNCTION("AVERAGE.WEIGHTED(J16:J20, K16:K20)"),0.9753999086679412)</f>
        <v>0.9753999087</v>
      </c>
      <c r="K21" s="2"/>
      <c r="L21" s="2">
        <f>IFERROR(__xludf.DUMMYFUNCTION("AVERAGE.WEIGHTED(L16:L20, M16:M20)"),0.9773625439615042)</f>
        <v>0.977362544</v>
      </c>
      <c r="M21" s="2"/>
      <c r="N21" s="2">
        <f>IFERROR(__xludf.DUMMYFUNCTION("AVERAGE.WEIGHTED(N16:N20, O16:O20)"),0.9762226931161542)</f>
        <v>0.9762226931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1" t="s">
        <v>20</v>
      </c>
      <c r="B23" s="3">
        <v>0.0237131289762868</v>
      </c>
      <c r="C23" s="1">
        <v>1729.0</v>
      </c>
      <c r="D23" s="3">
        <v>0.0484330484330484</v>
      </c>
      <c r="E23" s="3">
        <v>3861.0</v>
      </c>
      <c r="F23" s="3">
        <v>0.0343824385083311</v>
      </c>
      <c r="G23" s="3">
        <v>3781.0</v>
      </c>
      <c r="H23" s="3">
        <v>0.0431386795023158</v>
      </c>
      <c r="I23" s="3">
        <v>11011.0</v>
      </c>
      <c r="J23" s="3">
        <v>0.0443211068211068</v>
      </c>
      <c r="K23" s="3">
        <v>12432.0</v>
      </c>
      <c r="L23" s="3">
        <v>0.0227891577449099</v>
      </c>
      <c r="M23" s="3">
        <v>64636.0</v>
      </c>
      <c r="N23" s="3">
        <v>0.0249197686972211</v>
      </c>
      <c r="O23" s="3">
        <v>67617.0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1" t="s">
        <v>21</v>
      </c>
      <c r="B24" s="3">
        <v>0.0412249705535924</v>
      </c>
      <c r="C24" s="3">
        <v>1698.0</v>
      </c>
      <c r="D24" s="3">
        <v>0.0791139240506329</v>
      </c>
      <c r="E24" s="3">
        <v>632.0</v>
      </c>
      <c r="F24" s="3">
        <v>0.0394169575035926</v>
      </c>
      <c r="G24" s="3">
        <v>9742.0</v>
      </c>
      <c r="H24" s="3">
        <v>0.0290739214069799</v>
      </c>
      <c r="I24" s="3">
        <v>18195.0</v>
      </c>
      <c r="J24" s="3">
        <v>0.0285012476606363</v>
      </c>
      <c r="K24" s="3">
        <v>25648.0</v>
      </c>
      <c r="L24" s="3">
        <v>0.0213967259394419</v>
      </c>
      <c r="M24" s="3">
        <v>58093.0</v>
      </c>
      <c r="N24" s="3">
        <v>0.0349330123508478</v>
      </c>
      <c r="O24" s="3">
        <v>38216.0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1" t="s">
        <v>22</v>
      </c>
      <c r="B25" s="3">
        <v>0.0352633870265563</v>
      </c>
      <c r="C25" s="3">
        <v>2297.0</v>
      </c>
      <c r="D25" s="3">
        <v>0.0113017154389505</v>
      </c>
      <c r="E25" s="3">
        <v>14865.0</v>
      </c>
      <c r="F25" s="3">
        <v>0.0365694383979103</v>
      </c>
      <c r="G25" s="3">
        <v>2297.0</v>
      </c>
      <c r="H25" s="3">
        <v>0.0375119464797706</v>
      </c>
      <c r="I25" s="3">
        <v>12556.0</v>
      </c>
      <c r="J25" s="3">
        <v>0.0271744906997342</v>
      </c>
      <c r="K25" s="3">
        <v>28225.0</v>
      </c>
      <c r="L25" s="3">
        <v>0.0239020017926501</v>
      </c>
      <c r="M25" s="3">
        <v>56899.0</v>
      </c>
      <c r="N25" s="3">
        <v>0.0194409909287654</v>
      </c>
      <c r="O25" s="3">
        <v>108585.0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1" t="s">
        <v>23</v>
      </c>
      <c r="B26" s="3">
        <v>0.0498676081200353</v>
      </c>
      <c r="C26" s="3">
        <v>2266.0</v>
      </c>
      <c r="D26" s="3">
        <v>0.0227005212712291</v>
      </c>
      <c r="E26" s="3">
        <v>5947.0</v>
      </c>
      <c r="F26" s="3">
        <v>0.0284532834498375</v>
      </c>
      <c r="G26" s="3">
        <v>10157.0</v>
      </c>
      <c r="H26" s="3">
        <v>0.0418118466898954</v>
      </c>
      <c r="I26" s="3">
        <v>5453.0</v>
      </c>
      <c r="J26" s="3">
        <v>0.01477574683952</v>
      </c>
      <c r="K26" s="3">
        <v>49676.0</v>
      </c>
      <c r="L26" s="3">
        <v>0.0200109816362638</v>
      </c>
      <c r="M26" s="3">
        <v>65564.0</v>
      </c>
      <c r="N26" s="3">
        <v>0.0201793083819553</v>
      </c>
      <c r="O26" s="3">
        <v>70270.0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1" t="s">
        <v>24</v>
      </c>
      <c r="B27" s="3">
        <v>0.0569715142428785</v>
      </c>
      <c r="C27" s="3">
        <v>667.0</v>
      </c>
      <c r="D27" s="3">
        <v>0.0403314917127071</v>
      </c>
      <c r="E27" s="3">
        <v>5430.0</v>
      </c>
      <c r="F27" s="3">
        <v>0.0652866242038216</v>
      </c>
      <c r="G27" s="3">
        <v>1884.0</v>
      </c>
      <c r="H27" s="3">
        <v>0.02642073778664</v>
      </c>
      <c r="I27" s="3">
        <v>16048.0</v>
      </c>
      <c r="J27" s="3">
        <v>0.026597562364734</v>
      </c>
      <c r="K27" s="3">
        <v>35116.0</v>
      </c>
      <c r="L27" s="3">
        <v>0.0256668344237544</v>
      </c>
      <c r="M27" s="3">
        <v>53649.0</v>
      </c>
      <c r="N27" s="3">
        <v>0.0270222458095617</v>
      </c>
      <c r="O27" s="3">
        <v>67833.0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1" t="s">
        <v>25</v>
      </c>
      <c r="B28" s="2">
        <f>IFERROR(__xludf.DUMMYFUNCTION("AVERAGE.WEIGHTED(B23:B27, C23:C27)"),0.03962111585999764)</f>
        <v>0.03962111586</v>
      </c>
      <c r="C28" s="2"/>
      <c r="D28" s="2">
        <f>IFERROR(__xludf.DUMMYFUNCTION("AVERAGE.WEIGHTED(D23:D27, E23:E27)"),0.024694973157637808)</f>
        <v>0.02469497316</v>
      </c>
      <c r="E28" s="2"/>
      <c r="F28" s="2">
        <f>IFERROR(__xludf.DUMMYFUNCTION("AVERAGE.WEIGHTED(F23:F27, G23:G27)"),0.03625139083306408)</f>
        <v>0.03625139083</v>
      </c>
      <c r="G28" s="2"/>
      <c r="H28" s="2">
        <f>IFERROR(__xludf.DUMMYFUNCTION("AVERAGE.WEIGHTED(H23:H27, I23:I27)"),0.033621548140303124)</f>
        <v>0.03362154814</v>
      </c>
      <c r="I28" s="2"/>
      <c r="J28" s="2">
        <f>IFERROR(__xludf.DUMMYFUNCTION("AVERAGE.WEIGHTED(J23:J27, K23:K27)"),0.024600091332058163)</f>
        <v>0.02460009133</v>
      </c>
      <c r="K28" s="2"/>
      <c r="L28" s="2">
        <f>IFERROR(__xludf.DUMMYFUNCTION("AVERAGE.WEIGHTED(L23:L27, M23:M27)"),0.02263745603849536)</f>
        <v>0.02263745604</v>
      </c>
      <c r="M28" s="2"/>
      <c r="N28" s="2">
        <f>IFERROR(__xludf.DUMMYFUNCTION("AVERAGE.WEIGHTED(N23:N27, O23:O27)"),0.023777306883845183)</f>
        <v>0.02377730688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1" t="s">
        <v>26</v>
      </c>
      <c r="B30" s="5">
        <v>22407.18033</v>
      </c>
      <c r="C30" s="3">
        <v>1769.0</v>
      </c>
      <c r="D30" s="5">
        <v>122814.7256</v>
      </c>
      <c r="E30" s="3">
        <v>1709.0</v>
      </c>
      <c r="F30" s="5">
        <v>26363.39023</v>
      </c>
      <c r="G30" s="3">
        <v>1781.0</v>
      </c>
      <c r="H30" s="3">
        <v>50629.6060180541</v>
      </c>
      <c r="I30" s="3">
        <v>4985.0</v>
      </c>
      <c r="J30" s="3">
        <v>343968.12056239</v>
      </c>
      <c r="K30" s="3">
        <v>5690.0</v>
      </c>
      <c r="L30" s="3">
        <v>384291.711573811</v>
      </c>
      <c r="M30" s="3">
        <v>29921.0</v>
      </c>
      <c r="N30" s="3">
        <v>450114.200114806</v>
      </c>
      <c r="O30" s="3">
        <v>31357.0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1" t="s">
        <v>27</v>
      </c>
      <c r="B31" s="5">
        <v>14731.98762</v>
      </c>
      <c r="C31" s="3">
        <v>727.0</v>
      </c>
      <c r="D31" s="5">
        <v>70088.7482</v>
      </c>
      <c r="E31" s="3">
        <v>278.0</v>
      </c>
      <c r="F31" s="5">
        <v>164738.2315</v>
      </c>
      <c r="G31" s="3">
        <v>4471.0</v>
      </c>
      <c r="H31" s="3">
        <v>373597.975454217</v>
      </c>
      <c r="I31" s="3">
        <v>8311.0</v>
      </c>
      <c r="J31" s="3">
        <v>395295.35713083</v>
      </c>
      <c r="K31" s="3">
        <v>11878.0</v>
      </c>
      <c r="L31" s="5">
        <v>408899.042548443</v>
      </c>
      <c r="M31" s="3">
        <v>26887.0</v>
      </c>
      <c r="N31" s="3">
        <v>152450.21152741</v>
      </c>
      <c r="O31" s="3">
        <v>17402.0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1" t="s">
        <v>28</v>
      </c>
      <c r="B32" s="5">
        <v>164034.3422</v>
      </c>
      <c r="C32" s="3">
        <v>1052.0</v>
      </c>
      <c r="D32" s="5">
        <v>25907.00429</v>
      </c>
      <c r="E32" s="3">
        <v>6996.0</v>
      </c>
      <c r="F32" s="5">
        <v>149041.5</v>
      </c>
      <c r="G32" s="3">
        <v>1056.0</v>
      </c>
      <c r="H32" s="3">
        <v>163414.463859649</v>
      </c>
      <c r="I32" s="3">
        <v>5700.0</v>
      </c>
      <c r="J32" s="3">
        <v>83774.5690238278</v>
      </c>
      <c r="K32" s="3">
        <v>13010.0</v>
      </c>
      <c r="L32" s="3">
        <v>285754.092397882</v>
      </c>
      <c r="M32" s="3">
        <v>26440.0</v>
      </c>
      <c r="N32" s="3">
        <v>662149.957551004</v>
      </c>
      <c r="O32" s="3">
        <v>50437.0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1" t="s">
        <v>29</v>
      </c>
      <c r="B33" s="3">
        <f>31.7407651017126*536</f>
        <v>17013.05009</v>
      </c>
      <c r="C33" s="3">
        <v>1058.0</v>
      </c>
      <c r="D33" s="5">
        <v>402593.5695</v>
      </c>
      <c r="E33" s="3">
        <v>2755.0</v>
      </c>
      <c r="F33" s="3">
        <v>672615.206001276</v>
      </c>
      <c r="G33" s="3">
        <v>4699.0</v>
      </c>
      <c r="H33" s="3">
        <v>215954.52936444</v>
      </c>
      <c r="I33" s="3">
        <v>2486.0</v>
      </c>
      <c r="J33" s="3">
        <v>397340.976830159</v>
      </c>
      <c r="K33" s="3">
        <v>23263.0</v>
      </c>
      <c r="L33" s="3">
        <v>459568.267245332</v>
      </c>
      <c r="M33" s="3">
        <v>30530.0</v>
      </c>
      <c r="N33" s="3">
        <v>251594.848238565</v>
      </c>
      <c r="O33" s="3">
        <v>32729.0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1" t="s">
        <v>30</v>
      </c>
      <c r="B34" s="5">
        <v>78257.82935</v>
      </c>
      <c r="C34" s="3">
        <v>293.0</v>
      </c>
      <c r="D34" s="5">
        <v>214624.8165</v>
      </c>
      <c r="E34" s="3">
        <v>2501.0</v>
      </c>
      <c r="F34" s="3">
        <v>84621.8826347305</v>
      </c>
      <c r="G34" s="3">
        <v>835.0</v>
      </c>
      <c r="H34" s="3">
        <v>250727.734775641</v>
      </c>
      <c r="I34" s="3">
        <v>7488.0</v>
      </c>
      <c r="J34" s="3">
        <v>285178.979292493</v>
      </c>
      <c r="K34" s="3">
        <v>16226.0</v>
      </c>
      <c r="L34" s="3">
        <v>157131.678495272</v>
      </c>
      <c r="M34" s="3">
        <v>24855.0</v>
      </c>
      <c r="N34" s="3">
        <v>366755.388987566</v>
      </c>
      <c r="O34" s="3">
        <v>30965.0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1" t="s">
        <v>31</v>
      </c>
      <c r="B35" s="2">
        <f>IFERROR(__xludf.DUMMYFUNCTION("AVERAGE.WEIGHTED(B30:B34, C30:C34)"),53856.28413910186)</f>
        <v>53856.28414</v>
      </c>
      <c r="C35" s="2"/>
      <c r="D35" s="2">
        <f>IFERROR(__xludf.DUMMYFUNCTION("AVERAGE.WEIGHTED(D30:D34, E30:E34)"),144430.25423848865)</f>
        <v>144430.2542</v>
      </c>
      <c r="E35" s="2"/>
      <c r="F35" s="2">
        <f>IFERROR(__xludf.DUMMYFUNCTION("AVERAGE.WEIGHTED(F30:F34, G30:G34)"),324884.26880829514)</f>
        <v>324884.2688</v>
      </c>
      <c r="G35" s="2"/>
      <c r="H35" s="2">
        <f>IFERROR(__xludf.DUMMYFUNCTION("AVERAGE.WEIGHTED(H30:H34, I30:I34)"),231381.98280980304)</f>
        <v>231381.9828</v>
      </c>
      <c r="I35" s="2"/>
      <c r="J35" s="2">
        <f>IFERROR(__xludf.DUMMYFUNCTION("AVERAGE.WEIGHTED(J30:J34, K30:K34)"),308462.7751009745)</f>
        <v>308462.7751</v>
      </c>
      <c r="K35" s="2"/>
      <c r="L35" s="2">
        <f>IFERROR(__xludf.DUMMYFUNCTION("AVERAGE.WEIGHTED(L30:L34, M30:M34)"),346121.96324107505)</f>
        <v>346121.9632</v>
      </c>
      <c r="M35" s="2"/>
      <c r="N35" s="2">
        <f>IFERROR(__xludf.DUMMYFUNCTION("AVERAGE.WEIGHTED(N30:N34, O30:O34)"),428234.1173245744)</f>
        <v>428234.1173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1" t="s">
        <v>32</v>
      </c>
      <c r="B39" s="1">
        <v>3.0</v>
      </c>
      <c r="C39" s="1" t="s">
        <v>1</v>
      </c>
      <c r="D39" s="1">
        <v>7.0</v>
      </c>
      <c r="E39" s="1" t="s">
        <v>1</v>
      </c>
      <c r="F39" s="1">
        <v>17.0</v>
      </c>
      <c r="G39" s="1" t="s">
        <v>1</v>
      </c>
      <c r="H39" s="1">
        <v>34.0</v>
      </c>
      <c r="I39" s="1" t="s">
        <v>1</v>
      </c>
      <c r="J39" s="1">
        <v>68.0</v>
      </c>
      <c r="K39" s="1" t="s">
        <v>1</v>
      </c>
      <c r="L39" s="1">
        <v>100.0</v>
      </c>
      <c r="M39" s="1" t="s">
        <v>1</v>
      </c>
      <c r="N39" s="1">
        <v>130.0</v>
      </c>
      <c r="O39" s="1" t="s">
        <v>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1" t="s">
        <v>2</v>
      </c>
      <c r="B40" s="3">
        <v>20.8002</v>
      </c>
      <c r="C40" s="3">
        <v>881.0</v>
      </c>
      <c r="D40" s="3">
        <v>110.356</v>
      </c>
      <c r="E40" s="3">
        <v>87.0</v>
      </c>
      <c r="F40" s="3">
        <v>72.8448319188191</v>
      </c>
      <c r="G40" s="3">
        <v>2168.0</v>
      </c>
      <c r="H40" s="3">
        <v>99.6460073874567</v>
      </c>
      <c r="I40" s="3">
        <v>5198.0</v>
      </c>
      <c r="J40" s="3">
        <v>34.2207666983418</v>
      </c>
      <c r="K40" s="3">
        <v>21047.0</v>
      </c>
      <c r="L40" s="3">
        <v>50.5074626868414</v>
      </c>
      <c r="M40" s="3">
        <v>16324.0</v>
      </c>
      <c r="N40" s="3">
        <v>35.3506355855144</v>
      </c>
      <c r="O40" s="3">
        <v>31673.0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1" t="s">
        <v>3</v>
      </c>
      <c r="B41" s="3">
        <v>28.9736</v>
      </c>
      <c r="C41" s="3">
        <v>530.0</v>
      </c>
      <c r="D41" s="3">
        <v>35.1203841586428</v>
      </c>
      <c r="E41" s="3">
        <v>4362.0</v>
      </c>
      <c r="F41" s="3">
        <v>35.2010772067412</v>
      </c>
      <c r="G41" s="3">
        <v>5993.0</v>
      </c>
      <c r="H41" s="3">
        <v>45.0082566857752</v>
      </c>
      <c r="I41" s="3">
        <v>7501.0</v>
      </c>
      <c r="J41" s="3">
        <v>34.7900444817565</v>
      </c>
      <c r="K41" s="3">
        <v>15485.0</v>
      </c>
      <c r="L41" s="3">
        <v>45.3273487308697</v>
      </c>
      <c r="M41" s="3">
        <v>21432.0</v>
      </c>
      <c r="N41" s="3">
        <v>32.7963131694138</v>
      </c>
      <c r="O41" s="3">
        <v>29242.0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1" t="s">
        <v>4</v>
      </c>
      <c r="B42" s="3">
        <v>71.6069005089058</v>
      </c>
      <c r="C42" s="3">
        <v>1572.0</v>
      </c>
      <c r="D42" s="3">
        <v>304.356</v>
      </c>
      <c r="E42" s="3">
        <v>306.0</v>
      </c>
      <c r="F42" s="3">
        <v>100.357447075208</v>
      </c>
      <c r="G42" s="3">
        <v>1077.0</v>
      </c>
      <c r="H42" s="3">
        <v>30.9570949404964</v>
      </c>
      <c r="I42" s="3">
        <v>14705.0</v>
      </c>
      <c r="J42" s="3">
        <v>32.5656210565733</v>
      </c>
      <c r="K42" s="3">
        <v>17358.0</v>
      </c>
      <c r="L42" s="3">
        <v>50.1884887315968</v>
      </c>
      <c r="M42" s="3">
        <v>17660.0</v>
      </c>
      <c r="N42" s="3">
        <v>50.8272940704669</v>
      </c>
      <c r="O42" s="3">
        <v>17455.0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1" t="s">
        <v>5</v>
      </c>
      <c r="B43" s="3">
        <v>751.475</v>
      </c>
      <c r="C43" s="3">
        <v>122.0</v>
      </c>
      <c r="D43" s="3">
        <v>20.5723</v>
      </c>
      <c r="E43" s="3">
        <v>4580.0</v>
      </c>
      <c r="F43" s="3">
        <v>53.4440309233791</v>
      </c>
      <c r="G43" s="3">
        <v>2545.0</v>
      </c>
      <c r="H43" s="3">
        <v>63.8058545507927</v>
      </c>
      <c r="I43" s="3">
        <v>6812.0</v>
      </c>
      <c r="J43" s="3">
        <v>35.9204354498141</v>
      </c>
      <c r="K43" s="3">
        <v>13450.0</v>
      </c>
      <c r="L43" s="3">
        <v>38.0002745225992</v>
      </c>
      <c r="M43" s="3">
        <v>14558.0</v>
      </c>
      <c r="N43" s="3">
        <v>39.9122081378722</v>
      </c>
      <c r="O43" s="3">
        <v>32871.0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1" t="s">
        <v>6</v>
      </c>
      <c r="B44" s="3">
        <v>187.203354085603</v>
      </c>
      <c r="C44" s="3">
        <v>1028.0</v>
      </c>
      <c r="D44" s="3">
        <v>70.7105</v>
      </c>
      <c r="E44" s="3">
        <v>1520.0</v>
      </c>
      <c r="F44" s="3">
        <v>43.440407007922</v>
      </c>
      <c r="G44" s="3">
        <v>4923.0</v>
      </c>
      <c r="H44" s="3">
        <v>33.9728583341071</v>
      </c>
      <c r="I44" s="3">
        <v>10769.0</v>
      </c>
      <c r="J44" s="3">
        <v>29.4761262657224</v>
      </c>
      <c r="K44" s="3">
        <v>18922.0</v>
      </c>
      <c r="L44" s="3">
        <v>51.337061465111</v>
      </c>
      <c r="M44" s="3">
        <v>17828.0</v>
      </c>
      <c r="N44" s="3">
        <v>45.9770715475405</v>
      </c>
      <c r="O44" s="3">
        <v>16691.0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1" t="s">
        <v>33</v>
      </c>
      <c r="B45" s="1">
        <f>IFERROR(__xludf.DUMMYFUNCTION("AVERAGE.WEIGHTED(B40:B44, C40:C44)"),104.13066290829902)</f>
        <v>104.1306629</v>
      </c>
      <c r="C45" s="2"/>
      <c r="D45" s="4">
        <f>IFERROR(__xludf.DUMMYFUNCTION("AVERAGE.WEIGHTED(D40:D44, E40:E44)"),42.15846316904651)</f>
        <v>42.15846317</v>
      </c>
      <c r="E45" s="2"/>
      <c r="F45" s="4">
        <f>IFERROR(__xludf.DUMMYFUNCTION("AVERAGE.WEIGHTED(F40:F44, G40:G44)"),49.49388268885422)</f>
        <v>49.49388269</v>
      </c>
      <c r="G45" s="2"/>
      <c r="H45" s="4">
        <f>IFERROR(__xludf.DUMMYFUNCTION("AVERAGE.WEIGHTED(H40:H44, I40:I44)"),46.93320336778923)</f>
        <v>46.93320337</v>
      </c>
      <c r="I45" s="2"/>
      <c r="J45" s="4">
        <f>IFERROR(__xludf.DUMMYFUNCTION("AVERAGE.WEIGHTED(J40:J44, K40:K44)"),33.21415552386912)</f>
        <v>33.21415552</v>
      </c>
      <c r="K45" s="2"/>
      <c r="L45" s="4">
        <f>IFERROR(__xludf.DUMMYFUNCTION("AVERAGE.WEIGHTED(L40:L44, M40:M44)"),47.2735632240723)</f>
        <v>47.27356322</v>
      </c>
      <c r="M45" s="2"/>
      <c r="N45" s="4">
        <f>IFERROR(__xludf.DUMMYFUNCTION("AVERAGE.WEIGHTED(N40:N44, O40:O44)"),39.43687571131532)</f>
        <v>39.43687571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1" t="s">
        <v>8</v>
      </c>
      <c r="B47" s="3">
        <v>136.263199381212</v>
      </c>
      <c r="C47" s="3">
        <v>1802.0</v>
      </c>
      <c r="D47" s="3">
        <v>54.129325720033</v>
      </c>
      <c r="E47" s="3">
        <v>254.0</v>
      </c>
      <c r="F47" s="3">
        <v>57.8820327074723</v>
      </c>
      <c r="G47" s="3">
        <v>4719.0</v>
      </c>
      <c r="H47" s="3">
        <v>55.17786570521</v>
      </c>
      <c r="I47" s="3">
        <v>11271.0</v>
      </c>
      <c r="J47" s="3">
        <v>103.416824470497</v>
      </c>
      <c r="K47" s="3">
        <v>44277.0</v>
      </c>
      <c r="L47" s="3">
        <v>89.5123567542917</v>
      </c>
      <c r="M47" s="3">
        <v>34993.0</v>
      </c>
      <c r="N47" s="3">
        <v>94.5170090993577</v>
      </c>
      <c r="O47" s="3">
        <v>67549.0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1" t="s">
        <v>9</v>
      </c>
      <c r="B48" s="3">
        <v>137.17317124954</v>
      </c>
      <c r="C48" s="3">
        <v>1106.0</v>
      </c>
      <c r="D48" s="3">
        <v>57.0190725867572</v>
      </c>
      <c r="E48" s="3">
        <v>9081.0</v>
      </c>
      <c r="F48" s="3">
        <v>79.2295849808045</v>
      </c>
      <c r="G48" s="3">
        <v>12703.0</v>
      </c>
      <c r="H48" s="3">
        <v>92.4230419712261</v>
      </c>
      <c r="I48" s="3">
        <v>15820.0</v>
      </c>
      <c r="J48" s="3">
        <v>83.2208091771909</v>
      </c>
      <c r="K48" s="3">
        <v>33221.0</v>
      </c>
      <c r="L48" s="3">
        <v>83.7677925526585</v>
      </c>
      <c r="M48" s="3">
        <v>46126.0</v>
      </c>
      <c r="N48" s="3">
        <v>114.306308011986</v>
      </c>
      <c r="O48" s="3">
        <v>61256.0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1" t="s">
        <v>10</v>
      </c>
      <c r="B49" s="3">
        <v>136.946281362278</v>
      </c>
      <c r="C49" s="3">
        <v>3244.0</v>
      </c>
      <c r="D49" s="3">
        <v>136.421918208595</v>
      </c>
      <c r="E49" s="3">
        <v>658.0</v>
      </c>
      <c r="F49" s="3">
        <v>101.257962283336</v>
      </c>
      <c r="G49" s="3">
        <v>2372.0</v>
      </c>
      <c r="H49" s="3">
        <v>95.3673289648567</v>
      </c>
      <c r="I49" s="3">
        <v>30490.0</v>
      </c>
      <c r="J49" s="3">
        <v>125.269934205951</v>
      </c>
      <c r="K49" s="3">
        <v>35948.0</v>
      </c>
      <c r="L49" s="3">
        <v>94.3169804254244</v>
      </c>
      <c r="M49" s="3">
        <v>37561.0</v>
      </c>
      <c r="N49" s="3">
        <v>100.893734866314</v>
      </c>
      <c r="O49" s="3">
        <v>37666.0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1" t="s">
        <v>11</v>
      </c>
      <c r="B50" s="3">
        <v>136.44759240106</v>
      </c>
      <c r="C50" s="3">
        <v>305.0</v>
      </c>
      <c r="D50" s="3">
        <v>55.951359525185</v>
      </c>
      <c r="E50" s="3">
        <v>9806.0</v>
      </c>
      <c r="F50" s="3">
        <v>108.723101502598</v>
      </c>
      <c r="G50" s="3">
        <v>5494.0</v>
      </c>
      <c r="H50" s="3">
        <v>76.6951883889898</v>
      </c>
      <c r="I50" s="3">
        <v>14219.0</v>
      </c>
      <c r="J50" s="3">
        <v>106.029088551326</v>
      </c>
      <c r="K50" s="3">
        <v>28257.0</v>
      </c>
      <c r="L50" s="3">
        <v>99.1776220865169</v>
      </c>
      <c r="M50" s="3">
        <v>31188.0</v>
      </c>
      <c r="N50" s="3">
        <v>107.638272203912</v>
      </c>
      <c r="O50" s="3">
        <v>69266.0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1" t="s">
        <v>12</v>
      </c>
      <c r="B51" s="3">
        <v>134.748105895634</v>
      </c>
      <c r="C51" s="3">
        <v>2158.0</v>
      </c>
      <c r="D51" s="3">
        <v>123.400632748001</v>
      </c>
      <c r="E51" s="3">
        <v>3120.0</v>
      </c>
      <c r="F51" s="3">
        <v>56.3920279727594</v>
      </c>
      <c r="G51" s="3">
        <v>10788.0</v>
      </c>
      <c r="H51" s="3">
        <v>91.9880707626314</v>
      </c>
      <c r="I51" s="3">
        <v>23106.0</v>
      </c>
      <c r="J51" s="3">
        <v>111.1012253938</v>
      </c>
      <c r="K51" s="3">
        <v>39426.0</v>
      </c>
      <c r="L51" s="3">
        <v>105.031222306693</v>
      </c>
      <c r="M51" s="3">
        <v>37794.0</v>
      </c>
      <c r="N51" s="3">
        <v>68.6832757597076</v>
      </c>
      <c r="O51" s="3">
        <v>35424.0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1" t="s">
        <v>34</v>
      </c>
      <c r="B52" s="4">
        <f>IFERROR(__xludf.DUMMYFUNCTION("AVERAGE.WEIGHTED(B47:B51, C47:C51)"),136.26424580745984)</f>
        <v>136.2642458</v>
      </c>
      <c r="C52" s="2"/>
      <c r="D52" s="4">
        <f>IFERROR(__xludf.DUMMYFUNCTION("AVERAGE.WEIGHTED(D47:D51, E47:E51)"),67.84648871033698)</f>
        <v>67.84648871</v>
      </c>
      <c r="E52" s="2"/>
      <c r="F52" s="4">
        <f>IFERROR(__xludf.DUMMYFUNCTION("AVERAGE.WEIGHTED(F47:F51, G47:G51)"),75.54785825255561)</f>
        <v>75.54785825</v>
      </c>
      <c r="G52" s="2"/>
      <c r="H52" s="4">
        <f>IFERROR(__xludf.DUMMYFUNCTION("AVERAGE.WEIGHTED(H47:H51, I47:I51)"),86.48343998515486)</f>
        <v>86.48343999</v>
      </c>
      <c r="I52" s="2"/>
      <c r="J52" s="4">
        <f>IFERROR(__xludf.DUMMYFUNCTION("AVERAGE.WEIGHTED(J47:J51, K47:K51)"),106.12993888975238)</f>
        <v>106.1299389</v>
      </c>
      <c r="K52" s="2"/>
      <c r="L52" s="4">
        <f>IFERROR(__xludf.DUMMYFUNCTION("AVERAGE.WEIGHTED(L47:L51, M47:M51)"),93.79374031204861)</f>
        <v>93.79374031</v>
      </c>
      <c r="M52" s="2"/>
      <c r="N52" s="4">
        <f>IFERROR(__xludf.DUMMYFUNCTION("AVERAGE.WEIGHTED(N47:N51, O47:O51)"),99.85008534301527)</f>
        <v>99.85008534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1" t="s">
        <v>14</v>
      </c>
      <c r="B54" s="3">
        <v>0.978912319644839</v>
      </c>
      <c r="C54" s="3">
        <v>1802.0</v>
      </c>
      <c r="D54" s="3">
        <v>0.822834645669291</v>
      </c>
      <c r="E54" s="3">
        <v>254.0</v>
      </c>
      <c r="F54" s="3">
        <v>0.960584869675778</v>
      </c>
      <c r="G54" s="3">
        <v>4719.0</v>
      </c>
      <c r="H54" s="3">
        <v>0.961848992990861</v>
      </c>
      <c r="I54" s="3">
        <v>11271.0</v>
      </c>
      <c r="J54" s="3">
        <v>0.978882941482033</v>
      </c>
      <c r="K54" s="3">
        <v>44277.0</v>
      </c>
      <c r="L54" s="3">
        <v>0.966964821535735</v>
      </c>
      <c r="M54" s="3">
        <v>34993.0</v>
      </c>
      <c r="N54" s="3">
        <v>0.971620601341248</v>
      </c>
      <c r="O54" s="3">
        <v>67549.0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1" t="s">
        <v>15</v>
      </c>
      <c r="B55" s="3">
        <v>0.962929475587703</v>
      </c>
      <c r="C55" s="3">
        <v>1106.0</v>
      </c>
      <c r="D55" s="3">
        <v>0.983371875344125</v>
      </c>
      <c r="E55" s="3">
        <v>9081.0</v>
      </c>
      <c r="F55" s="3">
        <v>0.97402188459419</v>
      </c>
      <c r="G55" s="3">
        <v>12703.0</v>
      </c>
      <c r="H55" s="3">
        <v>0.969974715549936</v>
      </c>
      <c r="I55" s="3">
        <v>15820.0</v>
      </c>
      <c r="J55" s="3">
        <v>0.97134342735017</v>
      </c>
      <c r="K55" s="3">
        <v>33221.0</v>
      </c>
      <c r="L55" s="3">
        <v>0.965247365910766</v>
      </c>
      <c r="M55" s="3">
        <v>46126.0</v>
      </c>
      <c r="N55" s="3">
        <v>0.977749118453702</v>
      </c>
      <c r="O55" s="3">
        <v>61256.0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1" t="s">
        <v>16</v>
      </c>
      <c r="B56" s="3">
        <v>0.973797780517879</v>
      </c>
      <c r="C56" s="3">
        <v>3244.0</v>
      </c>
      <c r="D56" s="3">
        <v>0.934650455927051</v>
      </c>
      <c r="E56" s="3">
        <v>658.0</v>
      </c>
      <c r="F56" s="3">
        <v>0.957419898819561</v>
      </c>
      <c r="G56" s="3">
        <v>2372.0</v>
      </c>
      <c r="H56" s="3">
        <v>0.981928501147917</v>
      </c>
      <c r="I56" s="3">
        <v>30490.0</v>
      </c>
      <c r="J56" s="3">
        <v>0.979609435851786</v>
      </c>
      <c r="K56" s="3">
        <v>35948.0</v>
      </c>
      <c r="L56" s="3">
        <v>0.968451319187455</v>
      </c>
      <c r="M56" s="3">
        <v>37561.0</v>
      </c>
      <c r="N56" s="3">
        <v>0.961742685711251</v>
      </c>
      <c r="O56" s="3">
        <v>37666.0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1" t="s">
        <v>17</v>
      </c>
      <c r="B57" s="3">
        <v>0.859016393442622</v>
      </c>
      <c r="C57" s="3">
        <v>305.0</v>
      </c>
      <c r="D57" s="3">
        <v>0.97511727513767</v>
      </c>
      <c r="E57" s="3">
        <v>9806.0</v>
      </c>
      <c r="F57" s="3">
        <v>0.957772115034583</v>
      </c>
      <c r="G57" s="3">
        <v>5494.0</v>
      </c>
      <c r="H57" s="3">
        <v>0.975877347211477</v>
      </c>
      <c r="I57" s="3">
        <v>14219.0</v>
      </c>
      <c r="J57" s="3">
        <v>0.970874473581767</v>
      </c>
      <c r="K57" s="3">
        <v>28257.0</v>
      </c>
      <c r="L57" s="3">
        <v>0.965210978581505</v>
      </c>
      <c r="M57" s="3">
        <v>31188.0</v>
      </c>
      <c r="N57" s="3">
        <v>0.977261571333699</v>
      </c>
      <c r="O57" s="3">
        <v>69266.0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1" t="s">
        <v>18</v>
      </c>
      <c r="B58" s="3">
        <v>0.961538461538461</v>
      </c>
      <c r="C58" s="3">
        <v>2158.0</v>
      </c>
      <c r="D58" s="3">
        <v>0.983974358974358</v>
      </c>
      <c r="E58" s="3">
        <v>3120.0</v>
      </c>
      <c r="F58" s="3">
        <v>0.960975157582499</v>
      </c>
      <c r="G58" s="3">
        <v>10788.0</v>
      </c>
      <c r="H58" s="3">
        <v>0.969748117372111</v>
      </c>
      <c r="I58" s="3">
        <v>23106.0</v>
      </c>
      <c r="J58" s="3">
        <v>0.980368284888144</v>
      </c>
      <c r="K58" s="3">
        <v>39426.0</v>
      </c>
      <c r="L58" s="3">
        <v>0.969307297454622</v>
      </c>
      <c r="M58" s="3">
        <v>37794.0</v>
      </c>
      <c r="N58" s="3">
        <v>0.969568654019873</v>
      </c>
      <c r="O58" s="3">
        <v>35424.0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1" t="s">
        <v>35</v>
      </c>
      <c r="B59" s="2">
        <f>IFERROR(__xludf.DUMMYFUNCTION("AVERAGE.WEIGHTED(B54:B58, C54:C58)"),0.966337782936738)</f>
        <v>0.9663377829</v>
      </c>
      <c r="C59" s="2"/>
      <c r="D59" s="2">
        <f>IFERROR(__xludf.DUMMYFUNCTION("AVERAGE.WEIGHTED(D54:D58, E54:E58)"),0.976744186046511)</f>
        <v>0.976744186</v>
      </c>
      <c r="E59" s="2"/>
      <c r="F59" s="2">
        <f>IFERROR(__xludf.DUMMYFUNCTION("AVERAGE.WEIGHTED(F54:F58, G54:G58)"),0.9647965406364339)</f>
        <v>0.9647965406</v>
      </c>
      <c r="G59" s="2"/>
      <c r="H59" s="2">
        <f>IFERROR(__xludf.DUMMYFUNCTION("AVERAGE.WEIGHTED(H54:H58, I54:I58)"),0.9736792194381805)</f>
        <v>0.9736792194</v>
      </c>
      <c r="I59" s="2"/>
      <c r="J59" s="2">
        <f>IFERROR(__xludf.DUMMYFUNCTION("AVERAGE.WEIGHTED(J54:J58, K54:K58)"),0.9767182505286284)</f>
        <v>0.9767182505</v>
      </c>
      <c r="K59" s="2"/>
      <c r="L59" s="2">
        <f>IFERROR(__xludf.DUMMYFUNCTION("AVERAGE.WEIGHTED(L54:L58, M54:M58)"),0.9670204942929305)</f>
        <v>0.9670204943</v>
      </c>
      <c r="M59" s="2"/>
      <c r="N59" s="2">
        <f>IFERROR(__xludf.DUMMYFUNCTION("AVERAGE.WEIGHTED(N54:N58, O54:O58)"),0.9728058238463492)</f>
        <v>0.9728058238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1" t="s">
        <v>20</v>
      </c>
      <c r="B61" s="3">
        <v>0.0210876803551609</v>
      </c>
      <c r="C61" s="3">
        <v>1802.0</v>
      </c>
      <c r="D61" s="3">
        <v>0.177165354330708</v>
      </c>
      <c r="E61" s="3">
        <v>254.0</v>
      </c>
      <c r="F61" s="3">
        <v>0.0394151303242212</v>
      </c>
      <c r="G61" s="3">
        <v>4719.0</v>
      </c>
      <c r="H61" s="3">
        <v>0.0381510070091384</v>
      </c>
      <c r="I61" s="3">
        <v>11271.0</v>
      </c>
      <c r="J61" s="3">
        <v>0.0211170585179664</v>
      </c>
      <c r="K61" s="3">
        <v>44277.0</v>
      </c>
      <c r="L61" s="3">
        <v>0.0330351784642642</v>
      </c>
      <c r="M61" s="3">
        <v>34993.0</v>
      </c>
      <c r="N61" s="3">
        <v>0.0283793986587514</v>
      </c>
      <c r="O61" s="3">
        <v>67549.0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1" t="s">
        <v>21</v>
      </c>
      <c r="B62" s="3">
        <v>0.0370705244122965</v>
      </c>
      <c r="C62" s="3">
        <v>1106.0</v>
      </c>
      <c r="D62" s="3">
        <v>0.0166281246558749</v>
      </c>
      <c r="E62" s="3">
        <v>9081.0</v>
      </c>
      <c r="F62" s="3">
        <v>0.0259781154058096</v>
      </c>
      <c r="G62" s="3">
        <v>12703.0</v>
      </c>
      <c r="H62" s="3">
        <v>0.0300252844500632</v>
      </c>
      <c r="I62" s="3">
        <v>15820.0</v>
      </c>
      <c r="J62" s="3">
        <v>0.0286565726498299</v>
      </c>
      <c r="K62" s="3">
        <v>33221.0</v>
      </c>
      <c r="L62" s="3">
        <v>0.0347526340892338</v>
      </c>
      <c r="M62" s="5">
        <v>46126.0</v>
      </c>
      <c r="N62" s="3">
        <v>0.0222508815462975</v>
      </c>
      <c r="O62" s="3">
        <v>61256.0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1" t="s">
        <v>22</v>
      </c>
      <c r="B63" s="3">
        <v>0.0262022194821208</v>
      </c>
      <c r="C63" s="3">
        <v>3244.0</v>
      </c>
      <c r="D63" s="3">
        <v>0.0653495440729483</v>
      </c>
      <c r="E63" s="3">
        <v>658.0</v>
      </c>
      <c r="F63" s="3">
        <v>0.0425801011804384</v>
      </c>
      <c r="G63" s="3">
        <v>2372.0</v>
      </c>
      <c r="H63" s="3">
        <v>0.0180714988520826</v>
      </c>
      <c r="I63" s="3">
        <v>30490.0</v>
      </c>
      <c r="J63" s="3">
        <v>0.020390564148214</v>
      </c>
      <c r="K63" s="3">
        <v>35948.0</v>
      </c>
      <c r="L63" s="3">
        <v>0.0315486808125449</v>
      </c>
      <c r="M63" s="3">
        <v>37561.0</v>
      </c>
      <c r="N63" s="3">
        <v>0.0382573142887484</v>
      </c>
      <c r="O63" s="3">
        <v>37666.0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1" t="s">
        <v>23</v>
      </c>
      <c r="B64" s="3">
        <v>0.140983606557377</v>
      </c>
      <c r="C64" s="3">
        <v>305.0</v>
      </c>
      <c r="D64" s="3">
        <v>0.0248827248623291</v>
      </c>
      <c r="E64" s="3">
        <v>9806.0</v>
      </c>
      <c r="F64" s="3">
        <v>0.0422278849654168</v>
      </c>
      <c r="G64" s="3">
        <v>5494.0</v>
      </c>
      <c r="H64" s="3">
        <v>0.0241226527885223</v>
      </c>
      <c r="I64" s="3">
        <v>14219.0</v>
      </c>
      <c r="J64" s="3">
        <v>0.0291255264182326</v>
      </c>
      <c r="K64" s="3">
        <v>28257.0</v>
      </c>
      <c r="L64" s="3">
        <v>0.0347890214184942</v>
      </c>
      <c r="M64" s="3">
        <v>31188.0</v>
      </c>
      <c r="N64" s="3">
        <v>0.0227384286663009</v>
      </c>
      <c r="O64" s="3">
        <v>69266.0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1" t="s">
        <v>24</v>
      </c>
      <c r="B65" s="3">
        <v>0.0384615384615384</v>
      </c>
      <c r="C65" s="3">
        <v>2158.0</v>
      </c>
      <c r="D65" s="3">
        <v>0.016025641025641</v>
      </c>
      <c r="E65" s="3">
        <v>3120.0</v>
      </c>
      <c r="F65" s="3">
        <v>0.0390248424175009</v>
      </c>
      <c r="G65" s="3">
        <v>10788.0</v>
      </c>
      <c r="H65" s="3">
        <v>0.0302518826278888</v>
      </c>
      <c r="I65" s="3">
        <v>23106.0</v>
      </c>
      <c r="J65" s="3">
        <v>0.0196317151118551</v>
      </c>
      <c r="K65" s="3">
        <v>39426.0</v>
      </c>
      <c r="L65" s="3">
        <v>0.0306927025453775</v>
      </c>
      <c r="M65" s="3">
        <v>37794.0</v>
      </c>
      <c r="N65" s="3">
        <v>0.0304313459801264</v>
      </c>
      <c r="O65" s="3">
        <v>35424.0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1" t="s">
        <v>36</v>
      </c>
      <c r="B66" s="2">
        <f>IFERROR(__xludf.DUMMYFUNCTION("AVERAGE.WEIGHTED(B61:B65, C61:C65)"),0.03366221706326171)</f>
        <v>0.03366221706</v>
      </c>
      <c r="C66" s="2"/>
      <c r="D66" s="2">
        <f>IFERROR(__xludf.DUMMYFUNCTION("AVERAGE.WEIGHTED(D61:D65, E61:E65)"),0.023255813953488323)</f>
        <v>0.02325581395</v>
      </c>
      <c r="E66" s="2"/>
      <c r="F66" s="2">
        <f>IFERROR(__xludf.DUMMYFUNCTION("AVERAGE.WEIGHTED(F61:F65, G61:G65)"),0.03520345936356577)</f>
        <v>0.03520345936</v>
      </c>
      <c r="G66" s="2"/>
      <c r="H66" s="2">
        <f>IFERROR(__xludf.DUMMYFUNCTION("AVERAGE.WEIGHTED(H61:H65, I61:I65)"),0.026320780561819003)</f>
        <v>0.02632078056</v>
      </c>
      <c r="I66" s="2"/>
      <c r="J66" s="2">
        <f>IFERROR(__xludf.DUMMYFUNCTION("AVERAGE.WEIGHTED(J61:J65, K61:K65)"),0.02328174947137119)</f>
        <v>0.02328174947</v>
      </c>
      <c r="K66" s="2"/>
      <c r="L66" s="2">
        <f>IFERROR(__xludf.DUMMYFUNCTION("AVERAGE.WEIGHTED(L61:L65, M61:M65)"),0.032979505707069035)</f>
        <v>0.03297950571</v>
      </c>
      <c r="M66" s="2"/>
      <c r="N66" s="2">
        <f>IFERROR(__xludf.DUMMYFUNCTION("AVERAGE.WEIGHTED(N61:N65, O61:O65)"),0.02719417615365038)</f>
        <v>0.02719417615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1" t="s">
        <v>26</v>
      </c>
      <c r="B68" s="3">
        <v>225924.63507109</v>
      </c>
      <c r="C68" s="3">
        <v>844.0</v>
      </c>
      <c r="D68" s="3">
        <v>22518.3058823529</v>
      </c>
      <c r="E68" s="3">
        <v>85.0</v>
      </c>
      <c r="F68" s="3">
        <v>95674.2994970279</v>
      </c>
      <c r="G68" s="3">
        <v>2187.0</v>
      </c>
      <c r="H68" s="3">
        <v>163010.431897555</v>
      </c>
      <c r="I68" s="3">
        <v>5154.0</v>
      </c>
      <c r="J68" s="3">
        <v>365931.510522478</v>
      </c>
      <c r="K68" s="3">
        <v>20575.0</v>
      </c>
      <c r="L68" s="3">
        <v>289729.045772886</v>
      </c>
      <c r="M68" s="3">
        <v>15992.0</v>
      </c>
      <c r="N68" s="3">
        <v>391210.560415457</v>
      </c>
      <c r="O68" s="3">
        <v>31002.0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1" t="s">
        <v>27</v>
      </c>
      <c r="B69" s="3">
        <v>136145.053045186</v>
      </c>
      <c r="C69" s="3">
        <v>509.0</v>
      </c>
      <c r="D69" s="3">
        <v>28701.0569067296</v>
      </c>
      <c r="E69" s="3">
        <v>4235.0</v>
      </c>
      <c r="F69" s="3">
        <v>567046.927282016</v>
      </c>
      <c r="G69" s="3">
        <v>5872.0</v>
      </c>
      <c r="H69" s="3">
        <v>414904.264467353</v>
      </c>
      <c r="I69" s="3">
        <v>7275.0</v>
      </c>
      <c r="J69" s="3">
        <v>113577.03414184</v>
      </c>
      <c r="K69" s="3">
        <v>15172.0</v>
      </c>
      <c r="L69" s="3">
        <v>166708.334864557</v>
      </c>
      <c r="M69" s="3">
        <v>21116.0</v>
      </c>
      <c r="N69" s="3">
        <v>371783.817973082</v>
      </c>
      <c r="O69" s="3">
        <v>28309.0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1" t="s">
        <v>28</v>
      </c>
      <c r="B70" s="3">
        <v>379202.394160583</v>
      </c>
      <c r="C70" s="3">
        <v>1507.0</v>
      </c>
      <c r="D70" s="3">
        <v>78793.8169491525</v>
      </c>
      <c r="E70" s="3">
        <v>295.0</v>
      </c>
      <c r="F70" s="3">
        <v>124728.134398496</v>
      </c>
      <c r="G70" s="3">
        <v>1064.0</v>
      </c>
      <c r="H70" s="3">
        <v>588147.405306752</v>
      </c>
      <c r="I70" s="3">
        <v>14246.0</v>
      </c>
      <c r="J70" s="3">
        <v>478042.570420007</v>
      </c>
      <c r="K70" s="3">
        <v>16714.0</v>
      </c>
      <c r="L70" s="3">
        <v>145848.849336592</v>
      </c>
      <c r="M70" s="3">
        <v>17184.0</v>
      </c>
      <c r="N70" s="3">
        <v>221602.442604662</v>
      </c>
      <c r="O70" s="3">
        <v>17031.0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1" t="s">
        <v>29</v>
      </c>
      <c r="B71" s="3">
        <v>31628.5042016806</v>
      </c>
      <c r="C71" s="3">
        <v>119.0</v>
      </c>
      <c r="D71" s="3">
        <v>26535.9362917398</v>
      </c>
      <c r="E71" s="3">
        <v>4552.0</v>
      </c>
      <c r="F71" s="5">
        <v>164364.461630695</v>
      </c>
      <c r="G71" s="3">
        <v>2502.0</v>
      </c>
      <c r="H71" s="3">
        <v>80048.1697885196</v>
      </c>
      <c r="I71" s="3">
        <v>6620.0</v>
      </c>
      <c r="J71" s="3">
        <v>416659.383274728</v>
      </c>
      <c r="K71" s="3">
        <v>13082.0</v>
      </c>
      <c r="L71" s="3">
        <v>207007.050368291</v>
      </c>
      <c r="M71" s="3">
        <v>14255.0</v>
      </c>
      <c r="N71" s="3">
        <v>704346.950677828</v>
      </c>
      <c r="O71" s="3">
        <v>32014.0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1" t="s">
        <v>30</v>
      </c>
      <c r="B72" s="3">
        <v>166614.541033434</v>
      </c>
      <c r="C72" s="3">
        <v>987.0</v>
      </c>
      <c r="D72" s="3">
        <v>387286.763337893</v>
      </c>
      <c r="E72" s="3">
        <v>1462.0</v>
      </c>
      <c r="F72" s="3">
        <v>64280.013253012</v>
      </c>
      <c r="G72" s="3">
        <v>4980.0</v>
      </c>
      <c r="H72" s="3">
        <v>347024.947233557</v>
      </c>
      <c r="I72" s="3">
        <v>10537.0</v>
      </c>
      <c r="J72" s="3">
        <v>333645.462397211</v>
      </c>
      <c r="K72" s="3">
        <v>18363.0</v>
      </c>
      <c r="L72" s="3">
        <v>290998.350945782</v>
      </c>
      <c r="M72" s="3">
        <v>17393.0</v>
      </c>
      <c r="N72" s="3">
        <v>168836.479037884</v>
      </c>
      <c r="O72" s="3">
        <v>16339.0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1" t="s">
        <v>37</v>
      </c>
      <c r="B73" s="2">
        <f>IFERROR(__xludf.DUMMYFUNCTION("AVERAGE.WEIGHTED(B68:B72, C68:C72)"),252054.60816943963)</f>
        <v>252054.6082</v>
      </c>
      <c r="C73" s="2"/>
      <c r="D73" s="2">
        <f>IFERROR(__xludf.DUMMYFUNCTION("AVERAGE.WEIGHTED(D68:D72, E68:E72)"),78437.48593470684)</f>
        <v>78437.48593</v>
      </c>
      <c r="E73" s="2"/>
      <c r="F73" s="2">
        <f>IFERROR(__xludf.DUMMYFUNCTION("AVERAGE.WEIGHTED(F68:F72, G68:G72)"),265161.3570611259)</f>
        <v>265161.3571</v>
      </c>
      <c r="G73" s="2"/>
      <c r="H73" s="2">
        <f>IFERROR(__xludf.DUMMYFUNCTION("AVERAGE.WEIGHTED(H68:H72, I68:I72)"),374700.058838291)</f>
        <v>374700.0588</v>
      </c>
      <c r="I73" s="2"/>
      <c r="J73" s="2">
        <f>IFERROR(__xludf.DUMMYFUNCTION("AVERAGE.WEIGHTED(J68:J72, K68:K72)"),343476.08980287414)</f>
        <v>343476.0898</v>
      </c>
      <c r="K73" s="2"/>
      <c r="L73" s="2">
        <f>IFERROR(__xludf.DUMMYFUNCTION("AVERAGE.WEIGHTED(L68:L72, M68:M72)"),217268.40292064173)</f>
        <v>217268.4029</v>
      </c>
      <c r="M73" s="2"/>
      <c r="N73" s="2">
        <f>IFERROR(__xludf.DUMMYFUNCTION("AVERAGE.WEIGHTED(N68:N72, O68:O72)"),414890.98686394765)</f>
        <v>414890.9869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2.0"/>
  </cols>
  <sheetData>
    <row r="1">
      <c r="A1" s="1" t="s">
        <v>0</v>
      </c>
      <c r="B1" s="1">
        <v>3.0</v>
      </c>
      <c r="C1" s="1" t="s">
        <v>1</v>
      </c>
      <c r="D1" s="1">
        <v>7.0</v>
      </c>
      <c r="E1" s="1" t="s">
        <v>1</v>
      </c>
      <c r="F1" s="1">
        <v>17.0</v>
      </c>
      <c r="G1" s="1" t="s">
        <v>1</v>
      </c>
      <c r="H1" s="1">
        <v>34.0</v>
      </c>
      <c r="I1" s="1" t="s">
        <v>1</v>
      </c>
      <c r="J1" s="1">
        <v>68.0</v>
      </c>
      <c r="K1" s="1" t="s">
        <v>1</v>
      </c>
      <c r="L1" s="1">
        <v>100.0</v>
      </c>
      <c r="M1" s="1" t="s">
        <v>1</v>
      </c>
      <c r="N1" s="1">
        <v>130.0</v>
      </c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" t="s">
        <v>2</v>
      </c>
      <c r="B2" s="3">
        <v>126.355</v>
      </c>
      <c r="C2" s="3">
        <v>31.0</v>
      </c>
      <c r="D2" s="3">
        <v>39.320303125</v>
      </c>
      <c r="E2" s="3">
        <v>2816.0</v>
      </c>
      <c r="F2" s="3">
        <v>43.3298090135776</v>
      </c>
      <c r="G2" s="3">
        <v>6113.0</v>
      </c>
      <c r="H2" s="3">
        <v>63.2879251403954</v>
      </c>
      <c r="I2" s="3">
        <v>12999.0</v>
      </c>
      <c r="J2" s="3">
        <v>36.4159203466666</v>
      </c>
      <c r="K2" s="3">
        <v>11250.0</v>
      </c>
      <c r="L2" s="3">
        <v>32.8696886726599</v>
      </c>
      <c r="M2" s="3">
        <v>9455.0</v>
      </c>
      <c r="N2" s="3">
        <v>45.6795041122108</v>
      </c>
      <c r="O2" s="3">
        <v>18287.0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" t="s">
        <v>3</v>
      </c>
      <c r="B3" s="3">
        <v>37.1054</v>
      </c>
      <c r="C3" s="3">
        <v>4392.0</v>
      </c>
      <c r="D3" s="3">
        <v>35.6234019512195</v>
      </c>
      <c r="E3" s="3">
        <v>1025.0</v>
      </c>
      <c r="F3" s="3">
        <v>42.7641</v>
      </c>
      <c r="G3" s="3">
        <v>2908.0</v>
      </c>
      <c r="H3" s="3">
        <v>35.4708240227434</v>
      </c>
      <c r="I3" s="3">
        <v>2814.0</v>
      </c>
      <c r="J3" s="3">
        <v>34.5957343605756</v>
      </c>
      <c r="K3" s="3">
        <v>7366.0</v>
      </c>
      <c r="L3" s="3">
        <v>37.881732331831</v>
      </c>
      <c r="M3" s="3">
        <v>11982.0</v>
      </c>
      <c r="N3" s="3">
        <v>37.7250625315846</v>
      </c>
      <c r="O3" s="3">
        <v>8311.0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" t="s">
        <v>4</v>
      </c>
      <c r="B4" s="3">
        <v>35.2853923035809</v>
      </c>
      <c r="C4" s="3">
        <v>3742.0</v>
      </c>
      <c r="D4" s="3">
        <v>35.7035</v>
      </c>
      <c r="E4" s="3">
        <v>199.0</v>
      </c>
      <c r="F4" s="3">
        <v>42.6135402613565</v>
      </c>
      <c r="G4" s="3">
        <v>3214.0</v>
      </c>
      <c r="H4" s="3">
        <v>33.2384189276214</v>
      </c>
      <c r="I4" s="3">
        <v>7143.0</v>
      </c>
      <c r="J4" s="3">
        <v>35.4936802628789</v>
      </c>
      <c r="K4" s="3">
        <v>14151.0</v>
      </c>
      <c r="L4" s="5">
        <v>39.5662727762987</v>
      </c>
      <c r="M4" s="3">
        <v>14649.0</v>
      </c>
      <c r="N4" s="3">
        <v>34.5772757426156</v>
      </c>
      <c r="O4" s="3">
        <v>11951.0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1" t="s">
        <v>5</v>
      </c>
      <c r="B5" s="3">
        <v>43.9876</v>
      </c>
      <c r="C5" s="3">
        <v>968.0</v>
      </c>
      <c r="D5" s="3">
        <v>43.6341213720316</v>
      </c>
      <c r="E5" s="3">
        <v>1137.0</v>
      </c>
      <c r="F5" s="3">
        <v>35.856722240733</v>
      </c>
      <c r="G5" s="3">
        <v>2401.0</v>
      </c>
      <c r="H5" s="3">
        <v>37.0358782412925</v>
      </c>
      <c r="I5" s="3">
        <v>7551.0</v>
      </c>
      <c r="J5" s="3">
        <v>48.8583013097605</v>
      </c>
      <c r="K5" s="3">
        <v>23134.0</v>
      </c>
      <c r="L5" s="3">
        <v>36.6537788281913</v>
      </c>
      <c r="M5" s="3">
        <v>14132.0</v>
      </c>
      <c r="N5" s="3">
        <v>42.6246560881083</v>
      </c>
      <c r="O5" s="3">
        <v>20384.0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1" t="s">
        <v>6</v>
      </c>
      <c r="B6" s="3">
        <v>43.7764820717131</v>
      </c>
      <c r="C6" s="3">
        <v>2259.0</v>
      </c>
      <c r="D6" s="3">
        <v>30.7511</v>
      </c>
      <c r="E6" s="3">
        <v>229.0</v>
      </c>
      <c r="F6" s="3">
        <v>38.7358597349262</v>
      </c>
      <c r="G6" s="3">
        <v>5357.0</v>
      </c>
      <c r="H6" s="3">
        <v>43.9328036587108</v>
      </c>
      <c r="I6" s="3">
        <v>6997.0</v>
      </c>
      <c r="J6" s="3">
        <v>52.8375891679187</v>
      </c>
      <c r="K6" s="3">
        <v>13977.0</v>
      </c>
      <c r="L6" s="3">
        <v>46.2173856650585</v>
      </c>
      <c r="M6" s="3">
        <v>14510.0</v>
      </c>
      <c r="N6" s="3">
        <v>58.1103571950901</v>
      </c>
      <c r="O6" s="3">
        <v>11487.0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1" t="s">
        <v>7</v>
      </c>
      <c r="B7" s="1">
        <f>IFERROR(__xludf.DUMMYFUNCTION("AVERAGE.WEIGHTED(B2:B6, C2:C6)"),38.65808721910109)</f>
        <v>38.65808722</v>
      </c>
      <c r="C7" s="2"/>
      <c r="D7" s="4">
        <f>IFERROR(__xludf.DUMMYFUNCTION("AVERAGE.WEIGHTED(D2:D6, E2:E6)"),39.03051331853495)</f>
        <v>39.03051332</v>
      </c>
      <c r="E7" s="2"/>
      <c r="F7" s="4">
        <f>IFERROR(__xludf.DUMMYFUNCTION("AVERAGE.WEIGHTED(F2:F6, G2:G6)"),41.004003121092346)</f>
        <v>41.00400312</v>
      </c>
      <c r="G7" s="2"/>
      <c r="H7" s="4">
        <f>IFERROR(__xludf.DUMMYFUNCTION("AVERAGE.WEIGHTED(H2:H6, I2:I6)"),46.580962241360886)</f>
        <v>46.58096224</v>
      </c>
      <c r="I7" s="2"/>
      <c r="J7" s="4">
        <f>IFERROR(__xludf.DUMMYFUNCTION("AVERAGE.WEIGHTED(J2:J6, K2:K6)"),43.441158574944865)</f>
        <v>43.44115857</v>
      </c>
      <c r="K7" s="2"/>
      <c r="L7" s="4">
        <f>IFERROR(__xludf.DUMMYFUNCTION("AVERAGE.WEIGHTED(L2:L6, M2:M6)"),39.131343800210054)</f>
        <v>39.1313438</v>
      </c>
      <c r="M7" s="2"/>
      <c r="N7" s="4">
        <f>IFERROR(__xludf.DUMMYFUNCTION("AVERAGE.WEIGHTED(N2:N6, O2:O6)"),44.000025157625636)</f>
        <v>44.00002516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" t="s">
        <v>8</v>
      </c>
      <c r="B9" s="3">
        <v>53.0971339595024</v>
      </c>
      <c r="C9" s="3">
        <v>134.0</v>
      </c>
      <c r="D9" s="3">
        <v>136.315525181283</v>
      </c>
      <c r="E9" s="3">
        <v>5836.0</v>
      </c>
      <c r="F9" s="3">
        <v>71.4406219908232</v>
      </c>
      <c r="G9" s="3">
        <v>12627.0</v>
      </c>
      <c r="H9" s="3">
        <v>80.9421224601647</v>
      </c>
      <c r="I9" s="3">
        <v>26861.0</v>
      </c>
      <c r="J9" s="3">
        <v>115.221879840868</v>
      </c>
      <c r="K9" s="3">
        <v>23543.0</v>
      </c>
      <c r="L9" s="3">
        <v>135.049088131009</v>
      </c>
      <c r="M9" s="3">
        <v>19538.0</v>
      </c>
      <c r="N9" s="3">
        <v>76.1295342412857</v>
      </c>
      <c r="O9" s="3">
        <v>38525.0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1" t="s">
        <v>9</v>
      </c>
      <c r="B10" s="3">
        <v>136.864768353</v>
      </c>
      <c r="C10" s="3">
        <v>8889.0</v>
      </c>
      <c r="D10" s="3">
        <v>133.67848159916</v>
      </c>
      <c r="E10" s="3">
        <v>2280.0</v>
      </c>
      <c r="F10" s="3">
        <v>136.42031533911</v>
      </c>
      <c r="G10" s="3">
        <v>5863.0</v>
      </c>
      <c r="H10" s="3">
        <v>99.0835022988469</v>
      </c>
      <c r="I10" s="3">
        <v>5907.0</v>
      </c>
      <c r="J10" s="3">
        <v>110.643903780233</v>
      </c>
      <c r="K10" s="3">
        <v>15515.0</v>
      </c>
      <c r="L10" s="3">
        <v>100.176464607788</v>
      </c>
      <c r="M10" s="3">
        <v>25205.0</v>
      </c>
      <c r="N10" s="3">
        <v>108.256201851406</v>
      </c>
      <c r="O10" s="3">
        <v>17752.0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1" t="s">
        <v>10</v>
      </c>
      <c r="B11" s="3">
        <v>137.072095636897</v>
      </c>
      <c r="C11" s="3">
        <v>7574.0</v>
      </c>
      <c r="D11" s="3">
        <v>135.422378296417</v>
      </c>
      <c r="E11" s="3">
        <v>449.0</v>
      </c>
      <c r="F11" s="3">
        <v>136.596557843592</v>
      </c>
      <c r="G11" s="3">
        <v>6630.0</v>
      </c>
      <c r="H11" s="3">
        <v>87.0183233568058</v>
      </c>
      <c r="I11" s="3">
        <v>15128.0</v>
      </c>
      <c r="J11" s="3">
        <v>83.3735502850596</v>
      </c>
      <c r="K11" s="3">
        <v>29222.0</v>
      </c>
      <c r="L11" s="3">
        <v>112.226348463461</v>
      </c>
      <c r="M11" s="3">
        <v>30852.0</v>
      </c>
      <c r="N11" s="3">
        <v>88.9230526885125</v>
      </c>
      <c r="O11" s="3">
        <v>25127.0</v>
      </c>
      <c r="P11" s="2"/>
      <c r="Q11" s="2"/>
      <c r="R11" s="2"/>
      <c r="S11" s="2"/>
      <c r="T11" s="2"/>
      <c r="U11" s="2"/>
      <c r="V11" s="2"/>
      <c r="W11" s="7"/>
      <c r="X11" s="1"/>
      <c r="Y11" s="2"/>
      <c r="Z11" s="2"/>
      <c r="AA11" s="2"/>
      <c r="AB11" s="2"/>
      <c r="AC11" s="2"/>
      <c r="AD11" s="2"/>
      <c r="AE11" s="2"/>
      <c r="AF11" s="2"/>
    </row>
    <row r="12">
      <c r="A12" s="1" t="s">
        <v>11</v>
      </c>
      <c r="B12" s="3">
        <v>137.685067643946</v>
      </c>
      <c r="C12" s="3">
        <v>1985.0</v>
      </c>
      <c r="D12" s="3">
        <v>136.02210017378</v>
      </c>
      <c r="E12" s="3">
        <v>2432.0</v>
      </c>
      <c r="F12" s="3">
        <v>126.473867845104</v>
      </c>
      <c r="G12" s="3">
        <v>5041.0</v>
      </c>
      <c r="H12" s="3">
        <v>131.312535169133</v>
      </c>
      <c r="I12" s="3">
        <v>15529.0</v>
      </c>
      <c r="J12" s="3">
        <v>99.7651599392259</v>
      </c>
      <c r="K12" s="3">
        <v>47695.0</v>
      </c>
      <c r="L12" s="3">
        <v>106.313111879069</v>
      </c>
      <c r="M12" s="3">
        <v>29411.0</v>
      </c>
      <c r="N12" s="3">
        <v>95.0944991797184</v>
      </c>
      <c r="O12" s="3">
        <v>42753.0</v>
      </c>
      <c r="P12" s="2"/>
      <c r="Q12" s="2"/>
      <c r="R12" s="2"/>
      <c r="S12" s="2"/>
      <c r="T12" s="2"/>
      <c r="U12" s="2"/>
      <c r="V12" s="2"/>
      <c r="W12" s="7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1" t="s">
        <v>12</v>
      </c>
      <c r="B13" s="3">
        <v>135.861466364777</v>
      </c>
      <c r="C13" s="3">
        <v>4605.0</v>
      </c>
      <c r="D13" s="3">
        <v>134.367244123626</v>
      </c>
      <c r="E13" s="3">
        <v>517.0</v>
      </c>
      <c r="F13" s="3">
        <v>136.565202078717</v>
      </c>
      <c r="G13" s="3">
        <v>10910.0</v>
      </c>
      <c r="H13" s="3">
        <v>133.387742233905</v>
      </c>
      <c r="I13" s="3">
        <v>14294.0</v>
      </c>
      <c r="J13" s="3">
        <v>106.26926272653</v>
      </c>
      <c r="K13" s="3">
        <v>29056.0</v>
      </c>
      <c r="L13" s="3">
        <v>112.37597672961</v>
      </c>
      <c r="M13" s="3">
        <v>29991.0</v>
      </c>
      <c r="N13" s="3">
        <v>94.4724651710382</v>
      </c>
      <c r="O13" s="3">
        <v>24227.0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6" t="s">
        <v>13</v>
      </c>
      <c r="B14" s="4">
        <f>IFERROR(__xludf.DUMMYFUNCTION("AVERAGE.WEIGHTED(B9:B13, C9:C13)"),136.31935593553624)</f>
        <v>136.3193559</v>
      </c>
      <c r="C14" s="2"/>
      <c r="D14" s="4">
        <f>IFERROR(__xludf.DUMMYFUNCTION("AVERAGE.WEIGHTED(D9:D13, E9:E13)"),135.60905017315366)</f>
        <v>135.6090502</v>
      </c>
      <c r="E14" s="2"/>
      <c r="F14" s="4">
        <f>IFERROR(__xludf.DUMMYFUNCTION("AVERAGE.WEIGHTED(F9:F13, G9:G13)"),115.2888739913884)</f>
        <v>115.288874</v>
      </c>
      <c r="G14" s="2"/>
      <c r="H14" s="4">
        <f>IFERROR(__xludf.DUMMYFUNCTION("AVERAGE.WEIGHTED(H9:H13, I9:I13)"),103.2139186216554)</f>
        <v>103.2139186</v>
      </c>
      <c r="I14" s="2"/>
      <c r="J14" s="4">
        <f>IFERROR(__xludf.DUMMYFUNCTION("AVERAGE.WEIGHTED(J9:J13, K9:K13)"),101.43838056523995)</f>
        <v>101.4383806</v>
      </c>
      <c r="K14" s="2"/>
      <c r="L14" s="4">
        <f>IFERROR(__xludf.DUMMYFUNCTION("AVERAGE.WEIGHTED(L9:L13, M9:M13)"),112.0246155744993)</f>
        <v>112.0246156</v>
      </c>
      <c r="M14" s="2"/>
      <c r="N14" s="4">
        <f>IFERROR(__xludf.DUMMYFUNCTION("AVERAGE.WEIGHTED(N9:N13, O9:O13)"),90.59860553661572)</f>
        <v>90.59860554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1" t="s">
        <v>14</v>
      </c>
      <c r="B16" s="3">
        <v>0.708955223880597</v>
      </c>
      <c r="C16" s="3">
        <v>134.0</v>
      </c>
      <c r="D16" s="3">
        <v>0.97978067169294</v>
      </c>
      <c r="E16" s="3">
        <v>5836.0</v>
      </c>
      <c r="F16" s="3">
        <v>0.98447770650194</v>
      </c>
      <c r="G16" s="3">
        <v>12627.0</v>
      </c>
      <c r="H16" s="3">
        <v>0.983247086854547</v>
      </c>
      <c r="I16" s="3">
        <v>26861.0</v>
      </c>
      <c r="J16" s="3">
        <v>0.974769570572994</v>
      </c>
      <c r="K16" s="3">
        <v>23543.0</v>
      </c>
      <c r="L16" s="3">
        <v>0.977786876855358</v>
      </c>
      <c r="M16" s="3">
        <v>19538.0</v>
      </c>
      <c r="N16" s="3">
        <v>0.970279039584685</v>
      </c>
      <c r="O16" s="3">
        <v>38525.0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1" t="s">
        <v>15</v>
      </c>
      <c r="B17" s="3">
        <v>0.995725053436832</v>
      </c>
      <c r="C17" s="3">
        <v>8889.0</v>
      </c>
      <c r="D17" s="3">
        <v>0.965350877192982</v>
      </c>
      <c r="E17" s="3">
        <v>2280.0</v>
      </c>
      <c r="F17" s="3">
        <v>0.992665870714651</v>
      </c>
      <c r="G17" s="3">
        <v>5863.0</v>
      </c>
      <c r="H17" s="3">
        <v>0.965972574911122</v>
      </c>
      <c r="I17" s="3">
        <v>5907.0</v>
      </c>
      <c r="J17" s="3">
        <v>0.975185304543989</v>
      </c>
      <c r="K17" s="3">
        <v>15515.0</v>
      </c>
      <c r="L17" s="3">
        <v>0.967228724459432</v>
      </c>
      <c r="M17" s="3">
        <v>25205.0</v>
      </c>
      <c r="N17" s="3">
        <v>0.963328075709779</v>
      </c>
      <c r="O17" s="3">
        <v>17752.0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1" t="s">
        <v>16</v>
      </c>
      <c r="B18" s="3">
        <v>0.989173488249273</v>
      </c>
      <c r="C18" s="3">
        <v>7574.0</v>
      </c>
      <c r="D18" s="3">
        <v>0.904231625835189</v>
      </c>
      <c r="E18" s="3">
        <v>449.0</v>
      </c>
      <c r="F18" s="3">
        <v>0.975565610859728</v>
      </c>
      <c r="G18" s="3">
        <v>6630.0</v>
      </c>
      <c r="H18" s="3">
        <v>0.967080909571655</v>
      </c>
      <c r="I18" s="3">
        <v>15128.0</v>
      </c>
      <c r="J18" s="3">
        <v>0.980288823489152</v>
      </c>
      <c r="K18" s="3">
        <v>29222.0</v>
      </c>
      <c r="L18" s="3">
        <v>0.977278620510825</v>
      </c>
      <c r="M18" s="3">
        <v>30852.0</v>
      </c>
      <c r="N18" s="3">
        <v>0.968480120985394</v>
      </c>
      <c r="O18" s="3">
        <v>25127.0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1" t="s">
        <v>17</v>
      </c>
      <c r="B19" s="3">
        <v>0.978841309823677</v>
      </c>
      <c r="C19" s="3">
        <v>1985.0</v>
      </c>
      <c r="D19" s="3">
        <v>0.966694078947368</v>
      </c>
      <c r="E19" s="3">
        <v>2432.0</v>
      </c>
      <c r="F19" s="3">
        <v>0.96925213251339</v>
      </c>
      <c r="G19" s="3">
        <v>5041.0</v>
      </c>
      <c r="H19" s="3">
        <v>0.985704166398351</v>
      </c>
      <c r="I19" s="3">
        <v>15529.0</v>
      </c>
      <c r="J19" s="3">
        <v>0.983583184820211</v>
      </c>
      <c r="K19" s="3">
        <v>47695.0</v>
      </c>
      <c r="L19" s="3">
        <v>0.975179354663221</v>
      </c>
      <c r="M19" s="3">
        <v>29411.0</v>
      </c>
      <c r="N19" s="3">
        <v>0.973054522489649</v>
      </c>
      <c r="O19" s="3">
        <v>42753.0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1" t="s">
        <v>18</v>
      </c>
      <c r="B20" s="3">
        <v>0.986970684039087</v>
      </c>
      <c r="C20" s="3">
        <v>4605.0</v>
      </c>
      <c r="D20" s="3">
        <v>0.918762088974854</v>
      </c>
      <c r="E20" s="3">
        <v>517.0</v>
      </c>
      <c r="F20" s="3">
        <v>0.985334555453712</v>
      </c>
      <c r="G20" s="3">
        <v>10910.0</v>
      </c>
      <c r="H20" s="3">
        <v>0.985938155869595</v>
      </c>
      <c r="I20" s="3">
        <v>14294.0</v>
      </c>
      <c r="J20" s="3">
        <v>0.977904735682819</v>
      </c>
      <c r="K20" s="3">
        <v>29056.0</v>
      </c>
      <c r="L20" s="3">
        <v>0.978460204728085</v>
      </c>
      <c r="M20" s="3">
        <v>29991.0</v>
      </c>
      <c r="N20" s="3">
        <v>0.967433029264869</v>
      </c>
      <c r="O20" s="3">
        <v>24227.0</v>
      </c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1" t="s">
        <v>19</v>
      </c>
      <c r="B21" s="2">
        <f>IFERROR(__xludf.DUMMYFUNCTION("AVERAGE.WEIGHTED(B16:B20, C16:C20)"),0.9887436925863625)</f>
        <v>0.9887436926</v>
      </c>
      <c r="C21" s="2"/>
      <c r="D21" s="2">
        <f>IFERROR(__xludf.DUMMYFUNCTION("AVERAGE.WEIGHTED(D16:D20, E16:E20)"),0.9684731631057839)</f>
        <v>0.9684731631</v>
      </c>
      <c r="E21" s="2"/>
      <c r="F21" s="2">
        <f>IFERROR(__xludf.DUMMYFUNCTION("AVERAGE.WEIGHTED(F16:F20, G16:G20)"),0.9825667746098218)</f>
        <v>0.9825667746</v>
      </c>
      <c r="G21" s="2"/>
      <c r="H21" s="2">
        <f>IFERROR(__xludf.DUMMYFUNCTION("AVERAGE.WEIGHTED(H16:H20, I16:I20)"),0.9797732858117059)</f>
        <v>0.9797732858</v>
      </c>
      <c r="I21" s="2"/>
      <c r="J21" s="2">
        <f>IFERROR(__xludf.DUMMYFUNCTION("AVERAGE.WEIGHTED(J16:J20, K16:K20)"),0.9794526687397862)</f>
        <v>0.9794526687</v>
      </c>
      <c r="K21" s="2"/>
      <c r="L21" s="2">
        <f>IFERROR(__xludf.DUMMYFUNCTION("AVERAGE.WEIGHTED(L16:L20, M16:M20)"),0.9752809321688626)</f>
        <v>0.9752809322</v>
      </c>
      <c r="M21" s="2"/>
      <c r="N21" s="2">
        <f>IFERROR(__xludf.DUMMYFUNCTION("AVERAGE.WEIGHTED(N16:N20, O16:O20)"),0.969477841276687)</f>
        <v>0.9694778413</v>
      </c>
      <c r="O21" s="2"/>
      <c r="P21" s="2"/>
      <c r="Q21" s="2"/>
      <c r="R21" s="2"/>
      <c r="S21" s="2"/>
      <c r="T21" s="2"/>
      <c r="U21" s="2"/>
      <c r="V21" s="2"/>
      <c r="W21" s="3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1" t="s">
        <v>20</v>
      </c>
      <c r="B23" s="3">
        <v>0.291044776119403</v>
      </c>
      <c r="C23" s="3">
        <v>134.0</v>
      </c>
      <c r="D23" s="3">
        <v>0.0202193283070596</v>
      </c>
      <c r="E23" s="3">
        <v>5836.0</v>
      </c>
      <c r="F23" s="3">
        <v>0.0155222934980597</v>
      </c>
      <c r="G23" s="3">
        <v>12627.0</v>
      </c>
      <c r="H23" s="3">
        <v>0.0167529131454525</v>
      </c>
      <c r="I23" s="3">
        <v>26861.0</v>
      </c>
      <c r="J23" s="3">
        <v>0.0252304294270059</v>
      </c>
      <c r="K23" s="3">
        <v>23543.0</v>
      </c>
      <c r="L23" s="3">
        <v>0.0222131231446412</v>
      </c>
      <c r="M23" s="3">
        <v>19538.0</v>
      </c>
      <c r="N23" s="3">
        <v>0.0297209604153147</v>
      </c>
      <c r="O23" s="3">
        <v>38525.0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1" t="s">
        <v>21</v>
      </c>
      <c r="B24" s="3">
        <v>0.00427494656316796</v>
      </c>
      <c r="C24" s="3">
        <v>8889.0</v>
      </c>
      <c r="D24" s="3">
        <v>0.0346491228070175</v>
      </c>
      <c r="E24" s="3">
        <v>2280.0</v>
      </c>
      <c r="F24" s="3">
        <v>0.00733412928534879</v>
      </c>
      <c r="G24" s="3">
        <v>5863.0</v>
      </c>
      <c r="H24" s="3">
        <v>0.0340274250888776</v>
      </c>
      <c r="I24" s="3">
        <v>5907.0</v>
      </c>
      <c r="J24" s="3">
        <v>0.0248146954560103</v>
      </c>
      <c r="K24" s="3">
        <v>15515.0</v>
      </c>
      <c r="L24" s="3">
        <v>0.0327712755405673</v>
      </c>
      <c r="M24" s="3">
        <v>25205.0</v>
      </c>
      <c r="N24" s="3">
        <v>0.0366719242902208</v>
      </c>
      <c r="O24" s="3">
        <v>17752.0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1" t="s">
        <v>22</v>
      </c>
      <c r="B25" s="3">
        <v>0.0108265117507261</v>
      </c>
      <c r="C25" s="3">
        <v>7574.0</v>
      </c>
      <c r="D25" s="3">
        <v>0.0957683741648107</v>
      </c>
      <c r="E25" s="3">
        <v>449.0</v>
      </c>
      <c r="F25" s="3">
        <v>0.0244343891402714</v>
      </c>
      <c r="G25" s="3">
        <v>6630.0</v>
      </c>
      <c r="H25" s="3">
        <v>0.0329190904283447</v>
      </c>
      <c r="I25" s="3">
        <v>15128.0</v>
      </c>
      <c r="J25" s="3">
        <v>0.0197111765108479</v>
      </c>
      <c r="K25" s="3">
        <v>29222.0</v>
      </c>
      <c r="L25" s="3">
        <v>0.0227213794891741</v>
      </c>
      <c r="M25" s="3">
        <v>30852.0</v>
      </c>
      <c r="N25" s="3">
        <v>0.0315198790146058</v>
      </c>
      <c r="O25" s="3">
        <v>25127.0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1" t="s">
        <v>23</v>
      </c>
      <c r="B26" s="3">
        <v>0.0211586901763224</v>
      </c>
      <c r="C26" s="3">
        <v>1985.0</v>
      </c>
      <c r="D26" s="3">
        <v>0.0333059210526315</v>
      </c>
      <c r="E26" s="3">
        <v>2432.0</v>
      </c>
      <c r="F26" s="3">
        <v>0.0307478674866098</v>
      </c>
      <c r="G26" s="3">
        <v>5041.0</v>
      </c>
      <c r="H26" s="3">
        <v>0.0142958336016485</v>
      </c>
      <c r="I26" s="3">
        <v>15529.0</v>
      </c>
      <c r="J26" s="3">
        <v>0.0164168151797882</v>
      </c>
      <c r="K26" s="3">
        <v>47695.0</v>
      </c>
      <c r="L26" s="3">
        <v>0.0248206453367787</v>
      </c>
      <c r="M26" s="3">
        <v>29411.0</v>
      </c>
      <c r="N26" s="3">
        <v>0.0269454775103501</v>
      </c>
      <c r="O26" s="3">
        <v>42753.0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1" t="s">
        <v>24</v>
      </c>
      <c r="B27" s="3">
        <v>0.013029315960912</v>
      </c>
      <c r="C27" s="3">
        <v>4605.0</v>
      </c>
      <c r="D27" s="3">
        <v>0.081237911025145</v>
      </c>
      <c r="E27" s="3">
        <v>517.0</v>
      </c>
      <c r="F27" s="3">
        <v>0.0146654445462878</v>
      </c>
      <c r="G27" s="3">
        <v>10910.0</v>
      </c>
      <c r="H27" s="3">
        <v>0.0140618441304043</v>
      </c>
      <c r="I27" s="3">
        <v>14294.0</v>
      </c>
      <c r="J27" s="3">
        <v>0.0220952643171806</v>
      </c>
      <c r="K27" s="3">
        <v>29056.0</v>
      </c>
      <c r="L27" s="3">
        <v>0.0215397952719149</v>
      </c>
      <c r="M27" s="3">
        <v>29991.0</v>
      </c>
      <c r="N27" s="3">
        <v>0.0325669707351302</v>
      </c>
      <c r="O27" s="3">
        <v>24227.0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1" t="s">
        <v>25</v>
      </c>
      <c r="B28" s="2">
        <f>IFERROR(__xludf.DUMMYFUNCTION("AVERAGE.WEIGHTED(B23:B27, C23:C27)"),0.011256307413636917)</f>
        <v>0.01125630741</v>
      </c>
      <c r="C28" s="2"/>
      <c r="D28" s="2">
        <f>IFERROR(__xludf.DUMMYFUNCTION("AVERAGE.WEIGHTED(D23:D27, E23:E27)"),0.03152683689421569)</f>
        <v>0.03152683689</v>
      </c>
      <c r="E28" s="2"/>
      <c r="F28" s="2">
        <f>IFERROR(__xludf.DUMMYFUNCTION("AVERAGE.WEIGHTED(F23:F27, G23:G27)"),0.017433225390177963)</f>
        <v>0.01743322539</v>
      </c>
      <c r="G28" s="2"/>
      <c r="H28" s="2">
        <f>IFERROR(__xludf.DUMMYFUNCTION("AVERAGE.WEIGHTED(H23:H27, I23:I27)"),0.020226714188293683)</f>
        <v>0.02022671419</v>
      </c>
      <c r="I28" s="2"/>
      <c r="J28" s="2">
        <f>IFERROR(__xludf.DUMMYFUNCTION("AVERAGE.WEIGHTED(J23:J27, K23:K27)"),0.020547331260213297)</f>
        <v>0.02054733126</v>
      </c>
      <c r="K28" s="2"/>
      <c r="L28" s="2">
        <f>IFERROR(__xludf.DUMMYFUNCTION("AVERAGE.WEIGHTED(L23:L27, M23:M27)"),0.02471906783113696)</f>
        <v>0.02471906783</v>
      </c>
      <c r="M28" s="2"/>
      <c r="N28" s="2">
        <f>IFERROR(__xludf.DUMMYFUNCTION("AVERAGE.WEIGHTED(N23:N27, O23:O27)"),0.03052215872331246)</f>
        <v>0.03052215872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1" t="s">
        <v>26</v>
      </c>
      <c r="B30" s="3">
        <v>8324.75</v>
      </c>
      <c r="C30" s="3">
        <v>32.0</v>
      </c>
      <c r="D30" s="3">
        <v>343884.214894405</v>
      </c>
      <c r="E30" s="3">
        <v>2699.0</v>
      </c>
      <c r="F30" s="3">
        <v>987012.628455832</v>
      </c>
      <c r="G30" s="3">
        <v>5932.0</v>
      </c>
      <c r="H30" s="3">
        <v>929308.265686739</v>
      </c>
      <c r="I30" s="3">
        <v>12654.0</v>
      </c>
      <c r="J30" s="3">
        <v>369440.533069998</v>
      </c>
      <c r="K30" s="3">
        <v>10886.0</v>
      </c>
      <c r="L30" s="3">
        <v>511642.543353873</v>
      </c>
      <c r="M30" s="3">
        <v>9088.0</v>
      </c>
      <c r="N30" s="3">
        <v>122794.152607532</v>
      </c>
      <c r="O30" s="3">
        <v>17948.0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1" t="s">
        <v>27</v>
      </c>
      <c r="B31" s="3">
        <v>1125064.12764944</v>
      </c>
      <c r="C31" s="3">
        <v>4199.0</v>
      </c>
      <c r="D31" s="3">
        <v>45785.6703187251</v>
      </c>
      <c r="E31" s="3">
        <v>1004.0</v>
      </c>
      <c r="F31" s="3">
        <v>744772.192805755</v>
      </c>
      <c r="G31" s="3">
        <v>2780.0</v>
      </c>
      <c r="H31" s="3">
        <v>127141.468007312</v>
      </c>
      <c r="I31" s="3">
        <v>2735.0</v>
      </c>
      <c r="J31" s="3">
        <v>334566.05775416</v>
      </c>
      <c r="K31" s="3">
        <v>7151.0</v>
      </c>
      <c r="L31" s="3">
        <v>278308.375042852</v>
      </c>
      <c r="M31" s="3">
        <v>11668.0</v>
      </c>
      <c r="N31" s="3">
        <v>95983.3350110483</v>
      </c>
      <c r="O31" s="3">
        <v>8146.0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1" t="s">
        <v>28</v>
      </c>
      <c r="B32" s="3">
        <v>935355.483798882</v>
      </c>
      <c r="C32" s="3">
        <v>3580.0</v>
      </c>
      <c r="D32" s="5">
        <v>151458.777202072</v>
      </c>
      <c r="E32" s="3">
        <v>193.0</v>
      </c>
      <c r="F32" s="3">
        <v>288586.505679974</v>
      </c>
      <c r="G32" s="3">
        <v>3081.0</v>
      </c>
      <c r="H32" s="3">
        <v>150782.181623931</v>
      </c>
      <c r="I32" s="3">
        <v>7020.0</v>
      </c>
      <c r="J32" s="3">
        <v>516404.385266229</v>
      </c>
      <c r="K32" s="3">
        <v>13710.0</v>
      </c>
      <c r="L32" s="3">
        <v>286854.334409205</v>
      </c>
      <c r="M32" s="3">
        <v>14252.0</v>
      </c>
      <c r="N32" s="3">
        <v>198758.564583869</v>
      </c>
      <c r="O32" s="3">
        <v>11667.0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1" t="s">
        <v>29</v>
      </c>
      <c r="B33" s="3">
        <v>248168.578209277</v>
      </c>
      <c r="C33" s="3">
        <v>927.0</v>
      </c>
      <c r="D33" s="3">
        <v>165498.835164835</v>
      </c>
      <c r="E33" s="3">
        <v>1092.0</v>
      </c>
      <c r="F33" s="3">
        <v>129750.557733276</v>
      </c>
      <c r="G33" s="3">
        <v>2347.0</v>
      </c>
      <c r="H33" s="3">
        <v>628154.904774972</v>
      </c>
      <c r="I33" s="3">
        <v>7288.0</v>
      </c>
      <c r="J33" s="3">
        <v>676147.853157187</v>
      </c>
      <c r="K33" s="3">
        <v>22330.0</v>
      </c>
      <c r="L33" s="3">
        <v>351243.594503972</v>
      </c>
      <c r="M33" s="3">
        <v>13719.0</v>
      </c>
      <c r="N33" s="3">
        <v>257416.818540035</v>
      </c>
      <c r="O33" s="3">
        <v>19795.0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1" t="s">
        <v>30</v>
      </c>
      <c r="B34" s="3">
        <v>573813.287696577</v>
      </c>
      <c r="C34" s="3">
        <v>2162.0</v>
      </c>
      <c r="D34" s="3">
        <v>58962.4253393665</v>
      </c>
      <c r="E34" s="3">
        <v>221.0</v>
      </c>
      <c r="F34" s="3">
        <v>569830.425282871</v>
      </c>
      <c r="G34" s="3">
        <v>5126.0</v>
      </c>
      <c r="H34" s="3">
        <v>635679.951934523</v>
      </c>
      <c r="I34" s="3">
        <v>6720.0</v>
      </c>
      <c r="J34" s="3">
        <v>482743.721299372</v>
      </c>
      <c r="K34" s="3">
        <v>13545.0</v>
      </c>
      <c r="L34" s="3">
        <v>479702.669192821</v>
      </c>
      <c r="M34" s="3">
        <v>13987.0</v>
      </c>
      <c r="N34" s="3">
        <v>181582.388005005</v>
      </c>
      <c r="O34" s="3">
        <v>11188.0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1" t="s">
        <v>31</v>
      </c>
      <c r="B35" s="2">
        <f>IFERROR(__xludf.DUMMYFUNCTION("AVERAGE.WEIGHTED(B30:B34, C30:C34)"),875561.4583486234)</f>
        <v>875561.4583</v>
      </c>
      <c r="C35" s="2"/>
      <c r="D35" s="2">
        <f>IFERROR(__xludf.DUMMYFUNCTION("AVERAGE.WEIGHTED(D30:D34, E30:E34)"),229813.64503743497)</f>
        <v>229813.645</v>
      </c>
      <c r="E35" s="2"/>
      <c r="F35" s="2">
        <f>IFERROR(__xludf.DUMMYFUNCTION("AVERAGE.WEIGHTED(F30:F34, G30:G34)"),624936.9848956706)</f>
        <v>624936.9849</v>
      </c>
      <c r="G35" s="2"/>
      <c r="H35" s="2">
        <f>IFERROR(__xludf.DUMMYFUNCTION("AVERAGE.WEIGHTED(H30:H34, I30:I34)"),604537.7666199846)</f>
        <v>604537.7666</v>
      </c>
      <c r="I35" s="2"/>
      <c r="J35" s="2">
        <f>IFERROR(__xludf.DUMMYFUNCTION("AVERAGE.WEIGHTED(J30:J34, K30:K34)"),519524.1328265945)</f>
        <v>519524.1328</v>
      </c>
      <c r="K35" s="2"/>
      <c r="L35" s="2">
        <f>IFERROR(__xludf.DUMMYFUNCTION("AVERAGE.WEIGHTED(L30:L34, M30:M34)"),374934.9369359308)</f>
        <v>374934.9369</v>
      </c>
      <c r="M35" s="2"/>
      <c r="N35" s="2">
        <f>IFERROR(__xludf.DUMMYFUNCTION("AVERAGE.WEIGHTED(N30:N34, O30:O34)"),180842.1906057252)</f>
        <v>180842.1906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1" t="s">
        <v>32</v>
      </c>
      <c r="B39" s="1">
        <v>3.0</v>
      </c>
      <c r="C39" s="1" t="s">
        <v>1</v>
      </c>
      <c r="D39" s="1">
        <v>7.0</v>
      </c>
      <c r="E39" s="1" t="s">
        <v>1</v>
      </c>
      <c r="F39" s="1">
        <v>17.0</v>
      </c>
      <c r="G39" s="1" t="s">
        <v>1</v>
      </c>
      <c r="H39" s="1">
        <v>34.0</v>
      </c>
      <c r="I39" s="1" t="s">
        <v>1</v>
      </c>
      <c r="J39" s="1">
        <v>68.0</v>
      </c>
      <c r="K39" s="1" t="s">
        <v>1</v>
      </c>
      <c r="L39" s="1">
        <v>100.0</v>
      </c>
      <c r="M39" s="1" t="s">
        <v>1</v>
      </c>
      <c r="N39" s="1">
        <v>130.0</v>
      </c>
      <c r="O39" s="1" t="s">
        <v>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1" t="s">
        <v>2</v>
      </c>
      <c r="B40" s="3">
        <v>160.597672727272</v>
      </c>
      <c r="C40" s="3">
        <v>616.0</v>
      </c>
      <c r="D40" s="3">
        <v>68.3304459459459</v>
      </c>
      <c r="E40" s="3">
        <v>814.0</v>
      </c>
      <c r="F40" s="3">
        <v>37.0540847798742</v>
      </c>
      <c r="G40" s="3">
        <v>2385.0</v>
      </c>
      <c r="H40" s="3">
        <v>36.5037236946726</v>
      </c>
      <c r="I40" s="3">
        <v>7546.0</v>
      </c>
      <c r="J40" s="3">
        <v>28.1484419912472</v>
      </c>
      <c r="K40" s="3">
        <v>18280.0</v>
      </c>
      <c r="L40" s="3">
        <v>33.9745263621486</v>
      </c>
      <c r="M40" s="3">
        <v>20776.0</v>
      </c>
      <c r="N40" s="3">
        <v>44.8343052446986</v>
      </c>
      <c r="O40" s="3">
        <v>18533.0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1" t="s">
        <v>3</v>
      </c>
      <c r="B41" s="3">
        <v>37.7379</v>
      </c>
      <c r="C41" s="3">
        <v>1549.0</v>
      </c>
      <c r="D41" s="3">
        <v>83.2640973958333</v>
      </c>
      <c r="E41" s="3">
        <v>576.0</v>
      </c>
      <c r="F41" s="3">
        <v>16.4253848979591</v>
      </c>
      <c r="G41" s="3">
        <v>2205.0</v>
      </c>
      <c r="H41" s="3">
        <v>41.2501496127562</v>
      </c>
      <c r="I41" s="3">
        <v>2195.0</v>
      </c>
      <c r="J41" s="3">
        <v>30.734688721571</v>
      </c>
      <c r="K41" s="3">
        <v>12883.0</v>
      </c>
      <c r="L41" s="3">
        <v>30.4977775022763</v>
      </c>
      <c r="M41" s="3">
        <v>14277.0</v>
      </c>
      <c r="N41" s="3">
        <v>27.0738807874201</v>
      </c>
      <c r="O41" s="3">
        <v>25374.0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1" t="s">
        <v>4</v>
      </c>
      <c r="B42" s="3">
        <v>148.217</v>
      </c>
      <c r="C42" s="3">
        <v>665.0</v>
      </c>
      <c r="D42" s="3">
        <v>12.5104420749279</v>
      </c>
      <c r="E42" s="3">
        <v>2776.0</v>
      </c>
      <c r="F42" s="3">
        <v>35.129158244002</v>
      </c>
      <c r="G42" s="3">
        <v>3918.0</v>
      </c>
      <c r="H42" s="3">
        <v>70.1012942283298</v>
      </c>
      <c r="I42" s="3">
        <v>4730.0</v>
      </c>
      <c r="J42" s="3">
        <v>27.0267816557405</v>
      </c>
      <c r="K42" s="3">
        <v>17237.0</v>
      </c>
      <c r="L42" s="3">
        <v>36.5443563504867</v>
      </c>
      <c r="M42" s="3">
        <v>17975.0</v>
      </c>
      <c r="N42" s="3">
        <v>41.2330553211925</v>
      </c>
      <c r="O42" s="3">
        <v>26028.0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1" t="s">
        <v>5</v>
      </c>
      <c r="B43" s="3">
        <v>64.1343</v>
      </c>
      <c r="C43" s="3">
        <v>1712.0</v>
      </c>
      <c r="D43" s="3">
        <v>43.0594173328616</v>
      </c>
      <c r="E43" s="3">
        <v>2827.0</v>
      </c>
      <c r="F43" s="3">
        <v>49.856045614398</v>
      </c>
      <c r="G43" s="3">
        <v>4834.0</v>
      </c>
      <c r="H43" s="3">
        <v>47.9848510033961</v>
      </c>
      <c r="I43" s="3">
        <v>3239.0</v>
      </c>
      <c r="J43" s="3">
        <v>26.3643124139414</v>
      </c>
      <c r="K43" s="3">
        <v>13944.0</v>
      </c>
      <c r="L43" s="3">
        <v>29.2119828813078</v>
      </c>
      <c r="M43" s="3">
        <v>21164.0</v>
      </c>
      <c r="N43" s="3">
        <v>34.344686416764</v>
      </c>
      <c r="O43" s="3">
        <v>11978.0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1" t="s">
        <v>6</v>
      </c>
      <c r="B44" s="3">
        <v>12.7161</v>
      </c>
      <c r="C44" s="3">
        <v>2920.0</v>
      </c>
      <c r="D44" s="3">
        <v>39.6716379949146</v>
      </c>
      <c r="E44" s="3">
        <v>2753.0</v>
      </c>
      <c r="F44" s="3">
        <v>55.0301196243523</v>
      </c>
      <c r="G44" s="3">
        <v>3088.0</v>
      </c>
      <c r="H44" s="3">
        <v>31.146059792092</v>
      </c>
      <c r="I44" s="3">
        <v>5387.0</v>
      </c>
      <c r="J44" s="3">
        <v>23.4004036734435</v>
      </c>
      <c r="K44" s="3">
        <v>15789.0</v>
      </c>
      <c r="L44" s="3">
        <v>20.9091220039535</v>
      </c>
      <c r="M44" s="3">
        <v>24282.0</v>
      </c>
      <c r="N44" s="3">
        <v>30.0406876826891</v>
      </c>
      <c r="O44" s="3">
        <v>12316.0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1" t="s">
        <v>33</v>
      </c>
      <c r="B45" s="1">
        <f>IFERROR(__xludf.DUMMYFUNCTION("AVERAGE.WEIGHTED(B40:B44, C40:C44)"),53.99054035111224)</f>
        <v>53.99054035</v>
      </c>
      <c r="C45" s="2"/>
      <c r="D45" s="4">
        <f>IFERROR(__xludf.DUMMYFUNCTION("AVERAGE.WEIGHTED(D40:D44, E40:E44)"),37.88785989123737)</f>
        <v>37.88785989</v>
      </c>
      <c r="E45" s="2"/>
      <c r="F45" s="4">
        <f>IFERROR(__xludf.DUMMYFUNCTION("AVERAGE.WEIGHTED(F40:F44, G40:G44)"),40.97170674376138)</f>
        <v>40.97170674</v>
      </c>
      <c r="G45" s="2"/>
      <c r="H45" s="4">
        <f>IFERROR(__xludf.DUMMYFUNCTION("AVERAGE.WEIGHTED(H40:H44, I40:I44)"),44.195655522362166)</f>
        <v>44.19565552</v>
      </c>
      <c r="I45" s="2"/>
      <c r="J45" s="4">
        <f>IFERROR(__xludf.DUMMYFUNCTION("AVERAGE.WEIGHTED(J40:J44, K40:K44)"),27.0495449515569)</f>
        <v>27.04954495</v>
      </c>
      <c r="K45" s="2"/>
      <c r="L45" s="4">
        <f>IFERROR(__xludf.DUMMYFUNCTION("AVERAGE.WEIGHTED(L40:L44, M40:M44)"),29.69427504417403)</f>
        <v>29.69427504</v>
      </c>
      <c r="M45" s="2"/>
      <c r="N45" s="4">
        <f>IFERROR(__xludf.DUMMYFUNCTION("AVERAGE.WEIGHTED(N40:N44, O40:O44)"),35.79007054622243)</f>
        <v>35.79007055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1" t="s">
        <v>8</v>
      </c>
      <c r="B47" s="3">
        <v>44.7429472627879</v>
      </c>
      <c r="C47" s="3">
        <v>1409.0</v>
      </c>
      <c r="D47" s="3">
        <v>54.2063985838729</v>
      </c>
      <c r="E47" s="3">
        <v>1920.0</v>
      </c>
      <c r="F47" s="3">
        <v>110.947447072407</v>
      </c>
      <c r="G47" s="3">
        <v>5112.0</v>
      </c>
      <c r="H47" s="3">
        <v>121.391659141826</v>
      </c>
      <c r="I47" s="3">
        <v>15609.0</v>
      </c>
      <c r="J47" s="3">
        <v>109.389388586403</v>
      </c>
      <c r="K47" s="3">
        <v>37726.0</v>
      </c>
      <c r="L47" s="3">
        <v>112.070439207943</v>
      </c>
      <c r="M47" s="3">
        <v>43114.0</v>
      </c>
      <c r="N47" s="3">
        <v>118.820773885805</v>
      </c>
      <c r="O47" s="3">
        <v>38761.0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1" t="s">
        <v>9</v>
      </c>
      <c r="B48" s="3">
        <v>120.609230073634</v>
      </c>
      <c r="C48" s="3">
        <v>3238.0</v>
      </c>
      <c r="D48" s="3">
        <v>90.9585827904938</v>
      </c>
      <c r="E48" s="3">
        <v>1312.0</v>
      </c>
      <c r="F48" s="3">
        <v>75.9685599853343</v>
      </c>
      <c r="G48" s="3">
        <v>4798.0</v>
      </c>
      <c r="H48" s="3">
        <v>125.54734991602</v>
      </c>
      <c r="I48" s="3">
        <v>4634.0</v>
      </c>
      <c r="J48" s="3">
        <v>93.3790114087119</v>
      </c>
      <c r="K48" s="3">
        <v>27010.0</v>
      </c>
      <c r="L48" s="3">
        <v>102.128873979251</v>
      </c>
      <c r="M48" s="3">
        <v>29880.0</v>
      </c>
      <c r="N48" s="3">
        <v>107.969092310495</v>
      </c>
      <c r="O48" s="3">
        <v>52115.0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1" t="s">
        <v>10</v>
      </c>
      <c r="B49" s="3">
        <v>104.298591217067</v>
      </c>
      <c r="C49" s="3">
        <v>1469.0</v>
      </c>
      <c r="D49" s="3">
        <v>77.2706168227482</v>
      </c>
      <c r="E49" s="3">
        <v>5847.0</v>
      </c>
      <c r="F49" s="3">
        <v>73.6929118809697</v>
      </c>
      <c r="G49" s="3">
        <v>8171.0</v>
      </c>
      <c r="H49" s="3">
        <v>110.511678951846</v>
      </c>
      <c r="I49" s="3">
        <v>9882.0</v>
      </c>
      <c r="J49" s="3">
        <v>99.2273033737693</v>
      </c>
      <c r="K49" s="3">
        <v>35955.0</v>
      </c>
      <c r="L49" s="3">
        <v>111.035102016868</v>
      </c>
      <c r="M49" s="3">
        <v>37511.0</v>
      </c>
      <c r="N49" s="3">
        <v>98.2393461747611</v>
      </c>
      <c r="O49" s="3">
        <v>53779.0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1" t="s">
        <v>11</v>
      </c>
      <c r="B50" s="3">
        <v>137.484921374536</v>
      </c>
      <c r="C50" s="3">
        <v>3489.0</v>
      </c>
      <c r="D50" s="3">
        <v>136.749376768783</v>
      </c>
      <c r="E50" s="3">
        <v>5759.0</v>
      </c>
      <c r="F50" s="3">
        <v>103.17031880381</v>
      </c>
      <c r="G50" s="3">
        <v>10077.0</v>
      </c>
      <c r="H50" s="3">
        <v>82.6519114731428</v>
      </c>
      <c r="I50" s="3">
        <v>6831.0</v>
      </c>
      <c r="J50" s="3">
        <v>114.219863431305</v>
      </c>
      <c r="K50" s="3">
        <v>28833.0</v>
      </c>
      <c r="L50" s="3">
        <v>116.642224987657</v>
      </c>
      <c r="M50" s="3">
        <v>43703.0</v>
      </c>
      <c r="N50" s="3">
        <v>115.645773057468</v>
      </c>
      <c r="O50" s="3">
        <v>25141.0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1" t="s">
        <v>12</v>
      </c>
      <c r="B51" s="3">
        <v>136.521498615823</v>
      </c>
      <c r="C51" s="3">
        <v>5894.0</v>
      </c>
      <c r="D51" s="3">
        <v>108.738083462857</v>
      </c>
      <c r="E51" s="3">
        <v>5691.0</v>
      </c>
      <c r="F51" s="3">
        <v>70.6599021117775</v>
      </c>
      <c r="G51" s="3">
        <v>6458.0</v>
      </c>
      <c r="H51" s="3">
        <v>125.689297909561</v>
      </c>
      <c r="I51" s="3">
        <v>11027.0</v>
      </c>
      <c r="J51" s="3">
        <v>109.54426660877</v>
      </c>
      <c r="K51" s="3">
        <v>32561.0</v>
      </c>
      <c r="L51" s="3">
        <v>103.022872046222</v>
      </c>
      <c r="M51" s="3">
        <v>50062.0</v>
      </c>
      <c r="N51" s="3">
        <v>95.2006949376773</v>
      </c>
      <c r="O51" s="3">
        <v>26323.0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1" t="s">
        <v>34</v>
      </c>
      <c r="B52" s="4">
        <f>IFERROR(__xludf.DUMMYFUNCTION("AVERAGE.WEIGHTED(B47:B51, C47:C51)"),122.01643549177258)</f>
        <v>122.0164355</v>
      </c>
      <c r="C52" s="2"/>
      <c r="D52" s="4">
        <f>IFERROR(__xludf.DUMMYFUNCTION("AVERAGE.WEIGHTED(D47:D51, E47:E51)"),101.3972105929813)</f>
        <v>101.3972106</v>
      </c>
      <c r="E52" s="2"/>
      <c r="F52" s="4">
        <f>IFERROR(__xludf.DUMMYFUNCTION("AVERAGE.WEIGHTED(F47:F51, G47:G51)"),87.52525518971096)</f>
        <v>87.52525519</v>
      </c>
      <c r="G52" s="2"/>
      <c r="H52" s="4">
        <f>IFERROR(__xludf.DUMMYFUNCTION("AVERAGE.WEIGHTED(H47:H51, I47:I51)"),115.02482824707727)</f>
        <v>115.0248282</v>
      </c>
      <c r="I52" s="2"/>
      <c r="J52" s="4">
        <f>IFERROR(__xludf.DUMMYFUNCTION("AVERAGE.WEIGHTED(J47:J51, K47:K51)"),105.35756579650678)</f>
        <v>105.3575658</v>
      </c>
      <c r="K52" s="2"/>
      <c r="L52" s="4">
        <f>IFERROR(__xludf.DUMMYFUNCTION("AVERAGE.WEIGHTED(L47:L51, M47:M51)"),109.18685837998507)</f>
        <v>109.1868584</v>
      </c>
      <c r="M52" s="2"/>
      <c r="N52" s="4">
        <f>IFERROR(__xludf.DUMMYFUNCTION("AVERAGE.WEIGHTED(N47:N51, O47:O51)"),106.71609244164968)</f>
        <v>106.7160924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1" t="s">
        <v>14</v>
      </c>
      <c r="B54" s="3">
        <v>0.932576295244854</v>
      </c>
      <c r="C54" s="3">
        <v>1409.0</v>
      </c>
      <c r="D54" s="3">
        <v>0.933854166666666</v>
      </c>
      <c r="E54" s="3">
        <v>1920.0</v>
      </c>
      <c r="F54" s="3">
        <v>0.957159624413145</v>
      </c>
      <c r="G54" s="3">
        <v>5112.0</v>
      </c>
      <c r="H54" s="3">
        <v>0.976487923633801</v>
      </c>
      <c r="I54" s="3">
        <v>15609.0</v>
      </c>
      <c r="J54" s="3">
        <v>0.980729470391772</v>
      </c>
      <c r="K54" s="3">
        <v>37726.0</v>
      </c>
      <c r="L54" s="3">
        <v>0.977779839495291</v>
      </c>
      <c r="M54" s="3">
        <v>43114.0</v>
      </c>
      <c r="N54" s="3">
        <v>0.976006810969789</v>
      </c>
      <c r="O54" s="3">
        <v>38761.0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1" t="s">
        <v>15</v>
      </c>
      <c r="B55" s="3">
        <v>0.977455219271155</v>
      </c>
      <c r="C55" s="3">
        <v>3238.0</v>
      </c>
      <c r="D55" s="3">
        <v>0.927591463414634</v>
      </c>
      <c r="E55" s="3">
        <v>1312.0</v>
      </c>
      <c r="F55" s="3">
        <v>0.953313880783659</v>
      </c>
      <c r="G55" s="3">
        <v>4798.0</v>
      </c>
      <c r="H55" s="3">
        <v>0.966983167889512</v>
      </c>
      <c r="I55" s="3">
        <v>4634.0</v>
      </c>
      <c r="J55" s="3">
        <v>0.975601629026286</v>
      </c>
      <c r="K55" s="3">
        <v>27010.0</v>
      </c>
      <c r="L55" s="3">
        <v>0.976137884872824</v>
      </c>
      <c r="M55" s="3">
        <v>29880.0</v>
      </c>
      <c r="N55" s="3">
        <v>0.984150436534587</v>
      </c>
      <c r="O55" s="3">
        <v>52115.0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1" t="s">
        <v>16</v>
      </c>
      <c r="B56" s="3">
        <v>0.958475153165418</v>
      </c>
      <c r="C56" s="3">
        <v>1469.0</v>
      </c>
      <c r="D56" s="3">
        <v>0.979818710449803</v>
      </c>
      <c r="E56" s="3">
        <v>5847.0</v>
      </c>
      <c r="F56" s="3">
        <v>0.976747032187002</v>
      </c>
      <c r="G56" s="3">
        <v>8171.0</v>
      </c>
      <c r="H56" s="3">
        <v>0.968225055656749</v>
      </c>
      <c r="I56" s="3">
        <v>9882.0</v>
      </c>
      <c r="J56" s="3">
        <v>0.981727158948685</v>
      </c>
      <c r="K56" s="3">
        <v>35955.0</v>
      </c>
      <c r="L56" s="3">
        <v>0.977473274506144</v>
      </c>
      <c r="M56" s="3">
        <v>37511.0</v>
      </c>
      <c r="N56" s="3">
        <v>0.979229810892727</v>
      </c>
      <c r="O56" s="3">
        <v>53779.0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1" t="s">
        <v>17</v>
      </c>
      <c r="B57" s="3">
        <v>0.988822012037833</v>
      </c>
      <c r="C57" s="3">
        <v>3489.0</v>
      </c>
      <c r="D57" s="3">
        <v>0.985414134398333</v>
      </c>
      <c r="E57" s="3">
        <v>5759.0</v>
      </c>
      <c r="F57" s="3">
        <v>0.975191029076113</v>
      </c>
      <c r="G57" s="3">
        <v>10077.0</v>
      </c>
      <c r="H57" s="3">
        <v>0.964866051822573</v>
      </c>
      <c r="I57" s="3">
        <v>6831.0</v>
      </c>
      <c r="J57" s="3">
        <v>0.984739707973502</v>
      </c>
      <c r="K57" s="3">
        <v>28833.0</v>
      </c>
      <c r="L57" s="3">
        <v>0.981717502230968</v>
      </c>
      <c r="M57" s="3">
        <v>43703.0</v>
      </c>
      <c r="N57" s="3">
        <v>0.969372737759039</v>
      </c>
      <c r="O57" s="3">
        <v>25141.0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1" t="s">
        <v>18</v>
      </c>
      <c r="B58" s="3">
        <v>0.993722429589412</v>
      </c>
      <c r="C58" s="3">
        <v>5894.0</v>
      </c>
      <c r="D58" s="3">
        <v>0.979968371112282</v>
      </c>
      <c r="E58" s="3">
        <v>5691.0</v>
      </c>
      <c r="F58" s="3">
        <v>0.968566119541653</v>
      </c>
      <c r="G58" s="3">
        <v>6458.0</v>
      </c>
      <c r="H58" s="3">
        <v>0.983041625102022</v>
      </c>
      <c r="I58" s="3">
        <v>11027.0</v>
      </c>
      <c r="J58" s="3">
        <v>0.97693559780105</v>
      </c>
      <c r="K58" s="5">
        <v>32561.0</v>
      </c>
      <c r="L58" s="3">
        <v>0.982861252047461</v>
      </c>
      <c r="M58" s="3">
        <v>50062.0</v>
      </c>
      <c r="N58" s="3">
        <v>0.96394787828135</v>
      </c>
      <c r="O58" s="3">
        <v>26323.0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1" t="s">
        <v>35</v>
      </c>
      <c r="B59" s="2">
        <f>IFERROR(__xludf.DUMMYFUNCTION("AVERAGE.WEIGHTED(B54:B58, C54:C58)"),0.9803213110523255)</f>
        <v>0.9803213111</v>
      </c>
      <c r="C59" s="2"/>
      <c r="D59" s="2">
        <f>IFERROR(__xludf.DUMMYFUNCTION("AVERAGE.WEIGHTED(D54:D58, E54:E58)"),0.97379317063666)</f>
        <v>0.9737931706</v>
      </c>
      <c r="E59" s="2"/>
      <c r="F59" s="2">
        <f>IFERROR(__xludf.DUMMYFUNCTION("AVERAGE.WEIGHTED(F54:F58, G54:G58)"),0.9686272244048987)</f>
        <v>0.9686272244</v>
      </c>
      <c r="G59" s="2"/>
      <c r="H59" s="2">
        <f>IFERROR(__xludf.DUMMYFUNCTION("AVERAGE.WEIGHTED(H54:H58, I54:I58)"),0.9737198591167702)</f>
        <v>0.9737198591</v>
      </c>
      <c r="I59" s="2"/>
      <c r="J59" s="2">
        <f>IFERROR(__xludf.DUMMYFUNCTION("AVERAGE.WEIGHTED(J54:J58, K54:K58)"),0.9800475059382417)</f>
        <v>0.9800475059</v>
      </c>
      <c r="K59" s="2"/>
      <c r="L59" s="2">
        <f>IFERROR(__xludf.DUMMYFUNCTION("AVERAGE.WEIGHTED(L54:L58, M54:M58)"),0.9795711558231748)</f>
        <v>0.9795711558</v>
      </c>
      <c r="M59" s="2"/>
      <c r="N59" s="2">
        <f>IFERROR(__xludf.DUMMYFUNCTION("AVERAGE.WEIGHTED(N54:N58, O54:O58)"),0.976585644430167)</f>
        <v>0.9765856444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1" t="s">
        <v>20</v>
      </c>
      <c r="B61" s="3">
        <v>0.0674237047551454</v>
      </c>
      <c r="C61" s="3">
        <v>1409.0</v>
      </c>
      <c r="D61" s="3">
        <v>0.0661458333333333</v>
      </c>
      <c r="E61" s="3">
        <v>1920.0</v>
      </c>
      <c r="F61" s="3">
        <v>0.0428403755868544</v>
      </c>
      <c r="G61" s="3">
        <v>5112.0</v>
      </c>
      <c r="H61" s="3">
        <v>0.0235120763661989</v>
      </c>
      <c r="I61" s="3">
        <v>15609.0</v>
      </c>
      <c r="J61" s="3">
        <v>0.0192705296082277</v>
      </c>
      <c r="K61" s="3">
        <v>37726.0</v>
      </c>
      <c r="L61" s="3">
        <v>0.0222201605047084</v>
      </c>
      <c r="M61" s="3">
        <v>43114.0</v>
      </c>
      <c r="N61" s="3">
        <v>0.0239931890302107</v>
      </c>
      <c r="O61" s="3">
        <v>38761.0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1" t="s">
        <v>21</v>
      </c>
      <c r="B62" s="3">
        <v>0.0225447807288449</v>
      </c>
      <c r="C62" s="3">
        <v>3238.0</v>
      </c>
      <c r="D62" s="3">
        <v>0.0724085365853658</v>
      </c>
      <c r="E62" s="3">
        <v>1312.0</v>
      </c>
      <c r="F62" s="3">
        <v>0.0466861192163401</v>
      </c>
      <c r="G62" s="3">
        <v>4798.0</v>
      </c>
      <c r="H62" s="3">
        <v>0.0330168321104877</v>
      </c>
      <c r="I62" s="3">
        <v>4634.0</v>
      </c>
      <c r="J62" s="3">
        <v>0.0243983709737134</v>
      </c>
      <c r="K62" s="3">
        <v>27010.0</v>
      </c>
      <c r="L62" s="3">
        <v>0.0238621151271753</v>
      </c>
      <c r="M62" s="3">
        <v>29880.0</v>
      </c>
      <c r="N62" s="3">
        <v>0.015849563465413</v>
      </c>
      <c r="O62" s="3">
        <v>52115.0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1" t="s">
        <v>22</v>
      </c>
      <c r="B63" s="3">
        <v>0.0415248468345813</v>
      </c>
      <c r="C63" s="3">
        <v>1469.0</v>
      </c>
      <c r="D63" s="3">
        <v>0.0201812895501966</v>
      </c>
      <c r="E63" s="3">
        <v>5847.0</v>
      </c>
      <c r="F63" s="3">
        <v>0.0232529678129971</v>
      </c>
      <c r="G63" s="3">
        <v>8171.0</v>
      </c>
      <c r="H63" s="3">
        <v>0.0317749443432503</v>
      </c>
      <c r="I63" s="3">
        <v>9882.0</v>
      </c>
      <c r="J63" s="3">
        <v>0.0182728410513141</v>
      </c>
      <c r="K63" s="3">
        <v>35955.0</v>
      </c>
      <c r="L63" s="3">
        <v>0.0225267254938551</v>
      </c>
      <c r="M63" s="3">
        <v>37511.0</v>
      </c>
      <c r="N63" s="3">
        <v>0.0207701891072723</v>
      </c>
      <c r="O63" s="3">
        <v>53779.0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1" t="s">
        <v>23</v>
      </c>
      <c r="B64" s="3">
        <v>0.0111779879621668</v>
      </c>
      <c r="C64" s="3">
        <v>3489.0</v>
      </c>
      <c r="D64" s="3">
        <v>0.0145858656016669</v>
      </c>
      <c r="E64" s="3">
        <v>5759.0</v>
      </c>
      <c r="F64" s="3">
        <v>0.024808970923886</v>
      </c>
      <c r="G64" s="3">
        <v>10077.0</v>
      </c>
      <c r="H64" s="3">
        <v>0.0351339481774264</v>
      </c>
      <c r="I64" s="3">
        <v>6831.0</v>
      </c>
      <c r="J64" s="3">
        <v>0.0152602920264974</v>
      </c>
      <c r="K64" s="3">
        <v>28833.0</v>
      </c>
      <c r="L64" s="3">
        <v>0.0182824977690318</v>
      </c>
      <c r="M64" s="3">
        <v>43703.0</v>
      </c>
      <c r="N64" s="3">
        <v>0.0306272622409609</v>
      </c>
      <c r="O64" s="3">
        <v>25141.0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1" t="s">
        <v>24</v>
      </c>
      <c r="B65" s="3">
        <v>0.00627757041058703</v>
      </c>
      <c r="C65" s="3">
        <v>5894.0</v>
      </c>
      <c r="D65" s="3">
        <v>0.0200316288877174</v>
      </c>
      <c r="E65" s="3">
        <v>5691.0</v>
      </c>
      <c r="F65" s="3">
        <v>0.0314338804583462</v>
      </c>
      <c r="G65" s="3">
        <v>6458.0</v>
      </c>
      <c r="H65" s="3">
        <v>0.0169583748979776</v>
      </c>
      <c r="I65" s="3">
        <v>11027.0</v>
      </c>
      <c r="J65" s="3">
        <v>0.0230644021989496</v>
      </c>
      <c r="K65" s="3">
        <v>32561.0</v>
      </c>
      <c r="L65" s="3">
        <v>0.0171387479525388</v>
      </c>
      <c r="M65" s="3">
        <v>50062.0</v>
      </c>
      <c r="N65" s="3">
        <v>0.036052121718649</v>
      </c>
      <c r="O65" s="3">
        <v>26323.0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1" t="s">
        <v>36</v>
      </c>
      <c r="B66" s="2">
        <f>IFERROR(__xludf.DUMMYFUNCTION("AVERAGE.WEIGHTED(B61:B65, C61:C65)"),0.019678688947674012)</f>
        <v>0.01967868895</v>
      </c>
      <c r="C66" s="2"/>
      <c r="D66" s="2">
        <f>IFERROR(__xludf.DUMMYFUNCTION("AVERAGE.WEIGHTED(D61:D65, E61:E65)"),0.026206829363339606)</f>
        <v>0.02620682936</v>
      </c>
      <c r="E66" s="2"/>
      <c r="F66" s="2">
        <f>IFERROR(__xludf.DUMMYFUNCTION("AVERAGE.WEIGHTED(F61:F65, G61:G65)"),0.03137277559510047)</f>
        <v>0.0313727756</v>
      </c>
      <c r="G66" s="2"/>
      <c r="H66" s="2">
        <f>IFERROR(__xludf.DUMMYFUNCTION("AVERAGE.WEIGHTED(H61:H65, I61:I65)"),0.02628014088322941)</f>
        <v>0.02628014088</v>
      </c>
      <c r="I66" s="2"/>
      <c r="J66" s="2">
        <f>IFERROR(__xludf.DUMMYFUNCTION("AVERAGE.WEIGHTED(J61:J65, K61:K65)"),0.019952494061757677)</f>
        <v>0.01995249406</v>
      </c>
      <c r="K66" s="2"/>
      <c r="L66" s="2">
        <f>IFERROR(__xludf.DUMMYFUNCTION("AVERAGE.WEIGHTED(L61:L65, M61:M65)"),0.020428844176824737)</f>
        <v>0.02042884418</v>
      </c>
      <c r="M66" s="2"/>
      <c r="N66" s="2">
        <f>IFERROR(__xludf.DUMMYFUNCTION("AVERAGE.WEIGHTED(N61:N65, O61:O65)"),0.02341435556983254)</f>
        <v>0.02341435557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1" t="s">
        <v>26</v>
      </c>
      <c r="B68" s="3">
        <v>93261.0192</v>
      </c>
      <c r="C68" s="3">
        <v>625.0</v>
      </c>
      <c r="D68" s="3">
        <v>43987.1504739336</v>
      </c>
      <c r="E68" s="3">
        <v>844.0</v>
      </c>
      <c r="F68" s="3">
        <v>124261.229318474</v>
      </c>
      <c r="G68" s="3">
        <v>2333.0</v>
      </c>
      <c r="H68" s="3">
        <v>212606.244710085</v>
      </c>
      <c r="I68" s="3">
        <v>7278.0</v>
      </c>
      <c r="J68" s="3">
        <v>664050.891543077</v>
      </c>
      <c r="K68" s="3">
        <v>17666.0</v>
      </c>
      <c r="L68" s="3">
        <v>565588.828564319</v>
      </c>
      <c r="M68" s="3">
        <v>20095.0</v>
      </c>
      <c r="N68" s="3">
        <v>344656.527586589</v>
      </c>
      <c r="O68" s="3">
        <v>18016.0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1" t="s">
        <v>27</v>
      </c>
      <c r="B69" s="3">
        <v>130963.762278978</v>
      </c>
      <c r="C69" s="3">
        <v>1527.0</v>
      </c>
      <c r="D69" s="3">
        <v>40324.2355008787</v>
      </c>
      <c r="E69" s="3">
        <v>569.0</v>
      </c>
      <c r="F69" s="3">
        <v>88945.5115751248</v>
      </c>
      <c r="G69" s="3">
        <v>2203.0</v>
      </c>
      <c r="H69" s="3">
        <v>127838.900465116</v>
      </c>
      <c r="I69" s="3">
        <v>2150.0</v>
      </c>
      <c r="J69" s="3">
        <v>268630.225181404</v>
      </c>
      <c r="K69" s="3">
        <v>12541.0</v>
      </c>
      <c r="L69" s="3">
        <v>532356.713078034</v>
      </c>
      <c r="M69" s="3">
        <v>13840.0</v>
      </c>
      <c r="N69" s="3">
        <v>649487.588476186</v>
      </c>
      <c r="O69" s="3">
        <v>24419.0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1" t="s">
        <v>28</v>
      </c>
      <c r="B70" s="3">
        <v>160597.84257871</v>
      </c>
      <c r="C70" s="3">
        <v>667.0</v>
      </c>
      <c r="D70" s="3">
        <v>43428.178453646</v>
      </c>
      <c r="E70" s="3">
        <v>2729.0</v>
      </c>
      <c r="F70" s="3">
        <v>177339.895203336</v>
      </c>
      <c r="G70" s="3">
        <v>3836.0</v>
      </c>
      <c r="H70" s="3">
        <v>173339.452780806</v>
      </c>
      <c r="I70" s="3">
        <v>4585.0</v>
      </c>
      <c r="J70" s="3">
        <v>220651.363712274</v>
      </c>
      <c r="K70" s="3">
        <v>16766.0</v>
      </c>
      <c r="L70" s="3">
        <v>341704.40771841</v>
      </c>
      <c r="M70" s="3">
        <v>17387.0</v>
      </c>
      <c r="N70" s="3">
        <v>538781.6248703</v>
      </c>
      <c r="O70" s="3">
        <v>25058.0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1" t="s">
        <v>29</v>
      </c>
      <c r="B71" s="3">
        <v>438716.327228327</v>
      </c>
      <c r="C71" s="3">
        <v>1638.0</v>
      </c>
      <c r="D71" s="3">
        <v>364710.252125693</v>
      </c>
      <c r="E71" s="3">
        <v>2705.0</v>
      </c>
      <c r="F71" s="3">
        <v>314556.302946199</v>
      </c>
      <c r="G71" s="3">
        <v>4684.0</v>
      </c>
      <c r="H71" s="3">
        <v>173627.031101237</v>
      </c>
      <c r="I71" s="3">
        <v>3151.0</v>
      </c>
      <c r="J71" s="3">
        <v>625240.908868092</v>
      </c>
      <c r="K71" s="3">
        <v>13464.0</v>
      </c>
      <c r="L71" s="3">
        <v>546297.095450753</v>
      </c>
      <c r="M71" s="3">
        <v>20377.0</v>
      </c>
      <c r="N71" s="3">
        <v>245665.498877956</v>
      </c>
      <c r="O71" s="3">
        <v>11586.0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1" t="s">
        <v>30</v>
      </c>
      <c r="B72" s="3">
        <v>747988.191977077</v>
      </c>
      <c r="C72" s="3">
        <v>2792.0</v>
      </c>
      <c r="D72" s="3">
        <v>253589.501675977</v>
      </c>
      <c r="E72" s="3">
        <v>2685.0</v>
      </c>
      <c r="F72" s="3">
        <v>168303.222259136</v>
      </c>
      <c r="G72" s="3">
        <v>3010.0</v>
      </c>
      <c r="H72" s="5">
        <v>130953.33410897</v>
      </c>
      <c r="I72" s="3">
        <v>5157.0</v>
      </c>
      <c r="J72" s="3">
        <v>317409.725088617</v>
      </c>
      <c r="K72" s="3">
        <v>15234.0</v>
      </c>
      <c r="L72" s="3">
        <v>1010303.60545694</v>
      </c>
      <c r="M72" s="3">
        <v>23493.0</v>
      </c>
      <c r="N72" s="3">
        <v>138272.405387484</v>
      </c>
      <c r="O72" s="3">
        <v>12065.0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1" t="s">
        <v>37</v>
      </c>
      <c r="B73" s="2">
        <f>IFERROR(__xludf.DUMMYFUNCTION("AVERAGE.WEIGHTED(B68:B72, C68:C72)"),437631.2510691126)</f>
        <v>437631.2511</v>
      </c>
      <c r="C73" s="2"/>
      <c r="D73" s="2">
        <f>IFERROR(__xludf.DUMMYFUNCTION("AVERAGE.WEIGHTED(D68:D72, E68:E72)"),193664.93789341144)</f>
        <v>193664.9379</v>
      </c>
      <c r="E73" s="2"/>
      <c r="F73" s="2">
        <f>IFERROR(__xludf.DUMMYFUNCTION("AVERAGE.WEIGHTED(F68:F72, G68:G72)"),195823.39536910196)</f>
        <v>195823.3954</v>
      </c>
      <c r="G73" s="2"/>
      <c r="H73" s="2">
        <f>IFERROR(__xludf.DUMMYFUNCTION("AVERAGE.WEIGHTED(H68:H72, I68:I72)"),172007.9026477286)</f>
        <v>172007.9026</v>
      </c>
      <c r="I73" s="2"/>
      <c r="J73" s="2">
        <f>IFERROR(__xludf.DUMMYFUNCTION("AVERAGE.WEIGHTED(J68:J72, K68:K72)"),423585.24159849813)</f>
        <v>423585.2416</v>
      </c>
      <c r="K73" s="2"/>
      <c r="L73" s="2">
        <f>IFERROR(__xludf.DUMMYFUNCTION("AVERAGE.WEIGHTED(L68:L72, M68:M72)"),625488.459881081)</f>
        <v>625488.4599</v>
      </c>
      <c r="M73" s="2"/>
      <c r="N73" s="2">
        <f>IFERROR(__xludf.DUMMYFUNCTION("AVERAGE.WEIGHTED(N68:N72, O68:O72)"),439793.0354274548)</f>
        <v>439793.0354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2.0"/>
  </cols>
  <sheetData>
    <row r="1">
      <c r="A1" s="1" t="s">
        <v>0</v>
      </c>
      <c r="B1" s="1">
        <v>3.0</v>
      </c>
      <c r="C1" s="1" t="s">
        <v>1</v>
      </c>
      <c r="D1" s="1">
        <v>7.0</v>
      </c>
      <c r="E1" s="1" t="s">
        <v>1</v>
      </c>
      <c r="F1" s="1">
        <v>17.0</v>
      </c>
      <c r="G1" s="1" t="s">
        <v>1</v>
      </c>
      <c r="H1" s="1">
        <v>34.0</v>
      </c>
      <c r="I1" s="1" t="s">
        <v>1</v>
      </c>
      <c r="J1" s="1">
        <v>68.0</v>
      </c>
      <c r="K1" s="1" t="s">
        <v>1</v>
      </c>
      <c r="L1" s="1">
        <v>100.0</v>
      </c>
      <c r="M1" s="1" t="s">
        <v>1</v>
      </c>
      <c r="N1" s="1">
        <v>130.0</v>
      </c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" t="s">
        <v>2</v>
      </c>
      <c r="B2" s="3">
        <v>130.237</v>
      </c>
      <c r="C2" s="3">
        <v>14189.0</v>
      </c>
      <c r="D2" s="3">
        <v>162.624</v>
      </c>
      <c r="E2" s="3">
        <v>21177.0</v>
      </c>
      <c r="F2" s="3">
        <v>229.057</v>
      </c>
      <c r="G2" s="3">
        <v>41720.0</v>
      </c>
      <c r="H2" s="3">
        <v>201.680071759568</v>
      </c>
      <c r="I2" s="3">
        <v>52439.0</v>
      </c>
      <c r="J2" s="3">
        <v>163.906389063414</v>
      </c>
      <c r="K2" s="3">
        <v>92314.0</v>
      </c>
      <c r="L2" s="3">
        <v>165.694049831243</v>
      </c>
      <c r="M2" s="3">
        <v>170660.0</v>
      </c>
      <c r="N2" s="3">
        <v>164.907444592266</v>
      </c>
      <c r="O2" s="3">
        <v>131765.0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" t="s">
        <v>3</v>
      </c>
      <c r="B3" s="3">
        <v>104.95382515562</v>
      </c>
      <c r="C3" s="3">
        <v>13655.0</v>
      </c>
      <c r="D3" s="3">
        <v>89.6496</v>
      </c>
      <c r="E3" s="3">
        <v>17810.0</v>
      </c>
      <c r="F3" s="3">
        <v>197.032</v>
      </c>
      <c r="G3" s="3">
        <v>50484.0</v>
      </c>
      <c r="H3" s="3">
        <v>189.226340206185</v>
      </c>
      <c r="I3" s="3">
        <v>41128.0</v>
      </c>
      <c r="J3" s="3">
        <v>293.304058868546</v>
      </c>
      <c r="K3" s="3">
        <v>33974.0</v>
      </c>
      <c r="L3" s="3">
        <v>244.480976706256</v>
      </c>
      <c r="M3" s="3">
        <v>76029.0</v>
      </c>
      <c r="N3" s="3">
        <v>198.438462841603</v>
      </c>
      <c r="O3" s="3">
        <v>59206.0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1" t="s">
        <v>4</v>
      </c>
      <c r="B4" s="3">
        <v>474.386</v>
      </c>
      <c r="C4" s="3">
        <v>4643.0</v>
      </c>
      <c r="D4" s="3">
        <v>486.477</v>
      </c>
      <c r="E4" s="3">
        <v>2964.0</v>
      </c>
      <c r="F4" s="3">
        <v>200.677274402378</v>
      </c>
      <c r="G4" s="3">
        <v>32964.0</v>
      </c>
      <c r="H4" s="3">
        <v>102.225</v>
      </c>
      <c r="I4" s="3">
        <v>26675.0</v>
      </c>
      <c r="J4" s="3">
        <v>227.098641837113</v>
      </c>
      <c r="K4" s="3">
        <v>75488.0</v>
      </c>
      <c r="L4" s="3">
        <v>212.594025777908</v>
      </c>
      <c r="M4" s="3">
        <v>162969.0</v>
      </c>
      <c r="N4" s="3">
        <v>122.656588146352</v>
      </c>
      <c r="O4" s="3">
        <v>31349.0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1" t="s">
        <v>5</v>
      </c>
      <c r="B5" s="3">
        <v>131.761</v>
      </c>
      <c r="C5" s="3">
        <v>40212.0</v>
      </c>
      <c r="D5" s="3">
        <v>409.603</v>
      </c>
      <c r="E5" s="3">
        <v>1179.0</v>
      </c>
      <c r="F5" s="3">
        <v>280.82769207718</v>
      </c>
      <c r="G5" s="3">
        <v>46385.0</v>
      </c>
      <c r="H5" s="3">
        <v>199.759900714803</v>
      </c>
      <c r="I5" s="3">
        <v>31757.0</v>
      </c>
      <c r="J5" s="3">
        <v>194.159332374852</v>
      </c>
      <c r="K5" s="3">
        <v>114765.0</v>
      </c>
      <c r="L5" s="3">
        <v>163.830102263062</v>
      </c>
      <c r="M5" s="3">
        <v>123461.0</v>
      </c>
      <c r="N5" s="3">
        <v>159.378010570251</v>
      </c>
      <c r="O5" s="3">
        <v>103621.0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1" t="s">
        <v>6</v>
      </c>
      <c r="B6" s="3">
        <v>192.968</v>
      </c>
      <c r="C6" s="3">
        <v>30066.0</v>
      </c>
      <c r="D6" s="3">
        <v>125.808384481441</v>
      </c>
      <c r="E6" s="3">
        <v>6547.0</v>
      </c>
      <c r="F6" s="3">
        <v>77.757</v>
      </c>
      <c r="G6" s="3">
        <v>15606.0</v>
      </c>
      <c r="H6" s="3">
        <v>495.063999999999</v>
      </c>
      <c r="I6" s="3">
        <v>7585.0</v>
      </c>
      <c r="J6" s="3">
        <v>197.499282397847</v>
      </c>
      <c r="K6" s="3">
        <v>55016.0</v>
      </c>
      <c r="L6" s="3">
        <v>191.463828304736</v>
      </c>
      <c r="M6" s="3">
        <v>88063.0</v>
      </c>
      <c r="N6" s="3">
        <v>126.444669885717</v>
      </c>
      <c r="O6" s="3">
        <v>20213.0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1" t="s">
        <v>7</v>
      </c>
      <c r="B7" s="1">
        <f>IFERROR(__xludf.DUMMYFUNCTION("AVERAGE.WEIGHTED(B2:B6, C2:C6)"),161.37596159684708)</f>
        <v>161.3759616</v>
      </c>
      <c r="C7" s="2"/>
      <c r="D7" s="4">
        <f>IFERROR(__xludf.DUMMYFUNCTION("AVERAGE.WEIGHTED(D2:D6, E2:E6)"),156.79399082472762)</f>
        <v>156.7939908</v>
      </c>
      <c r="E7" s="2"/>
      <c r="F7" s="4">
        <f>IFERROR(__xludf.DUMMYFUNCTION("AVERAGE.WEIGHTED(F2:F6, G2:G6)"),215.63491705127717)</f>
        <v>215.6349171</v>
      </c>
      <c r="G7" s="2"/>
      <c r="H7" s="4">
        <f>IFERROR(__xludf.DUMMYFUNCTION("AVERAGE.WEIGHTED(H2:H6, I2:I6)"),195.4086229509221)</f>
        <v>195.408623</v>
      </c>
      <c r="I7" s="2"/>
      <c r="J7" s="4">
        <f>IFERROR(__xludf.DUMMYFUNCTION("AVERAGE.WEIGHTED(J2:J6, K2:K6)"),202.89512799220526)</f>
        <v>202.895128</v>
      </c>
      <c r="K7" s="2"/>
      <c r="L7" s="4">
        <f>IFERROR(__xludf.DUMMYFUNCTION("AVERAGE.WEIGHTED(L2:L6, M2:M6)"),190.9242925208709)</f>
        <v>190.9242925</v>
      </c>
      <c r="M7" s="2"/>
      <c r="N7" s="4">
        <f>IFERROR(__xludf.DUMMYFUNCTION("AVERAGE.WEIGHTED(N2:N6, O2:O6)"),162.91498406836217)</f>
        <v>162.9149841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" t="s">
        <v>8</v>
      </c>
      <c r="B9" s="3">
        <v>136.342786507395</v>
      </c>
      <c r="C9" s="3">
        <v>28412.0</v>
      </c>
      <c r="D9" s="3">
        <v>136.281275923973</v>
      </c>
      <c r="E9" s="3">
        <v>42663.0</v>
      </c>
      <c r="F9" s="3">
        <v>88.67262127527</v>
      </c>
      <c r="G9" s="3">
        <v>86533.0</v>
      </c>
      <c r="H9" s="3">
        <v>125.810435938643</v>
      </c>
      <c r="I9" s="3">
        <v>106296.0</v>
      </c>
      <c r="J9" s="3">
        <v>135.655060141477</v>
      </c>
      <c r="K9" s="3">
        <v>185766.0</v>
      </c>
      <c r="L9" s="3">
        <v>129.258633830218</v>
      </c>
      <c r="M9" s="3">
        <v>345754.0</v>
      </c>
      <c r="N9" s="3">
        <v>134.160780510789</v>
      </c>
      <c r="O9" s="3">
        <v>265110.0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1" t="s">
        <v>9</v>
      </c>
      <c r="B10" s="3">
        <v>118.182284287775</v>
      </c>
      <c r="C10" s="3">
        <v>29026.0</v>
      </c>
      <c r="D10" s="3">
        <v>136.812105322844</v>
      </c>
      <c r="E10" s="3">
        <v>35746.0</v>
      </c>
      <c r="F10" s="3">
        <v>136.680260040221</v>
      </c>
      <c r="G10" s="3">
        <v>101363.0</v>
      </c>
      <c r="H10" s="3">
        <v>133.359349961468</v>
      </c>
      <c r="I10" s="3">
        <v>83265.0</v>
      </c>
      <c r="J10" s="3">
        <v>88.9221708520442</v>
      </c>
      <c r="K10" s="3">
        <v>70944.0</v>
      </c>
      <c r="L10" s="3">
        <v>114.118044765575</v>
      </c>
      <c r="M10" s="3">
        <v>155156.0</v>
      </c>
      <c r="N10" s="3">
        <v>127.933173294868</v>
      </c>
      <c r="O10" s="3">
        <v>120355.0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1" t="s">
        <v>10</v>
      </c>
      <c r="B11" s="3">
        <v>53.4348855252713</v>
      </c>
      <c r="C11" s="3">
        <v>10402.0</v>
      </c>
      <c r="D11" s="3">
        <v>54.8951958638</v>
      </c>
      <c r="E11" s="3">
        <v>6676.0</v>
      </c>
      <c r="F11" s="3">
        <v>136.514364001132</v>
      </c>
      <c r="G11" s="3">
        <v>66025.0</v>
      </c>
      <c r="H11" s="3">
        <v>136.618319156124</v>
      </c>
      <c r="I11" s="3">
        <v>53605.0</v>
      </c>
      <c r="J11" s="3">
        <v>125.580767668057</v>
      </c>
      <c r="K11" s="3">
        <v>153798.0</v>
      </c>
      <c r="L11" s="3">
        <v>127.138444050399</v>
      </c>
      <c r="M11" s="3">
        <v>330882.0</v>
      </c>
      <c r="N11" s="3">
        <v>136.60419515948</v>
      </c>
      <c r="O11" s="3">
        <v>62898.0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1" t="s">
        <v>11</v>
      </c>
      <c r="B12" s="3">
        <v>136.625145035118</v>
      </c>
      <c r="C12" s="3">
        <v>80537.0</v>
      </c>
      <c r="D12" s="3">
        <v>56.6224612907086</v>
      </c>
      <c r="E12" s="3">
        <v>2670.0</v>
      </c>
      <c r="F12" s="3">
        <v>86.2100925785648</v>
      </c>
      <c r="G12" s="3">
        <v>98956.0</v>
      </c>
      <c r="H12" s="3">
        <v>131.594193589122</v>
      </c>
      <c r="I12" s="3">
        <v>64501.0</v>
      </c>
      <c r="J12" s="3">
        <v>120.532679162689</v>
      </c>
      <c r="K12" s="3">
        <v>230770.0</v>
      </c>
      <c r="L12" s="3">
        <v>123.144043860173</v>
      </c>
      <c r="M12" s="3">
        <v>252361.0</v>
      </c>
      <c r="N12" s="3">
        <v>136.230160144246</v>
      </c>
      <c r="O12" s="3">
        <v>209034.0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1" t="s">
        <v>12</v>
      </c>
      <c r="B13" s="3">
        <v>136.328200823832</v>
      </c>
      <c r="C13" s="3">
        <v>60586.0</v>
      </c>
      <c r="D13" s="3">
        <v>111.775845926282</v>
      </c>
      <c r="E13" s="3">
        <v>13633.0</v>
      </c>
      <c r="F13" s="3">
        <v>136.335625736594</v>
      </c>
      <c r="G13" s="3">
        <v>31258.0</v>
      </c>
      <c r="H13" s="3">
        <v>54.6082797665313</v>
      </c>
      <c r="I13" s="3">
        <v>16866.0</v>
      </c>
      <c r="J13" s="3">
        <v>136.302643712331</v>
      </c>
      <c r="K13" s="3">
        <v>110557.0</v>
      </c>
      <c r="L13" s="3">
        <v>112.408675231532</v>
      </c>
      <c r="M13" s="3">
        <v>177699.0</v>
      </c>
      <c r="N13" s="3">
        <v>130.689079212964</v>
      </c>
      <c r="O13" s="3">
        <v>41150.0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6" t="s">
        <v>13</v>
      </c>
      <c r="B14" s="4">
        <f>IFERROR(__xludf.DUMMYFUNCTION("AVERAGE.WEIGHTED(B9:B13, C9:C13)"),129.7977134422119)</f>
        <v>129.7977134</v>
      </c>
      <c r="C14" s="2"/>
      <c r="D14" s="4">
        <f>IFERROR(__xludf.DUMMYFUNCTION("AVERAGE.WEIGHTED(D9:D13, E9:E13)"),125.71661338975781)</f>
        <v>125.7166134</v>
      </c>
      <c r="E14" s="2"/>
      <c r="F14" s="4">
        <f>IFERROR(__xludf.DUMMYFUNCTION("AVERAGE.WEIGHTED(F9:F13, G9:G13)"),112.80767159702582)</f>
        <v>112.8076716</v>
      </c>
      <c r="G14" s="2"/>
      <c r="H14" s="4">
        <f>IFERROR(__xludf.DUMMYFUNCTION("AVERAGE.WEIGHTED(H9:H13, I9:I13)"),126.98159416353323)</f>
        <v>126.9815942</v>
      </c>
      <c r="I14" s="2"/>
      <c r="J14" s="4">
        <f>IFERROR(__xludf.DUMMYFUNCTION("AVERAGE.WEIGHTED(J9:J13, K9:K13)"),124.63798712251862)</f>
        <v>124.6379871</v>
      </c>
      <c r="K14" s="2"/>
      <c r="L14" s="4">
        <f>IFERROR(__xludf.DUMMYFUNCTION("AVERAGE.WEIGHTED(L9:L13, M9:M13)"),123.2452576941115)</f>
        <v>123.2452577</v>
      </c>
      <c r="M14" s="2"/>
      <c r="N14" s="4">
        <f>IFERROR(__xludf.DUMMYFUNCTION("AVERAGE.WEIGHTED(N9:N13, O9:O13)"),133.72254574919924)</f>
        <v>133.7225457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1" t="s">
        <v>14</v>
      </c>
      <c r="B16" s="3">
        <v>0.998838518935661</v>
      </c>
      <c r="C16" s="3">
        <v>28412.0</v>
      </c>
      <c r="D16" s="5">
        <v>1.0</v>
      </c>
      <c r="E16" s="3">
        <v>42663.0</v>
      </c>
      <c r="F16" s="3">
        <v>0.987923682294615</v>
      </c>
      <c r="G16" s="3">
        <v>86533.0</v>
      </c>
      <c r="H16" s="3">
        <v>0.995775946413787</v>
      </c>
      <c r="I16" s="3">
        <v>106296.0</v>
      </c>
      <c r="J16" s="3">
        <v>0.99869190271632</v>
      </c>
      <c r="K16" s="3">
        <v>185766.0</v>
      </c>
      <c r="L16" s="3">
        <v>0.997194537156475</v>
      </c>
      <c r="M16" s="3">
        <v>345754.0</v>
      </c>
      <c r="N16" s="3">
        <v>0.999407792991588</v>
      </c>
      <c r="O16" s="3">
        <v>265110.0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1" t="s">
        <v>15</v>
      </c>
      <c r="B17" s="3">
        <v>0.986322607317577</v>
      </c>
      <c r="C17" s="3">
        <v>29026.0</v>
      </c>
      <c r="D17" s="3">
        <v>0.998936943993733</v>
      </c>
      <c r="E17" s="3">
        <v>35746.0</v>
      </c>
      <c r="F17" s="5">
        <v>1.0</v>
      </c>
      <c r="G17" s="3">
        <v>101363.0</v>
      </c>
      <c r="H17" s="3">
        <v>0.997670089473368</v>
      </c>
      <c r="I17" s="3">
        <v>83265.0</v>
      </c>
      <c r="J17" s="3">
        <v>0.98687697338746</v>
      </c>
      <c r="K17" s="3">
        <v>70944.0</v>
      </c>
      <c r="L17" s="3">
        <v>0.994766557529196</v>
      </c>
      <c r="M17" s="3">
        <v>155156.0</v>
      </c>
      <c r="N17" s="3">
        <v>0.995438494453907</v>
      </c>
      <c r="O17" s="3">
        <v>120355.0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1" t="s">
        <v>16</v>
      </c>
      <c r="B18" s="3">
        <v>0.966256489136704</v>
      </c>
      <c r="C18" s="3">
        <v>10402.0</v>
      </c>
      <c r="D18" s="3">
        <v>0.962252846015578</v>
      </c>
      <c r="E18" s="3">
        <v>6676.0</v>
      </c>
      <c r="F18" s="3">
        <v>0.998848920863309</v>
      </c>
      <c r="G18" s="3">
        <v>66025.0</v>
      </c>
      <c r="H18" s="5">
        <v>1.0</v>
      </c>
      <c r="I18" s="3">
        <v>53605.0</v>
      </c>
      <c r="J18" s="3">
        <v>0.994525286414647</v>
      </c>
      <c r="K18" s="3">
        <v>153798.0</v>
      </c>
      <c r="L18" s="3">
        <v>0.996403551719344</v>
      </c>
      <c r="M18" s="3">
        <v>330882.0</v>
      </c>
      <c r="N18" s="3">
        <v>0.999856911189545</v>
      </c>
      <c r="O18" s="3">
        <v>62898.0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1" t="s">
        <v>17</v>
      </c>
      <c r="B19" s="5">
        <v>1.0</v>
      </c>
      <c r="C19" s="3">
        <v>80537.0</v>
      </c>
      <c r="D19" s="3">
        <v>0.952434456928839</v>
      </c>
      <c r="E19" s="3">
        <v>2670.0</v>
      </c>
      <c r="F19" s="3">
        <v>0.9809915518008</v>
      </c>
      <c r="G19" s="3">
        <v>98956.0</v>
      </c>
      <c r="H19" s="3">
        <v>0.994821785708748</v>
      </c>
      <c r="I19" s="3">
        <v>64501.0</v>
      </c>
      <c r="J19" s="3">
        <v>0.998942670191099</v>
      </c>
      <c r="K19" s="3">
        <v>230770.0</v>
      </c>
      <c r="L19" s="3">
        <v>0.995011115029659</v>
      </c>
      <c r="M19" s="3">
        <v>252361.0</v>
      </c>
      <c r="N19" s="3">
        <v>0.999239358190533</v>
      </c>
      <c r="O19" s="3">
        <v>209034.0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1" t="s">
        <v>18</v>
      </c>
      <c r="B20" s="3">
        <v>0.999273759614432</v>
      </c>
      <c r="C20" s="3">
        <v>60586.0</v>
      </c>
      <c r="D20" s="3">
        <v>0.987750311743563</v>
      </c>
      <c r="E20" s="3">
        <v>13633.0</v>
      </c>
      <c r="F20" s="3">
        <v>0.998784311216328</v>
      </c>
      <c r="G20" s="3">
        <v>31258.0</v>
      </c>
      <c r="H20" s="3">
        <v>0.967449306296691</v>
      </c>
      <c r="I20" s="3">
        <v>16866.0</v>
      </c>
      <c r="J20" s="3">
        <v>0.999755782085259</v>
      </c>
      <c r="K20" s="3">
        <v>110557.0</v>
      </c>
      <c r="L20" s="3">
        <v>0.99881822632654</v>
      </c>
      <c r="M20" s="3">
        <v>177699.0</v>
      </c>
      <c r="N20" s="3">
        <v>0.99419198055893</v>
      </c>
      <c r="O20" s="3">
        <v>41150.0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1" t="s">
        <v>19</v>
      </c>
      <c r="B21" s="2">
        <f>IFERROR(__xludf.DUMMYFUNCTION("AVERAGE.WEIGHTED(B16:B20, C16:C20)"),0.9960519326387923)</f>
        <v>0.9960519326</v>
      </c>
      <c r="C21" s="2"/>
      <c r="D21" s="2">
        <f>IFERROR(__xludf.DUMMYFUNCTION("AVERAGE.WEIGHTED(D16:D20, E16:E20)"),0.9942399495009269)</f>
        <v>0.9942399495</v>
      </c>
      <c r="E21" s="2"/>
      <c r="F21" s="2">
        <f>IFERROR(__xludf.DUMMYFUNCTION("AVERAGE.WEIGHTED(F16:F20, G16:G20)"),0.9920861155583319)</f>
        <v>0.9920861156</v>
      </c>
      <c r="G21" s="2"/>
      <c r="H21" s="2">
        <f>IFERROR(__xludf.DUMMYFUNCTION("AVERAGE.WEIGHTED(H16:H20, I16:I20)"),0.9952978587693696)</f>
        <v>0.9952978588</v>
      </c>
      <c r="I21" s="2"/>
      <c r="J21" s="2">
        <f>IFERROR(__xludf.DUMMYFUNCTION("AVERAGE.WEIGHTED(J16:J20, K16:K20)"),0.996958109159589)</f>
        <v>0.9969581092</v>
      </c>
      <c r="K21" s="2"/>
      <c r="L21" s="2">
        <f>IFERROR(__xludf.DUMMYFUNCTION("AVERAGE.WEIGHTED(L16:L20, M16:M20)"),0.9964805698291078)</f>
        <v>0.9964805698</v>
      </c>
      <c r="M21" s="2"/>
      <c r="N21" s="2">
        <f>IFERROR(__xludf.DUMMYFUNCTION("AVERAGE.WEIGHTED(N16:N20, O16:O20)"),0.998406692749378)</f>
        <v>0.9984066927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1" t="s">
        <v>20</v>
      </c>
      <c r="B23" s="3">
        <v>0.00116148106433901</v>
      </c>
      <c r="C23" s="3">
        <v>28412.0</v>
      </c>
      <c r="D23" s="5">
        <v>0.0</v>
      </c>
      <c r="E23" s="3">
        <v>42663.0</v>
      </c>
      <c r="F23" s="3">
        <v>0.012076317705384</v>
      </c>
      <c r="G23" s="3">
        <v>86533.0</v>
      </c>
      <c r="H23" s="3">
        <v>0.00422405358621208</v>
      </c>
      <c r="I23" s="3">
        <v>106296.0</v>
      </c>
      <c r="J23" s="3">
        <v>0.00130809728367946</v>
      </c>
      <c r="K23" s="3">
        <v>185766.0</v>
      </c>
      <c r="L23" s="3">
        <v>0.00280546284352458</v>
      </c>
      <c r="M23" s="3">
        <v>345754.0</v>
      </c>
      <c r="N23" s="3">
        <v>5.92207008411602E-4</v>
      </c>
      <c r="O23" s="3">
        <v>265110.0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1" t="s">
        <v>21</v>
      </c>
      <c r="B24" s="3">
        <v>0.0136773926824226</v>
      </c>
      <c r="C24" s="3">
        <v>29026.0</v>
      </c>
      <c r="D24" s="3">
        <v>0.00106305600626643</v>
      </c>
      <c r="E24" s="3">
        <v>35746.0</v>
      </c>
      <c r="F24" s="5">
        <v>0.0</v>
      </c>
      <c r="G24" s="3">
        <v>101363.0</v>
      </c>
      <c r="H24" s="3">
        <v>0.00232991052663183</v>
      </c>
      <c r="I24" s="3">
        <v>83265.0</v>
      </c>
      <c r="J24" s="3">
        <v>0.0131230266125394</v>
      </c>
      <c r="K24" s="3">
        <v>70944.0</v>
      </c>
      <c r="L24" s="3">
        <v>0.00523344247080357</v>
      </c>
      <c r="M24" s="3">
        <v>155156.0</v>
      </c>
      <c r="N24" s="3">
        <v>0.0045615055460928</v>
      </c>
      <c r="O24" s="3">
        <v>120355.0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1" t="s">
        <v>22</v>
      </c>
      <c r="B25" s="3">
        <v>0.0337435108632955</v>
      </c>
      <c r="C25" s="3">
        <v>10402.0</v>
      </c>
      <c r="D25" s="3">
        <v>0.0377471539844218</v>
      </c>
      <c r="E25" s="3">
        <v>6676.0</v>
      </c>
      <c r="F25" s="3">
        <v>0.00115107913669064</v>
      </c>
      <c r="G25" s="3">
        <v>66025.0</v>
      </c>
      <c r="H25" s="5">
        <v>0.0</v>
      </c>
      <c r="I25" s="3">
        <v>53605.0</v>
      </c>
      <c r="J25" s="3">
        <v>0.00547471358535221</v>
      </c>
      <c r="K25" s="3">
        <v>153798.0</v>
      </c>
      <c r="L25" s="3">
        <v>0.00359644828065594</v>
      </c>
      <c r="M25" s="3">
        <v>330882.0</v>
      </c>
      <c r="N25" s="3">
        <v>1.43088810455022E-4</v>
      </c>
      <c r="O25" s="3">
        <v>62898.0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1" t="s">
        <v>23</v>
      </c>
      <c r="B26" s="5">
        <v>0.0</v>
      </c>
      <c r="C26" s="3">
        <v>80537.0</v>
      </c>
      <c r="D26" s="3">
        <v>0.047565543071161</v>
      </c>
      <c r="E26" s="3">
        <v>2670.0</v>
      </c>
      <c r="F26" s="3">
        <v>0.0190084481991996</v>
      </c>
      <c r="G26" s="3">
        <v>98956.0</v>
      </c>
      <c r="H26" s="3">
        <v>0.00517821429125129</v>
      </c>
      <c r="I26" s="3">
        <v>64501.0</v>
      </c>
      <c r="J26" s="3">
        <v>0.00105732980890063</v>
      </c>
      <c r="K26" s="3">
        <v>230770.0</v>
      </c>
      <c r="L26" s="3">
        <v>0.0049888849703401</v>
      </c>
      <c r="M26" s="3">
        <v>252361.0</v>
      </c>
      <c r="N26" s="3">
        <v>7.60641809466402E-4</v>
      </c>
      <c r="O26" s="3">
        <v>209034.0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1" t="s">
        <v>24</v>
      </c>
      <c r="B27" s="3">
        <v>7.26240385567622E-4</v>
      </c>
      <c r="C27" s="3">
        <v>60586.0</v>
      </c>
      <c r="D27" s="3">
        <v>0.0122496882564365</v>
      </c>
      <c r="E27" s="3">
        <v>13633.0</v>
      </c>
      <c r="F27" s="3">
        <v>0.00121568878367138</v>
      </c>
      <c r="G27" s="3">
        <v>31258.0</v>
      </c>
      <c r="H27" s="3">
        <v>0.0325506937033084</v>
      </c>
      <c r="I27" s="3">
        <v>16866.0</v>
      </c>
      <c r="J27" s="3">
        <v>2.44217914740812E-4</v>
      </c>
      <c r="K27" s="3">
        <v>110557.0</v>
      </c>
      <c r="L27" s="3">
        <v>0.00118177367345905</v>
      </c>
      <c r="M27" s="3">
        <v>177699.0</v>
      </c>
      <c r="N27" s="3">
        <v>0.00580801944106925</v>
      </c>
      <c r="O27" s="3">
        <v>41150.0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1" t="s">
        <v>25</v>
      </c>
      <c r="B28" s="2">
        <f>IFERROR(__xludf.DUMMYFUNCTION("AVERAGE.WEIGHTED(B23:B27, C23:C27)"),0.003948067361207477)</f>
        <v>0.003948067361</v>
      </c>
      <c r="C28" s="2"/>
      <c r="D28" s="2">
        <f>IFERROR(__xludf.DUMMYFUNCTION("AVERAGE.WEIGHTED(D23:D27, E23:E27)"),0.0057600504990728526)</f>
        <v>0.005760050499</v>
      </c>
      <c r="E28" s="2"/>
      <c r="F28" s="2">
        <f>IFERROR(__xludf.DUMMYFUNCTION("AVERAGE.WEIGHTED(F23:F27, G23:G27)"),0.007913884441667613)</f>
        <v>0.007913884442</v>
      </c>
      <c r="G28" s="2"/>
      <c r="H28" s="2">
        <f>IFERROR(__xludf.DUMMYFUNCTION("AVERAGE.WEIGHTED(H23:H27, I23:I27)"),0.004702141230629851)</f>
        <v>0.004702141231</v>
      </c>
      <c r="I28" s="2"/>
      <c r="J28" s="2">
        <f>IFERROR(__xludf.DUMMYFUNCTION("AVERAGE.WEIGHTED(J23:J27, K23:K27)"),0.003041890840410451)</f>
        <v>0.00304189084</v>
      </c>
      <c r="K28" s="2"/>
      <c r="L28" s="2">
        <f>IFERROR(__xludf.DUMMYFUNCTION("AVERAGE.WEIGHTED(L23:L27, M23:M27)"),0.0035194301708916676)</f>
        <v>0.003519430171</v>
      </c>
      <c r="M28" s="2"/>
      <c r="N28" s="2">
        <f>IFERROR(__xludf.DUMMYFUNCTION("AVERAGE.WEIGHTED(N23:N27, O23:O27)"),0.001593307250621645)</f>
        <v>0.001593307251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1" t="s">
        <v>26</v>
      </c>
      <c r="B30" s="3">
        <v>3632740.03953968</v>
      </c>
      <c r="C30" s="3">
        <v>13556.0</v>
      </c>
      <c r="D30" s="3">
        <v>97822.0293029451</v>
      </c>
      <c r="E30" s="3">
        <v>20271.0</v>
      </c>
      <c r="F30" s="3">
        <v>5288497.42732406</v>
      </c>
      <c r="G30" s="3">
        <v>40199.0</v>
      </c>
      <c r="H30" s="3">
        <v>94550.3661099942</v>
      </c>
      <c r="I30" s="3">
        <v>50239.0</v>
      </c>
      <c r="J30" s="3">
        <v>3210860.55682667</v>
      </c>
      <c r="K30" s="3">
        <v>88286.0</v>
      </c>
      <c r="L30" s="3">
        <v>3873684.29578283</v>
      </c>
      <c r="M30" s="3">
        <v>163522.0</v>
      </c>
      <c r="N30" s="3">
        <v>2674573.54545454</v>
      </c>
      <c r="O30" s="3">
        <v>126049.0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1" t="s">
        <v>27</v>
      </c>
      <c r="B31" s="3">
        <v>68865.9731503129</v>
      </c>
      <c r="C31" s="3">
        <v>13259.0</v>
      </c>
      <c r="D31" s="3">
        <v>3828356.50440295</v>
      </c>
      <c r="E31" s="3">
        <v>17034.0</v>
      </c>
      <c r="F31" s="3">
        <v>5602173.05485922</v>
      </c>
      <c r="G31" s="3">
        <v>48269.0</v>
      </c>
      <c r="H31" s="3">
        <v>394456.61791363</v>
      </c>
      <c r="I31" s="3">
        <v>39389.0</v>
      </c>
      <c r="J31" s="3">
        <v>64913.2324452989</v>
      </c>
      <c r="K31" s="3">
        <v>32769.0</v>
      </c>
      <c r="L31" s="3">
        <v>176036.473822779</v>
      </c>
      <c r="M31" s="3">
        <v>72926.0</v>
      </c>
      <c r="N31" s="3">
        <v>1486341.9037353</v>
      </c>
      <c r="O31" s="3">
        <v>56729.0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1" t="s">
        <v>28</v>
      </c>
      <c r="B32" s="3">
        <v>53326.4784899034</v>
      </c>
      <c r="C32" s="3">
        <v>4556.0</v>
      </c>
      <c r="D32" s="3">
        <v>35360.8576883026</v>
      </c>
      <c r="E32" s="3">
        <v>2881.0</v>
      </c>
      <c r="F32" s="3">
        <v>8202623.21353951</v>
      </c>
      <c r="G32" s="3">
        <v>31493.0</v>
      </c>
      <c r="H32" s="3">
        <v>5927498.17091436</v>
      </c>
      <c r="I32" s="3">
        <v>25504.0</v>
      </c>
      <c r="J32" s="3">
        <v>572485.405363952</v>
      </c>
      <c r="K32" s="3">
        <v>72372.0</v>
      </c>
      <c r="L32" s="3">
        <v>1895478.42152426</v>
      </c>
      <c r="M32" s="3">
        <v>156233.0</v>
      </c>
      <c r="N32" s="3">
        <v>3375960.84283045</v>
      </c>
      <c r="O32" s="3">
        <v>29974.0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1" t="s">
        <v>29</v>
      </c>
      <c r="B33" s="3">
        <v>1.029522E7</v>
      </c>
      <c r="C33" s="3">
        <v>38414.0</v>
      </c>
      <c r="D33" s="3">
        <v>44184.1749347258</v>
      </c>
      <c r="E33" s="3">
        <v>1149.0</v>
      </c>
      <c r="F33" s="3">
        <v>1489494.94078552</v>
      </c>
      <c r="G33" s="3">
        <v>44989.0</v>
      </c>
      <c r="H33" s="3">
        <v>7572352.63372456</v>
      </c>
      <c r="I33" s="3">
        <v>30417.0</v>
      </c>
      <c r="J33" s="3">
        <v>785388.040815769</v>
      </c>
      <c r="K33" s="3">
        <v>109835.0</v>
      </c>
      <c r="L33" s="3">
        <v>1199187.54151408</v>
      </c>
      <c r="M33" s="3">
        <v>118514.0</v>
      </c>
      <c r="N33" s="3">
        <v>299468.417592163</v>
      </c>
      <c r="O33" s="3">
        <v>99226.0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1" t="s">
        <v>30</v>
      </c>
      <c r="B34" s="3">
        <v>703556.855445544</v>
      </c>
      <c r="C34" s="3">
        <v>28785.0</v>
      </c>
      <c r="D34" s="3">
        <v>900717.798828743</v>
      </c>
      <c r="E34" s="3">
        <v>6318.0</v>
      </c>
      <c r="F34" s="3">
        <v>3995612.03594902</v>
      </c>
      <c r="G34" s="3">
        <v>14910.0</v>
      </c>
      <c r="H34" s="3">
        <v>125628.183491204</v>
      </c>
      <c r="I34" s="3">
        <v>7390.0</v>
      </c>
      <c r="J34" s="3">
        <v>463665.416866278</v>
      </c>
      <c r="K34" s="3">
        <v>52602.0</v>
      </c>
      <c r="L34" s="3">
        <v>5056422.36254309</v>
      </c>
      <c r="M34" s="3">
        <v>84401.0</v>
      </c>
      <c r="N34" s="3">
        <v>4005132.43425328</v>
      </c>
      <c r="O34" s="3">
        <v>19385.0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1" t="s">
        <v>31</v>
      </c>
      <c r="B35" s="2">
        <f>IFERROR(__xludf.DUMMYFUNCTION("AVERAGE.WEIGHTED(B30:B34, C30:C34)"),4728963.564106725)</f>
        <v>4728963.564</v>
      </c>
      <c r="C35" s="2"/>
      <c r="D35" s="2">
        <f>IFERROR(__xludf.DUMMYFUNCTION("AVERAGE.WEIGHTED(D30:D34, E30:E34)"),1532716.7723543083)</f>
        <v>1532716.772</v>
      </c>
      <c r="E35" s="2"/>
      <c r="F35" s="2">
        <f>IFERROR(__xludf.DUMMYFUNCTION("AVERAGE.WEIGHTED(F30:F34, G30:G34)"),4825499.140870672)</f>
        <v>4825499.141</v>
      </c>
      <c r="G35" s="2"/>
      <c r="H35" s="2">
        <f>IFERROR(__xludf.DUMMYFUNCTION("AVERAGE.WEIGHTED(H30:H34, I30:I34)"),2633199.662957125)</f>
        <v>2633199.663</v>
      </c>
      <c r="I35" s="2"/>
      <c r="J35" s="2">
        <f>IFERROR(__xludf.DUMMYFUNCTION("AVERAGE.WEIGHTED(J30:J34, K30:K34)"),1229924.6743475015)</f>
        <v>1229924.674</v>
      </c>
      <c r="K35" s="2"/>
      <c r="L35" s="2">
        <f>IFERROR(__xludf.DUMMYFUNCTION("AVERAGE.WEIGHTED(L30:L34, M30:M34)"),2537448.4309011456)</f>
        <v>2537448.431</v>
      </c>
      <c r="M35" s="2"/>
      <c r="N35" s="2">
        <f>IFERROR(__xludf.DUMMYFUNCTION("AVERAGE.WEIGHTED(N30:N34, O30:O34)"),1901212.8886840076)</f>
        <v>1901212.889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1" t="s">
        <v>32</v>
      </c>
      <c r="B39" s="1">
        <v>3.0</v>
      </c>
      <c r="C39" s="1" t="s">
        <v>1</v>
      </c>
      <c r="D39" s="1">
        <v>7.0</v>
      </c>
      <c r="E39" s="1" t="s">
        <v>1</v>
      </c>
      <c r="F39" s="1">
        <v>17.0</v>
      </c>
      <c r="G39" s="1" t="s">
        <v>1</v>
      </c>
      <c r="H39" s="1">
        <v>34.0</v>
      </c>
      <c r="I39" s="1" t="s">
        <v>1</v>
      </c>
      <c r="J39" s="1">
        <v>68.0</v>
      </c>
      <c r="K39" s="1" t="s">
        <v>1</v>
      </c>
      <c r="L39" s="1">
        <v>100.0</v>
      </c>
      <c r="M39" s="1" t="s">
        <v>1</v>
      </c>
      <c r="N39" s="1">
        <v>130.0</v>
      </c>
      <c r="O39" s="1" t="s">
        <v>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1" t="s">
        <v>2</v>
      </c>
      <c r="B40" s="3">
        <v>11.9829</v>
      </c>
      <c r="C40" s="3">
        <v>76432.0</v>
      </c>
      <c r="D40" s="3">
        <v>11.2876</v>
      </c>
      <c r="E40" s="3">
        <v>17056.0</v>
      </c>
      <c r="F40" s="3">
        <v>11.1122</v>
      </c>
      <c r="G40" s="3">
        <v>35732.0</v>
      </c>
      <c r="H40" s="5">
        <v>13.8281064882186</v>
      </c>
      <c r="I40" s="3">
        <v>26525.0</v>
      </c>
      <c r="J40" s="3">
        <v>22.1151346126317</v>
      </c>
      <c r="K40" s="3">
        <v>51695.0</v>
      </c>
      <c r="L40" s="3">
        <v>35.5103095281058</v>
      </c>
      <c r="M40" s="3">
        <v>36576.0</v>
      </c>
      <c r="N40" s="3">
        <v>12.9432104838632</v>
      </c>
      <c r="O40" s="3">
        <v>105009.0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1" t="s">
        <v>3</v>
      </c>
      <c r="B41" s="3">
        <v>11.1554</v>
      </c>
      <c r="C41" s="3">
        <v>13639.0</v>
      </c>
      <c r="D41" s="3">
        <v>13.2143</v>
      </c>
      <c r="E41" s="3">
        <v>2128.0</v>
      </c>
      <c r="F41" s="3">
        <v>11.457</v>
      </c>
      <c r="G41" s="3">
        <v>8169.0</v>
      </c>
      <c r="H41" s="3">
        <v>13.1504</v>
      </c>
      <c r="I41" s="3">
        <v>22655.0</v>
      </c>
      <c r="J41" s="3">
        <v>20.0639714732827</v>
      </c>
      <c r="K41" s="3">
        <v>78919.0</v>
      </c>
      <c r="L41" s="3">
        <v>17.7189958588192</v>
      </c>
      <c r="M41" s="3">
        <v>66213.0</v>
      </c>
      <c r="N41" s="3">
        <v>11.4555099183228</v>
      </c>
      <c r="O41" s="3">
        <v>150348.0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1" t="s">
        <v>4</v>
      </c>
      <c r="B42" s="3">
        <v>13.0169</v>
      </c>
      <c r="C42" s="3">
        <v>44164.0</v>
      </c>
      <c r="D42" s="3">
        <v>10.9585</v>
      </c>
      <c r="E42" s="3">
        <v>4892.0</v>
      </c>
      <c r="F42" s="3">
        <v>12.1167</v>
      </c>
      <c r="G42" s="3">
        <v>5398.0</v>
      </c>
      <c r="H42" s="3">
        <v>11.0523</v>
      </c>
      <c r="I42" s="3">
        <v>10995.0</v>
      </c>
      <c r="J42" s="3">
        <v>11.7286826459914</v>
      </c>
      <c r="K42" s="3">
        <v>39403.0</v>
      </c>
      <c r="L42" s="3">
        <v>17.7117705377799</v>
      </c>
      <c r="M42" s="3">
        <v>63539.0</v>
      </c>
      <c r="N42" s="3">
        <v>15.2320288102247</v>
      </c>
      <c r="O42" s="3">
        <v>67601.0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1" t="s">
        <v>5</v>
      </c>
      <c r="B43" s="3">
        <v>10.7279</v>
      </c>
      <c r="C43" s="3">
        <v>6542.0</v>
      </c>
      <c r="D43" s="3">
        <v>11.6059</v>
      </c>
      <c r="E43" s="3">
        <v>17529.0</v>
      </c>
      <c r="F43" s="3">
        <v>11.2817</v>
      </c>
      <c r="G43" s="3">
        <v>19863.0</v>
      </c>
      <c r="H43" s="5">
        <v>13.3461943738189</v>
      </c>
      <c r="I43" s="3">
        <v>23284.0</v>
      </c>
      <c r="J43" s="3">
        <v>11.5577443569374</v>
      </c>
      <c r="K43" s="3">
        <v>58408.0</v>
      </c>
      <c r="L43" s="3">
        <v>11.2583400014664</v>
      </c>
      <c r="M43" s="3">
        <v>95469.0</v>
      </c>
      <c r="N43" s="3">
        <v>18.641712628738</v>
      </c>
      <c r="O43" s="3">
        <v>96708.0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1" t="s">
        <v>6</v>
      </c>
      <c r="B44" s="3">
        <v>10.843</v>
      </c>
      <c r="C44" s="3">
        <v>11630.0</v>
      </c>
      <c r="D44" s="3">
        <v>73.343</v>
      </c>
      <c r="E44" s="3">
        <v>1455.0</v>
      </c>
      <c r="F44" s="3">
        <v>11.5849</v>
      </c>
      <c r="G44" s="3">
        <v>5064.0</v>
      </c>
      <c r="H44" s="5">
        <v>21.9282</v>
      </c>
      <c r="I44" s="3">
        <v>28720.0</v>
      </c>
      <c r="J44" s="3">
        <v>11.2324929842449</v>
      </c>
      <c r="K44" s="3">
        <v>101999.0</v>
      </c>
      <c r="L44" s="3">
        <v>16.9328155079693</v>
      </c>
      <c r="M44" s="3">
        <v>143739.0</v>
      </c>
      <c r="N44" s="3">
        <v>21.3710066650709</v>
      </c>
      <c r="O44" s="3">
        <v>54313.0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1" t="s">
        <v>33</v>
      </c>
      <c r="B45" s="1">
        <f>IFERROR(__xludf.DUMMYFUNCTION("AVERAGE.WEIGHTED(B40:B44, C40:C44)"),12.06762088880432)</f>
        <v>12.06762089</v>
      </c>
      <c r="C45" s="2"/>
      <c r="D45" s="4">
        <f>IFERROR(__xludf.DUMMYFUNCTION("AVERAGE.WEIGHTED(D40:D44, E40:E44)"),13.571857967951695)</f>
        <v>13.57185797</v>
      </c>
      <c r="E45" s="2"/>
      <c r="F45" s="4">
        <f>IFERROR(__xludf.DUMMYFUNCTION("AVERAGE.WEIGHTED(F40:F44, G40:G44)"),11.300806330665804)</f>
        <v>11.30080633</v>
      </c>
      <c r="G45" s="2"/>
      <c r="H45" s="4">
        <f>IFERROR(__xludf.DUMMYFUNCTION("AVERAGE.WEIGHTED(H40:H44, I40:I44)"),15.392930663493146)</f>
        <v>15.39293066</v>
      </c>
      <c r="I45" s="2"/>
      <c r="J45" s="4">
        <f>IFERROR(__xludf.DUMMYFUNCTION("AVERAGE.WEIGHTED(J40:J44, K40:K44)"),15.161076420296308)</f>
        <v>15.16107642</v>
      </c>
      <c r="K45" s="2"/>
      <c r="L45" s="4">
        <f>IFERROR(__xludf.DUMMYFUNCTION("AVERAGE.WEIGHTED(L40:L44, M40:M44)"),17.52290689901756)</f>
        <v>17.5229069</v>
      </c>
      <c r="M45" s="2"/>
      <c r="N45" s="4">
        <f>IFERROR(__xludf.DUMMYFUNCTION("AVERAGE.WEIGHTED(N40:N44, O40:O44)"),14.926174375657945)</f>
        <v>14.92617438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1" t="s">
        <v>8</v>
      </c>
      <c r="B47" s="3">
        <v>136.576751063092</v>
      </c>
      <c r="C47" s="3">
        <v>153480.0</v>
      </c>
      <c r="D47" s="3">
        <v>136.716912014397</v>
      </c>
      <c r="E47" s="3">
        <v>34151.0</v>
      </c>
      <c r="F47" s="3">
        <v>136.636979588535</v>
      </c>
      <c r="G47" s="3">
        <v>71692.0</v>
      </c>
      <c r="H47" s="3">
        <v>121.07941898587</v>
      </c>
      <c r="I47" s="3">
        <v>54229.0</v>
      </c>
      <c r="J47" s="3">
        <v>122.372722008549</v>
      </c>
      <c r="K47" s="3">
        <v>105631.0</v>
      </c>
      <c r="L47" s="3">
        <v>99.3643206966796</v>
      </c>
      <c r="M47" s="3">
        <v>76408.0</v>
      </c>
      <c r="N47" s="3">
        <v>124.115920803541</v>
      </c>
      <c r="O47" s="3">
        <v>211880.0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1" t="s">
        <v>9</v>
      </c>
      <c r="B48" s="3">
        <v>136.358021872011</v>
      </c>
      <c r="C48" s="3">
        <v>27321.0</v>
      </c>
      <c r="D48" s="3">
        <v>136.590485252919</v>
      </c>
      <c r="E48" s="3">
        <v>4259.0</v>
      </c>
      <c r="F48" s="3">
        <v>136.680808663337</v>
      </c>
      <c r="G48" s="3">
        <v>16341.0</v>
      </c>
      <c r="H48" s="3">
        <v>136.676120826928</v>
      </c>
      <c r="I48" s="3">
        <v>45429.0</v>
      </c>
      <c r="J48" s="3">
        <v>124.959817749583</v>
      </c>
      <c r="K48" s="3">
        <v>160609.0</v>
      </c>
      <c r="L48" s="3">
        <v>127.604083900917</v>
      </c>
      <c r="M48" s="3">
        <v>134292.0</v>
      </c>
      <c r="N48" s="3">
        <v>136.544199842016</v>
      </c>
      <c r="O48" s="3">
        <v>302003.0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1" t="s">
        <v>10</v>
      </c>
      <c r="B49" s="3">
        <v>136.470317384956</v>
      </c>
      <c r="C49" s="3">
        <v>88608.0</v>
      </c>
      <c r="D49" s="3">
        <v>135.722953575792</v>
      </c>
      <c r="E49" s="3">
        <v>9919.0</v>
      </c>
      <c r="F49" s="3">
        <v>136.233990053355</v>
      </c>
      <c r="G49" s="3">
        <v>10925.0</v>
      </c>
      <c r="H49" s="3">
        <v>135.937756488433</v>
      </c>
      <c r="I49" s="3">
        <v>21993.0</v>
      </c>
      <c r="J49" s="3">
        <v>136.355492556892</v>
      </c>
      <c r="K49" s="3">
        <v>79774.0</v>
      </c>
      <c r="L49" s="3">
        <v>126.25483168924</v>
      </c>
      <c r="M49" s="3">
        <v>128677.0</v>
      </c>
      <c r="N49" s="3">
        <v>107.222007800512</v>
      </c>
      <c r="O49" s="3">
        <v>137553.0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1" t="s">
        <v>11</v>
      </c>
      <c r="B50" s="3">
        <v>136.413158440207</v>
      </c>
      <c r="C50" s="3">
        <v>13124.0</v>
      </c>
      <c r="D50" s="3">
        <v>136.385390891456</v>
      </c>
      <c r="E50" s="3">
        <v>35288.0</v>
      </c>
      <c r="F50" s="3">
        <v>136.292070717515</v>
      </c>
      <c r="G50" s="3">
        <v>39873.0</v>
      </c>
      <c r="H50" s="5">
        <v>128.759777145504</v>
      </c>
      <c r="I50" s="3">
        <v>47919.0</v>
      </c>
      <c r="J50" s="3">
        <v>136.539339034983</v>
      </c>
      <c r="K50" s="3">
        <v>117228.0</v>
      </c>
      <c r="L50" s="3">
        <v>136.420056799632</v>
      </c>
      <c r="M50" s="3">
        <v>192227.0</v>
      </c>
      <c r="N50" s="3">
        <v>124.198671529816</v>
      </c>
      <c r="O50" s="3">
        <v>197996.0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1" t="s">
        <v>12</v>
      </c>
      <c r="B51" s="3">
        <v>136.307499885666</v>
      </c>
      <c r="C51" s="3">
        <v>23541.0</v>
      </c>
      <c r="D51" s="3">
        <v>135.349654188484</v>
      </c>
      <c r="E51" s="3">
        <v>2917.0</v>
      </c>
      <c r="F51" s="3">
        <v>136.731569104022</v>
      </c>
      <c r="G51" s="3">
        <v>10169.0</v>
      </c>
      <c r="H51" s="5">
        <v>120.295633115006</v>
      </c>
      <c r="I51" s="3">
        <v>60456.0</v>
      </c>
      <c r="J51" s="3">
        <v>136.376391900697</v>
      </c>
      <c r="K51" s="3">
        <v>204706.0</v>
      </c>
      <c r="L51" s="3">
        <v>123.206453868583</v>
      </c>
      <c r="M51" s="3">
        <v>291391.0</v>
      </c>
      <c r="N51" s="3">
        <v>123.384124385149</v>
      </c>
      <c r="O51" s="3">
        <v>111634.0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1" t="s">
        <v>34</v>
      </c>
      <c r="B52" s="4">
        <f>IFERROR(__xludf.DUMMYFUNCTION("AVERAGE.WEIGHTED(B47:B51, C47:C51)"),136.49869083212718)</f>
        <v>136.4986908</v>
      </c>
      <c r="C52" s="2"/>
      <c r="D52" s="4">
        <f>IFERROR(__xludf.DUMMYFUNCTION("AVERAGE.WEIGHTED(D47:D51, E47:E51)"),136.41547519425478)</f>
        <v>136.4154752</v>
      </c>
      <c r="E52" s="2"/>
      <c r="F52" s="4">
        <f>IFERROR(__xludf.DUMMYFUNCTION("AVERAGE.WEIGHTED(F47:F51, G47:G51)"),136.5263948879196)</f>
        <v>136.5263949</v>
      </c>
      <c r="G52" s="2"/>
      <c r="H52" s="4">
        <f>IFERROR(__xludf.DUMMYFUNCTION("AVERAGE.WEIGHTED(H47:H51, I47:I51)"),126.97428525609094)</f>
        <v>126.9742853</v>
      </c>
      <c r="I52" s="2"/>
      <c r="J52" s="4">
        <f>IFERROR(__xludf.DUMMYFUNCTION("AVERAGE.WEIGHTED(J47:J51, K47:K51)"),131.44278708444128)</f>
        <v>131.4427871</v>
      </c>
      <c r="K52" s="2"/>
      <c r="L52" s="4">
        <f>IFERROR(__xludf.DUMMYFUNCTION("AVERAGE.WEIGHTED(L47:L51, M47:M51)"),125.27342169263885)</f>
        <v>125.2734217</v>
      </c>
      <c r="M52" s="2"/>
      <c r="N52" s="4">
        <f>IFERROR(__xludf.DUMMYFUNCTION("AVERAGE.WEIGHTED(N47:N51, O47:O51)"),125.53544879701876)</f>
        <v>125.5354488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1" t="s">
        <v>14</v>
      </c>
      <c r="B54" s="3">
        <v>0.999960906958561</v>
      </c>
      <c r="C54" s="3">
        <v>153480.0</v>
      </c>
      <c r="D54" s="3">
        <v>1.0</v>
      </c>
      <c r="E54" s="3">
        <v>34151.0</v>
      </c>
      <c r="F54" s="3">
        <v>0.999469954806673</v>
      </c>
      <c r="G54" s="3">
        <v>71692.0</v>
      </c>
      <c r="H54" s="3">
        <v>0.992734514743034</v>
      </c>
      <c r="I54" s="3">
        <v>54229.0</v>
      </c>
      <c r="J54" s="3">
        <v>0.993306889076123</v>
      </c>
      <c r="K54" s="3">
        <v>105631.0</v>
      </c>
      <c r="L54" s="3">
        <v>0.985250235577426</v>
      </c>
      <c r="M54" s="3">
        <v>76408.0</v>
      </c>
      <c r="N54" s="3">
        <v>0.99851802907306</v>
      </c>
      <c r="O54" s="3">
        <v>211880.0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1" t="s">
        <v>15</v>
      </c>
      <c r="B55" s="3">
        <v>0.998609128509205</v>
      </c>
      <c r="C55" s="3">
        <v>27321.0</v>
      </c>
      <c r="D55" s="3">
        <v>1.0</v>
      </c>
      <c r="E55" s="3">
        <v>4259.0</v>
      </c>
      <c r="F55" s="5">
        <v>1.0</v>
      </c>
      <c r="G55" s="3">
        <v>16341.0</v>
      </c>
      <c r="H55" s="3">
        <v>0.999075480419996</v>
      </c>
      <c r="I55" s="3">
        <v>45429.0</v>
      </c>
      <c r="J55" s="3">
        <v>0.995392537155452</v>
      </c>
      <c r="K55" s="3">
        <v>160609.0</v>
      </c>
      <c r="L55" s="3">
        <v>0.99546510588866</v>
      </c>
      <c r="M55" s="3">
        <v>134292.0</v>
      </c>
      <c r="N55" s="3">
        <v>0.999639076433015</v>
      </c>
      <c r="O55" s="3">
        <v>302003.0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1" t="s">
        <v>16</v>
      </c>
      <c r="B56" s="3">
        <v>0.999954857349223</v>
      </c>
      <c r="C56" s="3">
        <v>88608.0</v>
      </c>
      <c r="D56" s="3">
        <v>1.0</v>
      </c>
      <c r="E56" s="3">
        <v>9919.0</v>
      </c>
      <c r="F56" s="3">
        <v>0.997070938215103</v>
      </c>
      <c r="G56" s="3">
        <v>10925.0</v>
      </c>
      <c r="H56" s="5">
        <v>1.0</v>
      </c>
      <c r="I56" s="3">
        <v>21993.0</v>
      </c>
      <c r="J56" s="3">
        <v>0.999460977260761</v>
      </c>
      <c r="K56" s="3">
        <v>79774.0</v>
      </c>
      <c r="L56" s="3">
        <v>0.997132354655455</v>
      </c>
      <c r="M56" s="3">
        <v>128677.0</v>
      </c>
      <c r="N56" s="3">
        <v>0.995361787819967</v>
      </c>
      <c r="O56" s="3">
        <v>137553.0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1" t="s">
        <v>17</v>
      </c>
      <c r="B57" s="3">
        <v>0.997561718988113</v>
      </c>
      <c r="C57" s="3">
        <v>13124.0</v>
      </c>
      <c r="D57" s="3">
        <v>0.998781455452278</v>
      </c>
      <c r="E57" s="3">
        <v>35288.0</v>
      </c>
      <c r="F57" s="5">
        <v>1.0</v>
      </c>
      <c r="G57" s="3">
        <v>39873.0</v>
      </c>
      <c r="H57" s="3">
        <v>0.991297815062918</v>
      </c>
      <c r="I57" s="3">
        <v>47919.0</v>
      </c>
      <c r="J57" s="3">
        <v>0.999633193435015</v>
      </c>
      <c r="K57" s="3">
        <v>117228.0</v>
      </c>
      <c r="L57" s="3">
        <v>0.999302907499987</v>
      </c>
      <c r="M57" s="3">
        <v>192227.0</v>
      </c>
      <c r="N57" s="3">
        <v>0.995080708701185</v>
      </c>
      <c r="O57" s="3">
        <v>197996.0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1" t="s">
        <v>18</v>
      </c>
      <c r="B58" s="3">
        <v>0.998385794995964</v>
      </c>
      <c r="C58" s="3">
        <v>23541.0</v>
      </c>
      <c r="D58" s="3">
        <v>0.998285910181693</v>
      </c>
      <c r="E58" s="3">
        <v>2917.0</v>
      </c>
      <c r="F58" s="3">
        <v>0.996263152719048</v>
      </c>
      <c r="G58" s="3">
        <v>10169.0</v>
      </c>
      <c r="H58" s="3">
        <v>0.984649993383617</v>
      </c>
      <c r="I58" s="3">
        <v>60456.0</v>
      </c>
      <c r="J58" s="3">
        <v>0.999814367922777</v>
      </c>
      <c r="K58" s="3">
        <v>204706.0</v>
      </c>
      <c r="L58" s="3">
        <v>0.996176958107834</v>
      </c>
      <c r="M58" s="3">
        <v>291391.0</v>
      </c>
      <c r="N58" s="3">
        <v>0.993953455040579</v>
      </c>
      <c r="O58" s="3">
        <v>111634.0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1" t="s">
        <v>35</v>
      </c>
      <c r="B59" s="2">
        <f>IFERROR(__xludf.DUMMYFUNCTION("AVERAGE.WEIGHTED(B54:B58, C54:C58)"),0.9996144723171516)</f>
        <v>0.9996144723</v>
      </c>
      <c r="C59" s="2"/>
      <c r="D59" s="2">
        <f>IFERROR(__xludf.DUMMYFUNCTION("AVERAGE.WEIGHTED(D54:D58, E54:E58)"),0.9994453047357107)</f>
        <v>0.9994453047</v>
      </c>
      <c r="E59" s="2"/>
      <c r="F59" s="2">
        <f>IFERROR(__xludf.DUMMYFUNCTION("AVERAGE.WEIGHTED(F54:F58, G54:G58)"),0.9992751677852348)</f>
        <v>0.9992751678</v>
      </c>
      <c r="G59" s="2"/>
      <c r="H59" s="2">
        <f>IFERROR(__xludf.DUMMYFUNCTION("AVERAGE.WEIGHTED(H54:H58, I54:I58)"),0.9922573969899051)</f>
        <v>0.992257397</v>
      </c>
      <c r="I59" s="2"/>
      <c r="J59" s="2">
        <f>IFERROR(__xludf.DUMMYFUNCTION("AVERAGE.WEIGHTED(J54:J58, K54:K58)"),0.9976480205045899)</f>
        <v>0.9976480205</v>
      </c>
      <c r="K59" s="2"/>
      <c r="L59" s="2">
        <f>IFERROR(__xludf.DUMMYFUNCTION("AVERAGE.WEIGHTED(L54:L58, M54:M58)"),0.9959258561716654)</f>
        <v>0.9959258562</v>
      </c>
      <c r="M59" s="2"/>
      <c r="N59" s="2">
        <f>IFERROR(__xludf.DUMMYFUNCTION("AVERAGE.WEIGHTED(N54:N58, O54:O58)"),0.9971802144701816)</f>
        <v>0.9971802145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1" t="s">
        <v>20</v>
      </c>
      <c r="B61" s="8">
        <v>3.90930414386239E-5</v>
      </c>
      <c r="C61" s="3">
        <v>153480.0</v>
      </c>
      <c r="D61" s="3">
        <v>0.0</v>
      </c>
      <c r="E61" s="3">
        <v>34151.0</v>
      </c>
      <c r="F61" s="3">
        <v>5.3004519332701E-4</v>
      </c>
      <c r="G61" s="3">
        <v>71692.0</v>
      </c>
      <c r="H61" s="3">
        <v>0.00726548525696583</v>
      </c>
      <c r="I61" s="3">
        <v>54229.0</v>
      </c>
      <c r="J61" s="3">
        <v>0.00669311092387651</v>
      </c>
      <c r="K61" s="3">
        <v>105631.0</v>
      </c>
      <c r="L61" s="3">
        <v>0.0147497644225735</v>
      </c>
      <c r="M61" s="3">
        <v>76408.0</v>
      </c>
      <c r="N61" s="3">
        <v>0.00148197092693977</v>
      </c>
      <c r="O61" s="3">
        <v>211880.0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1" t="s">
        <v>21</v>
      </c>
      <c r="B62" s="3">
        <v>0.00139087149079462</v>
      </c>
      <c r="C62" s="3">
        <v>27321.0</v>
      </c>
      <c r="D62" s="3">
        <v>0.0</v>
      </c>
      <c r="E62" s="3">
        <v>4259.0</v>
      </c>
      <c r="F62" s="5">
        <v>0.0</v>
      </c>
      <c r="G62" s="3">
        <v>16341.0</v>
      </c>
      <c r="H62" s="3">
        <v>9.24519580003962E-4</v>
      </c>
      <c r="I62" s="3">
        <v>45429.0</v>
      </c>
      <c r="J62" s="3">
        <v>0.00460746284454793</v>
      </c>
      <c r="K62" s="3">
        <v>160609.0</v>
      </c>
      <c r="L62" s="3">
        <v>0.00453489411133946</v>
      </c>
      <c r="M62" s="3">
        <v>134292.0</v>
      </c>
      <c r="N62" s="3">
        <v>3.60923566984433E-4</v>
      </c>
      <c r="O62" s="3">
        <v>302003.0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1" t="s">
        <v>22</v>
      </c>
      <c r="B63" s="9">
        <v>4.51426507764535E-5</v>
      </c>
      <c r="C63" s="3">
        <v>88608.0</v>
      </c>
      <c r="D63" s="3">
        <v>0.0</v>
      </c>
      <c r="E63" s="3">
        <v>9919.0</v>
      </c>
      <c r="F63" s="3">
        <v>0.00292906178489702</v>
      </c>
      <c r="G63" s="3">
        <v>10925.0</v>
      </c>
      <c r="H63" s="5">
        <v>0.0</v>
      </c>
      <c r="I63" s="3">
        <v>21993.0</v>
      </c>
      <c r="J63" s="3">
        <v>5.39022739238348E-4</v>
      </c>
      <c r="K63" s="3">
        <v>79774.0</v>
      </c>
      <c r="L63" s="3">
        <v>0.00286764534454486</v>
      </c>
      <c r="M63" s="3">
        <v>128677.0</v>
      </c>
      <c r="N63" s="3">
        <v>0.00463821218003242</v>
      </c>
      <c r="O63" s="3">
        <v>137553.0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1" t="s">
        <v>23</v>
      </c>
      <c r="B64" s="3">
        <v>0.00243828101188661</v>
      </c>
      <c r="C64" s="3">
        <v>13124.0</v>
      </c>
      <c r="D64" s="3">
        <v>0.0012185445477216</v>
      </c>
      <c r="E64" s="3">
        <v>35288.0</v>
      </c>
      <c r="F64" s="5">
        <v>0.0</v>
      </c>
      <c r="G64" s="3">
        <v>39873.0</v>
      </c>
      <c r="H64" s="3">
        <v>0.00870218493708132</v>
      </c>
      <c r="I64" s="3">
        <v>47919.0</v>
      </c>
      <c r="J64" s="3">
        <v>3.66806564984474E-4</v>
      </c>
      <c r="K64" s="3">
        <v>117228.0</v>
      </c>
      <c r="L64" s="3">
        <v>6.97092500013005E-4</v>
      </c>
      <c r="M64" s="3">
        <v>192227.0</v>
      </c>
      <c r="N64" s="3">
        <v>0.00491929129881411</v>
      </c>
      <c r="O64" s="3">
        <v>197996.0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1" t="s">
        <v>24</v>
      </c>
      <c r="B65" s="3">
        <v>0.00161420500403551</v>
      </c>
      <c r="C65" s="3">
        <v>23541.0</v>
      </c>
      <c r="D65" s="3">
        <v>0.00171408981830647</v>
      </c>
      <c r="E65" s="3">
        <v>2917.0</v>
      </c>
      <c r="F65" s="3">
        <v>0.00373684728095191</v>
      </c>
      <c r="G65" s="3">
        <v>10169.0</v>
      </c>
      <c r="H65" s="3">
        <v>0.0153500066163821</v>
      </c>
      <c r="I65" s="3">
        <v>60456.0</v>
      </c>
      <c r="J65" s="3">
        <v>1.85632077222944E-4</v>
      </c>
      <c r="K65" s="3">
        <v>204706.0</v>
      </c>
      <c r="L65" s="3">
        <v>0.0038230418921655</v>
      </c>
      <c r="M65" s="3">
        <v>291391.0</v>
      </c>
      <c r="N65" s="3">
        <v>0.00604654495942096</v>
      </c>
      <c r="O65" s="3">
        <v>111634.0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1" t="s">
        <v>36</v>
      </c>
      <c r="B66" s="2">
        <f>IFERROR(__xludf.DUMMYFUNCTION("AVERAGE.WEIGHTED(B61:B65, C61:C65)"),3.855276828479374E-4)</f>
        <v>0.0003855276828</v>
      </c>
      <c r="C66" s="2"/>
      <c r="D66" s="2">
        <f>IFERROR(__xludf.DUMMYFUNCTION("AVERAGE.WEIGHTED(D61:D65, E61:E65)"),5.546952642891788E-4)</f>
        <v>0.0005546952643</v>
      </c>
      <c r="E66" s="2"/>
      <c r="F66" s="2">
        <f>IFERROR(__xludf.DUMMYFUNCTION("AVERAGE.WEIGHTED(F61:F65, G61:G65)"),7.248322147651001E-4)</f>
        <v>0.0007248322148</v>
      </c>
      <c r="G66" s="2"/>
      <c r="H66" s="2">
        <f>IFERROR(__xludf.DUMMYFUNCTION("AVERAGE.WEIGHTED(H61:H65, I61:I65)"),0.007742603010094494)</f>
        <v>0.00774260301</v>
      </c>
      <c r="I66" s="2"/>
      <c r="J66" s="2">
        <f>IFERROR(__xludf.DUMMYFUNCTION("AVERAGE.WEIGHTED(J61:J65, K61:K65)"),0.002351979495409819)</f>
        <v>0.002351979495</v>
      </c>
      <c r="K66" s="2"/>
      <c r="L66" s="2">
        <f>IFERROR(__xludf.DUMMYFUNCTION("AVERAGE.WEIGHTED(L61:L65, M61:M65)"),0.0040741438283343045)</f>
        <v>0.004074143828</v>
      </c>
      <c r="M66" s="2"/>
      <c r="N66" s="2">
        <f>IFERROR(__xludf.DUMMYFUNCTION("AVERAGE.WEIGHTED(N61:N65, O61:O65)"),0.0028197855298179265)</f>
        <v>0.00281978553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1" t="s">
        <v>26</v>
      </c>
      <c r="B68" s="3">
        <v>8603165.20320065</v>
      </c>
      <c r="C68" s="3">
        <v>73110.0</v>
      </c>
      <c r="D68" s="3">
        <v>4367060.0</v>
      </c>
      <c r="E68" s="3">
        <v>16294.0</v>
      </c>
      <c r="F68" s="3">
        <v>512682.463743083</v>
      </c>
      <c r="G68" s="3">
        <v>34159.0</v>
      </c>
      <c r="H68" s="3">
        <v>4672376.97148027</v>
      </c>
      <c r="I68" s="3">
        <v>25421.0</v>
      </c>
      <c r="J68" s="3">
        <v>182204.176852767</v>
      </c>
      <c r="K68" s="3">
        <v>49561.0</v>
      </c>
      <c r="L68" s="3">
        <v>2431825.43603348</v>
      </c>
      <c r="M68" s="3">
        <v>35245.0</v>
      </c>
      <c r="N68" s="3">
        <v>2433906.94695108</v>
      </c>
      <c r="O68" s="3">
        <v>100511.0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1" t="s">
        <v>27</v>
      </c>
      <c r="B69" s="3">
        <v>3492040.04113268</v>
      </c>
      <c r="C69" s="3">
        <v>13031.0</v>
      </c>
      <c r="D69" s="3">
        <v>545380.0</v>
      </c>
      <c r="E69" s="3">
        <v>2034.0</v>
      </c>
      <c r="F69" s="3">
        <v>2092008.0</v>
      </c>
      <c r="G69" s="3">
        <v>7805.0</v>
      </c>
      <c r="H69" s="3">
        <v>5800324.02476436</v>
      </c>
      <c r="I69" s="3">
        <v>21644.0</v>
      </c>
      <c r="J69" s="3">
        <v>3758096.09396931</v>
      </c>
      <c r="K69" s="3">
        <v>75663.0</v>
      </c>
      <c r="L69" s="3">
        <v>3488733.62650545</v>
      </c>
      <c r="M69" s="3">
        <v>63436.0</v>
      </c>
      <c r="N69" s="3">
        <v>2630266.19864057</v>
      </c>
      <c r="O69" s="3">
        <v>143737.0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1" t="s">
        <v>28</v>
      </c>
      <c r="B70" s="3">
        <v>3948592.16476048</v>
      </c>
      <c r="C70" s="3">
        <v>42231.0</v>
      </c>
      <c r="D70" s="3">
        <v>35301.3802427081</v>
      </c>
      <c r="E70" s="3">
        <v>4697.0</v>
      </c>
      <c r="F70" s="3">
        <v>374266.601313502</v>
      </c>
      <c r="G70" s="3">
        <v>5177.0</v>
      </c>
      <c r="H70" s="3">
        <v>2815340.0</v>
      </c>
      <c r="I70" s="3">
        <v>10504.0</v>
      </c>
      <c r="J70" s="3">
        <v>167167.728216262</v>
      </c>
      <c r="K70" s="3">
        <v>37769.0</v>
      </c>
      <c r="L70" s="3">
        <v>72024.4785093698</v>
      </c>
      <c r="M70" s="3">
        <v>60887.0</v>
      </c>
      <c r="N70" s="3">
        <v>1058959.63315125</v>
      </c>
      <c r="O70" s="3">
        <v>64806.0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1" t="s">
        <v>29</v>
      </c>
      <c r="B71" s="3">
        <v>1675536.0</v>
      </c>
      <c r="C71" s="3">
        <v>6251.0</v>
      </c>
      <c r="D71" s="3">
        <v>68428.6735448473</v>
      </c>
      <c r="E71" s="3">
        <v>16768.0</v>
      </c>
      <c r="F71" s="3">
        <v>951309.889128718</v>
      </c>
      <c r="G71" s="3">
        <v>18995.0</v>
      </c>
      <c r="H71" s="3">
        <v>462146.175977529</v>
      </c>
      <c r="I71" s="3">
        <v>22429.0</v>
      </c>
      <c r="J71" s="3">
        <v>3672307.48593794</v>
      </c>
      <c r="K71" s="3">
        <v>55824.0</v>
      </c>
      <c r="L71" s="3">
        <v>438521.983500843</v>
      </c>
      <c r="M71" s="3">
        <v>91338.0</v>
      </c>
      <c r="N71" s="3">
        <v>49569.9158063578</v>
      </c>
      <c r="O71" s="3">
        <v>92893.0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1" t="s">
        <v>30</v>
      </c>
      <c r="B72" s="3">
        <v>153168.737851891</v>
      </c>
      <c r="C72" s="3">
        <v>11154.0</v>
      </c>
      <c r="D72" s="3">
        <v>373056.0</v>
      </c>
      <c r="E72" s="3">
        <v>1391.0</v>
      </c>
      <c r="F72" s="3">
        <v>1296852.1107438</v>
      </c>
      <c r="G72" s="3">
        <v>4840.0</v>
      </c>
      <c r="H72" s="3">
        <v>2322011.13022033</v>
      </c>
      <c r="I72" s="3">
        <v>27776.0</v>
      </c>
      <c r="J72" s="3">
        <v>2029173.37460011</v>
      </c>
      <c r="K72" s="3">
        <v>97528.0</v>
      </c>
      <c r="L72" s="3">
        <v>137695.0</v>
      </c>
      <c r="M72" s="3">
        <v>1726982.32418751</v>
      </c>
      <c r="N72" s="3">
        <v>911794.681370671</v>
      </c>
      <c r="O72" s="3">
        <v>52208.0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1" t="s">
        <v>37</v>
      </c>
      <c r="B73" s="2">
        <f>IFERROR(__xludf.DUMMYFUNCTION("AVERAGE.WEIGHTED(B68:B72, C68:C72)"),5854266.428380329)</f>
        <v>5854266.428</v>
      </c>
      <c r="C73" s="2"/>
      <c r="D73" s="2">
        <f>IFERROR(__xludf.DUMMYFUNCTION("AVERAGE.WEIGHTED(D68:D72, E68:E72)"),1799201.6811625874)</f>
        <v>1799201.681</v>
      </c>
      <c r="E73" s="2"/>
      <c r="F73" s="2">
        <f>IFERROR(__xludf.DUMMYFUNCTION("AVERAGE.WEIGHTED(F68:F72, G68:G72)"),847121.7943248416)</f>
        <v>847121.7943</v>
      </c>
      <c r="G73" s="2"/>
      <c r="H73" s="2">
        <f>IFERROR(__xludf.DUMMYFUNCTION("AVERAGE.WEIGHTED(H68:H72, I68:I72)"),3235963.194072779)</f>
        <v>3235963.194</v>
      </c>
      <c r="I73" s="2"/>
      <c r="J73" s="2">
        <f>IFERROR(__xludf.DUMMYFUNCTION("AVERAGE.WEIGHTED(J68:J72, K68:K72)"),2220983.160369214)</f>
        <v>2220983.16</v>
      </c>
      <c r="K73" s="2"/>
      <c r="L73" s="2">
        <f>IFERROR(__xludf.DUMMYFUNCTION("AVERAGE.WEIGHTED(L68:L72, M68:M72)"),297922.23003644944)</f>
        <v>297922.23</v>
      </c>
      <c r="M73" s="2"/>
      <c r="N73" s="2">
        <f>IFERROR(__xludf.DUMMYFUNCTION("AVERAGE.WEIGHTED(N68:N72, O68:O72)"),1637184.6762426915)</f>
        <v>1637184.676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</cols>
  <sheetData>
    <row r="1">
      <c r="A1" s="1"/>
      <c r="B1" s="1"/>
      <c r="C1" s="1" t="s">
        <v>1</v>
      </c>
      <c r="D1" s="1"/>
      <c r="E1" s="1" t="s">
        <v>1</v>
      </c>
      <c r="F1" s="1"/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0</v>
      </c>
      <c r="B2" s="10">
        <v>5.0</v>
      </c>
      <c r="C2" s="1"/>
      <c r="D2" s="10">
        <v>25.0</v>
      </c>
      <c r="E2" s="1"/>
      <c r="F2" s="10">
        <v>45.0</v>
      </c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3">
        <v>73.5115859693389</v>
      </c>
      <c r="C3" s="3">
        <v>57467.0</v>
      </c>
      <c r="D3" s="3">
        <v>60.7898493197232</v>
      </c>
      <c r="E3" s="3">
        <v>72985.0</v>
      </c>
      <c r="F3" s="3">
        <v>47.4638693986092</v>
      </c>
      <c r="G3" s="3">
        <v>60543.0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3">
        <v>89.5444684223113</v>
      </c>
      <c r="C4" s="3">
        <v>54358.0</v>
      </c>
      <c r="D4" s="3">
        <v>57.2458040266307</v>
      </c>
      <c r="E4" s="3">
        <v>74951.0</v>
      </c>
      <c r="F4" s="3">
        <v>46.0118180399172</v>
      </c>
      <c r="G4" s="3">
        <v>57018.0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3">
        <v>57.2605715530662</v>
      </c>
      <c r="C5" s="3">
        <v>55883.0</v>
      </c>
      <c r="D5" s="3">
        <v>45.7428742007677</v>
      </c>
      <c r="E5" s="3">
        <v>67471.0</v>
      </c>
      <c r="F5" s="3">
        <v>46.5401138439895</v>
      </c>
      <c r="G5" s="3">
        <v>52958.0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3">
        <v>110.94131553569</v>
      </c>
      <c r="C6" s="3">
        <v>52241.0</v>
      </c>
      <c r="D6" s="3">
        <v>53.9918680772136</v>
      </c>
      <c r="E6" s="3">
        <v>72785.0</v>
      </c>
      <c r="F6" s="3">
        <v>45.4628408527752</v>
      </c>
      <c r="G6" s="3">
        <v>58679.0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3">
        <v>62.3951796891012</v>
      </c>
      <c r="C7" s="3">
        <v>69283.0</v>
      </c>
      <c r="D7" s="3">
        <v>63.9932439039536</v>
      </c>
      <c r="E7" s="3">
        <v>67634.0</v>
      </c>
      <c r="F7" s="3">
        <v>45.924774749499</v>
      </c>
      <c r="G7" s="3">
        <v>60379.0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7</v>
      </c>
      <c r="B8" s="4">
        <f>IFERROR(__xludf.DUMMYFUNCTION("AVERAGE.WEIGHTED(B3:B7, C3:C7)"),77.48261445759796)</f>
        <v>77.48261446</v>
      </c>
      <c r="C8" s="2"/>
      <c r="D8" s="4">
        <f>IFERROR(__xludf.DUMMYFUNCTION("AVERAGE.WEIGHTED(D3:D7, E3:E7)"),56.408503177395644)</f>
        <v>56.40850318</v>
      </c>
      <c r="E8" s="2"/>
      <c r="F8" s="4">
        <f>IFERROR(__xludf.DUMMYFUNCTION("AVERAGE.WEIGHTED(F3:F7, G3:G7)"),46.282626893537774)</f>
        <v>46.28262689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8</v>
      </c>
      <c r="B10" s="3">
        <v>95.8000703025527</v>
      </c>
      <c r="C10" s="3">
        <v>132312.0</v>
      </c>
      <c r="D10" s="3">
        <v>31.9864253239484</v>
      </c>
      <c r="E10" s="3">
        <v>175389.0</v>
      </c>
      <c r="F10" s="3">
        <v>38.9551727674092</v>
      </c>
      <c r="G10" s="3">
        <v>161591.0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9</v>
      </c>
      <c r="B11" s="3">
        <v>102.458170266386</v>
      </c>
      <c r="C11" s="3">
        <v>119359.0</v>
      </c>
      <c r="D11" s="3">
        <v>35.5090183788933</v>
      </c>
      <c r="E11" s="3">
        <v>182540.0</v>
      </c>
      <c r="F11" s="3">
        <v>22.3237254929595</v>
      </c>
      <c r="G11" s="3">
        <v>143767.0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10</v>
      </c>
      <c r="B12" s="3">
        <v>101.326402636088</v>
      </c>
      <c r="C12" s="3">
        <v>124813.0</v>
      </c>
      <c r="D12" s="3">
        <v>33.3989470207221</v>
      </c>
      <c r="E12" s="3">
        <v>165189.0</v>
      </c>
      <c r="F12" s="3">
        <v>19.8329114431344</v>
      </c>
      <c r="G12" s="3">
        <v>133866.0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11</v>
      </c>
      <c r="B13" s="3">
        <v>88.8984609581203</v>
      </c>
      <c r="C13" s="3">
        <v>126775.0</v>
      </c>
      <c r="D13" s="3">
        <v>30.239988372597</v>
      </c>
      <c r="E13" s="3">
        <v>176827.0</v>
      </c>
      <c r="F13" s="3">
        <v>21.3387393308274</v>
      </c>
      <c r="G13" s="3">
        <v>146369.0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12</v>
      </c>
      <c r="B14" s="3">
        <v>105.507304632781</v>
      </c>
      <c r="C14" s="3">
        <v>154712.0</v>
      </c>
      <c r="D14" s="3">
        <v>38.9551727674092</v>
      </c>
      <c r="E14" s="3">
        <v>161591.0</v>
      </c>
      <c r="F14" s="3">
        <v>22.233771815764</v>
      </c>
      <c r="G14" s="3">
        <v>150046.0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 t="s">
        <v>13</v>
      </c>
      <c r="B15" s="4">
        <f>IFERROR(__xludf.DUMMYFUNCTION("AVERAGE.WEIGHTED(B10:B14, C10:C14)"),99.00892963554243)</f>
        <v>99.00892964</v>
      </c>
      <c r="C15" s="2"/>
      <c r="D15" s="4">
        <f>IFERROR(__xludf.DUMMYFUNCTION("AVERAGE.WEIGHTED(D10:D14, E10:E14)"),33.95223620609105)</f>
        <v>33.95223621</v>
      </c>
      <c r="E15" s="2"/>
      <c r="F15" s="4">
        <f>IFERROR(__xludf.DUMMYFUNCTION("AVERAGE.WEIGHTED(F10:F14, G10:G14)"),25.309413111367615)</f>
        <v>25.30941311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14</v>
      </c>
      <c r="B17" s="3">
        <v>0.895081322933671</v>
      </c>
      <c r="C17" s="3">
        <v>132312.0</v>
      </c>
      <c r="D17" s="3">
        <v>0.867870847088472</v>
      </c>
      <c r="E17" s="3">
        <v>175389.0</v>
      </c>
      <c r="F17" s="3">
        <v>0.874924964880469</v>
      </c>
      <c r="G17" s="3">
        <v>161591.0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15</v>
      </c>
      <c r="B18" s="3">
        <v>0.933184761936678</v>
      </c>
      <c r="C18" s="3">
        <v>119359.0</v>
      </c>
      <c r="D18" s="3">
        <v>0.856562945107921</v>
      </c>
      <c r="E18" s="3">
        <v>182540.0</v>
      </c>
      <c r="F18" s="3">
        <v>0.847941460835935</v>
      </c>
      <c r="G18" s="3">
        <v>143767.0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16</v>
      </c>
      <c r="B19" s="3">
        <v>0.91809346782787</v>
      </c>
      <c r="C19" s="3">
        <v>124813.0</v>
      </c>
      <c r="D19" s="3">
        <v>0.852974471665788</v>
      </c>
      <c r="E19" s="3">
        <v>165189.0</v>
      </c>
      <c r="F19" s="3">
        <v>0.845756203965159</v>
      </c>
      <c r="G19" s="3">
        <v>133866.0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17</v>
      </c>
      <c r="B20" s="3">
        <v>0.853488463813843</v>
      </c>
      <c r="C20" s="3">
        <v>126775.0</v>
      </c>
      <c r="D20" s="3">
        <v>0.867039535817493</v>
      </c>
      <c r="E20" s="3">
        <v>176827.0</v>
      </c>
      <c r="F20" s="3">
        <v>0.85295383585322</v>
      </c>
      <c r="G20" s="3">
        <v>146369.0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18</v>
      </c>
      <c r="B21" s="3">
        <v>0.914764207042763</v>
      </c>
      <c r="C21" s="3">
        <v>154712.0</v>
      </c>
      <c r="D21" s="3">
        <v>0.874924964880469</v>
      </c>
      <c r="E21" s="3">
        <v>161591.0</v>
      </c>
      <c r="F21" s="3">
        <v>0.861142582941231</v>
      </c>
      <c r="G21" s="3">
        <v>150046.0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19</v>
      </c>
      <c r="B22" s="4">
        <f>IFERROR(__xludf.DUMMYFUNCTION("AVERAGE.WEIGHTED(B17:B21, C17:C21)"),0.9029729273782579)</f>
        <v>0.9029729274</v>
      </c>
      <c r="C22" s="2"/>
      <c r="D22" s="4">
        <f>IFERROR(__xludf.DUMMYFUNCTION("AVERAGE.WEIGHTED(D17:D21, E17:E21)"),0.8637712179177649)</f>
        <v>0.8637712179</v>
      </c>
      <c r="E22" s="2"/>
      <c r="F22" s="4">
        <f>IFERROR(__xludf.DUMMYFUNCTION("AVERAGE.WEIGHTED(F17:F21, G17:G21)"),0.8571609172433756)</f>
        <v>0.8571609172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20</v>
      </c>
      <c r="B24" s="3">
        <v>0.104918677066328</v>
      </c>
      <c r="C24" s="3">
        <v>132312.0</v>
      </c>
      <c r="D24" s="3">
        <v>0.132129152911528</v>
      </c>
      <c r="E24" s="3">
        <v>175389.0</v>
      </c>
      <c r="F24" s="3">
        <v>0.12507503511953</v>
      </c>
      <c r="G24" s="3">
        <v>161591.0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21</v>
      </c>
      <c r="B25" s="3">
        <v>0.0668152380633215</v>
      </c>
      <c r="C25" s="3">
        <v>119359.0</v>
      </c>
      <c r="D25" s="3">
        <v>0.143437054892078</v>
      </c>
      <c r="E25" s="3">
        <v>182540.0</v>
      </c>
      <c r="F25" s="3">
        <v>0.152058539164064</v>
      </c>
      <c r="G25" s="3">
        <v>143767.0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22</v>
      </c>
      <c r="B26" s="3">
        <v>0.0819065321721295</v>
      </c>
      <c r="C26" s="3">
        <v>124813.0</v>
      </c>
      <c r="D26" s="3">
        <v>0.147025528334211</v>
      </c>
      <c r="E26" s="3">
        <v>165189.0</v>
      </c>
      <c r="F26" s="3">
        <v>0.15424379603484</v>
      </c>
      <c r="G26" s="3">
        <v>133866.0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23</v>
      </c>
      <c r="B27" s="3">
        <v>0.146511536186156</v>
      </c>
      <c r="C27" s="3">
        <v>126775.0</v>
      </c>
      <c r="D27" s="3">
        <v>0.132960464182506</v>
      </c>
      <c r="E27" s="3">
        <v>176827.0</v>
      </c>
      <c r="F27" s="3">
        <v>0.147046164146779</v>
      </c>
      <c r="G27" s="3">
        <v>146369.0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24</v>
      </c>
      <c r="B28" s="3">
        <v>0.0852357929572366</v>
      </c>
      <c r="C28" s="3">
        <v>154712.0</v>
      </c>
      <c r="D28" s="3">
        <v>0.12507503511953</v>
      </c>
      <c r="E28" s="3">
        <v>161591.0</v>
      </c>
      <c r="F28" s="3">
        <v>0.138857417058768</v>
      </c>
      <c r="G28" s="3">
        <v>150046.0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25</v>
      </c>
      <c r="B29" s="4">
        <f>IFERROR(__xludf.DUMMYFUNCTION("AVERAGE.WEIGHTED(B24:B28, C24:C28)"),0.09702707262174153)</f>
        <v>0.09702707262</v>
      </c>
      <c r="C29" s="2"/>
      <c r="D29" s="4">
        <f>IFERROR(__xludf.DUMMYFUNCTION("AVERAGE.WEIGHTED(D24:D28, E24:E28)"),0.13622878208223435)</f>
        <v>0.1362287821</v>
      </c>
      <c r="E29" s="2"/>
      <c r="F29" s="4">
        <f>IFERROR(__xludf.DUMMYFUNCTION("AVERAGE.WEIGHTED(F24:F28, G24:G28)"),0.14283908275662335)</f>
        <v>0.1428390828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32</v>
      </c>
      <c r="B33" s="1" t="s">
        <v>38</v>
      </c>
      <c r="C33" s="1" t="s">
        <v>1</v>
      </c>
      <c r="D33" s="1" t="s">
        <v>39</v>
      </c>
      <c r="E33" s="1" t="s">
        <v>1</v>
      </c>
      <c r="F33" s="1" t="s">
        <v>40</v>
      </c>
      <c r="G33" s="1" t="s"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2</v>
      </c>
      <c r="B34" s="3">
        <v>51.808480141832</v>
      </c>
      <c r="C34" s="3">
        <v>59225.0</v>
      </c>
      <c r="D34" s="3">
        <v>102.597446485399</v>
      </c>
      <c r="E34" s="3">
        <v>76609.0</v>
      </c>
      <c r="F34" s="3">
        <v>121.859906711463</v>
      </c>
      <c r="G34" s="3">
        <v>49855.0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3</v>
      </c>
      <c r="B35" s="3">
        <v>37.0744406579951</v>
      </c>
      <c r="C35" s="3">
        <v>69423.0</v>
      </c>
      <c r="D35" s="3">
        <v>80.7574574387919</v>
      </c>
      <c r="E35" s="3">
        <v>68741.0</v>
      </c>
      <c r="F35" s="3">
        <v>99.412465114275</v>
      </c>
      <c r="G35" s="3">
        <v>53380.0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4</v>
      </c>
      <c r="B36" s="3">
        <v>44.3464577110781</v>
      </c>
      <c r="C36" s="3">
        <v>55939.0</v>
      </c>
      <c r="D36" s="3">
        <v>89.7402161941781</v>
      </c>
      <c r="E36" s="3">
        <v>57885.0</v>
      </c>
      <c r="F36" s="3">
        <v>111.935256334768</v>
      </c>
      <c r="G36" s="3">
        <v>43206.0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5</v>
      </c>
      <c r="B37" s="3">
        <v>40.1349257774807</v>
      </c>
      <c r="C37" s="3">
        <v>47879.0</v>
      </c>
      <c r="D37" s="3">
        <v>70.0188081726173</v>
      </c>
      <c r="E37" s="3">
        <v>71140.0</v>
      </c>
      <c r="F37" s="3">
        <v>98.2522351245575</v>
      </c>
      <c r="G37" s="3">
        <v>58768.0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6</v>
      </c>
      <c r="B38" s="3">
        <v>34.9820022090073</v>
      </c>
      <c r="C38" s="3">
        <v>59529.0</v>
      </c>
      <c r="D38" s="3">
        <v>74.4696392262727</v>
      </c>
      <c r="E38" s="3">
        <v>69456.0</v>
      </c>
      <c r="F38" s="3">
        <v>105.986045022534</v>
      </c>
      <c r="G38" s="3">
        <v>52587.0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33</v>
      </c>
      <c r="B39" s="4">
        <f>IFERROR(__xludf.DUMMYFUNCTION("AVERAGE.WEIGHTED(B34:B38, C34:C38)"),41.53131508724459)</f>
        <v>41.53131509</v>
      </c>
      <c r="C39" s="2"/>
      <c r="D39" s="4">
        <f>IFERROR(__xludf.DUMMYFUNCTION("AVERAGE.WEIGHTED(D34:D38, E34:E38)"),83.64385366502705)</f>
        <v>83.64385367</v>
      </c>
      <c r="E39" s="2"/>
      <c r="F39" s="4">
        <f>IFERROR(__xludf.DUMMYFUNCTION("AVERAGE.WEIGHTED(F34:F38, G34:G38)"),106.92878565028148)</f>
        <v>106.9287857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8</v>
      </c>
      <c r="B41" s="3">
        <v>99.4677209951472</v>
      </c>
      <c r="C41" s="3">
        <v>129829.0</v>
      </c>
      <c r="D41" s="3">
        <v>30.4823306003941</v>
      </c>
      <c r="E41" s="3">
        <v>184785.0</v>
      </c>
      <c r="F41" s="3">
        <v>17.3465743565335</v>
      </c>
      <c r="G41" s="3">
        <v>126738.0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9</v>
      </c>
      <c r="B42" s="5">
        <v>99.0436491131585</v>
      </c>
      <c r="C42" s="3">
        <v>157459.0</v>
      </c>
      <c r="D42" s="3">
        <v>22.0886928884715</v>
      </c>
      <c r="E42" s="3">
        <v>169272.0</v>
      </c>
      <c r="F42" s="3">
        <v>20.6303637949299</v>
      </c>
      <c r="G42" s="3">
        <v>131963.0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10</v>
      </c>
      <c r="B43" s="5">
        <v>98.2630228920134</v>
      </c>
      <c r="C43" s="3">
        <v>124436.0</v>
      </c>
      <c r="D43" s="3">
        <v>24.9484442718242</v>
      </c>
      <c r="E43" s="3">
        <v>144175.0</v>
      </c>
      <c r="F43" s="3">
        <v>15.412956989716</v>
      </c>
      <c r="G43" s="3">
        <v>111707.0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11</v>
      </c>
      <c r="B44" s="3">
        <v>100.597123014849</v>
      </c>
      <c r="C44" s="3">
        <v>106565.0</v>
      </c>
      <c r="D44" s="3">
        <v>40.6251392686027</v>
      </c>
      <c r="E44" s="3">
        <v>169234.0</v>
      </c>
      <c r="F44" s="3">
        <v>30.0192221624755</v>
      </c>
      <c r="G44" s="3">
        <v>143803.0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12</v>
      </c>
      <c r="B45" s="3">
        <v>92.0534204503628</v>
      </c>
      <c r="C45" s="3">
        <v>137689.0</v>
      </c>
      <c r="D45" s="3">
        <v>31.7903360113656</v>
      </c>
      <c r="E45" s="3">
        <v>165964.0</v>
      </c>
      <c r="F45" s="3">
        <v>20.1403787888963</v>
      </c>
      <c r="G45" s="3">
        <v>131634.0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 t="s">
        <v>34</v>
      </c>
      <c r="B46" s="4">
        <f>IFERROR(__xludf.DUMMYFUNCTION("AVERAGE.WEIGHTED(B41:B45, C41:C45)"),97.76462325542283)</f>
        <v>97.76462326</v>
      </c>
      <c r="C46" s="2"/>
      <c r="D46" s="4">
        <f>IFERROR(__xludf.DUMMYFUNCTION("AVERAGE.WEIGHTED(D41:D45, E41:E45)"),30.14029106256604)</f>
        <v>30.14029106</v>
      </c>
      <c r="E46" s="2"/>
      <c r="F46" s="4">
        <f>IFERROR(__xludf.DUMMYFUNCTION("AVERAGE.WEIGHTED(F41:F45, G41:G45)"),21.074194041677064)</f>
        <v>21.07419404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14</v>
      </c>
      <c r="B48" s="3">
        <v>0.939543553443375</v>
      </c>
      <c r="C48" s="3">
        <v>129829.0</v>
      </c>
      <c r="D48" s="3">
        <v>0.86353329545147</v>
      </c>
      <c r="E48" s="3">
        <v>184785.0</v>
      </c>
      <c r="F48" s="3">
        <v>0.838667171645441</v>
      </c>
      <c r="G48" s="5">
        <v>126738.0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15</v>
      </c>
      <c r="B49" s="3">
        <v>0.903041426657098</v>
      </c>
      <c r="C49" s="3">
        <v>157459.0</v>
      </c>
      <c r="D49" s="3">
        <v>0.856320005671345</v>
      </c>
      <c r="E49" s="3">
        <v>169272.0</v>
      </c>
      <c r="F49" s="3">
        <v>0.854868410084645</v>
      </c>
      <c r="G49" s="3">
        <v>131963.0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16</v>
      </c>
      <c r="B50" s="3">
        <v>0.928734449837667</v>
      </c>
      <c r="C50" s="3">
        <v>124436.0</v>
      </c>
      <c r="D50" s="3">
        <v>0.840707473556441</v>
      </c>
      <c r="E50" s="3">
        <v>144175.0</v>
      </c>
      <c r="F50" s="3">
        <v>0.827584663449918</v>
      </c>
      <c r="G50" s="3">
        <v>111707.0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17</v>
      </c>
      <c r="B51" s="3">
        <v>0.919570215361516</v>
      </c>
      <c r="C51" s="3">
        <v>106565.0</v>
      </c>
      <c r="D51" s="3">
        <v>0.87743006724417</v>
      </c>
      <c r="E51" s="3">
        <v>169234.0</v>
      </c>
      <c r="F51" s="3">
        <v>0.86651877916316</v>
      </c>
      <c r="G51" s="3">
        <v>143803.0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18</v>
      </c>
      <c r="B52" s="3">
        <v>0.891029784514376</v>
      </c>
      <c r="C52" s="3">
        <v>137689.0</v>
      </c>
      <c r="D52" s="3">
        <v>0.875129546166638</v>
      </c>
      <c r="E52" s="3">
        <v>165964.0</v>
      </c>
      <c r="F52" s="3">
        <v>0.845252746250968</v>
      </c>
      <c r="G52" s="3">
        <v>131634.0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35</v>
      </c>
      <c r="B53" s="4">
        <f>IFERROR(__xludf.DUMMYFUNCTION("AVERAGE.WEIGHTED(B48:B52, C48:C52)"),0.9153035620097011)</f>
        <v>0.915303562</v>
      </c>
      <c r="C53" s="2"/>
      <c r="D53" s="4">
        <f>IFERROR(__xludf.DUMMYFUNCTION("AVERAGE.WEIGHTED(D48:D52, E48:E52)"),0.8632506629231003)</f>
        <v>0.8632506629</v>
      </c>
      <c r="E53" s="2"/>
      <c r="F53" s="4">
        <f>IFERROR(__xludf.DUMMYFUNCTION("AVERAGE.WEIGHTED(F48:F52, G48:G52)"),0.8476043013416528)</f>
        <v>0.8476043013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20</v>
      </c>
      <c r="B55" s="3">
        <v>0.0604564465566244</v>
      </c>
      <c r="C55" s="3">
        <v>129829.0</v>
      </c>
      <c r="D55" s="3">
        <v>0.136466704548529</v>
      </c>
      <c r="E55" s="3">
        <v>184785.0</v>
      </c>
      <c r="F55" s="3">
        <v>0.161332828354558</v>
      </c>
      <c r="G55" s="3">
        <v>126738.0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21</v>
      </c>
      <c r="B56" s="3">
        <v>0.0969585733429019</v>
      </c>
      <c r="C56" s="3">
        <v>157459.0</v>
      </c>
      <c r="D56" s="3">
        <v>0.143679994328654</v>
      </c>
      <c r="E56" s="3">
        <v>169272.0</v>
      </c>
      <c r="F56" s="3">
        <v>0.145131589915355</v>
      </c>
      <c r="G56" s="3">
        <v>131963.0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22</v>
      </c>
      <c r="B57" s="3">
        <v>0.0712655501623324</v>
      </c>
      <c r="C57" s="3">
        <v>124436.0</v>
      </c>
      <c r="D57" s="3">
        <v>0.159292526443558</v>
      </c>
      <c r="E57" s="3">
        <v>144175.0</v>
      </c>
      <c r="F57" s="3">
        <v>0.172415336550081</v>
      </c>
      <c r="G57" s="3">
        <v>111707.0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23</v>
      </c>
      <c r="B58" s="3">
        <v>0.0804297846384835</v>
      </c>
      <c r="C58" s="3">
        <v>106565.0</v>
      </c>
      <c r="D58" s="3">
        <v>0.122569932755829</v>
      </c>
      <c r="E58" s="3">
        <v>169234.0</v>
      </c>
      <c r="F58" s="3">
        <v>0.133481220836839</v>
      </c>
      <c r="G58" s="3">
        <v>143803.0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24</v>
      </c>
      <c r="B59" s="3">
        <v>0.108970215485623</v>
      </c>
      <c r="C59" s="3">
        <v>137689.0</v>
      </c>
      <c r="D59" s="3">
        <v>0.124870453833361</v>
      </c>
      <c r="E59" s="3">
        <v>165964.0</v>
      </c>
      <c r="F59" s="3">
        <v>0.154747253749031</v>
      </c>
      <c r="G59" s="3">
        <v>131634.0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36</v>
      </c>
      <c r="B60" s="4">
        <f>IFERROR(__xludf.DUMMYFUNCTION("AVERAGE.WEIGHTED(B55:B59, C55:C59)"),0.08469643799029833)</f>
        <v>0.08469643799</v>
      </c>
      <c r="C60" s="2"/>
      <c r="D60" s="4">
        <f>IFERROR(__xludf.DUMMYFUNCTION("AVERAGE.WEIGHTED(D55:D59, E55:E59)"),0.13674933707689874)</f>
        <v>0.1367493371</v>
      </c>
      <c r="E60" s="2"/>
      <c r="F60" s="4">
        <f>IFERROR(__xludf.DUMMYFUNCTION("AVERAGE.WEIGHTED(F55:F59, G55:G59)"),0.15239569865834646)</f>
        <v>0.1523956987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