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rai\Documents\GitHub\detector\logdata\"/>
    </mc:Choice>
  </mc:AlternateContent>
  <xr:revisionPtr revIDLastSave="0" documentId="13_ncr:1_{67F890C0-2212-4308-A388-22D9AC37421C}" xr6:coauthVersionLast="45" xr6:coauthVersionMax="45" xr10:uidLastSave="{00000000-0000-0000-0000-000000000000}"/>
  <bookViews>
    <workbookView xWindow="6750" yWindow="2190" windowWidth="19420" windowHeight="11020" activeTab="2" xr2:uid="{7E014F83-8137-460B-A8BB-39E7359F9631}"/>
  </bookViews>
  <sheets>
    <sheet name="Sheet1" sheetId="1" r:id="rId1"/>
    <sheet name="Sheet2" sheetId="2" r:id="rId2"/>
    <sheet name="Sheet3" sheetId="3" r:id="rId3"/>
  </sheets>
  <definedNames>
    <definedName name="solver_adj" localSheetId="2" hidden="1">Sheet3!$A$14,Sheet3!$B$14,Sheet3!$C$14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Sheet3!$H$8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3" l="1"/>
  <c r="C9" i="3"/>
  <c r="C10" i="3"/>
  <c r="C11" i="3"/>
  <c r="D11" i="3"/>
  <c r="E11" i="3" s="1"/>
  <c r="F11" i="3" s="1"/>
  <c r="D10" i="3"/>
  <c r="E10" i="3" s="1"/>
  <c r="F10" i="3" s="1"/>
  <c r="D9" i="3"/>
  <c r="E9" i="3" s="1"/>
  <c r="F9" i="3" s="1"/>
  <c r="D8" i="3"/>
  <c r="E8" i="3" s="1"/>
  <c r="F8" i="3" s="1"/>
  <c r="G39" i="3" a="1"/>
  <c r="H39" i="3" s="1"/>
  <c r="G35" i="3" a="1"/>
  <c r="H35" i="3" s="1"/>
  <c r="G31" i="3" a="1"/>
  <c r="G32" i="3" s="1"/>
  <c r="G18" i="3"/>
  <c r="G17" i="3"/>
  <c r="G16" i="3"/>
  <c r="I4" i="3"/>
  <c r="I3" i="3"/>
  <c r="I2" i="3"/>
  <c r="C17" i="3"/>
  <c r="C16" i="3"/>
  <c r="B18" i="3"/>
  <c r="C18" i="3" s="1"/>
  <c r="B17" i="3"/>
  <c r="B16" i="3"/>
  <c r="B21" i="2"/>
  <c r="B23" i="2" s="1"/>
  <c r="I41" i="3" l="1"/>
  <c r="K40" i="3"/>
  <c r="G40" i="3"/>
  <c r="I39" i="3"/>
  <c r="K41" i="3"/>
  <c r="G41" i="3"/>
  <c r="I40" i="3"/>
  <c r="K39" i="3"/>
  <c r="G39" i="3"/>
  <c r="J41" i="3"/>
  <c r="L40" i="3"/>
  <c r="H40" i="3"/>
  <c r="J39" i="3"/>
  <c r="L41" i="3"/>
  <c r="H41" i="3"/>
  <c r="J40" i="3"/>
  <c r="L39" i="3"/>
  <c r="G37" i="3"/>
  <c r="I35" i="3"/>
  <c r="I37" i="3"/>
  <c r="H36" i="3"/>
  <c r="G35" i="3"/>
  <c r="H37" i="3"/>
  <c r="G36" i="3"/>
  <c r="I36" i="3"/>
  <c r="G33" i="3"/>
  <c r="I31" i="3"/>
  <c r="H33" i="3"/>
  <c r="I32" i="3"/>
  <c r="H31" i="3"/>
  <c r="I33" i="3"/>
  <c r="H32" i="3"/>
  <c r="G31" i="3"/>
  <c r="F4" i="3"/>
  <c r="G4" i="3" s="1"/>
  <c r="H4" i="3" s="1"/>
  <c r="F3" i="3"/>
  <c r="G3" i="3" s="1"/>
  <c r="H3" i="3" s="1"/>
  <c r="F2" i="3"/>
  <c r="G2" i="3" s="1"/>
  <c r="H2" i="3" s="1"/>
  <c r="D7" i="3"/>
  <c r="E7" i="3" s="1"/>
  <c r="D6" i="3"/>
  <c r="E6" i="3" s="1"/>
  <c r="B20" i="3" s="1"/>
  <c r="C20" i="3" s="1"/>
  <c r="D5" i="3"/>
  <c r="E5" i="3" s="1"/>
  <c r="B19" i="3" s="1"/>
  <c r="C19" i="3" s="1"/>
  <c r="C7" i="3"/>
  <c r="I7" i="3" s="1"/>
  <c r="G21" i="3" s="1"/>
  <c r="C6" i="3"/>
  <c r="I6" i="3" s="1"/>
  <c r="G20" i="3" s="1"/>
  <c r="C5" i="3"/>
  <c r="I5" i="3" s="1"/>
  <c r="G19" i="3" s="1"/>
  <c r="D4" i="3"/>
  <c r="E4" i="3" s="1"/>
  <c r="C4" i="3"/>
  <c r="D3" i="3"/>
  <c r="E3" i="3" s="1"/>
  <c r="C3" i="3"/>
  <c r="D2" i="3"/>
  <c r="E2" i="3" s="1"/>
  <c r="C2" i="3"/>
  <c r="C24" i="2"/>
  <c r="C23" i="2"/>
  <c r="C22" i="2"/>
  <c r="I13" i="2"/>
  <c r="I12" i="2"/>
  <c r="I11" i="2"/>
  <c r="D22" i="2"/>
  <c r="B20" i="2"/>
  <c r="D5" i="2"/>
  <c r="E5" i="2" s="1"/>
  <c r="C5" i="2"/>
  <c r="F5" i="2" s="1"/>
  <c r="F9" i="2" s="1"/>
  <c r="D4" i="2"/>
  <c r="E4" i="2" s="1"/>
  <c r="C4" i="2"/>
  <c r="F4" i="2" s="1"/>
  <c r="F8" i="2" s="1"/>
  <c r="D3" i="2"/>
  <c r="E3" i="2" s="1"/>
  <c r="C3" i="2"/>
  <c r="F3" i="2" s="1"/>
  <c r="F7" i="2" s="1"/>
  <c r="B21" i="3" l="1"/>
  <c r="C21" i="3" s="1"/>
  <c r="F7" i="3"/>
  <c r="G7" i="3" s="1"/>
  <c r="H7" i="3" s="1"/>
  <c r="G43" i="3" a="1"/>
  <c r="F5" i="3"/>
  <c r="G5" i="3" s="1"/>
  <c r="H5" i="3" s="1"/>
  <c r="H8" i="3" s="1"/>
  <c r="F6" i="3"/>
  <c r="G6" i="3" s="1"/>
  <c r="H6" i="3" s="1"/>
  <c r="C8" i="2"/>
  <c r="B8" i="2"/>
  <c r="C7" i="2"/>
  <c r="B7" i="2"/>
  <c r="F11" i="2" s="1" a="1"/>
  <c r="B9" i="2"/>
  <c r="C9" i="2"/>
  <c r="F15" i="1" a="1"/>
  <c r="F15" i="1" s="1"/>
  <c r="F11" i="1" a="1"/>
  <c r="F11" i="1" s="1"/>
  <c r="F9" i="1"/>
  <c r="F8" i="1"/>
  <c r="F7" i="1"/>
  <c r="C9" i="1"/>
  <c r="B9" i="1"/>
  <c r="C8" i="1"/>
  <c r="B8" i="1"/>
  <c r="C7" i="1"/>
  <c r="B7" i="1"/>
  <c r="F5" i="1"/>
  <c r="F4" i="1"/>
  <c r="F3" i="1"/>
  <c r="E5" i="1"/>
  <c r="E4" i="1"/>
  <c r="E3" i="1"/>
  <c r="D5" i="1"/>
  <c r="D4" i="1"/>
  <c r="D3" i="1"/>
  <c r="C5" i="1"/>
  <c r="C4" i="1"/>
  <c r="C3" i="1"/>
  <c r="G43" i="3" l="1"/>
  <c r="G44" i="3"/>
  <c r="G45" i="3"/>
  <c r="D23" i="2"/>
  <c r="B24" i="2"/>
  <c r="D24" i="2" s="1"/>
  <c r="H13" i="2"/>
  <c r="G12" i="2"/>
  <c r="F11" i="2"/>
  <c r="G13" i="2"/>
  <c r="F12" i="2"/>
  <c r="F13" i="2"/>
  <c r="H11" i="2"/>
  <c r="H12" i="2"/>
  <c r="G11" i="2"/>
  <c r="F17" i="1"/>
  <c r="F16" i="1"/>
  <c r="H11" i="1"/>
  <c r="H13" i="1"/>
  <c r="G12" i="1"/>
  <c r="G13" i="1"/>
  <c r="F12" i="1"/>
  <c r="F13" i="1"/>
  <c r="H12" i="1"/>
  <c r="G11" i="1"/>
  <c r="F23" i="2" l="1"/>
  <c r="G23" i="2" s="1"/>
  <c r="H23" i="2" s="1"/>
  <c r="F15" i="2" a="1"/>
  <c r="F17" i="2" l="1"/>
  <c r="F16" i="2"/>
  <c r="F15" i="2"/>
</calcChain>
</file>

<file path=xl/sharedStrings.xml><?xml version="1.0" encoding="utf-8"?>
<sst xmlns="http://schemas.openxmlformats.org/spreadsheetml/2006/main" count="66" uniqueCount="33">
  <si>
    <t>Arduino Reading</t>
  </si>
  <si>
    <t>Temp C</t>
  </si>
  <si>
    <t>Temp K</t>
  </si>
  <si>
    <t>Resistance</t>
  </si>
  <si>
    <t>ln Resistance</t>
  </si>
  <si>
    <t>1/T</t>
  </si>
  <si>
    <t>a</t>
  </si>
  <si>
    <t>b</t>
  </si>
  <si>
    <t>c</t>
  </si>
  <si>
    <t>=</t>
  </si>
  <si>
    <t>1/T = 1 / (a + b ln R + c (ln R)^3)</t>
  </si>
  <si>
    <t xml:space="preserve">volt = </t>
  </si>
  <si>
    <t xml:space="preserve">res = </t>
  </si>
  <si>
    <t xml:space="preserve">ln res = </t>
  </si>
  <si>
    <t xml:space="preserve">ln 3 = </t>
  </si>
  <si>
    <t>A</t>
  </si>
  <si>
    <t>Arduino Read</t>
  </si>
  <si>
    <t>Kelvin Temp</t>
  </si>
  <si>
    <t>Actual Temp (C)</t>
  </si>
  <si>
    <t>ln R</t>
  </si>
  <si>
    <t>A:</t>
  </si>
  <si>
    <t>B:</t>
  </si>
  <si>
    <t>C:</t>
  </si>
  <si>
    <t>Predicted 1/T</t>
  </si>
  <si>
    <t>T</t>
  </si>
  <si>
    <t>dif</t>
  </si>
  <si>
    <t>SE:</t>
  </si>
  <si>
    <t>x</t>
  </si>
  <si>
    <t>INVERSE:</t>
  </si>
  <si>
    <t xml:space="preserve">Product </t>
  </si>
  <si>
    <t>Predictors</t>
  </si>
  <si>
    <t xml:space="preserve">T = </t>
  </si>
  <si>
    <t>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</si>
</sst>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0EF4-A0E9-41CB-A48C-6FA69F86CBD3}">
  <dimension ref="A1:I18"/>
  <sheetViews>
    <sheetView workbookViewId="0">
      <selection activeCell="F15" sqref="F15:F17"/>
    </sheetView>
  </sheetViews>
  <sheetFormatPr defaultRowHeight="14.5" x14ac:dyDescent="0.35"/>
  <cols>
    <col min="6" max="6" width="11.81640625" bestFit="1" customWidth="1"/>
  </cols>
  <sheetData>
    <row r="1" spans="1:9" x14ac:dyDescent="0.35">
      <c r="A1" t="s">
        <v>10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35">
      <c r="A3">
        <v>509</v>
      </c>
      <c r="B3">
        <v>23.7</v>
      </c>
      <c r="C3">
        <f>B3+273.15</f>
        <v>296.84999999999997</v>
      </c>
      <c r="D3">
        <f>10000 * ((1024 / A3 - 1))</f>
        <v>10117.878192534379</v>
      </c>
      <c r="E3">
        <f>LN(D3)</f>
        <v>9.2220592560893966</v>
      </c>
      <c r="F3">
        <f>1/C3</f>
        <v>3.3687047330301502E-3</v>
      </c>
    </row>
    <row r="4" spans="1:9" x14ac:dyDescent="0.35">
      <c r="A4">
        <v>960</v>
      </c>
      <c r="B4">
        <v>100</v>
      </c>
      <c r="C4">
        <f>B4+273.15</f>
        <v>373.15</v>
      </c>
      <c r="D4">
        <f>10000 * ((1024 / A4 - 1))</f>
        <v>666.66666666666652</v>
      </c>
      <c r="E4">
        <f>LN(D4)</f>
        <v>6.5022901708739722</v>
      </c>
      <c r="F4">
        <f>1/C4</f>
        <v>2.6798874447273215E-3</v>
      </c>
    </row>
    <row r="5" spans="1:9" x14ac:dyDescent="0.35">
      <c r="A5">
        <v>252</v>
      </c>
      <c r="B5">
        <v>-0.3</v>
      </c>
      <c r="C5">
        <f>B5+273.15</f>
        <v>272.84999999999997</v>
      </c>
      <c r="D5">
        <f>10000 * ((1024 / A5 - 1))</f>
        <v>30634.920634920632</v>
      </c>
      <c r="E5">
        <f>LN(D5)</f>
        <v>10.329895834489536</v>
      </c>
      <c r="F5">
        <f>1/C5</f>
        <v>3.6650174088326925E-3</v>
      </c>
    </row>
    <row r="7" spans="1:9" x14ac:dyDescent="0.35">
      <c r="A7">
        <v>1</v>
      </c>
      <c r="B7">
        <f>E3</f>
        <v>9.2220592560893966</v>
      </c>
      <c r="C7">
        <f>E3^3</f>
        <v>784.30272749799769</v>
      </c>
      <c r="D7" t="s">
        <v>6</v>
      </c>
      <c r="F7">
        <f>F3</f>
        <v>3.3687047330301502E-3</v>
      </c>
    </row>
    <row r="8" spans="1:9" x14ac:dyDescent="0.35">
      <c r="A8">
        <v>1</v>
      </c>
      <c r="B8">
        <f>E4</f>
        <v>6.5022901708739722</v>
      </c>
      <c r="C8">
        <f>E4^3</f>
        <v>274.91538144549895</v>
      </c>
      <c r="D8" t="s">
        <v>7</v>
      </c>
      <c r="E8" s="1" t="s">
        <v>9</v>
      </c>
      <c r="F8">
        <f>F4</f>
        <v>2.6798874447273215E-3</v>
      </c>
    </row>
    <row r="9" spans="1:9" x14ac:dyDescent="0.35">
      <c r="A9">
        <v>1</v>
      </c>
      <c r="B9">
        <f>E5</f>
        <v>10.329895834489536</v>
      </c>
      <c r="C9">
        <f>E5^3</f>
        <v>1102.2695911751357</v>
      </c>
      <c r="D9" t="s">
        <v>8</v>
      </c>
      <c r="F9">
        <f>F5</f>
        <v>3.6650174088326925E-3</v>
      </c>
    </row>
    <row r="11" spans="1:9" x14ac:dyDescent="0.35">
      <c r="D11" t="s">
        <v>6</v>
      </c>
      <c r="F11">
        <f t="array" ref="F11:H13">MINVERSE(A7:C9)</f>
        <v>-14.401793506821745</v>
      </c>
      <c r="G11">
        <v>6.8671466671108625</v>
      </c>
      <c r="H11">
        <v>8.5346468397108826</v>
      </c>
      <c r="I11">
        <v>3.3687047330301502E-3</v>
      </c>
    </row>
    <row r="12" spans="1:9" x14ac:dyDescent="0.35">
      <c r="D12" t="s">
        <v>7</v>
      </c>
      <c r="E12" s="1" t="s">
        <v>9</v>
      </c>
      <c r="F12">
        <v>2.7534554994211193</v>
      </c>
      <c r="G12">
        <v>-1.0582016736357693</v>
      </c>
      <c r="H12">
        <v>-1.69525382578535</v>
      </c>
      <c r="I12">
        <v>2.6798874447273215E-3</v>
      </c>
    </row>
    <row r="13" spans="1:9" x14ac:dyDescent="0.35">
      <c r="D13" t="s">
        <v>8</v>
      </c>
      <c r="F13">
        <v>-1.2738367364495171E-2</v>
      </c>
      <c r="G13">
        <v>3.6869078363093648E-3</v>
      </c>
      <c r="H13">
        <v>9.0514595281858054E-3</v>
      </c>
      <c r="I13">
        <v>3.6650174088326925E-3</v>
      </c>
    </row>
    <row r="15" spans="1:9" x14ac:dyDescent="0.35">
      <c r="E15" s="1" t="s">
        <v>9</v>
      </c>
      <c r="F15">
        <f t="array" ref="F15:F17">MMULT(F11:H13,I11:I13)</f>
        <v>1.167419429517487E-3</v>
      </c>
    </row>
    <row r="16" spans="1:9" x14ac:dyDescent="0.35">
      <c r="F16">
        <v>2.2658241002835103E-4</v>
      </c>
    </row>
    <row r="17" spans="6:7" x14ac:dyDescent="0.35">
      <c r="F17">
        <v>1.424563346860824E-7</v>
      </c>
    </row>
    <row r="18" spans="6:7" x14ac:dyDescent="0.35">
      <c r="G18" s="2">
        <v>1.4245633468608201E-7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03E2-9BA4-4197-91E8-7022D6E9DB42}">
  <dimension ref="A1:I27"/>
  <sheetViews>
    <sheetView topLeftCell="A5" workbookViewId="0">
      <selection activeCell="H23" sqref="H23"/>
    </sheetView>
  </sheetViews>
  <sheetFormatPr defaultRowHeight="14.5" x14ac:dyDescent="0.35"/>
  <cols>
    <col min="6" max="6" width="11.81640625" bestFit="1" customWidth="1"/>
  </cols>
  <sheetData>
    <row r="1" spans="1:9" x14ac:dyDescent="0.35">
      <c r="A1" t="s">
        <v>10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35">
      <c r="A3">
        <v>249</v>
      </c>
      <c r="B3">
        <v>-0.2</v>
      </c>
      <c r="C3">
        <f>B3+273.15</f>
        <v>272.95</v>
      </c>
      <c r="D3">
        <f>10000 * ((1024 / A3 - 1))</f>
        <v>31124.497991967866</v>
      </c>
      <c r="E3">
        <f>LN(D3)</f>
        <v>10.345750504864823</v>
      </c>
      <c r="F3">
        <f>1/C3</f>
        <v>3.663674665689687E-3</v>
      </c>
    </row>
    <row r="4" spans="1:9" x14ac:dyDescent="0.35">
      <c r="A4">
        <v>955</v>
      </c>
      <c r="B4">
        <v>97.5</v>
      </c>
      <c r="C4">
        <f>B4+273.15</f>
        <v>370.65</v>
      </c>
      <c r="D4">
        <f>10000 * ((1024 / A4 - 1))</f>
        <v>722.51308900523668</v>
      </c>
      <c r="E4">
        <f>LN(D4)</f>
        <v>6.5827355360927138</v>
      </c>
      <c r="F4">
        <f>1/C4</f>
        <v>2.697963037906381E-3</v>
      </c>
    </row>
    <row r="5" spans="1:9" x14ac:dyDescent="0.35">
      <c r="A5">
        <v>429</v>
      </c>
      <c r="B5">
        <v>17.2</v>
      </c>
      <c r="C5">
        <f>B5+273.15</f>
        <v>290.34999999999997</v>
      </c>
      <c r="D5">
        <f>10000 * ((1024 / A5 - 1))</f>
        <v>13869.463869463869</v>
      </c>
      <c r="E5">
        <f>LN(D5)</f>
        <v>9.5374448585937959</v>
      </c>
      <c r="F5">
        <f>1/C5</f>
        <v>3.4441191665231623E-3</v>
      </c>
    </row>
    <row r="7" spans="1:9" x14ac:dyDescent="0.35">
      <c r="A7">
        <v>1</v>
      </c>
      <c r="B7">
        <f>E3</f>
        <v>10.345750504864823</v>
      </c>
      <c r="C7">
        <f>E3^3</f>
        <v>1107.3527860027941</v>
      </c>
      <c r="D7" t="s">
        <v>6</v>
      </c>
      <c r="F7">
        <f>F3</f>
        <v>3.663674665689687E-3</v>
      </c>
    </row>
    <row r="8" spans="1:9" x14ac:dyDescent="0.35">
      <c r="A8">
        <v>1</v>
      </c>
      <c r="B8">
        <f>E4</f>
        <v>6.5827355360927138</v>
      </c>
      <c r="C8">
        <f>E4^3</f>
        <v>285.24577633265744</v>
      </c>
      <c r="D8" t="s">
        <v>7</v>
      </c>
      <c r="E8" s="1" t="s">
        <v>9</v>
      </c>
      <c r="F8">
        <f>F4</f>
        <v>2.697963037906381E-3</v>
      </c>
    </row>
    <row r="9" spans="1:9" x14ac:dyDescent="0.35">
      <c r="A9">
        <v>1</v>
      </c>
      <c r="B9">
        <f>E5</f>
        <v>9.5374448585937959</v>
      </c>
      <c r="C9">
        <f>E5^3</f>
        <v>867.55320831325992</v>
      </c>
      <c r="D9" t="s">
        <v>8</v>
      </c>
      <c r="F9">
        <f>F5</f>
        <v>3.4441191665231623E-3</v>
      </c>
    </row>
    <row r="11" spans="1:9" x14ac:dyDescent="0.35">
      <c r="D11" t="s">
        <v>6</v>
      </c>
      <c r="F11">
        <f t="array" ref="F11:H13">MINVERSE(A7:C9)</f>
        <v>12.572151691758505</v>
      </c>
      <c r="G11">
        <v>6.6671824219049967</v>
      </c>
      <c r="H11">
        <v>-18.239334113663503</v>
      </c>
      <c r="I11">
        <f>F7</f>
        <v>3.663674665689687E-3</v>
      </c>
    </row>
    <row r="12" spans="1:9" x14ac:dyDescent="0.35">
      <c r="D12" t="s">
        <v>7</v>
      </c>
      <c r="E12" s="1" t="s">
        <v>9</v>
      </c>
      <c r="F12">
        <v>-2.4481545893261729</v>
      </c>
      <c r="G12">
        <v>-1.0081726668717279</v>
      </c>
      <c r="H12">
        <v>3.4563272561979006</v>
      </c>
      <c r="I12">
        <f>F8</f>
        <v>2.697963037906381E-3</v>
      </c>
    </row>
    <row r="13" spans="1:9" x14ac:dyDescent="0.35">
      <c r="D13" t="s">
        <v>8</v>
      </c>
      <c r="F13">
        <v>1.2422278663698754E-2</v>
      </c>
      <c r="G13">
        <v>3.3983031450688936E-3</v>
      </c>
      <c r="H13">
        <v>-1.5820581808767647E-2</v>
      </c>
      <c r="I13">
        <f>F9</f>
        <v>3.4441191665231623E-3</v>
      </c>
    </row>
    <row r="15" spans="1:9" x14ac:dyDescent="0.35">
      <c r="E15" s="1"/>
      <c r="F15">
        <f t="array" ref="F15:F17">MMULT(F11:H13,I11:I13)</f>
        <v>1.2296451820939663E-3</v>
      </c>
    </row>
    <row r="16" spans="1:9" x14ac:dyDescent="0.35">
      <c r="E16" t="s">
        <v>9</v>
      </c>
      <c r="F16">
        <v>2.1474841119393726E-4</v>
      </c>
    </row>
    <row r="17" spans="1:8" x14ac:dyDescent="0.35">
      <c r="F17">
        <v>1.9171487420321481E-7</v>
      </c>
      <c r="H17" s="2">
        <v>9.9999999999999995E-8</v>
      </c>
    </row>
    <row r="18" spans="1:8" x14ac:dyDescent="0.35">
      <c r="G18" s="2">
        <v>1.4245633468608201E-7</v>
      </c>
    </row>
    <row r="19" spans="1:8" x14ac:dyDescent="0.35">
      <c r="B19">
        <v>885</v>
      </c>
      <c r="G19">
        <v>2.1474841119393701E-4</v>
      </c>
    </row>
    <row r="20" spans="1:8" x14ac:dyDescent="0.35">
      <c r="A20" t="s">
        <v>11</v>
      </c>
      <c r="B20">
        <f>5 * (1 - B19 / 1024)</f>
        <v>0.6787109375</v>
      </c>
      <c r="G20">
        <v>1.22964518209397E-3</v>
      </c>
    </row>
    <row r="21" spans="1:8" x14ac:dyDescent="0.35">
      <c r="A21" t="s">
        <v>12</v>
      </c>
      <c r="B21">
        <f>10000 * (1024 / B19 - 1)</f>
        <v>1570.6214689265541</v>
      </c>
      <c r="G21">
        <v>1.9171487420321481E-7</v>
      </c>
    </row>
    <row r="22" spans="1:8" x14ac:dyDescent="0.35">
      <c r="A22" t="s">
        <v>15</v>
      </c>
      <c r="B22">
        <v>1</v>
      </c>
      <c r="C22">
        <f>F15</f>
        <v>1.2296451820939663E-3</v>
      </c>
      <c r="D22">
        <f>B22 * C22</f>
        <v>1.2296451820939663E-3</v>
      </c>
    </row>
    <row r="23" spans="1:8" x14ac:dyDescent="0.35">
      <c r="A23" t="s">
        <v>13</v>
      </c>
      <c r="B23">
        <f>LN(B21)</f>
        <v>7.3592266600989449</v>
      </c>
      <c r="C23">
        <f>F16</f>
        <v>2.1474841119393726E-4</v>
      </c>
      <c r="D23">
        <f t="shared" ref="D23:D24" si="0">B23 * C23</f>
        <v>1.5803822328723136E-3</v>
      </c>
      <c r="F23">
        <f>SUM(D22:D24)</f>
        <v>2.8864377926646392E-3</v>
      </c>
      <c r="G23">
        <f>1/F23</f>
        <v>346.44779199514346</v>
      </c>
      <c r="H23">
        <f>G23-273.15</f>
        <v>73.297791995143484</v>
      </c>
    </row>
    <row r="24" spans="1:8" x14ac:dyDescent="0.35">
      <c r="A24" t="s">
        <v>14</v>
      </c>
      <c r="B24">
        <f>B23^3</f>
        <v>398.56259466527052</v>
      </c>
      <c r="C24">
        <f>F17</f>
        <v>1.9171487420321481E-7</v>
      </c>
      <c r="D24">
        <f t="shared" si="0"/>
        <v>7.6410377698359237E-5</v>
      </c>
    </row>
    <row r="26" spans="1:8" x14ac:dyDescent="0.35">
      <c r="A26" t="s">
        <v>12</v>
      </c>
    </row>
    <row r="27" spans="1:8" x14ac:dyDescent="0.35">
      <c r="A27" t="s">
        <v>31</v>
      </c>
      <c r="B27" t="s">
        <v>32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6175-372A-4621-A72E-CB58FD5305F7}">
  <dimension ref="A1:P45"/>
  <sheetViews>
    <sheetView tabSelected="1" workbookViewId="0">
      <selection activeCell="E11" sqref="E11"/>
    </sheetView>
  </sheetViews>
  <sheetFormatPr defaultRowHeight="14.5" x14ac:dyDescent="0.35"/>
  <cols>
    <col min="7" max="8" width="11.81640625" bestFit="1" customWidth="1"/>
  </cols>
  <sheetData>
    <row r="1" spans="1:15" x14ac:dyDescent="0.35">
      <c r="A1" t="s">
        <v>16</v>
      </c>
      <c r="B1" t="s">
        <v>18</v>
      </c>
      <c r="C1" t="s">
        <v>17</v>
      </c>
      <c r="D1" t="s">
        <v>3</v>
      </c>
      <c r="E1" t="s">
        <v>19</v>
      </c>
      <c r="F1" t="s">
        <v>23</v>
      </c>
      <c r="G1" t="s">
        <v>24</v>
      </c>
      <c r="H1" t="s">
        <v>25</v>
      </c>
      <c r="O1">
        <v>0.64</v>
      </c>
    </row>
    <row r="2" spans="1:15" x14ac:dyDescent="0.35">
      <c r="A2">
        <v>249</v>
      </c>
      <c r="B2">
        <v>-0.2</v>
      </c>
      <c r="C2">
        <f>B2+273.15</f>
        <v>272.95</v>
      </c>
      <c r="D2">
        <f>10000 * ((1024 / A2 - 1))</f>
        <v>31124.497991967866</v>
      </c>
      <c r="E2">
        <f>LN(D2)</f>
        <v>10.345750504864823</v>
      </c>
      <c r="F2">
        <f>$A$14 + $B$14 * E2 + $C$14 * E2^3</f>
        <v>3.6636746656896662E-3</v>
      </c>
      <c r="G2">
        <f>1/F2</f>
        <v>272.95000000000152</v>
      </c>
      <c r="H2">
        <f>(G2-C2)^2</f>
        <v>2.3555260412154577E-24</v>
      </c>
      <c r="I2">
        <f>1/C2</f>
        <v>3.663674665689687E-3</v>
      </c>
    </row>
    <row r="3" spans="1:15" x14ac:dyDescent="0.35">
      <c r="A3">
        <v>955</v>
      </c>
      <c r="B3">
        <v>97.5</v>
      </c>
      <c r="C3">
        <f>B3+273.15</f>
        <v>370.65</v>
      </c>
      <c r="D3">
        <f>10000 * ((1024 / A3 - 1))</f>
        <v>722.51308900523668</v>
      </c>
      <c r="E3">
        <f>LN(D3)</f>
        <v>6.5827355360927138</v>
      </c>
      <c r="F3">
        <f>$A$14 + $B$14 * E3 + $C$14 * E3^3</f>
        <v>2.697963037906361E-3</v>
      </c>
      <c r="G3">
        <f t="shared" ref="G3:G7" si="0">1/F3</f>
        <v>370.65000000000271</v>
      </c>
      <c r="H3">
        <f t="shared" ref="H3:H7" si="1">(G3-C3)^2</f>
        <v>7.4446255129772491E-24</v>
      </c>
      <c r="I3">
        <f t="shared" ref="I3:I7" si="2">1/C3</f>
        <v>2.697963037906381E-3</v>
      </c>
    </row>
    <row r="4" spans="1:15" x14ac:dyDescent="0.35">
      <c r="A4">
        <v>429</v>
      </c>
      <c r="B4">
        <v>17.2</v>
      </c>
      <c r="C4">
        <f>B4+273.15</f>
        <v>290.34999999999997</v>
      </c>
      <c r="D4">
        <f>10000 * ((1024 / A4 - 1))</f>
        <v>13869.463869463869</v>
      </c>
      <c r="E4">
        <f>LN(D4)</f>
        <v>9.5374448585937959</v>
      </c>
      <c r="F4">
        <f>$A$14 + $B$14 * E4 + $C$14 * E4^3</f>
        <v>3.4441191665231415E-3</v>
      </c>
      <c r="G4">
        <f t="shared" si="0"/>
        <v>290.35000000000173</v>
      </c>
      <c r="H4">
        <f t="shared" si="1"/>
        <v>3.105158471341639E-24</v>
      </c>
      <c r="I4">
        <f t="shared" si="2"/>
        <v>3.4441191665231623E-3</v>
      </c>
    </row>
    <row r="5" spans="1:15" x14ac:dyDescent="0.35">
      <c r="A5">
        <v>698</v>
      </c>
      <c r="B5">
        <v>43.4</v>
      </c>
      <c r="C5">
        <f t="shared" ref="C5:C7" si="3">B5+273.15</f>
        <v>316.54999999999995</v>
      </c>
      <c r="D5">
        <f t="shared" ref="D5:D11" si="4">10000 * ((1024 / A5 - 1))</f>
        <v>4670.4871060171918</v>
      </c>
      <c r="E5">
        <f t="shared" ref="E5:E11" si="5">LN(D5)</f>
        <v>8.449018650580518</v>
      </c>
      <c r="F5">
        <f>$A$14 + $B$14 * E5 + $C$14 * E5^3</f>
        <v>3.1596896023190894E-3</v>
      </c>
      <c r="G5">
        <f t="shared" si="0"/>
        <v>316.48678378598925</v>
      </c>
      <c r="H5">
        <f t="shared" si="1"/>
        <v>3.9962897138476885E-3</v>
      </c>
      <c r="I5">
        <f t="shared" si="2"/>
        <v>3.1590586005370404E-3</v>
      </c>
    </row>
    <row r="6" spans="1:15" x14ac:dyDescent="0.35">
      <c r="A6">
        <v>827</v>
      </c>
      <c r="B6">
        <v>61.4</v>
      </c>
      <c r="C6">
        <f t="shared" si="3"/>
        <v>334.54999999999995</v>
      </c>
      <c r="D6">
        <f t="shared" si="4"/>
        <v>2382.1039903264805</v>
      </c>
      <c r="E6">
        <f t="shared" si="5"/>
        <v>7.7757394056904792</v>
      </c>
      <c r="F6">
        <f>$A$14 + $B$14 * E6 + $C$14 * E6^3</f>
        <v>2.9896052581628897E-3</v>
      </c>
      <c r="G6">
        <f t="shared" si="0"/>
        <v>334.49232043915367</v>
      </c>
      <c r="H6">
        <f t="shared" si="1"/>
        <v>3.3269317394199098E-3</v>
      </c>
      <c r="I6">
        <f t="shared" si="2"/>
        <v>2.9890898221491559E-3</v>
      </c>
    </row>
    <row r="7" spans="1:15" x14ac:dyDescent="0.35">
      <c r="A7">
        <v>743</v>
      </c>
      <c r="B7">
        <v>47.9</v>
      </c>
      <c r="C7">
        <f t="shared" si="3"/>
        <v>321.04999999999995</v>
      </c>
      <c r="D7">
        <f t="shared" si="4"/>
        <v>3781.9650067294751</v>
      </c>
      <c r="E7">
        <f t="shared" si="5"/>
        <v>8.2379989965921698</v>
      </c>
      <c r="F7">
        <f>$A$14 + $B$14 * E7 + $C$14 * E7^3</f>
        <v>3.1059241698444162E-3</v>
      </c>
      <c r="G7">
        <f t="shared" si="0"/>
        <v>321.96536210028995</v>
      </c>
      <c r="H7">
        <f t="shared" si="1"/>
        <v>0.83788777464731412</v>
      </c>
      <c r="I7">
        <f t="shared" si="2"/>
        <v>3.1147796293412243E-3</v>
      </c>
    </row>
    <row r="8" spans="1:15" x14ac:dyDescent="0.35">
      <c r="A8">
        <v>623</v>
      </c>
      <c r="B8">
        <v>35.4</v>
      </c>
      <c r="C8">
        <f>B8+273.15</f>
        <v>308.54999999999995</v>
      </c>
      <c r="D8">
        <f t="shared" si="4"/>
        <v>6436.5971107544137</v>
      </c>
      <c r="E8">
        <f t="shared" si="5"/>
        <v>8.7697552804952981</v>
      </c>
      <c r="F8">
        <f>$A$14 + $B$14 * E8 + $C$14 * E8^3</f>
        <v>3.2422420627549152E-3</v>
      </c>
      <c r="G8" t="s">
        <v>26</v>
      </c>
      <c r="H8">
        <f>SUM(H2:H7)</f>
        <v>0.8452109961005817</v>
      </c>
    </row>
    <row r="9" spans="1:15" x14ac:dyDescent="0.35">
      <c r="A9">
        <v>679</v>
      </c>
      <c r="B9">
        <v>50</v>
      </c>
      <c r="C9">
        <f>B9+273.15</f>
        <v>323.14999999999998</v>
      </c>
      <c r="D9">
        <f t="shared" si="4"/>
        <v>5081.0014727540502</v>
      </c>
      <c r="E9">
        <f t="shared" si="5"/>
        <v>8.5332636614488457</v>
      </c>
      <c r="F9">
        <f>$A$14 + $B$14 * E9 + $C$14 * E9^3</f>
        <v>3.1812745539100359E-3</v>
      </c>
    </row>
    <row r="10" spans="1:15" x14ac:dyDescent="0.35">
      <c r="A10">
        <v>483</v>
      </c>
      <c r="B10">
        <v>22.5</v>
      </c>
      <c r="C10">
        <f>B10+273.15</f>
        <v>295.64999999999998</v>
      </c>
      <c r="D10">
        <f t="shared" si="4"/>
        <v>11200.828157349899</v>
      </c>
      <c r="E10">
        <f t="shared" si="5"/>
        <v>9.3237429971700916</v>
      </c>
      <c r="F10">
        <f>$A$14 + $B$14 * E10 + $C$14 * E10^3</f>
        <v>3.3872954738429265E-3</v>
      </c>
    </row>
    <row r="11" spans="1:15" x14ac:dyDescent="0.35">
      <c r="A11">
        <v>885</v>
      </c>
      <c r="B11">
        <v>73.3</v>
      </c>
      <c r="C11">
        <f>B11+273.15</f>
        <v>346.45</v>
      </c>
      <c r="D11">
        <f t="shared" si="4"/>
        <v>1570.6214689265541</v>
      </c>
      <c r="E11">
        <f t="shared" si="5"/>
        <v>7.3592266600989449</v>
      </c>
      <c r="F11">
        <f>$A$14 + $B$14 * E11 + $C$14 * E11^3</f>
        <v>2.8864377926646392E-3</v>
      </c>
    </row>
    <row r="13" spans="1:15" x14ac:dyDescent="0.35">
      <c r="A13" t="s">
        <v>20</v>
      </c>
      <c r="B13" t="s">
        <v>21</v>
      </c>
      <c r="C13" t="s">
        <v>22</v>
      </c>
    </row>
    <row r="14" spans="1:15" x14ac:dyDescent="0.35">
      <c r="A14">
        <v>1.2296451820939663E-3</v>
      </c>
      <c r="B14">
        <v>2.1474841119393726E-4</v>
      </c>
      <c r="C14">
        <v>1.9171487420321481E-7</v>
      </c>
    </row>
    <row r="16" spans="1:15" x14ac:dyDescent="0.35">
      <c r="A16">
        <v>1</v>
      </c>
      <c r="B16">
        <f>E2</f>
        <v>10.345750504864823</v>
      </c>
      <c r="C16">
        <f>B16^3</f>
        <v>1107.3527860027941</v>
      </c>
      <c r="G16">
        <f>I2</f>
        <v>3.663674665689687E-3</v>
      </c>
      <c r="J16">
        <v>1</v>
      </c>
      <c r="K16">
        <v>10.345750504864823</v>
      </c>
      <c r="L16">
        <v>1107.3527860027941</v>
      </c>
    </row>
    <row r="17" spans="1:16" x14ac:dyDescent="0.35">
      <c r="A17">
        <v>1</v>
      </c>
      <c r="B17">
        <f>E3</f>
        <v>6.5827355360927138</v>
      </c>
      <c r="C17">
        <f t="shared" ref="C17:C21" si="6">B17^3</f>
        <v>285.24577633265744</v>
      </c>
      <c r="E17" t="s">
        <v>6</v>
      </c>
      <c r="G17">
        <f t="shared" ref="G17:G21" si="7">I3</f>
        <v>2.697963037906381E-3</v>
      </c>
      <c r="J17">
        <v>1</v>
      </c>
      <c r="K17">
        <v>6.5827355360927138</v>
      </c>
      <c r="L17">
        <v>285.24577633265744</v>
      </c>
    </row>
    <row r="18" spans="1:16" x14ac:dyDescent="0.35">
      <c r="A18">
        <v>1</v>
      </c>
      <c r="B18">
        <f>E4</f>
        <v>9.5374448585937959</v>
      </c>
      <c r="C18">
        <f t="shared" si="6"/>
        <v>867.55320831325992</v>
      </c>
      <c r="D18" t="s">
        <v>27</v>
      </c>
      <c r="E18" t="s">
        <v>7</v>
      </c>
      <c r="F18" t="s">
        <v>9</v>
      </c>
      <c r="G18">
        <f t="shared" si="7"/>
        <v>3.4441191665231623E-3</v>
      </c>
      <c r="J18">
        <v>1</v>
      </c>
      <c r="K18">
        <v>9.5374448585937959</v>
      </c>
      <c r="L18">
        <v>867.55320831325992</v>
      </c>
    </row>
    <row r="19" spans="1:16" x14ac:dyDescent="0.35">
      <c r="A19">
        <v>1</v>
      </c>
      <c r="B19">
        <f>E5</f>
        <v>8.449018650580518</v>
      </c>
      <c r="C19">
        <f t="shared" si="6"/>
        <v>603.1409370065146</v>
      </c>
      <c r="E19" t="s">
        <v>8</v>
      </c>
      <c r="G19">
        <f t="shared" si="7"/>
        <v>3.1590586005370404E-3</v>
      </c>
      <c r="J19">
        <v>1</v>
      </c>
      <c r="K19">
        <v>8.449018650580518</v>
      </c>
      <c r="L19">
        <v>603.1409370065146</v>
      </c>
    </row>
    <row r="20" spans="1:16" x14ac:dyDescent="0.35">
      <c r="A20">
        <v>1</v>
      </c>
      <c r="B20">
        <f>E6</f>
        <v>7.7757394056904792</v>
      </c>
      <c r="C20">
        <f t="shared" si="6"/>
        <v>470.13771473602037</v>
      </c>
      <c r="G20">
        <f t="shared" si="7"/>
        <v>2.9890898221491559E-3</v>
      </c>
      <c r="J20">
        <v>1</v>
      </c>
      <c r="K20">
        <v>7.7757394056904792</v>
      </c>
      <c r="L20">
        <v>470.13771473602037</v>
      </c>
    </row>
    <row r="21" spans="1:16" x14ac:dyDescent="0.35">
      <c r="A21">
        <v>1</v>
      </c>
      <c r="B21">
        <f>E7</f>
        <v>8.2379989965921698</v>
      </c>
      <c r="C21">
        <f t="shared" si="6"/>
        <v>559.06873298427934</v>
      </c>
      <c r="G21">
        <f t="shared" si="7"/>
        <v>3.1147796293412243E-3</v>
      </c>
      <c r="J21">
        <v>1</v>
      </c>
      <c r="K21">
        <v>8.2379989965921698</v>
      </c>
      <c r="L21">
        <v>559.06873298427934</v>
      </c>
    </row>
    <row r="23" spans="1:16" x14ac:dyDescent="0.35">
      <c r="A23">
        <v>1.2296451820939663E-3</v>
      </c>
      <c r="N23">
        <v>1</v>
      </c>
      <c r="O23">
        <v>10.345750504864823</v>
      </c>
      <c r="P23">
        <v>1107.3527860027941</v>
      </c>
    </row>
    <row r="24" spans="1:16" x14ac:dyDescent="0.35">
      <c r="A24">
        <v>2.1474841119393726E-4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6.5827355360927138</v>
      </c>
      <c r="P24">
        <v>285.24577633265744</v>
      </c>
    </row>
    <row r="25" spans="1:16" x14ac:dyDescent="0.35">
      <c r="A25">
        <v>1.9171487420321481E-7</v>
      </c>
      <c r="D25" t="s">
        <v>28</v>
      </c>
      <c r="G25">
        <v>10.345750504864823</v>
      </c>
      <c r="H25">
        <v>6.5827355360927138</v>
      </c>
      <c r="I25">
        <v>9.5374448585937959</v>
      </c>
      <c r="J25">
        <v>8.449018650580518</v>
      </c>
      <c r="K25">
        <v>7.7757394056904792</v>
      </c>
      <c r="L25">
        <v>8.2379989965921698</v>
      </c>
      <c r="M25" t="s">
        <v>27</v>
      </c>
      <c r="N25">
        <v>1</v>
      </c>
      <c r="O25">
        <v>9.5374448585937959</v>
      </c>
      <c r="P25">
        <v>867.55320831325992</v>
      </c>
    </row>
    <row r="26" spans="1:16" x14ac:dyDescent="0.35">
      <c r="G26">
        <v>1107.3527860027941</v>
      </c>
      <c r="H26">
        <v>285.24577633265744</v>
      </c>
      <c r="I26">
        <v>867.55320831325992</v>
      </c>
      <c r="J26">
        <v>603.1409370065146</v>
      </c>
      <c r="K26">
        <v>470.13771473602037</v>
      </c>
      <c r="L26">
        <v>559.06873298427934</v>
      </c>
      <c r="N26">
        <v>1</v>
      </c>
      <c r="O26">
        <v>8.449018650580518</v>
      </c>
      <c r="P26">
        <v>603.1409370065146</v>
      </c>
    </row>
    <row r="27" spans="1:16" x14ac:dyDescent="0.35">
      <c r="N27">
        <v>1</v>
      </c>
      <c r="O27">
        <v>7.7757394056904792</v>
      </c>
      <c r="P27">
        <v>470.13771473602037</v>
      </c>
    </row>
    <row r="28" spans="1:16" x14ac:dyDescent="0.35">
      <c r="N28">
        <v>1</v>
      </c>
      <c r="O28">
        <v>8.2379989965921698</v>
      </c>
      <c r="P28">
        <v>559.06873298427934</v>
      </c>
    </row>
    <row r="31" spans="1:16" x14ac:dyDescent="0.35">
      <c r="F31" t="s">
        <v>9</v>
      </c>
      <c r="G31">
        <f t="array" ref="G31:I33">MMULT(G24:L26,N23:P28)</f>
        <v>6</v>
      </c>
      <c r="H31">
        <v>50.928687952414499</v>
      </c>
      <c r="I31">
        <v>3892.4991553755258</v>
      </c>
    </row>
    <row r="32" spans="1:16" x14ac:dyDescent="0.35">
      <c r="G32">
        <v>50.928687952414499</v>
      </c>
      <c r="H32">
        <v>441.04248200868454</v>
      </c>
      <c r="I32">
        <v>34965.559081042411</v>
      </c>
    </row>
    <row r="33" spans="4:12" x14ac:dyDescent="0.35">
      <c r="G33">
        <v>3892.4991553755258</v>
      </c>
      <c r="H33">
        <v>34965.559081042411</v>
      </c>
      <c r="I33">
        <v>2957610.2237493531</v>
      </c>
    </row>
    <row r="35" spans="4:12" x14ac:dyDescent="0.35">
      <c r="G35">
        <f t="array" ref="G35:I37">MINVERSE(G31:I33)</f>
        <v>177.31971163860567</v>
      </c>
      <c r="H35">
        <v>-31.467629324468341</v>
      </c>
      <c r="I35">
        <v>0.13864789254768545</v>
      </c>
    </row>
    <row r="36" spans="4:12" x14ac:dyDescent="0.35">
      <c r="D36" t="s">
        <v>28</v>
      </c>
      <c r="F36" t="s">
        <v>9</v>
      </c>
      <c r="G36">
        <v>-31.46762932446839</v>
      </c>
      <c r="H36">
        <v>5.6204677924836837</v>
      </c>
      <c r="I36">
        <v>-2.5032060512749678E-2</v>
      </c>
    </row>
    <row r="37" spans="4:12" x14ac:dyDescent="0.35">
      <c r="G37">
        <v>0.13864789254768603</v>
      </c>
      <c r="H37">
        <v>-2.5032060512749747E-2</v>
      </c>
      <c r="I37">
        <v>1.1379903390908714E-4</v>
      </c>
    </row>
    <row r="39" spans="4:12" x14ac:dyDescent="0.35">
      <c r="G39">
        <f t="array" ref="G39:L41">MMULT(G35:I37,G24:L26)</f>
        <v>5.2955997541837689</v>
      </c>
      <c r="H39">
        <v>9.7253555944861674</v>
      </c>
      <c r="I39">
        <v>-2.5166438685636336</v>
      </c>
      <c r="J39">
        <v>-4.9266555881922329</v>
      </c>
      <c r="K39">
        <v>-2.1807703479899345</v>
      </c>
      <c r="L39">
        <v>-4.3968855439238723</v>
      </c>
    </row>
    <row r="40" spans="4:12" x14ac:dyDescent="0.35">
      <c r="D40" t="s">
        <v>29</v>
      </c>
      <c r="F40" t="s">
        <v>9</v>
      </c>
      <c r="G40">
        <v>-1.0389937709877337</v>
      </c>
      <c r="H40">
        <v>-1.6098657915868211</v>
      </c>
      <c r="I40">
        <v>0.42062791731949289</v>
      </c>
      <c r="J40">
        <v>0.92194744634975123</v>
      </c>
      <c r="K40">
        <v>0.46714784336326076</v>
      </c>
      <c r="L40">
        <v>0.83913635554203125</v>
      </c>
    </row>
    <row r="41" spans="4:12" x14ac:dyDescent="0.35">
      <c r="G41">
        <v>5.6881171037526379E-3</v>
      </c>
      <c r="H41">
        <v>6.3291520420890382E-3</v>
      </c>
      <c r="I41">
        <v>-1.3672873188698142E-3</v>
      </c>
      <c r="J41">
        <v>-4.2115976446337605E-3</v>
      </c>
      <c r="K41">
        <v>-2.4936690457456751E-3</v>
      </c>
      <c r="L41">
        <v>-3.944715136592461E-3</v>
      </c>
    </row>
    <row r="43" spans="4:12" x14ac:dyDescent="0.35">
      <c r="G43">
        <f t="array" ref="G43:G45">MMULT(G39:L41,G16:G21)</f>
        <v>1.1949415162793974E-3</v>
      </c>
    </row>
    <row r="44" spans="4:12" x14ac:dyDescent="0.35">
      <c r="D44" t="s">
        <v>30</v>
      </c>
      <c r="F44" t="s">
        <v>9</v>
      </c>
      <c r="G44">
        <v>2.2135681389884093E-4</v>
      </c>
    </row>
    <row r="45" spans="4:12" x14ac:dyDescent="0.35">
      <c r="G45">
        <v>1.6072546153625734E-7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 Train</dc:creator>
  <cp:lastModifiedBy>Gordan Train</cp:lastModifiedBy>
  <dcterms:created xsi:type="dcterms:W3CDTF">2020-01-15T21:41:40Z</dcterms:created>
  <dcterms:modified xsi:type="dcterms:W3CDTF">2020-01-24T19:05:47Z</dcterms:modified>
</cp:coreProperties>
</file>