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85CFA4EB-DE37-4B45-99DB-1CC8E8137E1C}" xr6:coauthVersionLast="47" xr6:coauthVersionMax="47" xr10:uidLastSave="{00000000-0000-0000-0000-000000000000}"/>
  <bookViews>
    <workbookView xWindow="10560" yWindow="60" windowWidth="12096" windowHeight="12228" tabRatio="714" firstSheet="3" activeTab="4" xr2:uid="{04F99895-366E-436D-852D-36D9D86D6DDC}"/>
  </bookViews>
  <sheets>
    <sheet name="-------" sheetId="1" state="veryHidden" r:id="rId1"/>
    <sheet name="FORMATO" sheetId="13" r:id="rId2"/>
    <sheet name="INFORME-1" sheetId="6" r:id="rId3"/>
    <sheet name="INFORME-2" sheetId="7" r:id="rId4"/>
    <sheet name="DATOS" sheetId="8" r:id="rId5"/>
    <sheet name="INCERT" sheetId="9" r:id="rId6"/>
    <sheet name="Balanza" sheetId="10" r:id="rId7"/>
    <sheet name="PRECISION" sheetId="11" r:id="rId8"/>
    <sheet name="PRECISION (2)" sheetId="12" state="hidden" r:id="rId9"/>
  </sheets>
  <definedNames>
    <definedName name="_xlnm.Print_Area" localSheetId="2">'INFORME-1'!$A$1:$Q$67</definedName>
    <definedName name="_xlnm.Print_Area" localSheetId="3">'INFORME-2'!$A$1:$R$60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6" l="1"/>
  <c r="E19" i="6"/>
  <c r="E18" i="6"/>
  <c r="P20" i="6"/>
  <c r="P19" i="6"/>
  <c r="P13" i="6"/>
  <c r="P12" i="6"/>
  <c r="P11" i="6"/>
  <c r="C11" i="6"/>
  <c r="C12" i="6"/>
  <c r="C13" i="6"/>
  <c r="C10" i="6"/>
  <c r="O4" i="8" l="1"/>
  <c r="O5" i="8"/>
  <c r="L17" i="8"/>
  <c r="R20" i="6" l="1"/>
  <c r="P18" i="6"/>
  <c r="D11" i="8"/>
  <c r="D10" i="8"/>
  <c r="F2" i="8"/>
  <c r="L40" i="8"/>
  <c r="L39" i="8"/>
  <c r="L38" i="8"/>
  <c r="L37" i="8"/>
  <c r="L36" i="8"/>
  <c r="H40" i="8"/>
  <c r="H39" i="8"/>
  <c r="H38" i="8"/>
  <c r="H37" i="8"/>
  <c r="H36" i="8"/>
  <c r="D40" i="8"/>
  <c r="D39" i="8"/>
  <c r="D38" i="8"/>
  <c r="D37" i="8"/>
  <c r="D36" i="8"/>
  <c r="L45" i="8"/>
  <c r="L46" i="8"/>
  <c r="L47" i="8"/>
  <c r="L48" i="8"/>
  <c r="L49" i="8"/>
  <c r="L50" i="8"/>
  <c r="L51" i="8"/>
  <c r="L52" i="8"/>
  <c r="L53" i="8"/>
  <c r="L54" i="8"/>
  <c r="L55" i="8"/>
  <c r="M55" i="8" s="1"/>
  <c r="L44" i="8"/>
  <c r="H45" i="8"/>
  <c r="H46" i="8"/>
  <c r="H47" i="8"/>
  <c r="H48" i="8"/>
  <c r="H49" i="8"/>
  <c r="H50" i="8"/>
  <c r="H51" i="8"/>
  <c r="H52" i="8"/>
  <c r="H53" i="8"/>
  <c r="H54" i="8"/>
  <c r="H55" i="8"/>
  <c r="I55" i="8" s="1"/>
  <c r="H44" i="8"/>
  <c r="D45" i="8"/>
  <c r="D46" i="8"/>
  <c r="D47" i="8"/>
  <c r="D48" i="8"/>
  <c r="D49" i="8"/>
  <c r="D50" i="8"/>
  <c r="D51" i="8"/>
  <c r="D52" i="8"/>
  <c r="D53" i="8"/>
  <c r="D54" i="8"/>
  <c r="D55" i="8"/>
  <c r="E55" i="8" s="1"/>
  <c r="D44" i="8"/>
  <c r="N30" i="8"/>
  <c r="N29" i="8"/>
  <c r="N28" i="8"/>
  <c r="N27" i="8"/>
  <c r="N26" i="8"/>
  <c r="L30" i="8"/>
  <c r="L29" i="8"/>
  <c r="L28" i="8"/>
  <c r="L27" i="8"/>
  <c r="L26" i="8"/>
  <c r="J30" i="8"/>
  <c r="J29" i="8"/>
  <c r="J28" i="8"/>
  <c r="J27" i="8"/>
  <c r="J26" i="8"/>
  <c r="H30" i="8"/>
  <c r="H29" i="8"/>
  <c r="H28" i="8"/>
  <c r="H27" i="8"/>
  <c r="H26" i="8"/>
  <c r="F30" i="8"/>
  <c r="F29" i="8"/>
  <c r="F28" i="8"/>
  <c r="F27" i="8"/>
  <c r="F26" i="8"/>
  <c r="D26" i="8"/>
  <c r="D30" i="8"/>
  <c r="D29" i="8"/>
  <c r="D28" i="8"/>
  <c r="D27" i="8"/>
  <c r="N18" i="8"/>
  <c r="L18" i="8"/>
  <c r="J18" i="8"/>
  <c r="H18" i="8"/>
  <c r="F18" i="8"/>
  <c r="D18" i="8"/>
  <c r="D17" i="8"/>
  <c r="O32" i="13"/>
  <c r="L32" i="13"/>
  <c r="J32" i="13"/>
  <c r="H32" i="13"/>
  <c r="F32" i="13"/>
  <c r="D32" i="13"/>
  <c r="G22" i="8" l="1"/>
  <c r="E22" i="8"/>
  <c r="G19" i="8"/>
  <c r="E19" i="8"/>
  <c r="O22" i="8" l="1"/>
  <c r="M22" i="8"/>
  <c r="K22" i="8"/>
  <c r="I22" i="8"/>
  <c r="O19" i="8"/>
  <c r="M19" i="8"/>
  <c r="K19" i="8"/>
  <c r="I19" i="8"/>
  <c r="D28" i="10" s="1"/>
  <c r="M86" i="9"/>
  <c r="N88" i="9" s="1"/>
  <c r="P88" i="9" s="1"/>
  <c r="Y4" i="8"/>
  <c r="X4" i="8"/>
  <c r="W4" i="8"/>
  <c r="E45" i="8"/>
  <c r="D23" i="12"/>
  <c r="F23" i="12"/>
  <c r="K23" i="12"/>
  <c r="M23" i="12"/>
  <c r="L26" i="12"/>
  <c r="J26" i="12"/>
  <c r="E26" i="12"/>
  <c r="C26" i="12"/>
  <c r="L25" i="12"/>
  <c r="J25" i="12"/>
  <c r="E25" i="12"/>
  <c r="C25" i="12"/>
  <c r="L24" i="12"/>
  <c r="J24" i="12"/>
  <c r="E24" i="12"/>
  <c r="C24" i="12"/>
  <c r="L23" i="12"/>
  <c r="J23" i="12"/>
  <c r="E23" i="12"/>
  <c r="C23" i="12"/>
  <c r="J21" i="12"/>
  <c r="C21" i="12"/>
  <c r="J20" i="12"/>
  <c r="C20" i="12"/>
  <c r="R25" i="8"/>
  <c r="Q25" i="8"/>
  <c r="C73" i="9"/>
  <c r="C74" i="9"/>
  <c r="C75" i="9"/>
  <c r="C76" i="9"/>
  <c r="C72" i="9"/>
  <c r="AB9" i="8"/>
  <c r="L140" i="9"/>
  <c r="L141" i="9"/>
  <c r="L142" i="9"/>
  <c r="L143" i="9"/>
  <c r="L144" i="9"/>
  <c r="L145" i="9"/>
  <c r="L146" i="9"/>
  <c r="L147" i="9"/>
  <c r="L148" i="9"/>
  <c r="L138" i="9"/>
  <c r="L139" i="9"/>
  <c r="L137" i="9"/>
  <c r="M138" i="9"/>
  <c r="M139" i="9"/>
  <c r="M140" i="9"/>
  <c r="M141" i="9"/>
  <c r="M142" i="9"/>
  <c r="M143" i="9"/>
  <c r="M144" i="9"/>
  <c r="M145" i="9"/>
  <c r="M146" i="9"/>
  <c r="M147" i="9"/>
  <c r="M148" i="9"/>
  <c r="M137" i="9"/>
  <c r="X124" i="9"/>
  <c r="Z124" i="9" s="1"/>
  <c r="X128" i="9"/>
  <c r="Z128" i="9" s="1"/>
  <c r="L134" i="9"/>
  <c r="B77" i="9"/>
  <c r="G53" i="9"/>
  <c r="G52" i="9"/>
  <c r="R30" i="8"/>
  <c r="S30" i="8" s="1"/>
  <c r="R29" i="8"/>
  <c r="S29" i="8" s="1"/>
  <c r="R28" i="8"/>
  <c r="S28" i="8" s="1"/>
  <c r="Q30" i="8"/>
  <c r="Q29" i="8"/>
  <c r="Q28" i="8"/>
  <c r="I48" i="8"/>
  <c r="M48" i="8"/>
  <c r="E50" i="8"/>
  <c r="E49" i="8"/>
  <c r="E51" i="8"/>
  <c r="E52" i="8"/>
  <c r="E53" i="8"/>
  <c r="E54" i="8"/>
  <c r="E46" i="8"/>
  <c r="E47" i="8"/>
  <c r="E48" i="8"/>
  <c r="I50" i="8"/>
  <c r="I46" i="8"/>
  <c r="I47" i="8"/>
  <c r="I49" i="8"/>
  <c r="I51" i="8"/>
  <c r="I52" i="8"/>
  <c r="I53" i="8"/>
  <c r="I54" i="8"/>
  <c r="I45" i="8"/>
  <c r="A37" i="8"/>
  <c r="A38" i="8" s="1"/>
  <c r="A39" i="8" s="1"/>
  <c r="A40" i="8" s="1"/>
  <c r="B36" i="8"/>
  <c r="B37" i="8" s="1"/>
  <c r="B38" i="8" s="1"/>
  <c r="B39" i="8" s="1"/>
  <c r="B40" i="8" s="1"/>
  <c r="M44" i="8"/>
  <c r="I44" i="8"/>
  <c r="E44" i="8"/>
  <c r="M45" i="8"/>
  <c r="M46" i="8"/>
  <c r="M47" i="8"/>
  <c r="M49" i="8"/>
  <c r="M50" i="8"/>
  <c r="M51" i="8"/>
  <c r="M52" i="8"/>
  <c r="M53" i="8"/>
  <c r="M54" i="8"/>
  <c r="G42" i="9"/>
  <c r="G31" i="9"/>
  <c r="Z62" i="9"/>
  <c r="P62" i="9"/>
  <c r="U29" i="7"/>
  <c r="AA29" i="7" s="1"/>
  <c r="P116" i="9"/>
  <c r="P115" i="9"/>
  <c r="Z53" i="9"/>
  <c r="P53" i="9"/>
  <c r="U15" i="7"/>
  <c r="N59" i="6"/>
  <c r="J59" i="6"/>
  <c r="F59" i="6"/>
  <c r="AO31" i="7"/>
  <c r="AR31" i="7" s="1"/>
  <c r="AO32" i="7"/>
  <c r="AR32" i="7" s="1"/>
  <c r="AO33" i="7"/>
  <c r="AR33" i="7" s="1"/>
  <c r="AO34" i="7"/>
  <c r="AR34" i="7" s="1"/>
  <c r="AO35" i="7"/>
  <c r="AQ35" i="7" s="1"/>
  <c r="AO36" i="7"/>
  <c r="AT36" i="7" s="1"/>
  <c r="AO37" i="7"/>
  <c r="AT37" i="7" s="1"/>
  <c r="AO38" i="7"/>
  <c r="AU38" i="7" s="1"/>
  <c r="AO39" i="7"/>
  <c r="AS39" i="7" s="1"/>
  <c r="AO30" i="7"/>
  <c r="AR30" i="7" s="1"/>
  <c r="AE39" i="7"/>
  <c r="AG39" i="7" s="1"/>
  <c r="U39" i="7"/>
  <c r="Y39" i="7" s="1"/>
  <c r="AO17" i="7"/>
  <c r="K138" i="9"/>
  <c r="K139" i="9"/>
  <c r="K137" i="9"/>
  <c r="W134" i="9"/>
  <c r="M33" i="9"/>
  <c r="M44" i="9"/>
  <c r="D7" i="7"/>
  <c r="F26" i="6"/>
  <c r="F27" i="6"/>
  <c r="F25" i="6"/>
  <c r="O33" i="7" s="1"/>
  <c r="O34" i="7" s="1"/>
  <c r="N5" i="8"/>
  <c r="O29" i="8" s="1"/>
  <c r="M5" i="8"/>
  <c r="N4" i="8"/>
  <c r="G18" i="8" s="1"/>
  <c r="M4" i="8"/>
  <c r="Z130" i="9"/>
  <c r="Z129" i="9"/>
  <c r="Z126" i="9"/>
  <c r="Z125" i="9"/>
  <c r="X89" i="9"/>
  <c r="Z89" i="9" s="1"/>
  <c r="X85" i="9"/>
  <c r="Z85" i="9" s="1"/>
  <c r="P126" i="9"/>
  <c r="P125" i="9"/>
  <c r="P130" i="9"/>
  <c r="N128" i="9"/>
  <c r="P128" i="9" s="1"/>
  <c r="N124" i="9"/>
  <c r="P124" i="9" s="1"/>
  <c r="X107" i="9"/>
  <c r="Z107" i="9" s="1"/>
  <c r="X103" i="9"/>
  <c r="Z103" i="9" s="1"/>
  <c r="X99" i="9"/>
  <c r="Z99" i="9" s="1"/>
  <c r="N107" i="9"/>
  <c r="P107" i="9" s="1"/>
  <c r="N103" i="9"/>
  <c r="P103" i="9" s="1"/>
  <c r="N99" i="9"/>
  <c r="P99" i="9" s="1"/>
  <c r="R21" i="10"/>
  <c r="Q21" i="10"/>
  <c r="P21" i="10"/>
  <c r="O21" i="10"/>
  <c r="N21" i="10"/>
  <c r="N89" i="9"/>
  <c r="P89" i="9" s="1"/>
  <c r="N85" i="9"/>
  <c r="P85" i="9" s="1"/>
  <c r="H20" i="10"/>
  <c r="G20" i="10"/>
  <c r="F20" i="10"/>
  <c r="E20" i="10"/>
  <c r="D20" i="10"/>
  <c r="R22" i="10"/>
  <c r="AE31" i="7"/>
  <c r="AJ31" i="7" s="1"/>
  <c r="AE32" i="7"/>
  <c r="AH32" i="7" s="1"/>
  <c r="AE33" i="7"/>
  <c r="AG33" i="7" s="1"/>
  <c r="AE34" i="7"/>
  <c r="AG34" i="7" s="1"/>
  <c r="AE35" i="7"/>
  <c r="AG35" i="7" s="1"/>
  <c r="AE36" i="7"/>
  <c r="AJ36" i="7" s="1"/>
  <c r="AE37" i="7"/>
  <c r="AH37" i="7" s="1"/>
  <c r="AE38" i="7"/>
  <c r="AJ38" i="7" s="1"/>
  <c r="U31" i="7"/>
  <c r="X31" i="7" s="1"/>
  <c r="U32" i="7"/>
  <c r="Y32" i="7" s="1"/>
  <c r="U33" i="7"/>
  <c r="X33" i="7" s="1"/>
  <c r="U34" i="7"/>
  <c r="X34" i="7" s="1"/>
  <c r="U35" i="7"/>
  <c r="Z35" i="7" s="1"/>
  <c r="U36" i="7"/>
  <c r="Y36" i="7" s="1"/>
  <c r="U37" i="7"/>
  <c r="W37" i="7" s="1"/>
  <c r="U38" i="7"/>
  <c r="Z38" i="7" s="1"/>
  <c r="AE30" i="7"/>
  <c r="AI30" i="7" s="1"/>
  <c r="U30" i="7"/>
  <c r="AA30" i="7" s="1"/>
  <c r="P21" i="6"/>
  <c r="AU15" i="7"/>
  <c r="AO15" i="7"/>
  <c r="AE17" i="7"/>
  <c r="AK15" i="7"/>
  <c r="AE15" i="7"/>
  <c r="U17" i="7"/>
  <c r="AA15" i="7"/>
  <c r="P48" i="6"/>
  <c r="N58" i="6"/>
  <c r="N57" i="6"/>
  <c r="N56" i="6"/>
  <c r="N55" i="6"/>
  <c r="N54" i="6"/>
  <c r="N53" i="6"/>
  <c r="N52" i="6"/>
  <c r="N51" i="6"/>
  <c r="N50" i="6"/>
  <c r="N49" i="6"/>
  <c r="N48" i="6"/>
  <c r="L48" i="6"/>
  <c r="J58" i="6"/>
  <c r="J57" i="6"/>
  <c r="J56" i="6"/>
  <c r="J55" i="6"/>
  <c r="J54" i="6"/>
  <c r="J53" i="6"/>
  <c r="J52" i="6"/>
  <c r="J51" i="6"/>
  <c r="J50" i="6"/>
  <c r="J49" i="6"/>
  <c r="J48" i="6"/>
  <c r="H48" i="6"/>
  <c r="F58" i="6"/>
  <c r="F57" i="6"/>
  <c r="F56" i="6"/>
  <c r="F55" i="6"/>
  <c r="F54" i="6"/>
  <c r="F53" i="6"/>
  <c r="F52" i="6"/>
  <c r="F51" i="6"/>
  <c r="F50" i="6"/>
  <c r="F49" i="6"/>
  <c r="F48" i="6"/>
  <c r="A59" i="6"/>
  <c r="A58" i="6"/>
  <c r="A57" i="6"/>
  <c r="A56" i="6"/>
  <c r="A55" i="6"/>
  <c r="A54" i="6"/>
  <c r="A53" i="6"/>
  <c r="A52" i="6"/>
  <c r="A51" i="6"/>
  <c r="A50" i="6"/>
  <c r="A49" i="6"/>
  <c r="A48" i="6"/>
  <c r="N35" i="6"/>
  <c r="J35" i="6"/>
  <c r="F35" i="6"/>
  <c r="N34" i="6"/>
  <c r="N46" i="6" s="1"/>
  <c r="J34" i="6"/>
  <c r="J46" i="6" s="1"/>
  <c r="F34" i="6"/>
  <c r="F46" i="6" s="1"/>
  <c r="P26" i="6"/>
  <c r="P25" i="6"/>
  <c r="L42" i="8"/>
  <c r="H42" i="8"/>
  <c r="D42" i="8"/>
  <c r="N40" i="8"/>
  <c r="J40" i="8"/>
  <c r="F40" i="8"/>
  <c r="N39" i="8"/>
  <c r="J39" i="8"/>
  <c r="F39" i="8"/>
  <c r="N38" i="8"/>
  <c r="J38" i="8"/>
  <c r="F38" i="8"/>
  <c r="N37" i="8"/>
  <c r="J37" i="8"/>
  <c r="F37" i="8"/>
  <c r="N36" i="8"/>
  <c r="J36" i="8"/>
  <c r="F36" i="8"/>
  <c r="Y3" i="8"/>
  <c r="X3" i="8"/>
  <c r="W3" i="8"/>
  <c r="F11" i="8"/>
  <c r="F10" i="8"/>
  <c r="Q7" i="7"/>
  <c r="Q6" i="7"/>
  <c r="A2" i="7"/>
  <c r="V29" i="7"/>
  <c r="AP29" i="7"/>
  <c r="AV16" i="7"/>
  <c r="AF29" i="7"/>
  <c r="AL16" i="7"/>
  <c r="AB16" i="7"/>
  <c r="A10" i="7"/>
  <c r="A9" i="7"/>
  <c r="D6" i="7"/>
  <c r="Q5" i="7"/>
  <c r="D5" i="7"/>
  <c r="Q4" i="7"/>
  <c r="D4" i="7"/>
  <c r="AL15" i="7"/>
  <c r="AK16" i="7"/>
  <c r="AI24" i="7"/>
  <c r="AI25" i="7"/>
  <c r="AE29" i="7"/>
  <c r="AH29" i="7" s="1"/>
  <c r="AB15" i="7"/>
  <c r="Y25" i="7"/>
  <c r="AA16" i="7"/>
  <c r="Y24" i="7"/>
  <c r="P129" i="9"/>
  <c r="AV15" i="7"/>
  <c r="AS24" i="7"/>
  <c r="AU16" i="7"/>
  <c r="AS25" i="7"/>
  <c r="AO29" i="7"/>
  <c r="AT29" i="7" s="1"/>
  <c r="AU30" i="7" l="1"/>
  <c r="E30" i="8"/>
  <c r="AU32" i="7"/>
  <c r="AT32" i="7"/>
  <c r="AQ32" i="7"/>
  <c r="AS32" i="7"/>
  <c r="W30" i="7"/>
  <c r="I27" i="8"/>
  <c r="W104" i="9" s="1"/>
  <c r="X106" i="9" s="1"/>
  <c r="Z106" i="9" s="1"/>
  <c r="AA39" i="7"/>
  <c r="W39" i="7"/>
  <c r="E27" i="8"/>
  <c r="M104" i="9" s="1"/>
  <c r="N106" i="9" s="1"/>
  <c r="P106" i="9" s="1"/>
  <c r="AQ30" i="7"/>
  <c r="K30" i="8"/>
  <c r="O28" i="8"/>
  <c r="I28" i="8"/>
  <c r="W96" i="9" s="1"/>
  <c r="X98" i="9" s="1"/>
  <c r="Z98" i="9" s="1"/>
  <c r="M123" i="9"/>
  <c r="Q127" i="9" s="1"/>
  <c r="J32" i="12"/>
  <c r="AQ39" i="7"/>
  <c r="AK37" i="7"/>
  <c r="AJ37" i="7"/>
  <c r="AU37" i="7"/>
  <c r="X38" i="7"/>
  <c r="AS34" i="7"/>
  <c r="Y34" i="7"/>
  <c r="G38" i="8"/>
  <c r="X39" i="7"/>
  <c r="AG37" i="7"/>
  <c r="AH36" i="7"/>
  <c r="AR38" i="7"/>
  <c r="AK36" i="7"/>
  <c r="AH35" i="7"/>
  <c r="AQ38" i="7"/>
  <c r="AI36" i="7"/>
  <c r="AJ35" i="7"/>
  <c r="W38" i="7"/>
  <c r="Y38" i="7"/>
  <c r="AG38" i="7"/>
  <c r="AU33" i="7"/>
  <c r="AH38" i="7"/>
  <c r="W32" i="7"/>
  <c r="AS38" i="7"/>
  <c r="AK35" i="7"/>
  <c r="P127" i="9"/>
  <c r="AS33" i="7"/>
  <c r="AA35" i="7"/>
  <c r="AT39" i="7"/>
  <c r="AR39" i="7"/>
  <c r="Y30" i="7"/>
  <c r="K29" i="8"/>
  <c r="AK38" i="7"/>
  <c r="AJ30" i="7"/>
  <c r="Z39" i="7"/>
  <c r="AR37" i="7"/>
  <c r="O36" i="8"/>
  <c r="AA38" i="7"/>
  <c r="AI39" i="7"/>
  <c r="C78" i="9"/>
  <c r="D80" i="9" s="1"/>
  <c r="D8" i="8" s="1"/>
  <c r="C32" i="12"/>
  <c r="W34" i="7"/>
  <c r="AK32" i="7"/>
  <c r="AA32" i="7"/>
  <c r="X32" i="7"/>
  <c r="AT33" i="7"/>
  <c r="AI38" i="7"/>
  <c r="AQ33" i="7"/>
  <c r="O27" i="8"/>
  <c r="AI32" i="7"/>
  <c r="AK30" i="7"/>
  <c r="AH31" i="7"/>
  <c r="AG32" i="7"/>
  <c r="AI35" i="7"/>
  <c r="AG30" i="7"/>
  <c r="Z32" i="7"/>
  <c r="AH30" i="7"/>
  <c r="Z30" i="7"/>
  <c r="E28" i="8"/>
  <c r="M96" i="9" s="1"/>
  <c r="N98" i="9" s="1"/>
  <c r="P98" i="9" s="1"/>
  <c r="AJ32" i="7"/>
  <c r="Z34" i="7"/>
  <c r="X30" i="7"/>
  <c r="AQ37" i="7"/>
  <c r="AG31" i="7"/>
  <c r="AI31" i="7"/>
  <c r="W127" i="9"/>
  <c r="AK31" i="7"/>
  <c r="W31" i="7"/>
  <c r="G29" i="8"/>
  <c r="AI37" i="7"/>
  <c r="AA34" i="7"/>
  <c r="AA33" i="7"/>
  <c r="Y33" i="7"/>
  <c r="AH33" i="7"/>
  <c r="M30" i="8"/>
  <c r="G30" i="8"/>
  <c r="W33" i="7"/>
  <c r="AS37" i="7"/>
  <c r="AI33" i="7"/>
  <c r="G27" i="8"/>
  <c r="I29" i="8"/>
  <c r="Y37" i="7"/>
  <c r="AT30" i="7"/>
  <c r="X36" i="7"/>
  <c r="AT34" i="7"/>
  <c r="Y35" i="7"/>
  <c r="Z37" i="7"/>
  <c r="AS30" i="7"/>
  <c r="AK33" i="7"/>
  <c r="M127" i="9"/>
  <c r="AA37" i="7"/>
  <c r="K36" i="8"/>
  <c r="M28" i="8"/>
  <c r="Z123" i="9"/>
  <c r="E29" i="8"/>
  <c r="M100" i="9" s="1"/>
  <c r="N102" i="9" s="1"/>
  <c r="P102" i="9" s="1"/>
  <c r="AK39" i="7"/>
  <c r="AH39" i="7"/>
  <c r="AJ33" i="7"/>
  <c r="AQ34" i="7"/>
  <c r="K27" i="8"/>
  <c r="O30" i="8"/>
  <c r="O31" i="8" s="1"/>
  <c r="AJ39" i="7"/>
  <c r="AG36" i="7"/>
  <c r="AR35" i="7"/>
  <c r="G28" i="8"/>
  <c r="X35" i="7"/>
  <c r="M29" i="8"/>
  <c r="K28" i="8"/>
  <c r="AK34" i="7"/>
  <c r="X37" i="7"/>
  <c r="W35" i="7"/>
  <c r="AU34" i="7"/>
  <c r="P123" i="9"/>
  <c r="Z127" i="9"/>
  <c r="W123" i="9"/>
  <c r="AA127" i="9" s="1"/>
  <c r="C77" i="9"/>
  <c r="E51" i="9" s="1"/>
  <c r="G51" i="9" s="1"/>
  <c r="G50" i="9" s="1"/>
  <c r="W36" i="7"/>
  <c r="AU36" i="7"/>
  <c r="AJ34" i="7"/>
  <c r="AA36" i="7"/>
  <c r="AU39" i="7"/>
  <c r="AS35" i="7"/>
  <c r="AS36" i="7"/>
  <c r="M27" i="8"/>
  <c r="J31" i="12"/>
  <c r="AS31" i="7"/>
  <c r="O39" i="8"/>
  <c r="AR36" i="7"/>
  <c r="AQ31" i="7"/>
  <c r="AU35" i="7"/>
  <c r="G37" i="8"/>
  <c r="AQ36" i="7"/>
  <c r="Z33" i="7"/>
  <c r="AT38" i="7"/>
  <c r="G39" i="8"/>
  <c r="AT35" i="7"/>
  <c r="AT31" i="7"/>
  <c r="Z36" i="7"/>
  <c r="I30" i="8"/>
  <c r="AH34" i="7"/>
  <c r="Z31" i="7"/>
  <c r="AU31" i="7"/>
  <c r="AI34" i="7"/>
  <c r="AA31" i="7"/>
  <c r="Y31" i="7"/>
  <c r="O40" i="8"/>
  <c r="N43" i="6" s="1"/>
  <c r="O38" i="8"/>
  <c r="G36" i="8"/>
  <c r="O37" i="8"/>
  <c r="G40" i="8"/>
  <c r="F43" i="6" s="1"/>
  <c r="K40" i="8"/>
  <c r="J43" i="6" s="1"/>
  <c r="F21" i="10"/>
  <c r="D25" i="10"/>
  <c r="K37" i="8"/>
  <c r="W86" i="9"/>
  <c r="X88" i="9" s="1"/>
  <c r="Z88" i="9" s="1"/>
  <c r="K39" i="8"/>
  <c r="K38" i="8"/>
  <c r="AI29" i="7"/>
  <c r="X29" i="7"/>
  <c r="U40" i="7"/>
  <c r="U43" i="7" s="1"/>
  <c r="AB29" i="7"/>
  <c r="U42" i="7"/>
  <c r="AN29" i="7"/>
  <c r="AS29" i="7"/>
  <c r="AO42" i="7"/>
  <c r="AW29" i="7"/>
  <c r="AC29" i="7"/>
  <c r="Z29" i="7"/>
  <c r="AD29" i="7"/>
  <c r="AE40" i="7"/>
  <c r="AE43" i="7" s="1"/>
  <c r="AL29" i="7"/>
  <c r="AU29" i="7"/>
  <c r="Y29" i="7"/>
  <c r="AM29" i="7"/>
  <c r="AG29" i="7"/>
  <c r="W29" i="7"/>
  <c r="AO40" i="7"/>
  <c r="AJ29" i="7"/>
  <c r="AE42" i="7"/>
  <c r="AK29" i="7"/>
  <c r="AV29" i="7"/>
  <c r="AX29" i="7"/>
  <c r="AQ29" i="7"/>
  <c r="AR29" i="7"/>
  <c r="I21" i="10"/>
  <c r="K18" i="8"/>
  <c r="I18" i="8"/>
  <c r="D27" i="10" s="1"/>
  <c r="E18" i="8"/>
  <c r="O18" i="8"/>
  <c r="M18" i="8"/>
  <c r="C28" i="12"/>
  <c r="C31" i="12"/>
  <c r="C30" i="12"/>
  <c r="C29" i="12"/>
  <c r="J28" i="12"/>
  <c r="J29" i="12"/>
  <c r="J30" i="12"/>
  <c r="H21" i="10"/>
  <c r="Q22" i="10"/>
  <c r="G21" i="10"/>
  <c r="E28" i="10" s="1"/>
  <c r="X87" i="9" s="1"/>
  <c r="Z87" i="9" s="1"/>
  <c r="P22" i="10"/>
  <c r="N22" i="10"/>
  <c r="E21" i="10"/>
  <c r="D21" i="10"/>
  <c r="O22" i="10"/>
  <c r="E25" i="10" l="1"/>
  <c r="N87" i="9" s="1"/>
  <c r="P87" i="9" s="1"/>
  <c r="P86" i="9" s="1"/>
  <c r="O30" i="10"/>
  <c r="P30" i="10" s="1"/>
  <c r="X105" i="9" s="1"/>
  <c r="Z105" i="9" s="1"/>
  <c r="Z104" i="9" s="1"/>
  <c r="O26" i="10"/>
  <c r="R127" i="9"/>
  <c r="M95" i="9"/>
  <c r="M90" i="9" s="1"/>
  <c r="Q82" i="9" s="1"/>
  <c r="Z63" i="9" s="1"/>
  <c r="J33" i="12"/>
  <c r="M122" i="9"/>
  <c r="M77" i="9" s="1"/>
  <c r="Q76" i="9" s="1"/>
  <c r="O28" i="10"/>
  <c r="P28" i="10" s="1"/>
  <c r="X97" i="9" s="1"/>
  <c r="Z97" i="9" s="1"/>
  <c r="Z96" i="9" s="1"/>
  <c r="K31" i="8"/>
  <c r="K32" i="8" s="1"/>
  <c r="AT40" i="7"/>
  <c r="AQ45" i="7" s="1"/>
  <c r="O24" i="10"/>
  <c r="P24" i="10" s="1"/>
  <c r="N97" i="9" s="1"/>
  <c r="P97" i="9" s="1"/>
  <c r="P96" i="9" s="1"/>
  <c r="Q123" i="9"/>
  <c r="R123" i="9" s="1"/>
  <c r="Q96" i="9"/>
  <c r="Z86" i="9"/>
  <c r="O25" i="10"/>
  <c r="P25" i="10" s="1"/>
  <c r="N101" i="9" s="1"/>
  <c r="P101" i="9" s="1"/>
  <c r="P100" i="9" s="1"/>
  <c r="AB127" i="9"/>
  <c r="Q100" i="9"/>
  <c r="O32" i="8"/>
  <c r="N41" i="6" s="1"/>
  <c r="AG40" i="7"/>
  <c r="AG42" i="7" s="1"/>
  <c r="V42" i="7"/>
  <c r="E31" i="8"/>
  <c r="E32" i="8" s="1"/>
  <c r="F39" i="6" s="1"/>
  <c r="X40" i="7"/>
  <c r="X42" i="7" s="1"/>
  <c r="Q104" i="9"/>
  <c r="C33" i="12"/>
  <c r="C34" i="12" s="1"/>
  <c r="C35" i="12" s="1"/>
  <c r="AH40" i="7"/>
  <c r="AG43" i="7" s="1"/>
  <c r="AA123" i="9"/>
  <c r="AB123" i="9" s="1"/>
  <c r="AI40" i="7"/>
  <c r="AF45" i="7" s="1"/>
  <c r="AA40" i="7"/>
  <c r="X45" i="7" s="1"/>
  <c r="W122" i="9"/>
  <c r="W77" i="9" s="1"/>
  <c r="AA76" i="9" s="1"/>
  <c r="N114" i="9"/>
  <c r="P114" i="9" s="1"/>
  <c r="P113" i="9" s="1"/>
  <c r="AR40" i="7"/>
  <c r="AR42" i="7" s="1"/>
  <c r="P26" i="10"/>
  <c r="N105" i="9" s="1"/>
  <c r="P105" i="9" s="1"/>
  <c r="P104" i="9" s="1"/>
  <c r="AK40" i="7"/>
  <c r="AH45" i="7" s="1"/>
  <c r="W40" i="7"/>
  <c r="W42" i="7" s="1"/>
  <c r="G31" i="8"/>
  <c r="G32" i="8" s="1"/>
  <c r="M31" i="8"/>
  <c r="M32" i="8" s="1"/>
  <c r="Y40" i="7"/>
  <c r="W44" i="7" s="1"/>
  <c r="AU40" i="7"/>
  <c r="AR45" i="7" s="1"/>
  <c r="AS40" i="7"/>
  <c r="AR43" i="7" s="1"/>
  <c r="AQ40" i="7"/>
  <c r="AQ42" i="7" s="1"/>
  <c r="AJ40" i="7"/>
  <c r="AG45" i="7" s="1"/>
  <c r="Z40" i="7"/>
  <c r="X44" i="7" s="1"/>
  <c r="D9" i="8"/>
  <c r="N55" i="8" s="1"/>
  <c r="O55" i="8" s="1"/>
  <c r="P59" i="6" s="1"/>
  <c r="M113" i="9"/>
  <c r="D50" i="9"/>
  <c r="I31" i="8"/>
  <c r="I32" i="8" s="1"/>
  <c r="I20" i="8" s="1"/>
  <c r="I21" i="8" s="1"/>
  <c r="I23" i="8" s="1"/>
  <c r="W100" i="9"/>
  <c r="W82" i="9"/>
  <c r="X84" i="9" s="1"/>
  <c r="Z84" i="9" s="1"/>
  <c r="AF42" i="7"/>
  <c r="AO43" i="7"/>
  <c r="AP42" i="7"/>
  <c r="D24" i="10"/>
  <c r="E24" i="10" s="1"/>
  <c r="N83" i="9" s="1"/>
  <c r="P83" i="9" s="1"/>
  <c r="M82" i="9"/>
  <c r="N84" i="9" s="1"/>
  <c r="P84" i="9" s="1"/>
  <c r="J36" i="12"/>
  <c r="J34" i="12"/>
  <c r="J37" i="12" s="1"/>
  <c r="E27" i="10"/>
  <c r="X83" i="9" s="1"/>
  <c r="Z83" i="9" s="1"/>
  <c r="R131" i="9" l="1"/>
  <c r="R132" i="9" s="1"/>
  <c r="Q86" i="9"/>
  <c r="R86" i="9" s="1"/>
  <c r="F55" i="8"/>
  <c r="G55" i="8" s="1"/>
  <c r="H59" i="6" s="1"/>
  <c r="J55" i="8"/>
  <c r="K55" i="8" s="1"/>
  <c r="L59" i="6" s="1"/>
  <c r="AH42" i="7"/>
  <c r="R100" i="9"/>
  <c r="AB131" i="9"/>
  <c r="AB132" i="9" s="1"/>
  <c r="R96" i="9"/>
  <c r="AH44" i="7"/>
  <c r="AF44" i="7"/>
  <c r="U44" i="7"/>
  <c r="V44" i="7"/>
  <c r="C36" i="12"/>
  <c r="AE45" i="7"/>
  <c r="P82" i="9"/>
  <c r="R82" i="9" s="1"/>
  <c r="O20" i="8"/>
  <c r="O21" i="8" s="1"/>
  <c r="O23" i="8" s="1"/>
  <c r="O24" i="8" s="1"/>
  <c r="V43" i="7"/>
  <c r="AR44" i="7"/>
  <c r="AQ44" i="7"/>
  <c r="E20" i="8"/>
  <c r="E21" i="8" s="1"/>
  <c r="E23" i="8" s="1"/>
  <c r="F36" i="6" s="1"/>
  <c r="AF43" i="7"/>
  <c r="R104" i="9"/>
  <c r="AE44" i="7"/>
  <c r="W43" i="7"/>
  <c r="AH43" i="7"/>
  <c r="AO44" i="7"/>
  <c r="W45" i="7"/>
  <c r="AP43" i="7"/>
  <c r="U45" i="7"/>
  <c r="AP44" i="7"/>
  <c r="AG44" i="7"/>
  <c r="M20" i="8"/>
  <c r="M21" i="8" s="1"/>
  <c r="M23" i="8" s="1"/>
  <c r="N36" i="6" s="1"/>
  <c r="N39" i="6"/>
  <c r="J41" i="6"/>
  <c r="K20" i="8"/>
  <c r="K21" i="8" s="1"/>
  <c r="K23" i="8" s="1"/>
  <c r="K24" i="8" s="1"/>
  <c r="AO45" i="7"/>
  <c r="M45" i="9"/>
  <c r="P45" i="9" s="1"/>
  <c r="R45" i="9" s="1"/>
  <c r="Q90" i="9"/>
  <c r="AQ43" i="7"/>
  <c r="F41" i="6"/>
  <c r="G20" i="8"/>
  <c r="G21" i="8" s="1"/>
  <c r="G23" i="8" s="1"/>
  <c r="G24" i="8" s="1"/>
  <c r="X102" i="9"/>
  <c r="Z102" i="9" s="1"/>
  <c r="O29" i="10"/>
  <c r="P29" i="10" s="1"/>
  <c r="X101" i="9" s="1"/>
  <c r="Z101" i="9" s="1"/>
  <c r="AA104" i="9"/>
  <c r="AB104" i="9" s="1"/>
  <c r="AA100" i="9"/>
  <c r="AA96" i="9"/>
  <c r="AB96" i="9" s="1"/>
  <c r="W95" i="9"/>
  <c r="W90" i="9" s="1"/>
  <c r="W54" i="9"/>
  <c r="AA51" i="9" s="1"/>
  <c r="D32" i="9"/>
  <c r="H29" i="9" s="1"/>
  <c r="W63" i="9"/>
  <c r="AA60" i="9" s="1"/>
  <c r="M54" i="9"/>
  <c r="Q51" i="9" s="1"/>
  <c r="M63" i="9"/>
  <c r="Q60" i="9" s="1"/>
  <c r="D43" i="9"/>
  <c r="H40" i="9" s="1"/>
  <c r="N47" i="8"/>
  <c r="O47" i="8" s="1"/>
  <c r="F52" i="8"/>
  <c r="G52" i="8" s="1"/>
  <c r="J47" i="8"/>
  <c r="K47" i="8" s="1"/>
  <c r="J50" i="8"/>
  <c r="K50" i="8" s="1"/>
  <c r="J49" i="8"/>
  <c r="K49" i="8" s="1"/>
  <c r="F46" i="8"/>
  <c r="G46" i="8" s="1"/>
  <c r="N45" i="8"/>
  <c r="O45" i="8" s="1"/>
  <c r="J52" i="8"/>
  <c r="K52" i="8" s="1"/>
  <c r="F45" i="8"/>
  <c r="G45" i="8" s="1"/>
  <c r="N48" i="8"/>
  <c r="O48" i="8" s="1"/>
  <c r="F49" i="8"/>
  <c r="G49" i="8" s="1"/>
  <c r="N49" i="8"/>
  <c r="O49" i="8" s="1"/>
  <c r="F47" i="8"/>
  <c r="G47" i="8" s="1"/>
  <c r="N50" i="8"/>
  <c r="O50" i="8" s="1"/>
  <c r="N46" i="8"/>
  <c r="O46" i="8" s="1"/>
  <c r="J54" i="8"/>
  <c r="K54" i="8" s="1"/>
  <c r="F51" i="8"/>
  <c r="G51" i="8" s="1"/>
  <c r="F48" i="8"/>
  <c r="G48" i="8" s="1"/>
  <c r="J45" i="8"/>
  <c r="K45" i="8" s="1"/>
  <c r="F53" i="8"/>
  <c r="G53" i="8" s="1"/>
  <c r="N52" i="8"/>
  <c r="O52" i="8" s="1"/>
  <c r="J46" i="8"/>
  <c r="K46" i="8" s="1"/>
  <c r="F54" i="8"/>
  <c r="G54" i="8" s="1"/>
  <c r="J48" i="8"/>
  <c r="K48" i="8" s="1"/>
  <c r="J51" i="8"/>
  <c r="K51" i="8" s="1"/>
  <c r="N51" i="8"/>
  <c r="O51" i="8" s="1"/>
  <c r="N54" i="8"/>
  <c r="O54" i="8" s="1"/>
  <c r="F50" i="8"/>
  <c r="G50" i="8" s="1"/>
  <c r="J53" i="8"/>
  <c r="K53" i="8" s="1"/>
  <c r="N53" i="8"/>
  <c r="O53" i="8" s="1"/>
  <c r="AP45" i="7"/>
  <c r="J39" i="6"/>
  <c r="V45" i="7"/>
  <c r="H50" i="9"/>
  <c r="I50" i="9" s="1"/>
  <c r="I54" i="9" s="1"/>
  <c r="D49" i="9"/>
  <c r="X43" i="7"/>
  <c r="M112" i="9"/>
  <c r="Q113" i="9"/>
  <c r="R113" i="9" s="1"/>
  <c r="R117" i="9" s="1"/>
  <c r="Z82" i="9"/>
  <c r="M108" i="9"/>
  <c r="P108" i="9" s="1"/>
  <c r="R108" i="9" s="1"/>
  <c r="W108" i="9"/>
  <c r="Z108" i="9" s="1"/>
  <c r="AB108" i="9" s="1"/>
  <c r="M81" i="9"/>
  <c r="M76" i="9" s="1"/>
  <c r="M75" i="9" s="1"/>
  <c r="M71" i="9" s="1"/>
  <c r="M70" i="9" s="1"/>
  <c r="C37" i="12"/>
  <c r="J35" i="12"/>
  <c r="J36" i="6"/>
  <c r="I24" i="8"/>
  <c r="P77" i="9" l="1"/>
  <c r="Z77" i="9"/>
  <c r="E24" i="8"/>
  <c r="E30" i="7" s="1"/>
  <c r="V60" i="7" s="1"/>
  <c r="V63" i="7" s="1"/>
  <c r="AE47" i="7" a="1"/>
  <c r="AG48" i="7" s="1"/>
  <c r="M24" i="8"/>
  <c r="Q30" i="7" s="1"/>
  <c r="R109" i="9"/>
  <c r="P90" i="9" s="1"/>
  <c r="R90" i="9" s="1"/>
  <c r="R91" i="9" s="1"/>
  <c r="P76" i="9" s="1"/>
  <c r="R76" i="9" s="1"/>
  <c r="AO47" i="7" a="1"/>
  <c r="AQ50" i="7" s="1"/>
  <c r="U47" i="7" a="1"/>
  <c r="X48" i="7" s="1"/>
  <c r="Z100" i="9"/>
  <c r="AB100" i="9" s="1"/>
  <c r="AB109" i="9" s="1"/>
  <c r="Z90" i="9" s="1"/>
  <c r="AP37" i="7"/>
  <c r="P56" i="6"/>
  <c r="AP17" i="7"/>
  <c r="V30" i="7"/>
  <c r="H49" i="6"/>
  <c r="H57" i="6"/>
  <c r="V38" i="7"/>
  <c r="L56" i="6"/>
  <c r="AF17" i="7"/>
  <c r="AF37" i="7"/>
  <c r="AP38" i="7"/>
  <c r="P57" i="6"/>
  <c r="AF30" i="7"/>
  <c r="L49" i="6"/>
  <c r="P49" i="6"/>
  <c r="AP30" i="7"/>
  <c r="H50" i="6"/>
  <c r="V31" i="7"/>
  <c r="AA86" i="9"/>
  <c r="AB86" i="9" s="1"/>
  <c r="W81" i="9"/>
  <c r="W76" i="9" s="1"/>
  <c r="AA82" i="9"/>
  <c r="AB82" i="9" s="1"/>
  <c r="AA90" i="9"/>
  <c r="AF35" i="7"/>
  <c r="L54" i="6"/>
  <c r="AF32" i="7"/>
  <c r="L51" i="6"/>
  <c r="Z54" i="9"/>
  <c r="R118" i="9"/>
  <c r="P63" i="9"/>
  <c r="P54" i="9"/>
  <c r="AP36" i="7"/>
  <c r="P55" i="6"/>
  <c r="P54" i="6"/>
  <c r="AP35" i="7"/>
  <c r="H56" i="6"/>
  <c r="V37" i="7"/>
  <c r="V17" i="7"/>
  <c r="H52" i="6"/>
  <c r="V33" i="7"/>
  <c r="L57" i="6"/>
  <c r="AF38" i="7"/>
  <c r="H55" i="6"/>
  <c r="V36" i="7"/>
  <c r="AF34" i="7"/>
  <c r="L53" i="6"/>
  <c r="AF15" i="7"/>
  <c r="H54" i="6"/>
  <c r="V35" i="7"/>
  <c r="AF39" i="7"/>
  <c r="L58" i="6"/>
  <c r="P50" i="6"/>
  <c r="AP31" i="7"/>
  <c r="H51" i="6"/>
  <c r="V32" i="7"/>
  <c r="P51" i="6"/>
  <c r="AP32" i="7"/>
  <c r="P53" i="6"/>
  <c r="AP34" i="7"/>
  <c r="AP39" i="7"/>
  <c r="P58" i="6"/>
  <c r="AF36" i="7"/>
  <c r="L55" i="6"/>
  <c r="AF33" i="7"/>
  <c r="L52" i="6"/>
  <c r="H58" i="6"/>
  <c r="V39" i="7"/>
  <c r="H53" i="6"/>
  <c r="V15" i="7"/>
  <c r="V34" i="7"/>
  <c r="G32" i="9"/>
  <c r="G43" i="9"/>
  <c r="I55" i="9"/>
  <c r="AF31" i="7"/>
  <c r="L50" i="6"/>
  <c r="AP33" i="7"/>
  <c r="AP15" i="7"/>
  <c r="P52" i="6"/>
  <c r="Q77" i="9"/>
  <c r="D44" i="9"/>
  <c r="G44" i="9" s="1"/>
  <c r="I44" i="9" s="1"/>
  <c r="D33" i="9"/>
  <c r="G33" i="9" s="1"/>
  <c r="I33" i="9" s="1"/>
  <c r="M34" i="9"/>
  <c r="P34" i="9" s="1"/>
  <c r="R34" i="9" s="1"/>
  <c r="M41" i="9"/>
  <c r="M30" i="9"/>
  <c r="L30" i="7"/>
  <c r="J37" i="6"/>
  <c r="F37" i="6" l="1"/>
  <c r="R77" i="9"/>
  <c r="R78" i="9" s="1"/>
  <c r="P71" i="9" s="1"/>
  <c r="R71" i="9" s="1"/>
  <c r="R72" i="9" s="1"/>
  <c r="P41" i="9" s="1"/>
  <c r="N37" i="6"/>
  <c r="AF48" i="7"/>
  <c r="X60" i="7"/>
  <c r="X63" i="7" s="1"/>
  <c r="AH48" i="7"/>
  <c r="AG49" i="7"/>
  <c r="AF49" i="7"/>
  <c r="AE48" i="7"/>
  <c r="AE47" i="7"/>
  <c r="AE49" i="7"/>
  <c r="AE50" i="7"/>
  <c r="AH50" i="7"/>
  <c r="AH47" i="7"/>
  <c r="AF47" i="7"/>
  <c r="AG50" i="7"/>
  <c r="AH49" i="7"/>
  <c r="AG47" i="7"/>
  <c r="AP49" i="7"/>
  <c r="X50" i="7"/>
  <c r="X49" i="7"/>
  <c r="U47" i="7"/>
  <c r="AP50" i="7"/>
  <c r="AR49" i="7"/>
  <c r="AQ48" i="7"/>
  <c r="V50" i="7"/>
  <c r="AQ49" i="7"/>
  <c r="X47" i="7"/>
  <c r="W50" i="7"/>
  <c r="AO49" i="7"/>
  <c r="AO50" i="7"/>
  <c r="W48" i="7"/>
  <c r="AP48" i="7"/>
  <c r="AO47" i="7"/>
  <c r="AR47" i="7"/>
  <c r="AR48" i="7"/>
  <c r="AO48" i="7"/>
  <c r="AF50" i="7"/>
  <c r="AQ47" i="7"/>
  <c r="AP47" i="7"/>
  <c r="AR50" i="7"/>
  <c r="U50" i="7"/>
  <c r="V47" i="7"/>
  <c r="V49" i="7"/>
  <c r="U48" i="7"/>
  <c r="U49" i="7"/>
  <c r="W47" i="7"/>
  <c r="V48" i="7"/>
  <c r="W49" i="7"/>
  <c r="AB90" i="9"/>
  <c r="AB91" i="9" s="1"/>
  <c r="Z76" i="9" s="1"/>
  <c r="AB76" i="9" s="1"/>
  <c r="AD34" i="7"/>
  <c r="AB34" i="7"/>
  <c r="AC34" i="7"/>
  <c r="AX34" i="7"/>
  <c r="AV34" i="7"/>
  <c r="AW34" i="7"/>
  <c r="AN35" i="7"/>
  <c r="AL35" i="7"/>
  <c r="AM35" i="7"/>
  <c r="AV38" i="7"/>
  <c r="AW38" i="7"/>
  <c r="AX38" i="7"/>
  <c r="AV35" i="7"/>
  <c r="AW35" i="7"/>
  <c r="AX35" i="7"/>
  <c r="AN37" i="7"/>
  <c r="AL37" i="7"/>
  <c r="AM37" i="7"/>
  <c r="AX32" i="7"/>
  <c r="AW32" i="7"/>
  <c r="AV32" i="7"/>
  <c r="AI14" i="7"/>
  <c r="AI16" i="7" s="1"/>
  <c r="AL34" i="7"/>
  <c r="AM34" i="7"/>
  <c r="AN34" i="7"/>
  <c r="AB36" i="7"/>
  <c r="AC36" i="7"/>
  <c r="AD36" i="7"/>
  <c r="AP40" i="7"/>
  <c r="AS42" i="7" s="1"/>
  <c r="AS47" i="7" s="1"/>
  <c r="AW30" i="7"/>
  <c r="AV30" i="7"/>
  <c r="AX30" i="7"/>
  <c r="AC30" i="7"/>
  <c r="AD30" i="7"/>
  <c r="V40" i="7"/>
  <c r="Y42" i="7" s="1"/>
  <c r="Y47" i="7" s="1"/>
  <c r="AB30" i="7"/>
  <c r="W75" i="9"/>
  <c r="W71" i="9" s="1"/>
  <c r="W70" i="9" s="1"/>
  <c r="AA77" i="9"/>
  <c r="AB77" i="9" s="1"/>
  <c r="AC32" i="7"/>
  <c r="AD32" i="7"/>
  <c r="AB32" i="7"/>
  <c r="AX36" i="7"/>
  <c r="AV36" i="7"/>
  <c r="AW36" i="7"/>
  <c r="AC39" i="7"/>
  <c r="AD39" i="7"/>
  <c r="AB39" i="7"/>
  <c r="AB31" i="7"/>
  <c r="AD31" i="7"/>
  <c r="AC31" i="7"/>
  <c r="AX33" i="7"/>
  <c r="AW33" i="7"/>
  <c r="AV33" i="7"/>
  <c r="AN38" i="7"/>
  <c r="AL38" i="7"/>
  <c r="AM38" i="7"/>
  <c r="AL31" i="7"/>
  <c r="AN31" i="7"/>
  <c r="AM31" i="7"/>
  <c r="AM36" i="7"/>
  <c r="AL36" i="7"/>
  <c r="AN36" i="7"/>
  <c r="AB38" i="7"/>
  <c r="AC38" i="7"/>
  <c r="AD38" i="7"/>
  <c r="AN33" i="7"/>
  <c r="AL33" i="7"/>
  <c r="AM33" i="7"/>
  <c r="AC33" i="7"/>
  <c r="AD33" i="7"/>
  <c r="AB33" i="7"/>
  <c r="AM39" i="7"/>
  <c r="AL39" i="7"/>
  <c r="AN39" i="7"/>
  <c r="Y14" i="7"/>
  <c r="Y16" i="7" s="1"/>
  <c r="AL32" i="7"/>
  <c r="AN32" i="7"/>
  <c r="AM32" i="7"/>
  <c r="AM30" i="7"/>
  <c r="AF40" i="7"/>
  <c r="AI42" i="7" s="1"/>
  <c r="AI47" i="7" s="1"/>
  <c r="AL30" i="7"/>
  <c r="AN30" i="7"/>
  <c r="AW37" i="7"/>
  <c r="AV37" i="7"/>
  <c r="AX37" i="7"/>
  <c r="AX31" i="7"/>
  <c r="AW31" i="7"/>
  <c r="AV31" i="7"/>
  <c r="AS14" i="7"/>
  <c r="AS16" i="7" s="1"/>
  <c r="AW39" i="7"/>
  <c r="AV39" i="7"/>
  <c r="AX39" i="7"/>
  <c r="AD35" i="7"/>
  <c r="AC35" i="7"/>
  <c r="AB35" i="7"/>
  <c r="AB37" i="7"/>
  <c r="AC37" i="7"/>
  <c r="AD37" i="7"/>
  <c r="W60" i="7"/>
  <c r="W63" i="7" s="1"/>
  <c r="P30" i="9" l="1"/>
  <c r="AN40" i="7"/>
  <c r="AI45" i="7" s="1"/>
  <c r="AI50" i="7" s="1"/>
  <c r="AL40" i="7"/>
  <c r="AI43" i="7" s="1"/>
  <c r="AI48" i="7" s="1"/>
  <c r="AD40" i="7"/>
  <c r="Y45" i="7" s="1"/>
  <c r="Y50" i="7" s="1"/>
  <c r="AC40" i="7"/>
  <c r="Y44" i="7" s="1"/>
  <c r="Y49" i="7" s="1"/>
  <c r="AW40" i="7"/>
  <c r="AS44" i="7" s="1"/>
  <c r="AS49" i="7" s="1"/>
  <c r="AX40" i="7"/>
  <c r="AS45" i="7" s="1"/>
  <c r="AS50" i="7" s="1"/>
  <c r="AV40" i="7"/>
  <c r="AS43" i="7" s="1"/>
  <c r="AS48" i="7" s="1"/>
  <c r="AM40" i="7"/>
  <c r="AI44" i="7" s="1"/>
  <c r="AI49" i="7" s="1"/>
  <c r="AL42" i="7" s="1" a="1"/>
  <c r="M43" i="9"/>
  <c r="M32" i="9"/>
  <c r="AB40" i="7"/>
  <c r="Y43" i="7" s="1"/>
  <c r="Y48" i="7" s="1"/>
  <c r="AB42" i="7" s="1" a="1"/>
  <c r="AB78" i="9"/>
  <c r="Z71" i="9" s="1"/>
  <c r="AB71" i="9" s="1"/>
  <c r="AB72" i="9" s="1"/>
  <c r="AV42" i="7" l="1" a="1"/>
  <c r="AV44" i="7" s="1"/>
  <c r="AW44" i="7" s="1"/>
  <c r="AL44" i="7"/>
  <c r="AL42" i="7"/>
  <c r="AJ21" i="7" s="1"/>
  <c r="AL43" i="7"/>
  <c r="AM43" i="7" s="1"/>
  <c r="AL45" i="7"/>
  <c r="AM45" i="7" s="1"/>
  <c r="AB42" i="7"/>
  <c r="Z21" i="7" s="1"/>
  <c r="AB44" i="7"/>
  <c r="AB45" i="7"/>
  <c r="AC45" i="7" s="1"/>
  <c r="AB43" i="7"/>
  <c r="AC43" i="7" s="1"/>
  <c r="Q31" i="9"/>
  <c r="Q29" i="9"/>
  <c r="P43" i="9"/>
  <c r="P32" i="9"/>
  <c r="Q40" i="9"/>
  <c r="Q42" i="9"/>
  <c r="AV45" i="7" l="1"/>
  <c r="AW45" i="7" s="1"/>
  <c r="AR21" i="7"/>
  <c r="AV42" i="7"/>
  <c r="AT21" i="7" s="1"/>
  <c r="AV43" i="7"/>
  <c r="AW43" i="7" s="1"/>
  <c r="W21" i="7"/>
  <c r="AI21" i="7"/>
  <c r="AG21" i="7"/>
  <c r="AS21" i="7"/>
  <c r="Y21" i="7"/>
  <c r="X21" i="7"/>
  <c r="Z25" i="7" s="1"/>
  <c r="V56" i="7" s="1"/>
  <c r="W56" i="7" s="1"/>
  <c r="AC44" i="7"/>
  <c r="AH21" i="7"/>
  <c r="AJ25" i="7" s="1"/>
  <c r="Y56" i="7" s="1"/>
  <c r="W60" i="9" s="1"/>
  <c r="E59" i="9" s="1"/>
  <c r="X61" i="9" s="1"/>
  <c r="Z61" i="9" s="1"/>
  <c r="Z60" i="9" s="1"/>
  <c r="AB60" i="9" s="1"/>
  <c r="AM44" i="7"/>
  <c r="AQ21" i="7" l="1"/>
  <c r="AT24" i="7" s="1"/>
  <c r="AB55" i="7" s="1"/>
  <c r="AC55" i="7" s="1"/>
  <c r="Q28" i="7" s="1"/>
  <c r="Z24" i="7"/>
  <c r="V55" i="7" s="1"/>
  <c r="D29" i="9" s="1"/>
  <c r="H32" i="9" s="1"/>
  <c r="I32" i="9" s="1"/>
  <c r="AJ24" i="7"/>
  <c r="Y55" i="7" s="1"/>
  <c r="Z55" i="7" s="1"/>
  <c r="W59" i="7" s="1"/>
  <c r="Z56" i="7"/>
  <c r="M60" i="9"/>
  <c r="D59" i="9" s="1"/>
  <c r="W59" i="9"/>
  <c r="M42" i="9" s="1"/>
  <c r="D40" i="9"/>
  <c r="H43" i="9" s="1"/>
  <c r="I43" i="9" s="1"/>
  <c r="AA63" i="9"/>
  <c r="AB63" i="9" s="1"/>
  <c r="AB64" i="9" s="1"/>
  <c r="E29" i="7"/>
  <c r="V62" i="7"/>
  <c r="W55" i="7" l="1"/>
  <c r="V59" i="7" s="1"/>
  <c r="M51" i="9"/>
  <c r="Q54" i="9" s="1"/>
  <c r="R54" i="9" s="1"/>
  <c r="W51" i="9"/>
  <c r="W50" i="9" s="1"/>
  <c r="M31" i="9" s="1"/>
  <c r="L28" i="7"/>
  <c r="D28" i="9"/>
  <c r="AT25" i="7"/>
  <c r="AB56" i="7" s="1"/>
  <c r="AC56" i="7" s="1"/>
  <c r="X62" i="7" s="1"/>
  <c r="O36" i="7"/>
  <c r="X59" i="7"/>
  <c r="D58" i="9"/>
  <c r="N52" i="9" s="1"/>
  <c r="P52" i="9" s="1"/>
  <c r="P51" i="9" s="1"/>
  <c r="R51" i="9" s="1"/>
  <c r="R55" i="9" s="1"/>
  <c r="M50" i="9"/>
  <c r="M29" i="9" s="1"/>
  <c r="M59" i="9"/>
  <c r="M40" i="9" s="1"/>
  <c r="Q44" i="9" s="1"/>
  <c r="R44" i="9" s="1"/>
  <c r="Q63" i="9"/>
  <c r="R63" i="9" s="1"/>
  <c r="D39" i="9"/>
  <c r="W62" i="7"/>
  <c r="L29" i="7"/>
  <c r="O37" i="7" s="1"/>
  <c r="E41" i="9"/>
  <c r="G41" i="9" s="1"/>
  <c r="G40" i="9" s="1"/>
  <c r="I40" i="9" s="1"/>
  <c r="I45" i="9" s="1"/>
  <c r="I46" i="9" s="1"/>
  <c r="N61" i="9"/>
  <c r="P61" i="9" s="1"/>
  <c r="P60" i="9" s="1"/>
  <c r="R60" i="9" s="1"/>
  <c r="P42" i="9"/>
  <c r="R42" i="9" s="1"/>
  <c r="AB65" i="9"/>
  <c r="E28" i="7" l="1"/>
  <c r="O35" i="7" s="1"/>
  <c r="Q33" i="9"/>
  <c r="R33" i="9" s="1"/>
  <c r="E58" i="9"/>
  <c r="X52" i="9" s="1"/>
  <c r="Z52" i="9" s="1"/>
  <c r="Z51" i="9" s="1"/>
  <c r="AB51" i="9" s="1"/>
  <c r="AA54" i="9"/>
  <c r="AB54" i="9" s="1"/>
  <c r="Q29" i="7"/>
  <c r="O38" i="7" s="1"/>
  <c r="Q30" i="9"/>
  <c r="R30" i="9" s="1"/>
  <c r="E30" i="9"/>
  <c r="G30" i="9" s="1"/>
  <c r="G29" i="9" s="1"/>
  <c r="I29" i="9" s="1"/>
  <c r="I34" i="9" s="1"/>
  <c r="I35" i="9" s="1"/>
  <c r="M39" i="9"/>
  <c r="Q32" i="9"/>
  <c r="R32" i="9" s="1"/>
  <c r="M28" i="9"/>
  <c r="Q41" i="9"/>
  <c r="R41" i="9" s="1"/>
  <c r="Q43" i="9"/>
  <c r="R43" i="9" s="1"/>
  <c r="R64" i="9"/>
  <c r="P40" i="9" s="1"/>
  <c r="R40" i="9" s="1"/>
  <c r="P29" i="9"/>
  <c r="R29" i="9" s="1"/>
  <c r="R56" i="9"/>
  <c r="AB55" i="9" l="1"/>
  <c r="AB56" i="9" s="1"/>
  <c r="R65" i="9"/>
  <c r="R46" i="9"/>
  <c r="R47" i="9" s="1"/>
  <c r="P31" i="9" l="1"/>
  <c r="R31" i="9" s="1"/>
  <c r="R35" i="9" s="1"/>
  <c r="R3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</author>
  </authors>
  <commentList>
    <comment ref="Y16" authorId="0" shapeId="0" xr:uid="{53371D96-02D8-446C-B7FC-F1101722545B}">
      <text>
        <r>
          <rPr>
            <b/>
            <sz val="10"/>
            <color indexed="81"/>
            <rFont val="Tahoma"/>
            <family val="2"/>
          </rPr>
          <t>Fabian:</t>
        </r>
        <r>
          <rPr>
            <sz val="10"/>
            <color indexed="81"/>
            <rFont val="Tahoma"/>
            <family val="2"/>
          </rPr>
          <t xml:space="preserve">
Cuando el valor </t>
        </r>
        <r>
          <rPr>
            <b/>
            <sz val="10"/>
            <color indexed="81"/>
            <rFont val="Tahoma"/>
            <family val="2"/>
          </rPr>
          <t>X3</t>
        </r>
        <r>
          <rPr>
            <sz val="10"/>
            <color indexed="81"/>
            <rFont val="Tahoma"/>
            <family val="2"/>
          </rPr>
          <t xml:space="preserve"> es menor o igual a cero, no nesecita correccion</t>
        </r>
      </text>
    </comment>
    <comment ref="AI16" authorId="0" shapeId="0" xr:uid="{608F89FC-CAC2-4C47-8D7C-67962AF93433}">
      <text>
        <r>
          <rPr>
            <b/>
            <sz val="10"/>
            <color indexed="81"/>
            <rFont val="Tahoma"/>
            <family val="2"/>
          </rPr>
          <t>Fabian:</t>
        </r>
        <r>
          <rPr>
            <sz val="10"/>
            <color indexed="81"/>
            <rFont val="Tahoma"/>
            <family val="2"/>
          </rPr>
          <t xml:space="preserve">
Fabian:
Cuando el valor</t>
        </r>
        <r>
          <rPr>
            <b/>
            <sz val="10"/>
            <color indexed="81"/>
            <rFont val="Tahoma"/>
            <family val="2"/>
          </rPr>
          <t xml:space="preserve"> X3</t>
        </r>
        <r>
          <rPr>
            <sz val="10"/>
            <color indexed="81"/>
            <rFont val="Tahoma"/>
            <family val="2"/>
          </rPr>
          <t xml:space="preserve"> es menor o igual a cero, no nesecita correccion</t>
        </r>
      </text>
    </comment>
    <comment ref="AS16" authorId="0" shapeId="0" xr:uid="{7CDB4595-C25A-4CA3-9DF3-408F70093E3B}">
      <text>
        <r>
          <rPr>
            <b/>
            <sz val="10"/>
            <color indexed="81"/>
            <rFont val="Tahoma"/>
            <family val="2"/>
          </rPr>
          <t>Fabian:</t>
        </r>
        <r>
          <rPr>
            <sz val="10"/>
            <color indexed="81"/>
            <rFont val="Tahoma"/>
            <family val="2"/>
          </rPr>
          <t xml:space="preserve">
Fabian:
Cuando el valor </t>
        </r>
        <r>
          <rPr>
            <b/>
            <sz val="10"/>
            <color indexed="81"/>
            <rFont val="Tahoma"/>
            <family val="2"/>
          </rPr>
          <t>X3</t>
        </r>
        <r>
          <rPr>
            <sz val="10"/>
            <color indexed="81"/>
            <rFont val="Tahoma"/>
            <family val="2"/>
          </rPr>
          <t xml:space="preserve"> es menor o igual a cero, no nesecita correccion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 de Windows</author>
  </authors>
  <commentList>
    <comment ref="T3" authorId="0" shapeId="0" xr:uid="{DA6582FF-5337-401E-A205-04F3A0B8DE0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ALTURA DEL MOLDE MENOS EL DISCO ESPACIADOR
</t>
        </r>
      </text>
    </comment>
    <comment ref="D6" authorId="1" shapeId="0" xr:uid="{68070CD1-1498-4B32-A02B-FA782C6145D1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El cliente indicara si no se saturar la muestra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P33" authorId="0" shapeId="0" xr:uid="{0452D6AA-81BA-413A-A28C-856F476558F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INCERTIDUMBRE DEL PROCTOR
</t>
        </r>
      </text>
    </comment>
    <comment ref="P44" authorId="0" shapeId="0" xr:uid="{368C07B1-FFC4-44E4-A08F-95A7A8C50AD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INCERTIDUMBRE DEL PROCTOR
</t>
        </r>
      </text>
    </comment>
  </commentList>
</comments>
</file>

<file path=xl/sharedStrings.xml><?xml version="1.0" encoding="utf-8"?>
<sst xmlns="http://schemas.openxmlformats.org/spreadsheetml/2006/main" count="1408" uniqueCount="463">
  <si>
    <t>:</t>
  </si>
  <si>
    <t>Penetración</t>
  </si>
  <si>
    <t>%</t>
  </si>
  <si>
    <t>N°</t>
  </si>
  <si>
    <t>cm²</t>
  </si>
  <si>
    <t>mm</t>
  </si>
  <si>
    <t xml:space="preserve">                 CÓDIGO</t>
  </si>
  <si>
    <t>LABORATORIO DE ENSAYO DE MATERIALES</t>
  </si>
  <si>
    <t>COD. MUESTRA</t>
  </si>
  <si>
    <t>Página 1 de 2</t>
  </si>
  <si>
    <t>Página 2 de 2</t>
  </si>
  <si>
    <t>(mm.)</t>
  </si>
  <si>
    <t>LECTURA DE PENETRACION</t>
  </si>
  <si>
    <t>CLIENTE</t>
  </si>
  <si>
    <t>DIRECCIÓN**</t>
  </si>
  <si>
    <t>PROYECTO**</t>
  </si>
  <si>
    <t>F. EMISIÓN</t>
  </si>
  <si>
    <t>UBICACIÓN**</t>
  </si>
  <si>
    <t>** Datos proporcionados por el cliente</t>
  </si>
  <si>
    <t>Fin del Informe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</si>
  <si>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</si>
  <si>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</si>
  <si>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</si>
  <si>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</si>
  <si>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</si>
  <si>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Peso-Sobrecarga (lbf):</t>
  </si>
  <si>
    <t>Tiene SUCS</t>
  </si>
  <si>
    <t>Personal Autorizado</t>
  </si>
  <si>
    <t>g</t>
  </si>
  <si>
    <t>Diámetro de pistón</t>
  </si>
  <si>
    <t>Nº  GOLPES</t>
  </si>
  <si>
    <t>Condicion de la muestra</t>
  </si>
  <si>
    <t>Sin Saturar</t>
  </si>
  <si>
    <t>Saturado</t>
  </si>
  <si>
    <t>Código de molde</t>
  </si>
  <si>
    <t xml:space="preserve">Densidad seca </t>
  </si>
  <si>
    <t>Volumen de molde</t>
  </si>
  <si>
    <t>Masa de molde</t>
  </si>
  <si>
    <t>Masa de agua</t>
  </si>
  <si>
    <t>Porcentaje de retenido tamiz 3/4"</t>
  </si>
  <si>
    <t xml:space="preserve">Contenido de Humedad Óptimo (%)   </t>
  </si>
  <si>
    <t>BALANZA</t>
  </si>
  <si>
    <t>Corrección de Lectura</t>
  </si>
  <si>
    <t>Masa de molde+suelo moldeado</t>
  </si>
  <si>
    <t>Masa seca del suelo compactado</t>
  </si>
  <si>
    <t>lbf/ft3</t>
  </si>
  <si>
    <t>Peso unitario seco</t>
  </si>
  <si>
    <t>(in.)</t>
  </si>
  <si>
    <t>Tension Estandar SS</t>
  </si>
  <si>
    <t>psi = lbf/in2</t>
  </si>
  <si>
    <t>lectura Dial kg</t>
  </si>
  <si>
    <t>Correccion del dial</t>
  </si>
  <si>
    <t>lectura corregida Dial kg</t>
  </si>
  <si>
    <t>Esfuerzo kg/cm2</t>
  </si>
  <si>
    <t>Esfuerzo lbf/in2</t>
  </si>
  <si>
    <t>56 GOLPES</t>
  </si>
  <si>
    <t>x</t>
  </si>
  <si>
    <t>Cte.</t>
  </si>
  <si>
    <t>Elementos de la recta:</t>
  </si>
  <si>
    <t>m =</t>
  </si>
  <si>
    <t>Carga para 0.1":</t>
  </si>
  <si>
    <t>Carga para 0.2":</t>
  </si>
  <si>
    <t>Necesita corrección</t>
  </si>
  <si>
    <t>Ecuacion de la recta</t>
  </si>
  <si>
    <t>X1</t>
  </si>
  <si>
    <t>Y1</t>
  </si>
  <si>
    <t>X2</t>
  </si>
  <si>
    <t>Y2</t>
  </si>
  <si>
    <t>Y3=</t>
  </si>
  <si>
    <t>X3 =</t>
  </si>
  <si>
    <t>X (in.)</t>
  </si>
  <si>
    <t>Y Esfuerzo lbf/in2</t>
  </si>
  <si>
    <r>
      <t>x</t>
    </r>
    <r>
      <rPr>
        <vertAlign val="superscript"/>
        <sz val="9"/>
        <rFont val="Arial"/>
        <family val="2"/>
      </rPr>
      <t>5</t>
    </r>
    <r>
      <rPr>
        <b/>
        <sz val="10"/>
        <rFont val="Arial"/>
        <family val="2"/>
      </rPr>
      <t/>
    </r>
  </si>
  <si>
    <r>
      <t>x</t>
    </r>
    <r>
      <rPr>
        <vertAlign val="superscript"/>
        <sz val="9"/>
        <rFont val="Arial"/>
        <family val="2"/>
      </rPr>
      <t>4</t>
    </r>
    <r>
      <rPr>
        <b/>
        <sz val="10"/>
        <rFont val="Arial"/>
        <family val="2"/>
      </rPr>
      <t/>
    </r>
  </si>
  <si>
    <r>
      <t>x</t>
    </r>
    <r>
      <rPr>
        <vertAlign val="superscript"/>
        <sz val="9"/>
        <rFont val="Arial"/>
        <family val="2"/>
      </rPr>
      <t>3</t>
    </r>
  </si>
  <si>
    <r>
      <t>x</t>
    </r>
    <r>
      <rPr>
        <vertAlign val="superscript"/>
        <sz val="9"/>
        <rFont val="Arial"/>
        <family val="2"/>
      </rPr>
      <t>2</t>
    </r>
  </si>
  <si>
    <t>Coeficientes ecuacion polinomio corregido :</t>
  </si>
  <si>
    <t>x=penetracion</t>
  </si>
  <si>
    <t>y= tensiòn</t>
  </si>
  <si>
    <t>X</t>
  </si>
  <si>
    <t>Y</t>
  </si>
  <si>
    <t>Punto recta</t>
  </si>
  <si>
    <t>25 GOLPES</t>
  </si>
  <si>
    <t>10 GOLPES</t>
  </si>
  <si>
    <t>Masa de tara</t>
  </si>
  <si>
    <t>Pulg.</t>
  </si>
  <si>
    <t>1"</t>
  </si>
  <si>
    <t>2"</t>
  </si>
  <si>
    <t xml:space="preserve">y </t>
  </si>
  <si>
    <t>CBR</t>
  </si>
  <si>
    <t>DENSIDAD</t>
  </si>
  <si>
    <t>0.1"</t>
  </si>
  <si>
    <t>0.2"</t>
  </si>
  <si>
    <t>DETERMINACION DE LA HUMEDAD DE COMPACTACION</t>
  </si>
  <si>
    <t>DENSIDAD Y PESO UNITARIO SECO</t>
  </si>
  <si>
    <t xml:space="preserve">Contenido de humedad </t>
  </si>
  <si>
    <r>
      <t>cm</t>
    </r>
    <r>
      <rPr>
        <vertAlign val="superscript"/>
        <sz val="8"/>
        <rFont val="Arial"/>
        <family val="2"/>
      </rPr>
      <t>3</t>
    </r>
  </si>
  <si>
    <r>
      <t>g/cm</t>
    </r>
    <r>
      <rPr>
        <vertAlign val="superscript"/>
        <sz val="8"/>
        <rFont val="Arial"/>
        <family val="2"/>
      </rPr>
      <t>3</t>
    </r>
  </si>
  <si>
    <t>-</t>
  </si>
  <si>
    <t>A</t>
  </si>
  <si>
    <t>B</t>
  </si>
  <si>
    <t>C</t>
  </si>
  <si>
    <t>FECHA</t>
  </si>
  <si>
    <t>HORA</t>
  </si>
  <si>
    <t>TIEMPO</t>
  </si>
  <si>
    <t>EXPANSION</t>
  </si>
  <si>
    <t>Hr.</t>
  </si>
  <si>
    <t>HINCHAMIENTO</t>
  </si>
  <si>
    <t xml:space="preserve">Area de Pistón </t>
  </si>
  <si>
    <t>DATOS DEL MOLDE</t>
  </si>
  <si>
    <t>Metodo de Compactación:</t>
  </si>
  <si>
    <t>Temperatura Inicial-Compactación:</t>
  </si>
  <si>
    <t>Temperatura máxima Final-Compactación:</t>
  </si>
  <si>
    <t>ºC</t>
  </si>
  <si>
    <t>Metodo de preparación:</t>
  </si>
  <si>
    <t>Método de compactación:</t>
  </si>
  <si>
    <t>Método de Preparación:</t>
  </si>
  <si>
    <t>Condición de la muestra</t>
  </si>
  <si>
    <t>CON CUATRO CIFRAS SIGNIFICATIVAS</t>
  </si>
  <si>
    <t>Hinchazón</t>
  </si>
  <si>
    <t>Fuerza total                 (lbf)</t>
  </si>
  <si>
    <t>PESO UNITARIO SECO</t>
  </si>
  <si>
    <t xml:space="preserve">FUERZA Y ESFUERZO </t>
  </si>
  <si>
    <t>Clasificaciòn de suelo SUCS</t>
  </si>
  <si>
    <t>ASTM D2216</t>
  </si>
  <si>
    <t>ASTM D2487</t>
  </si>
  <si>
    <t xml:space="preserve">Limites de Atterberg </t>
  </si>
  <si>
    <t>ASTM D4318</t>
  </si>
  <si>
    <t>Analisis granulometrico</t>
  </si>
  <si>
    <t>ASTM D6913</t>
  </si>
  <si>
    <t>Otros</t>
  </si>
  <si>
    <t>Densidad seca antes saturar</t>
  </si>
  <si>
    <t>Peso Unitario seco antes saturar</t>
  </si>
  <si>
    <t>CONTENIDO DE HUMEDAD DE COMPACTACIÒN</t>
  </si>
  <si>
    <t>Contenido de humedad</t>
  </si>
  <si>
    <t>CURVA DE TENSIÒN - PENETRACIÒN</t>
  </si>
  <si>
    <t>PESO UNITARIO SECO 100%:</t>
  </si>
  <si>
    <t>PESO UNITARIO SECO 95%:</t>
  </si>
  <si>
    <t>C.B.R. (100% P.U.S.) 0.10 in :</t>
  </si>
  <si>
    <t>C.B.R. (95% P.U.S.) 0.10 in :</t>
  </si>
  <si>
    <t>C.B.R. (100% P.U.S.) 0.20 in :</t>
  </si>
  <si>
    <t>C.B.R. (95% P.U.S.) 0.20 in :</t>
  </si>
  <si>
    <t>AL 1%</t>
  </si>
  <si>
    <t>Esfuerzo corregido</t>
  </si>
  <si>
    <t>in</t>
  </si>
  <si>
    <t>ASTM D1883-21</t>
  </si>
  <si>
    <t>Standard Test Method for California Bearing Ratio (CBR) of Laboratory-Compacted Soils</t>
  </si>
  <si>
    <t>P</t>
  </si>
  <si>
    <t>M</t>
  </si>
  <si>
    <t>DIAL (0.001 in)</t>
  </si>
  <si>
    <t>Altura de la muestra (mm)</t>
  </si>
  <si>
    <t>INFORMACIÓN ADICIONAL DE LA MUESTRA</t>
  </si>
  <si>
    <t>LUGAR DE ENSAYO</t>
  </si>
  <si>
    <t>REALIZADO POR</t>
  </si>
  <si>
    <t>FECHA RECEPCIÓN.</t>
  </si>
  <si>
    <t>FECHA EJECUCIÓN</t>
  </si>
  <si>
    <t>RECEPCIÓN N°</t>
  </si>
  <si>
    <t>OT N°</t>
  </si>
  <si>
    <t>F-LEM-P-SU.37.02</t>
  </si>
  <si>
    <t>Observaciones:</t>
  </si>
  <si>
    <t>C.B.R. (0.10 in) 56 Golpes (%):</t>
  </si>
  <si>
    <t>C.B.R. (0.20 in) 56 Golpes (%):</t>
  </si>
  <si>
    <t>C.B.R. (0.10 in) 25 Golpes (%):</t>
  </si>
  <si>
    <t>C.B.R. (0.20 in) 25 Golpes (%):</t>
  </si>
  <si>
    <t>C.B.R. (0.10 in) 10 Golpes (%):</t>
  </si>
  <si>
    <t>C.B.R. (0.20 in) 10 Golpes (%):</t>
  </si>
  <si>
    <t>4 CIFRAS</t>
  </si>
  <si>
    <t>Descripción de muestra</t>
  </si>
  <si>
    <t>Contenido Humedad tal como se recibió</t>
  </si>
  <si>
    <t>CONTENIDO DE HUMEDAD CAPA SUPERIOR DE 1 in DESPUÉS DEL REMOJO</t>
  </si>
  <si>
    <t>Tensión Estandar SS</t>
  </si>
  <si>
    <t>56 golpes % con Corrección</t>
  </si>
  <si>
    <t>25 golpes % con Corrección</t>
  </si>
  <si>
    <t>12 golpes % con Corrección</t>
  </si>
  <si>
    <t>Masa de suelo húmedo + tara</t>
  </si>
  <si>
    <t>Código tara</t>
  </si>
  <si>
    <t>Masa de suelo seco + tara</t>
  </si>
  <si>
    <t>Masa de suelo seco + tara CONSTANTE</t>
  </si>
  <si>
    <t>Xi2</t>
  </si>
  <si>
    <t>Xi3</t>
  </si>
  <si>
    <t>Xi4</t>
  </si>
  <si>
    <t>Xi5</t>
  </si>
  <si>
    <t>Xi6</t>
  </si>
  <si>
    <t>XiYi</t>
  </si>
  <si>
    <t>Xi2Yi</t>
  </si>
  <si>
    <t>Xi3Yi</t>
  </si>
  <si>
    <t>X3</t>
  </si>
  <si>
    <t>TIPO DE MUESTRA (**)</t>
  </si>
  <si>
    <t>N° MUESTRA (**)</t>
  </si>
  <si>
    <t>CANTERA / SONDAJE (**)</t>
  </si>
  <si>
    <t>NO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</si>
  <si>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</si>
  <si>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</si>
  <si>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</si>
  <si>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</si>
  <si>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</si>
  <si>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</si>
  <si>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</si>
  <si>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</si>
  <si>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</si>
  <si>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</si>
  <si>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Variables:</t>
  </si>
  <si>
    <t>Fórmula:</t>
  </si>
  <si>
    <t>Paso 2. Definición de las variables aleatorias</t>
  </si>
  <si>
    <t>Equipos a utilizar:</t>
  </si>
  <si>
    <t xml:space="preserve">Balanza con resolución de lectura de 1g </t>
  </si>
  <si>
    <t>Fuentes</t>
  </si>
  <si>
    <t>Unidades</t>
  </si>
  <si>
    <t>Valor</t>
  </si>
  <si>
    <t>Incertidumbre Original</t>
  </si>
  <si>
    <t>Distribución</t>
  </si>
  <si>
    <t>Coeficiente de Sensibilidad</t>
  </si>
  <si>
    <t>---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</si>
  <si>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</si>
  <si>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</si>
  <si>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</si>
  <si>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</si>
  <si>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</si>
  <si>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</si>
  <si>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Norma, K=1</t>
  </si>
  <si>
    <t>Incertidumbre Expandida, K = 2</t>
  </si>
  <si>
    <t>CALIBRACION DE LA BALANZA</t>
  </si>
  <si>
    <t>Correccion</t>
  </si>
  <si>
    <t>Variables</t>
  </si>
  <si>
    <t>Ecuacion</t>
  </si>
  <si>
    <t>Resolucion</t>
  </si>
  <si>
    <t xml:space="preserve">Codigo </t>
  </si>
  <si>
    <t>EQP-0054</t>
  </si>
  <si>
    <t>Fecha de calibración</t>
  </si>
  <si>
    <t>ITEM</t>
  </si>
  <si>
    <t>MES</t>
  </si>
  <si>
    <t>DESV STD</t>
  </si>
  <si>
    <t>Busqueda de Repetibilidad de la masa</t>
  </si>
  <si>
    <t>ENSAYO DE LA MUESTRA</t>
  </si>
  <si>
    <t>INCERTIDUMBRE ESTANDAR -TIPO A</t>
  </si>
  <si>
    <t>TALLER DE INCERTIDUMBRE ESTANDAR -TIPO A</t>
  </si>
  <si>
    <t>Fecha de evaluacion:</t>
  </si>
  <si>
    <t>n</t>
  </si>
  <si>
    <t>p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</si>
  <si>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</si>
  <si>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</si>
  <si>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</si>
  <si>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Masa Humeda  y tara</t>
  </si>
  <si>
    <t>Normal, K=2 (/2)</t>
  </si>
  <si>
    <t>Masa Seca y tara</t>
  </si>
  <si>
    <t>Masa Tara</t>
  </si>
  <si>
    <t>factor de presición</t>
  </si>
  <si>
    <t>Incertidumbre Estándar Combinada</t>
  </si>
  <si>
    <t>CONTENIDO HUMEDAD</t>
  </si>
  <si>
    <t>Contenido humedad</t>
  </si>
  <si>
    <t xml:space="preserve">g </t>
  </si>
  <si>
    <t>VOLUMEN MOLDE</t>
  </si>
  <si>
    <t>Volumen molde</t>
  </si>
  <si>
    <t>mm3</t>
  </si>
  <si>
    <t>Altura</t>
  </si>
  <si>
    <t>Diametro</t>
  </si>
  <si>
    <t>56 golpe</t>
  </si>
  <si>
    <t>25 golpe</t>
  </si>
  <si>
    <t>10 golpe</t>
  </si>
  <si>
    <t>C.B.R. (0.10 in) 56 Golpes (%)</t>
  </si>
  <si>
    <t>EQP-0046</t>
  </si>
  <si>
    <t>Tara + suelo húmedo</t>
  </si>
  <si>
    <t>Tara + suelo seco 2</t>
  </si>
  <si>
    <t>Peso de tara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</si>
  <si>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Datos</t>
    </r>
  </si>
  <si>
    <r>
      <t>Promedio (x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</si>
  <si>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Desviación Estándar (s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</si>
  <si>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Varianza (s</t>
    </r>
    <r>
      <rPr>
        <vertAlign val="superscript"/>
        <sz val="10"/>
        <rFont val="Arial"/>
        <family val="2"/>
      </rPr>
      <t>2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</si>
  <si>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t>CALCULO:  CBR 100%</t>
  </si>
  <si>
    <t>E</t>
  </si>
  <si>
    <t>INS-0173</t>
  </si>
  <si>
    <t>DISCO ESPACIADOR</t>
  </si>
  <si>
    <t>MOLDE CBR</t>
  </si>
  <si>
    <t xml:space="preserve">Repetibilidad </t>
  </si>
  <si>
    <t>CANT.</t>
  </si>
  <si>
    <t>DIAMETRO</t>
  </si>
  <si>
    <t>ALTURA</t>
  </si>
  <si>
    <t xml:space="preserve">DIAMENTRO </t>
  </si>
  <si>
    <t xml:space="preserve">ALTURA </t>
  </si>
  <si>
    <t xml:space="preserve">DIAMETRO </t>
  </si>
  <si>
    <r>
      <t>g/cm</t>
    </r>
    <r>
      <rPr>
        <vertAlign val="superscript"/>
        <sz val="9"/>
        <rFont val="Arial"/>
        <family val="2"/>
      </rPr>
      <t>3</t>
    </r>
  </si>
  <si>
    <r>
      <t>cm</t>
    </r>
    <r>
      <rPr>
        <vertAlign val="superscript"/>
        <sz val="9"/>
        <rFont val="Arial"/>
        <family val="2"/>
      </rPr>
      <t>3</t>
    </r>
  </si>
  <si>
    <t>Peso unitario seco PROCTOR</t>
  </si>
  <si>
    <t>D</t>
  </si>
  <si>
    <t>CBR (lbf/in2)</t>
  </si>
  <si>
    <t>DENSIDAD lbf/ft3</t>
  </si>
  <si>
    <t>kN/m3</t>
  </si>
  <si>
    <r>
      <t>Máxima Densidad Seca (kN/m3</t>
    </r>
    <r>
      <rPr>
        <sz val="9"/>
        <rFont val="Arial"/>
        <family val="2"/>
      </rPr>
      <t xml:space="preserve">)         </t>
    </r>
  </si>
  <si>
    <r>
      <t>Máxima Densidad Seca (kN/m</t>
    </r>
    <r>
      <rPr>
        <vertAlign val="superscript"/>
        <sz val="8"/>
        <rFont val="Arial"/>
        <family val="2"/>
      </rPr>
      <t>3</t>
    </r>
    <r>
      <rPr>
        <sz val="9"/>
        <rFont val="Arial"/>
        <family val="2"/>
      </rPr>
      <t xml:space="preserve">)         </t>
    </r>
  </si>
  <si>
    <r>
      <t>Peso unitario seco (kN/m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 :</t>
    </r>
  </si>
  <si>
    <r>
      <t>kN/m</t>
    </r>
    <r>
      <rPr>
        <vertAlign val="superscript"/>
        <sz val="9"/>
        <rFont val="Arial"/>
        <family val="2"/>
      </rPr>
      <t>3</t>
    </r>
  </si>
  <si>
    <r>
      <t>kN/m</t>
    </r>
    <r>
      <rPr>
        <vertAlign val="superscript"/>
        <sz val="8"/>
        <rFont val="Arial"/>
        <family val="2"/>
      </rPr>
      <t>3</t>
    </r>
  </si>
  <si>
    <r>
      <t>Peso unitario seco 56 Golpes (kN/m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) </t>
    </r>
  </si>
  <si>
    <t xml:space="preserve">Peso unitario seco 25 Golpes (kN/m3) </t>
  </si>
  <si>
    <t xml:space="preserve">Peso unitario seco 56 Golpes (kN/m3) </t>
  </si>
  <si>
    <t>INS-173</t>
  </si>
  <si>
    <t>INS-174</t>
  </si>
  <si>
    <t>INS-175</t>
  </si>
  <si>
    <t>MASA (g)</t>
  </si>
  <si>
    <t>VOLUMEN (cm3)</t>
  </si>
  <si>
    <t>ALTURA (mm)</t>
  </si>
  <si>
    <t>Determinación de la relación de carga de California (CBR) de muestras compactadas de laboratorio</t>
  </si>
  <si>
    <t>Versión: 02 (05-10-2024)</t>
  </si>
  <si>
    <t>Msac = masa seca de suelo compactado, g,</t>
  </si>
  <si>
    <t>Mm + ws = masa húmeda de suelo moldeado más masa del molde, g,</t>
  </si>
  <si>
    <t>Mm = masa del molde, g,</t>
  </si>
  <si>
    <t xml:space="preserve">wac = determinación del contenido de agua </t>
  </si>
  <si>
    <t>Vm = volumen del molde cm3</t>
  </si>
  <si>
    <t>ρd = densidad seca de la muestra compactada, g/cm3.</t>
  </si>
  <si>
    <t>Laboratorio de ensayo de materiales</t>
  </si>
  <si>
    <t>Fuerza (lectura)</t>
  </si>
  <si>
    <t>Area piston</t>
  </si>
  <si>
    <t>cm2</t>
  </si>
  <si>
    <t>kgf</t>
  </si>
  <si>
    <t>U</t>
  </si>
  <si>
    <t>Carga kgf</t>
  </si>
  <si>
    <t>Area del piston</t>
  </si>
  <si>
    <t>mm2</t>
  </si>
  <si>
    <t>,</t>
  </si>
  <si>
    <t>PISTON mm</t>
  </si>
  <si>
    <t>Norma, K=2</t>
  </si>
  <si>
    <t>C.B.R. (0.20 in) 56 Golpes (%)</t>
  </si>
  <si>
    <r>
      <t>analista</t>
    </r>
    <r>
      <rPr>
        <sz val="10"/>
        <rFont val="Arial"/>
        <family val="2"/>
      </rPr>
      <t>(p=2)</t>
    </r>
  </si>
  <si>
    <t>Réplicas de medición (n=9)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</si>
  <si>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</si>
  <si>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</si>
  <si>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</si>
  <si>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</si>
  <si>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</si>
  <si>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</si>
  <si>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</si>
  <si>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</si>
  <si>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</si>
  <si>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</si>
  <si>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DEY-CH</t>
  </si>
  <si>
    <t>DEY-SC</t>
  </si>
  <si>
    <t>1-Calcular la Incertidumbre estandar CONTENIDO HUMEDAD</t>
  </si>
  <si>
    <t>Masa minima humedad (g)</t>
  </si>
  <si>
    <t>F = fuerza, kg,</t>
  </si>
  <si>
    <t>A = area del pizon, cm2</t>
  </si>
  <si>
    <t>Equipo cbr, 0,1kgf</t>
  </si>
  <si>
    <t>DIAMETRO (mm)</t>
  </si>
  <si>
    <t>PROMEDIO</t>
  </si>
  <si>
    <t>DIAMETRO mm</t>
  </si>
  <si>
    <t>correccion</t>
  </si>
  <si>
    <t>DEY-G</t>
  </si>
  <si>
    <t>DEY-F</t>
  </si>
  <si>
    <t>- Este informe de ensayo, al estar en el marco de la acreditación del INACAL - DA, se encuentra dentro del ámbito de reconocimiento multilateral/mutuo de los miembros firmantes de IAAC e ILAC.</t>
  </si>
  <si>
    <t>2*RAIZ(1.09+0.00000000031*R2)</t>
  </si>
  <si>
    <t xml:space="preserve">FECHA </t>
  </si>
  <si>
    <t>calibracion</t>
  </si>
  <si>
    <t>ASTM C136</t>
  </si>
  <si>
    <t>GR. AGREGADO</t>
  </si>
  <si>
    <t>GR. SUELO</t>
  </si>
  <si>
    <t>H</t>
  </si>
  <si>
    <t>L</t>
  </si>
  <si>
    <t>INS-200</t>
  </si>
  <si>
    <t>INS-201</t>
  </si>
  <si>
    <t>INS-202</t>
  </si>
  <si>
    <t>INS-203</t>
  </si>
  <si>
    <t>INS-204</t>
  </si>
  <si>
    <t>INS-205</t>
  </si>
  <si>
    <t>FORMATO N° F-LEM-P-SU-37.01</t>
  </si>
  <si>
    <t>MUESTRA</t>
  </si>
  <si>
    <t>N° OT</t>
  </si>
  <si>
    <t>FECHA DE ENSAYO</t>
  </si>
  <si>
    <t>REALIZADO</t>
  </si>
  <si>
    <t>STANDARD TEST METHOD FOR CALIFORNIA BEARING RATIO (CBR) OF LABORATORY-COMPACTED SOILS</t>
  </si>
  <si>
    <t>NORMA ASTM D1883-21</t>
  </si>
  <si>
    <t>Sobretamaño mayor a 3/4 in</t>
  </si>
  <si>
    <r>
      <t>Máxima 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)         </t>
    </r>
  </si>
  <si>
    <t>Masa de grava entre 3/4 in - No. 4 adicionada</t>
  </si>
  <si>
    <t>Optimo Contenido de Humedad (%)</t>
  </si>
  <si>
    <t xml:space="preserve">Condicion de la muestra </t>
  </si>
  <si>
    <t>saturado</t>
  </si>
  <si>
    <t>Temperatura Inicial (C°)</t>
  </si>
  <si>
    <t xml:space="preserve">sin saturar </t>
  </si>
  <si>
    <t>Temperatura Final (C°)</t>
  </si>
  <si>
    <t>Tamaño máximo de la muestra de prueba 
(visual) (in):</t>
  </si>
  <si>
    <t>Descripción de muestra ASTM D2488:</t>
  </si>
  <si>
    <t>ENSAYO</t>
  </si>
  <si>
    <t>Especimen N°01</t>
  </si>
  <si>
    <t>Especimen N°02</t>
  </si>
  <si>
    <t>Especimen N°03</t>
  </si>
  <si>
    <t>CONDICIÓN</t>
  </si>
  <si>
    <t>Nº Golpes (56-25-10)</t>
  </si>
  <si>
    <t>Código de Moldes</t>
  </si>
  <si>
    <r>
      <t>Temperatura de inicio (°C)</t>
    </r>
    <r>
      <rPr>
        <b/>
        <sz val="9"/>
        <rFont val="Arial"/>
        <family val="2"/>
      </rPr>
      <t xml:space="preserve"> (18-24°C)</t>
    </r>
  </si>
  <si>
    <r>
      <t>Temperatura final (°C)</t>
    </r>
    <r>
      <rPr>
        <b/>
        <sz val="9"/>
        <rFont val="Arial"/>
        <family val="2"/>
      </rPr>
      <t xml:space="preserve"> (18-24°C)</t>
    </r>
  </si>
  <si>
    <t>Masa de molde + suelo moldeado (g)</t>
  </si>
  <si>
    <t>DETERMINACIÓN DE HUMEDAD</t>
  </si>
  <si>
    <t>Masa de tara (g)</t>
  </si>
  <si>
    <t>Masa de suelo húmedo + tara (g)</t>
  </si>
  <si>
    <t>Masa de suelo húmedo (g) (*)</t>
  </si>
  <si>
    <t>Masa de suelo seco + tara (g)</t>
  </si>
  <si>
    <t>Masa de suelo seco + tara (g) CONSTANTE</t>
  </si>
  <si>
    <t>(*) Según Tabla 1 de la norma ASTM D2216-19.</t>
  </si>
  <si>
    <t>LECTURA DE PENETRACIÓN</t>
  </si>
  <si>
    <t>Tiempo
(minutos)</t>
  </si>
  <si>
    <t>Tensión</t>
  </si>
  <si>
    <t>Lectura de penetración</t>
  </si>
  <si>
    <t>(in)</t>
  </si>
  <si>
    <t>(mm)</t>
  </si>
  <si>
    <t>Estandar SS</t>
  </si>
  <si>
    <t>Fecha</t>
  </si>
  <si>
    <t>Hora</t>
  </si>
  <si>
    <t>Esp. 01</t>
  </si>
  <si>
    <t>Esp. 02</t>
  </si>
  <si>
    <t>Esp. 03</t>
  </si>
  <si>
    <r>
      <t>psi = lbf/in</t>
    </r>
    <r>
      <rPr>
        <vertAlign val="superscript"/>
        <sz val="9"/>
        <rFont val="Arial"/>
        <family val="2"/>
      </rPr>
      <t>2</t>
    </r>
  </si>
  <si>
    <t>Expansión  (mm)</t>
  </si>
  <si>
    <t>0:00</t>
  </si>
  <si>
    <t>09/02/26</t>
  </si>
  <si>
    <t>11:00:00</t>
  </si>
  <si>
    <t>0:30</t>
  </si>
  <si>
    <t>10/02/26</t>
  </si>
  <si>
    <t>1:00</t>
  </si>
  <si>
    <t>11/02/26</t>
  </si>
  <si>
    <t>1:30</t>
  </si>
  <si>
    <t>12/02/26</t>
  </si>
  <si>
    <t>2:00</t>
  </si>
  <si>
    <t>13/02/26</t>
  </si>
  <si>
    <t>Equipo utilizado</t>
  </si>
  <si>
    <t>Código</t>
  </si>
  <si>
    <t>Equipo CBR</t>
  </si>
  <si>
    <t>Dial deformación</t>
  </si>
  <si>
    <t>Dial expansión</t>
  </si>
  <si>
    <t>Horno 110 ºC</t>
  </si>
  <si>
    <t>Pison</t>
  </si>
  <si>
    <t>Balanza 1 g</t>
  </si>
  <si>
    <t>Profundidad de la hendidura (mm)</t>
  </si>
  <si>
    <t>Balanza 0.1 g</t>
  </si>
  <si>
    <t/>
  </si>
  <si>
    <t>Página 1 de 1</t>
  </si>
  <si>
    <t>Versión: 02 (11-11-2024)</t>
  </si>
  <si>
    <t>Prohibido reproducir sin  autorización</t>
  </si>
  <si>
    <t>WEB: www.geofal.com.pe   E-MAIL: laboratorio@geofal.com.pe
Av. Marañon 763, Los Olivos-Lima / Teléfono  01 754-3070</t>
  </si>
  <si>
    <t>+FORMATO!H24</t>
  </si>
  <si>
    <t>Corrección</t>
  </si>
  <si>
    <t>Ecuación</t>
  </si>
  <si>
    <t>2*RAIZ(0.00416+0.000000000243*R2)</t>
  </si>
  <si>
    <t xml:space="preserve">Código </t>
  </si>
  <si>
    <t>Fecha última calibración</t>
  </si>
  <si>
    <t>Mensurando:</t>
  </si>
  <si>
    <t>Paso 1. Definición del proceso de medición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</si>
  <si>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</si>
  <si>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</si>
  <si>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</si>
  <si>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</si>
  <si>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</si>
  <si>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</si>
  <si>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Suelo</t>
  </si>
  <si>
    <t>DIRECCIÓN **</t>
  </si>
  <si>
    <t>PROYECTO **</t>
  </si>
  <si>
    <t>UBICACIÓN **</t>
  </si>
  <si>
    <t>CÓDIGO DE LA MUESTRA</t>
  </si>
  <si>
    <t>FECHA DE RECEPCIÓN</t>
  </si>
  <si>
    <t>FECHA DE EJECUCIÓN</t>
  </si>
  <si>
    <t>CANTERA/SONDAJE **</t>
  </si>
  <si>
    <t>N° MUESTRA **</t>
  </si>
  <si>
    <t>TIPO DE MUESTRA**</t>
  </si>
  <si>
    <t>Factor de precision CBR</t>
  </si>
  <si>
    <t>Factor de precision CONTENIDO HUMEDAD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</si>
</sst>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0.0"/>
    <numFmt numFmtId="165" formatCode="0.000"/>
    <numFmt numFmtId="166" formatCode="0.0000"/>
    <numFmt numFmtId="167" formatCode="0.00000"/>
    <numFmt numFmtId="168" formatCode="dd\-mm\-yy;@"/>
    <numFmt numFmtId="169" formatCode="0.00000E+00"/>
    <numFmt numFmtId="170" formatCode="00#&quot;-16 / SU 11&quot;"/>
    <numFmt numFmtId="171" formatCode="000&quot;-20 SU12&quot;"/>
    <numFmt numFmtId="172" formatCode="dd\-mmm\-yyyy"/>
    <numFmt numFmtId="173" formatCode="_([$€-2]\ * #,##0.00_);_([$€-2]\ * \(#,##0.00\);_([$€-2]\ * &quot;-&quot;??_)"/>
    <numFmt numFmtId="174" formatCode="000&quot;-21 SU07&quot;"/>
    <numFmt numFmtId="175" formatCode="000&quot;-AG-23&quot;"/>
    <numFmt numFmtId="176" formatCode="0.0\ &quot;%&quot;"/>
    <numFmt numFmtId="177" formatCode="0.\ &quot;mm&quot;"/>
    <numFmt numFmtId="178" formatCode="0.0%"/>
    <numFmt numFmtId="179" formatCode="000\-\ &quot;24&quot;"/>
    <numFmt numFmtId="180" formatCode="000&quot;-SU-24&quot;"/>
    <numFmt numFmtId="181" formatCode="&quot;Molde&quot;\ 0"/>
    <numFmt numFmtId="182" formatCode="0\ &quot;Golpes&quot;"/>
    <numFmt numFmtId="183" formatCode="yyyy\-mm\-dd;@"/>
    <numFmt numFmtId="184" formatCode="&quot;0&quot;0"/>
    <numFmt numFmtId="185" formatCode="0.000000"/>
    <numFmt numFmtId="186" formatCode="0.0000000"/>
    <numFmt numFmtId="187" formatCode="0.00000000000"/>
    <numFmt numFmtId="188" formatCode="#,##0.0"/>
    <numFmt numFmtId="189" formatCode="&quot;INFORME DE ENSAYO N°&quot;000&quot;-26 SU37&quot;"/>
    <numFmt numFmtId="190" formatCode="000\-\ &quot;26&quot;"/>
    <numFmt numFmtId="191" formatCode="000&quot;-AG-26&quot;"/>
    <numFmt numFmtId="192" formatCode="&quot;FORMATO F-LEM-P-SU-11.01&quot;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u/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sz val="10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0"/>
      <color indexed="81"/>
      <name val="Tahoma"/>
      <family val="2"/>
    </font>
    <font>
      <vertAlign val="superscript"/>
      <sz val="8"/>
      <name val="Arial"/>
      <family val="2"/>
    </font>
    <font>
      <b/>
      <sz val="16"/>
      <name val="Arial"/>
      <family val="2"/>
    </font>
    <font>
      <sz val="9"/>
      <color indexed="4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2"/>
      <name val="Arial"/>
      <family val="2"/>
    </font>
    <font>
      <u/>
      <sz val="9"/>
      <name val="Arial"/>
      <family val="2"/>
    </font>
    <font>
      <b/>
      <i/>
      <u/>
      <sz val="9"/>
      <name val="Arial"/>
      <family val="2"/>
    </font>
    <font>
      <b/>
      <sz val="24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sz val="8"/>
      <color rgb="FF0000FF"/>
      <name val="Arial"/>
      <family val="2"/>
    </font>
    <font>
      <sz val="9"/>
      <color rgb="FF0000FF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0000FF"/>
      <name val="Arial"/>
      <family val="2"/>
    </font>
    <font>
      <sz val="9"/>
      <color rgb="FF0070C0"/>
      <name val="Arial"/>
      <family val="2"/>
    </font>
    <font>
      <sz val="10"/>
      <color rgb="FF0000CC"/>
      <name val="Arial"/>
      <family val="2"/>
    </font>
    <font>
      <sz val="8"/>
      <color theme="0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8"/>
      <color rgb="FF00206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sz val="9"/>
      <color indexed="10"/>
      <name val="Arial"/>
      <family val="2"/>
    </font>
    <font>
      <u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173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47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170" fontId="6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horizontal="left" vertical="center"/>
      <protection locked="0"/>
    </xf>
    <xf numFmtId="168" fontId="3" fillId="0" borderId="0" xfId="0" applyNumberFormat="1" applyFont="1" applyAlignment="1" applyProtection="1">
      <alignment horizontal="left" vertical="center"/>
      <protection locked="0"/>
    </xf>
    <xf numFmtId="174" fontId="3" fillId="0" borderId="0" xfId="0" applyNumberFormat="1" applyFont="1" applyAlignment="1" applyProtection="1">
      <alignment horizontal="left" vertical="center"/>
      <protection locked="0"/>
    </xf>
    <xf numFmtId="171" fontId="3" fillId="0" borderId="0" xfId="0" applyNumberFormat="1" applyFont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4" fontId="40" fillId="0" borderId="0" xfId="3" applyNumberFormat="1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3" fillId="0" borderId="0" xfId="5" applyFont="1" applyAlignment="1">
      <alignment vertical="center"/>
    </xf>
    <xf numFmtId="0" fontId="13" fillId="0" borderId="0" xfId="5" applyFont="1" applyAlignment="1">
      <alignment horizontal="center"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5" applyFont="1" applyAlignment="1">
      <alignment horizontal="right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4" xfId="5" applyFont="1" applyBorder="1" applyAlignment="1">
      <alignment vertical="center"/>
    </xf>
    <xf numFmtId="0" fontId="3" fillId="0" borderId="4" xfId="5" applyFont="1" applyBorder="1" applyAlignment="1">
      <alignment vertical="center"/>
    </xf>
    <xf numFmtId="0" fontId="3" fillId="0" borderId="0" xfId="5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3" fillId="3" borderId="0" xfId="5" applyFont="1" applyFill="1" applyAlignment="1">
      <alignment vertical="center"/>
    </xf>
    <xf numFmtId="0" fontId="13" fillId="3" borderId="0" xfId="5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3" fillId="3" borderId="0" xfId="5" applyFont="1" applyFill="1" applyAlignment="1">
      <alignment horizontal="right" vertical="center"/>
    </xf>
    <xf numFmtId="171" fontId="3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vertical="center"/>
    </xf>
    <xf numFmtId="0" fontId="18" fillId="3" borderId="0" xfId="0" applyFont="1" applyFill="1"/>
    <xf numFmtId="0" fontId="41" fillId="3" borderId="0" xfId="4" quotePrefix="1" applyFont="1" applyFill="1" applyAlignment="1">
      <alignment vertical="center"/>
    </xf>
    <xf numFmtId="0" fontId="41" fillId="3" borderId="0" xfId="4" quotePrefix="1" applyFont="1" applyFill="1" applyAlignment="1">
      <alignment horizontal="left" vertical="center"/>
    </xf>
    <xf numFmtId="0" fontId="42" fillId="3" borderId="0" xfId="4" applyFont="1" applyFill="1" applyAlignment="1">
      <alignment horizontal="right" vertical="center"/>
    </xf>
    <xf numFmtId="0" fontId="10" fillId="3" borderId="0" xfId="0" applyFont="1" applyFill="1" applyAlignment="1">
      <alignment vertical="center" wrapText="1"/>
    </xf>
    <xf numFmtId="0" fontId="22" fillId="3" borderId="6" xfId="3" applyFont="1" applyFill="1" applyBorder="1"/>
    <xf numFmtId="0" fontId="22" fillId="3" borderId="0" xfId="3" applyFont="1" applyFill="1" applyProtection="1">
      <protection hidden="1"/>
    </xf>
    <xf numFmtId="1" fontId="43" fillId="0" borderId="0" xfId="6" applyNumberFormat="1" applyFont="1" applyAlignment="1" applyProtection="1">
      <alignment horizontal="center" vertical="center"/>
      <protection locked="0"/>
    </xf>
    <xf numFmtId="1" fontId="3" fillId="0" borderId="0" xfId="6" applyNumberFormat="1" applyFont="1" applyAlignment="1" applyProtection="1">
      <alignment horizontal="center" vertical="center"/>
      <protection locked="0"/>
    </xf>
    <xf numFmtId="1" fontId="3" fillId="0" borderId="0" xfId="6" applyNumberFormat="1" applyFont="1" applyAlignment="1" applyProtection="1">
      <alignment vertical="center"/>
      <protection locked="0"/>
    </xf>
    <xf numFmtId="0" fontId="22" fillId="3" borderId="7" xfId="3" applyFont="1" applyFill="1" applyBorder="1" applyAlignment="1" applyProtection="1">
      <alignment horizontal="center"/>
      <protection hidden="1"/>
    </xf>
    <xf numFmtId="0" fontId="22" fillId="3" borderId="0" xfId="3" applyFont="1" applyFill="1"/>
    <xf numFmtId="0" fontId="21" fillId="3" borderId="0" xfId="3" applyFont="1" applyFill="1"/>
    <xf numFmtId="0" fontId="22" fillId="3" borderId="7" xfId="3" applyFont="1" applyFill="1" applyBorder="1" applyAlignment="1" applyProtection="1">
      <alignment horizontal="right"/>
      <protection hidden="1"/>
    </xf>
    <xf numFmtId="165" fontId="22" fillId="3" borderId="7" xfId="3" applyNumberFormat="1" applyFont="1" applyFill="1" applyBorder="1" applyAlignment="1" applyProtection="1">
      <alignment horizontal="center"/>
      <protection hidden="1"/>
    </xf>
    <xf numFmtId="0" fontId="21" fillId="3" borderId="6" xfId="3" applyFont="1" applyFill="1" applyBorder="1"/>
    <xf numFmtId="0" fontId="21" fillId="3" borderId="0" xfId="3" applyFont="1" applyFill="1" applyProtection="1">
      <protection hidden="1"/>
    </xf>
    <xf numFmtId="0" fontId="22" fillId="3" borderId="7" xfId="3" applyFont="1" applyFill="1" applyBorder="1" applyAlignment="1" applyProtection="1">
      <alignment horizontal="center" vertical="center"/>
      <protection hidden="1"/>
    </xf>
    <xf numFmtId="2" fontId="22" fillId="3" borderId="7" xfId="3" applyNumberFormat="1" applyFont="1" applyFill="1" applyBorder="1" applyAlignment="1" applyProtection="1">
      <alignment horizontal="center"/>
      <protection hidden="1"/>
    </xf>
    <xf numFmtId="164" fontId="22" fillId="3" borderId="7" xfId="3" applyNumberFormat="1" applyFont="1" applyFill="1" applyBorder="1" applyAlignment="1" applyProtection="1">
      <alignment horizontal="center"/>
      <protection hidden="1"/>
    </xf>
    <xf numFmtId="0" fontId="22" fillId="3" borderId="8" xfId="3" applyFont="1" applyFill="1" applyBorder="1" applyProtection="1">
      <protection hidden="1"/>
    </xf>
    <xf numFmtId="165" fontId="22" fillId="3" borderId="9" xfId="3" applyNumberFormat="1" applyFont="1" applyFill="1" applyBorder="1" applyAlignment="1" applyProtection="1">
      <alignment horizontal="center"/>
      <protection hidden="1"/>
    </xf>
    <xf numFmtId="0" fontId="22" fillId="3" borderId="9" xfId="3" applyFont="1" applyFill="1" applyBorder="1" applyProtection="1">
      <protection hidden="1"/>
    </xf>
    <xf numFmtId="2" fontId="22" fillId="3" borderId="0" xfId="3" applyNumberFormat="1" applyFont="1" applyFill="1"/>
    <xf numFmtId="0" fontId="21" fillId="3" borderId="10" xfId="3" applyFont="1" applyFill="1" applyBorder="1" applyProtection="1">
      <protection hidden="1"/>
    </xf>
    <xf numFmtId="0" fontId="3" fillId="0" borderId="7" xfId="0" applyFont="1" applyBorder="1" applyAlignment="1" applyProtection="1">
      <alignment vertical="center"/>
      <protection locked="0"/>
    </xf>
    <xf numFmtId="0" fontId="3" fillId="3" borderId="11" xfId="3" applyFont="1" applyFill="1" applyBorder="1" applyAlignment="1">
      <alignment vertical="center"/>
    </xf>
    <xf numFmtId="164" fontId="3" fillId="3" borderId="7" xfId="3" applyNumberFormat="1" applyFont="1" applyFill="1" applyBorder="1" applyAlignment="1" applyProtection="1">
      <alignment horizontal="center" vertical="center"/>
      <protection locked="0"/>
    </xf>
    <xf numFmtId="165" fontId="3" fillId="3" borderId="7" xfId="3" applyNumberFormat="1" applyFont="1" applyFill="1" applyBorder="1" applyAlignment="1">
      <alignment horizontal="center" vertical="center"/>
    </xf>
    <xf numFmtId="164" fontId="3" fillId="0" borderId="7" xfId="3" applyNumberFormat="1" applyFont="1" applyBorder="1" applyAlignment="1">
      <alignment horizontal="center" vertical="center"/>
    </xf>
    <xf numFmtId="164" fontId="3" fillId="3" borderId="12" xfId="3" applyNumberFormat="1" applyFont="1" applyFill="1" applyBorder="1" applyAlignment="1" applyProtection="1">
      <alignment horizontal="center" vertical="center"/>
      <protection locked="0"/>
    </xf>
    <xf numFmtId="164" fontId="3" fillId="3" borderId="13" xfId="3" applyNumberFormat="1" applyFont="1" applyFill="1" applyBorder="1" applyAlignment="1" applyProtection="1">
      <alignment horizontal="center" vertical="center"/>
      <protection locked="0"/>
    </xf>
    <xf numFmtId="164" fontId="3" fillId="0" borderId="14" xfId="3" applyNumberFormat="1" applyFont="1" applyBorder="1" applyAlignment="1">
      <alignment horizontal="center" vertical="center"/>
    </xf>
    <xf numFmtId="165" fontId="44" fillId="3" borderId="15" xfId="3" applyNumberFormat="1" applyFont="1" applyFill="1" applyBorder="1" applyAlignment="1">
      <alignment horizontal="center" vertical="center"/>
    </xf>
    <xf numFmtId="164" fontId="13" fillId="3" borderId="16" xfId="3" applyNumberFormat="1" applyFont="1" applyFill="1" applyBorder="1" applyAlignment="1" applyProtection="1">
      <alignment horizontal="center" vertical="center"/>
      <protection locked="0"/>
    </xf>
    <xf numFmtId="165" fontId="3" fillId="3" borderId="15" xfId="3" applyNumberFormat="1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vertical="center"/>
      <protection locked="0"/>
    </xf>
    <xf numFmtId="165" fontId="3" fillId="3" borderId="14" xfId="3" applyNumberFormat="1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2" fontId="3" fillId="3" borderId="17" xfId="3" applyNumberFormat="1" applyFont="1" applyFill="1" applyBorder="1" applyAlignment="1">
      <alignment horizontal="center" vertical="center"/>
    </xf>
    <xf numFmtId="2" fontId="3" fillId="3" borderId="16" xfId="3" applyNumberFormat="1" applyFont="1" applyFill="1" applyBorder="1" applyAlignment="1">
      <alignment horizontal="center" vertical="center"/>
    </xf>
    <xf numFmtId="2" fontId="3" fillId="3" borderId="15" xfId="3" applyNumberFormat="1" applyFont="1" applyFill="1" applyBorder="1" applyAlignment="1">
      <alignment horizontal="center" vertical="center"/>
    </xf>
    <xf numFmtId="0" fontId="3" fillId="3" borderId="18" xfId="3" applyFont="1" applyFill="1" applyBorder="1" applyAlignment="1">
      <alignment vertical="center"/>
    </xf>
    <xf numFmtId="0" fontId="3" fillId="3" borderId="19" xfId="3" applyFont="1" applyFill="1" applyBorder="1" applyAlignment="1">
      <alignment vertical="center"/>
    </xf>
    <xf numFmtId="0" fontId="3" fillId="3" borderId="16" xfId="3" applyFont="1" applyFill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3" borderId="12" xfId="3" applyFont="1" applyFill="1" applyBorder="1" applyAlignment="1">
      <alignment horizontal="center" vertical="center"/>
    </xf>
    <xf numFmtId="0" fontId="18" fillId="0" borderId="21" xfId="3" applyFont="1" applyBorder="1" applyAlignment="1" applyProtection="1">
      <alignment horizontal="center" vertical="center"/>
      <protection hidden="1"/>
    </xf>
    <xf numFmtId="0" fontId="18" fillId="0" borderId="22" xfId="3" applyFont="1" applyBorder="1" applyAlignment="1" applyProtection="1">
      <alignment horizontal="center" vertical="center"/>
      <protection hidden="1"/>
    </xf>
    <xf numFmtId="164" fontId="3" fillId="3" borderId="17" xfId="3" applyNumberFormat="1" applyFont="1" applyFill="1" applyBorder="1" applyAlignment="1">
      <alignment horizontal="center" vertical="center"/>
    </xf>
    <xf numFmtId="164" fontId="3" fillId="3" borderId="16" xfId="3" applyNumberFormat="1" applyFont="1" applyFill="1" applyBorder="1" applyAlignment="1">
      <alignment horizontal="center" vertical="center"/>
    </xf>
    <xf numFmtId="178" fontId="9" fillId="0" borderId="0" xfId="0" applyNumberFormat="1" applyFont="1" applyAlignment="1" applyProtection="1">
      <alignment vertical="center"/>
      <protection locked="0"/>
    </xf>
    <xf numFmtId="0" fontId="3" fillId="0" borderId="3" xfId="5" applyFont="1" applyBorder="1" applyAlignment="1">
      <alignment vertical="center"/>
    </xf>
    <xf numFmtId="175" fontId="3" fillId="0" borderId="5" xfId="0" applyNumberFormat="1" applyFont="1" applyBorder="1" applyAlignment="1" applyProtection="1">
      <alignment vertical="center"/>
      <protection locked="0"/>
    </xf>
    <xf numFmtId="0" fontId="2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3" fillId="0" borderId="0" xfId="3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170" fontId="10" fillId="0" borderId="0" xfId="0" applyNumberFormat="1" applyFont="1" applyAlignment="1" applyProtection="1">
      <alignment vertical="center"/>
      <protection locked="0"/>
    </xf>
    <xf numFmtId="17" fontId="10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0" borderId="23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10" xfId="0" applyFont="1" applyBorder="1" applyAlignment="1" applyProtection="1">
      <alignment vertical="center"/>
      <protection locked="0"/>
    </xf>
    <xf numFmtId="0" fontId="22" fillId="0" borderId="21" xfId="0" applyFont="1" applyBorder="1" applyAlignment="1" applyProtection="1">
      <alignment vertical="center"/>
      <protection locked="0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 applyProtection="1">
      <alignment vertical="center"/>
      <protection locked="0"/>
    </xf>
    <xf numFmtId="165" fontId="22" fillId="0" borderId="1" xfId="0" applyNumberFormat="1" applyFont="1" applyBorder="1" applyAlignment="1" applyProtection="1">
      <alignment vertical="center"/>
      <protection locked="0"/>
    </xf>
    <xf numFmtId="176" fontId="22" fillId="0" borderId="0" xfId="0" applyNumberFormat="1" applyFont="1" applyAlignment="1" applyProtection="1">
      <alignment vertical="center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3" borderId="0" xfId="3" applyFont="1" applyFill="1" applyAlignment="1">
      <alignment horizontal="left" vertical="center"/>
    </xf>
    <xf numFmtId="0" fontId="22" fillId="0" borderId="0" xfId="0" quotePrefix="1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1" fontId="22" fillId="0" borderId="0" xfId="0" applyNumberFormat="1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26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170" fontId="10" fillId="3" borderId="0" xfId="0" applyNumberFormat="1" applyFont="1" applyFill="1" applyAlignment="1">
      <alignment vertical="center"/>
    </xf>
    <xf numFmtId="0" fontId="22" fillId="3" borderId="24" xfId="0" applyFont="1" applyFill="1" applyBorder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right"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left" vertical="center"/>
    </xf>
    <xf numFmtId="164" fontId="22" fillId="3" borderId="1" xfId="0" applyNumberFormat="1" applyFont="1" applyFill="1" applyBorder="1" applyAlignment="1">
      <alignment horizontal="left" vertical="center"/>
    </xf>
    <xf numFmtId="165" fontId="22" fillId="3" borderId="1" xfId="0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2" fontId="3" fillId="3" borderId="0" xfId="0" applyNumberFormat="1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3" fillId="3" borderId="0" xfId="0" quotePrefix="1" applyNumberFormat="1" applyFont="1" applyFill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5" fontId="22" fillId="0" borderId="14" xfId="0" applyNumberFormat="1" applyFont="1" applyBorder="1" applyAlignment="1">
      <alignment horizontal="center" vertical="center"/>
    </xf>
    <xf numFmtId="164" fontId="22" fillId="0" borderId="7" xfId="0" applyNumberFormat="1" applyFont="1" applyBorder="1" applyAlignment="1" applyProtection="1">
      <alignment horizontal="center" vertical="center"/>
      <protection locked="0"/>
    </xf>
    <xf numFmtId="165" fontId="21" fillId="3" borderId="4" xfId="0" applyNumberFormat="1" applyFont="1" applyFill="1" applyBorder="1" applyAlignment="1">
      <alignment vertical="center"/>
    </xf>
    <xf numFmtId="165" fontId="21" fillId="3" borderId="0" xfId="0" applyNumberFormat="1" applyFont="1" applyFill="1" applyAlignment="1">
      <alignment vertical="center"/>
    </xf>
    <xf numFmtId="165" fontId="21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22" fillId="3" borderId="0" xfId="0" applyNumberFormat="1" applyFont="1" applyFill="1" applyAlignment="1">
      <alignment horizontal="center" vertical="center"/>
    </xf>
    <xf numFmtId="0" fontId="22" fillId="3" borderId="25" xfId="0" applyFont="1" applyFill="1" applyBorder="1" applyAlignment="1">
      <alignment vertical="center"/>
    </xf>
    <xf numFmtId="0" fontId="22" fillId="3" borderId="26" xfId="0" applyFont="1" applyFill="1" applyBorder="1" applyAlignment="1">
      <alignment vertical="center"/>
    </xf>
    <xf numFmtId="0" fontId="22" fillId="3" borderId="26" xfId="0" applyFont="1" applyFill="1" applyBorder="1" applyAlignment="1">
      <alignment horizontal="right" vertical="center"/>
    </xf>
    <xf numFmtId="164" fontId="22" fillId="3" borderId="26" xfId="0" applyNumberFormat="1" applyFont="1" applyFill="1" applyBorder="1" applyAlignment="1">
      <alignment horizontal="center" vertical="center"/>
    </xf>
    <xf numFmtId="165" fontId="22" fillId="3" borderId="27" xfId="0" applyNumberFormat="1" applyFont="1" applyFill="1" applyBorder="1" applyAlignment="1">
      <alignment horizontal="left" vertical="center"/>
    </xf>
    <xf numFmtId="0" fontId="27" fillId="3" borderId="28" xfId="0" applyFont="1" applyFill="1" applyBorder="1" applyAlignment="1">
      <alignment vertical="center"/>
    </xf>
    <xf numFmtId="0" fontId="22" fillId="3" borderId="29" xfId="0" applyFont="1" applyFill="1" applyBorder="1" applyAlignment="1">
      <alignment vertical="center"/>
    </xf>
    <xf numFmtId="0" fontId="22" fillId="3" borderId="29" xfId="0" applyFont="1" applyFill="1" applyBorder="1" applyAlignment="1">
      <alignment horizontal="right" vertical="center"/>
    </xf>
    <xf numFmtId="164" fontId="22" fillId="3" borderId="29" xfId="0" applyNumberFormat="1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vertical="center"/>
    </xf>
    <xf numFmtId="0" fontId="22" fillId="3" borderId="25" xfId="0" applyFont="1" applyFill="1" applyBorder="1" applyAlignment="1">
      <alignment horizontal="right" vertical="center"/>
    </xf>
    <xf numFmtId="0" fontId="22" fillId="3" borderId="27" xfId="0" applyFont="1" applyFill="1" applyBorder="1" applyAlignment="1">
      <alignment vertical="center"/>
    </xf>
    <xf numFmtId="0" fontId="22" fillId="3" borderId="31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right" vertical="center"/>
    </xf>
    <xf numFmtId="0" fontId="22" fillId="3" borderId="32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22" fillId="3" borderId="28" xfId="0" applyFont="1" applyFill="1" applyBorder="1" applyAlignment="1">
      <alignment horizontal="right" vertical="center"/>
    </xf>
    <xf numFmtId="0" fontId="22" fillId="3" borderId="4" xfId="0" applyFont="1" applyFill="1" applyBorder="1" applyAlignment="1">
      <alignment vertical="center"/>
    </xf>
    <xf numFmtId="0" fontId="45" fillId="3" borderId="0" xfId="0" applyFont="1" applyFill="1" applyAlignment="1">
      <alignment horizontal="right" vertical="center"/>
    </xf>
    <xf numFmtId="164" fontId="45" fillId="3" borderId="0" xfId="0" applyNumberFormat="1" applyFont="1" applyFill="1" applyAlignment="1">
      <alignment vertical="center"/>
    </xf>
    <xf numFmtId="167" fontId="46" fillId="3" borderId="0" xfId="0" applyNumberFormat="1" applyFont="1" applyFill="1" applyAlignment="1">
      <alignment vertical="center"/>
    </xf>
    <xf numFmtId="0" fontId="3" fillId="2" borderId="33" xfId="3" applyFont="1" applyFill="1" applyBorder="1" applyAlignment="1">
      <alignment horizontal="left" vertical="center"/>
    </xf>
    <xf numFmtId="0" fontId="3" fillId="2" borderId="34" xfId="3" applyFont="1" applyFill="1" applyBorder="1" applyAlignment="1">
      <alignment horizontal="center" vertical="center"/>
    </xf>
    <xf numFmtId="0" fontId="3" fillId="2" borderId="20" xfId="3" applyFont="1" applyFill="1" applyBorder="1" applyAlignment="1">
      <alignment horizontal="left" vertical="center"/>
    </xf>
    <xf numFmtId="0" fontId="3" fillId="2" borderId="20" xfId="3" applyFont="1" applyFill="1" applyBorder="1" applyAlignment="1">
      <alignment horizontal="center" vertical="center"/>
    </xf>
    <xf numFmtId="164" fontId="3" fillId="2" borderId="13" xfId="3" applyNumberFormat="1" applyFont="1" applyFill="1" applyBorder="1" applyAlignment="1">
      <alignment horizontal="center" vertical="center"/>
    </xf>
    <xf numFmtId="0" fontId="3" fillId="2" borderId="15" xfId="3" applyFont="1" applyFill="1" applyBorder="1" applyAlignment="1">
      <alignment horizontal="center" vertical="center"/>
    </xf>
    <xf numFmtId="0" fontId="16" fillId="3" borderId="0" xfId="0" applyFont="1" applyFill="1"/>
    <xf numFmtId="1" fontId="14" fillId="3" borderId="0" xfId="0" applyNumberFormat="1" applyFont="1" applyFill="1" applyAlignment="1">
      <alignment horizontal="center" vertical="center"/>
    </xf>
    <xf numFmtId="0" fontId="16" fillId="3" borderId="0" xfId="0" applyFont="1" applyFill="1" applyProtection="1">
      <protection locked="0"/>
    </xf>
    <xf numFmtId="0" fontId="22" fillId="3" borderId="0" xfId="0" quotePrefix="1" applyFont="1" applyFill="1" applyAlignment="1">
      <alignment vertical="center"/>
    </xf>
    <xf numFmtId="0" fontId="16" fillId="3" borderId="0" xfId="0" applyFont="1" applyFill="1" applyAlignment="1">
      <alignment vertical="top" wrapText="1"/>
    </xf>
    <xf numFmtId="180" fontId="3" fillId="0" borderId="5" xfId="3" applyNumberFormat="1" applyFont="1" applyBorder="1" applyAlignment="1" applyProtection="1">
      <alignment horizontal="left" vertical="center"/>
      <protection locked="0"/>
    </xf>
    <xf numFmtId="168" fontId="3" fillId="0" borderId="5" xfId="3" applyNumberFormat="1" applyFont="1" applyBorder="1" applyAlignment="1" applyProtection="1">
      <alignment horizontal="left" vertical="center"/>
      <protection locked="0"/>
    </xf>
    <xf numFmtId="165" fontId="22" fillId="3" borderId="4" xfId="0" applyNumberFormat="1" applyFont="1" applyFill="1" applyBorder="1" applyAlignment="1">
      <alignment horizontal="center" vertical="center"/>
    </xf>
    <xf numFmtId="1" fontId="3" fillId="3" borderId="26" xfId="5" applyNumberFormat="1" applyFont="1" applyFill="1" applyBorder="1" applyAlignment="1" applyProtection="1">
      <alignment vertical="center"/>
      <protection hidden="1"/>
    </xf>
    <xf numFmtId="1" fontId="3" fillId="3" borderId="0" xfId="5" applyNumberFormat="1" applyFont="1" applyFill="1" applyAlignment="1" applyProtection="1">
      <alignment vertical="center"/>
      <protection hidden="1"/>
    </xf>
    <xf numFmtId="1" fontId="3" fillId="3" borderId="29" xfId="5" applyNumberFormat="1" applyFont="1" applyFill="1" applyBorder="1" applyAlignment="1" applyProtection="1">
      <alignment vertical="center"/>
      <protection hidden="1"/>
    </xf>
    <xf numFmtId="14" fontId="22" fillId="2" borderId="14" xfId="3" applyNumberFormat="1" applyFont="1" applyFill="1" applyBorder="1" applyAlignment="1" applyProtection="1">
      <alignment horizontal="center" vertical="center"/>
      <protection locked="0"/>
    </xf>
    <xf numFmtId="20" fontId="22" fillId="2" borderId="7" xfId="3" applyNumberFormat="1" applyFont="1" applyFill="1" applyBorder="1" applyAlignment="1" applyProtection="1">
      <alignment horizontal="center" vertical="center"/>
      <protection locked="0"/>
    </xf>
    <xf numFmtId="2" fontId="22" fillId="2" borderId="7" xfId="3" applyNumberFormat="1" applyFont="1" applyFill="1" applyBorder="1" applyAlignment="1" applyProtection="1">
      <alignment horizontal="center" vertical="center"/>
      <protection hidden="1"/>
    </xf>
    <xf numFmtId="164" fontId="22" fillId="2" borderId="7" xfId="3" applyNumberFormat="1" applyFont="1" applyFill="1" applyBorder="1" applyAlignment="1">
      <alignment horizontal="center" vertical="center"/>
    </xf>
    <xf numFmtId="164" fontId="22" fillId="2" borderId="13" xfId="3" applyNumberFormat="1" applyFont="1" applyFill="1" applyBorder="1" applyAlignment="1">
      <alignment horizontal="center" vertical="center"/>
    </xf>
    <xf numFmtId="14" fontId="22" fillId="2" borderId="15" xfId="3" applyNumberFormat="1" applyFont="1" applyFill="1" applyBorder="1" applyAlignment="1" applyProtection="1">
      <alignment horizontal="center" vertical="center"/>
      <protection locked="0"/>
    </xf>
    <xf numFmtId="20" fontId="22" fillId="2" borderId="17" xfId="3" applyNumberFormat="1" applyFont="1" applyFill="1" applyBorder="1" applyAlignment="1" applyProtection="1">
      <alignment horizontal="center" vertical="center"/>
      <protection locked="0"/>
    </xf>
    <xf numFmtId="0" fontId="22" fillId="2" borderId="17" xfId="3" applyFont="1" applyFill="1" applyBorder="1" applyAlignment="1" applyProtection="1">
      <alignment horizontal="center" vertical="center"/>
      <protection hidden="1"/>
    </xf>
    <xf numFmtId="2" fontId="22" fillId="2" borderId="17" xfId="3" applyNumberFormat="1" applyFont="1" applyFill="1" applyBorder="1" applyAlignment="1" applyProtection="1">
      <alignment horizontal="center" vertical="center"/>
      <protection hidden="1"/>
    </xf>
    <xf numFmtId="164" fontId="22" fillId="2" borderId="17" xfId="3" applyNumberFormat="1" applyFont="1" applyFill="1" applyBorder="1" applyAlignment="1">
      <alignment horizontal="center" vertical="center"/>
    </xf>
    <xf numFmtId="164" fontId="22" fillId="2" borderId="16" xfId="3" applyNumberFormat="1" applyFont="1" applyFill="1" applyBorder="1" applyAlignment="1">
      <alignment horizontal="center" vertical="center"/>
    </xf>
    <xf numFmtId="0" fontId="21" fillId="0" borderId="35" xfId="3" applyFont="1" applyBorder="1" applyAlignment="1" applyProtection="1">
      <alignment horizontal="center" vertical="center"/>
      <protection hidden="1"/>
    </xf>
    <xf numFmtId="0" fontId="22" fillId="0" borderId="7" xfId="0" applyFont="1" applyBorder="1" applyAlignment="1">
      <alignment horizontal="center"/>
    </xf>
    <xf numFmtId="0" fontId="3" fillId="0" borderId="1" xfId="5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3" fillId="0" borderId="36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0" borderId="37" xfId="0" applyFont="1" applyBorder="1" applyAlignment="1" applyProtection="1">
      <alignment vertical="center"/>
      <protection locked="0"/>
    </xf>
    <xf numFmtId="0" fontId="3" fillId="0" borderId="37" xfId="0" applyFont="1" applyBorder="1" applyAlignment="1">
      <alignment vertical="center"/>
    </xf>
    <xf numFmtId="0" fontId="3" fillId="3" borderId="7" xfId="3" applyFont="1" applyFill="1" applyBorder="1" applyAlignment="1">
      <alignment vertical="center"/>
    </xf>
    <xf numFmtId="0" fontId="3" fillId="0" borderId="7" xfId="3" applyFont="1" applyBorder="1" applyAlignment="1">
      <alignment horizontal="center" vertical="center"/>
    </xf>
    <xf numFmtId="0" fontId="22" fillId="3" borderId="8" xfId="3" applyFont="1" applyFill="1" applyBorder="1" applyAlignment="1" applyProtection="1">
      <alignment horizontal="center" vertical="center"/>
      <protection hidden="1"/>
    </xf>
    <xf numFmtId="0" fontId="3" fillId="3" borderId="13" xfId="3" applyFont="1" applyFill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3" borderId="18" xfId="3" applyFont="1" applyFill="1" applyBorder="1" applyAlignment="1">
      <alignment horizontal="left" vertical="center"/>
    </xf>
    <xf numFmtId="0" fontId="3" fillId="3" borderId="9" xfId="3" applyFont="1" applyFill="1" applyBorder="1" applyAlignment="1">
      <alignment horizontal="left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165" fontId="3" fillId="3" borderId="4" xfId="0" applyNumberFormat="1" applyFont="1" applyFill="1" applyBorder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79" fontId="3" fillId="3" borderId="0" xfId="0" applyNumberFormat="1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0" fontId="3" fillId="0" borderId="38" xfId="0" applyFont="1" applyBorder="1" applyAlignment="1" applyProtection="1">
      <alignment vertical="center"/>
      <protection locked="0"/>
    </xf>
    <xf numFmtId="0" fontId="41" fillId="3" borderId="0" xfId="4" quotePrefix="1" applyFont="1" applyFill="1" applyAlignment="1">
      <alignment vertical="center" wrapText="1"/>
    </xf>
    <xf numFmtId="11" fontId="47" fillId="3" borderId="0" xfId="0" applyNumberFormat="1" applyFont="1" applyFill="1" applyAlignment="1" applyProtection="1">
      <alignment horizontal="center" vertical="center"/>
      <protection hidden="1"/>
    </xf>
    <xf numFmtId="14" fontId="18" fillId="3" borderId="0" xfId="0" applyNumberFormat="1" applyFont="1" applyFill="1" applyAlignment="1" applyProtection="1">
      <alignment vertical="center"/>
      <protection hidden="1"/>
    </xf>
    <xf numFmtId="0" fontId="22" fillId="0" borderId="8" xfId="0" applyFont="1" applyBorder="1" applyAlignment="1" applyProtection="1">
      <alignment vertical="center"/>
      <protection locked="0"/>
    </xf>
    <xf numFmtId="0" fontId="22" fillId="0" borderId="11" xfId="0" applyFont="1" applyBorder="1" applyAlignment="1" applyProtection="1">
      <alignment vertical="center"/>
      <protection locked="0"/>
    </xf>
    <xf numFmtId="0" fontId="22" fillId="0" borderId="9" xfId="0" applyFont="1" applyBorder="1" applyAlignment="1" applyProtection="1">
      <alignment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vertical="center"/>
      <protection locked="0"/>
    </xf>
    <xf numFmtId="177" fontId="22" fillId="0" borderId="0" xfId="0" applyNumberFormat="1" applyFont="1" applyAlignment="1" applyProtection="1">
      <alignment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10" fillId="0" borderId="0" xfId="0" applyFont="1"/>
    <xf numFmtId="2" fontId="3" fillId="0" borderId="0" xfId="0" applyNumberFormat="1" applyFont="1" applyAlignment="1" applyProtection="1">
      <alignment vertical="center"/>
      <protection locked="0"/>
    </xf>
    <xf numFmtId="181" fontId="3" fillId="0" borderId="7" xfId="0" applyNumberFormat="1" applyFont="1" applyBorder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vertical="center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2" fontId="22" fillId="0" borderId="7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 vertical="center"/>
      <protection locked="0"/>
    </xf>
    <xf numFmtId="164" fontId="22" fillId="0" borderId="8" xfId="0" applyNumberFormat="1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165" fontId="22" fillId="4" borderId="14" xfId="0" applyNumberFormat="1" applyFont="1" applyFill="1" applyBorder="1" applyAlignment="1">
      <alignment horizontal="center" vertical="center"/>
    </xf>
    <xf numFmtId="2" fontId="22" fillId="4" borderId="7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 applyProtection="1">
      <alignment horizontal="center" vertical="center"/>
      <protection locked="0"/>
    </xf>
    <xf numFmtId="164" fontId="22" fillId="4" borderId="7" xfId="0" applyNumberFormat="1" applyFont="1" applyFill="1" applyBorder="1" applyAlignment="1" applyProtection="1">
      <alignment horizontal="center" vertical="center"/>
      <protection locked="0"/>
    </xf>
    <xf numFmtId="164" fontId="22" fillId="4" borderId="13" xfId="0" applyNumberFormat="1" applyFont="1" applyFill="1" applyBorder="1" applyAlignment="1" applyProtection="1">
      <alignment horizontal="center" vertical="center"/>
      <protection locked="0"/>
    </xf>
    <xf numFmtId="164" fontId="22" fillId="4" borderId="8" xfId="0" applyNumberFormat="1" applyFont="1" applyFill="1" applyBorder="1" applyAlignment="1" applyProtection="1">
      <alignment horizontal="center" vertical="center"/>
      <protection locked="0"/>
    </xf>
    <xf numFmtId="165" fontId="22" fillId="0" borderId="15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0" fontId="22" fillId="0" borderId="40" xfId="0" applyFont="1" applyBorder="1" applyAlignment="1" applyProtection="1">
      <alignment horizontal="center" vertical="center"/>
      <protection locked="0"/>
    </xf>
    <xf numFmtId="164" fontId="22" fillId="0" borderId="17" xfId="0" applyNumberFormat="1" applyFont="1" applyBorder="1" applyAlignment="1" applyProtection="1">
      <alignment horizontal="center" vertical="center"/>
      <protection locked="0"/>
    </xf>
    <xf numFmtId="164" fontId="22" fillId="0" borderId="16" xfId="0" applyNumberFormat="1" applyFont="1" applyBorder="1" applyAlignment="1" applyProtection="1">
      <alignment horizontal="center" vertical="center"/>
      <protection locked="0"/>
    </xf>
    <xf numFmtId="164" fontId="22" fillId="0" borderId="40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" fontId="22" fillId="0" borderId="0" xfId="0" applyNumberFormat="1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vertical="top" wrapText="1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10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2" fillId="0" borderId="0" xfId="0" applyFont="1" applyAlignment="1" applyProtection="1">
      <alignment horizontal="right" vertical="center" indent="1"/>
      <protection locked="0"/>
    </xf>
    <xf numFmtId="164" fontId="48" fillId="0" borderId="14" xfId="3" applyNumberFormat="1" applyFont="1" applyBorder="1" applyAlignment="1">
      <alignment horizontal="center" vertical="center"/>
    </xf>
    <xf numFmtId="0" fontId="49" fillId="5" borderId="14" xfId="3" applyFont="1" applyFill="1" applyBorder="1" applyAlignment="1">
      <alignment horizontal="center"/>
    </xf>
    <xf numFmtId="164" fontId="49" fillId="5" borderId="7" xfId="3" applyNumberFormat="1" applyFont="1" applyFill="1" applyBorder="1" applyAlignment="1" applyProtection="1">
      <alignment horizontal="center"/>
      <protection hidden="1"/>
    </xf>
    <xf numFmtId="0" fontId="49" fillId="5" borderId="7" xfId="3" applyFont="1" applyFill="1" applyBorder="1" applyAlignment="1" applyProtection="1">
      <alignment horizontal="center" vertical="center"/>
      <protection locked="0"/>
    </xf>
    <xf numFmtId="165" fontId="49" fillId="5" borderId="14" xfId="0" applyNumberFormat="1" applyFont="1" applyFill="1" applyBorder="1" applyAlignment="1">
      <alignment horizontal="center" vertical="center"/>
    </xf>
    <xf numFmtId="164" fontId="49" fillId="5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7" xfId="3" applyFont="1" applyFill="1" applyBorder="1" applyAlignment="1">
      <alignment horizontal="center" vertical="center" wrapText="1"/>
    </xf>
    <xf numFmtId="1" fontId="3" fillId="0" borderId="14" xfId="4" applyNumberFormat="1" applyFont="1" applyBorder="1" applyAlignment="1" applyProtection="1">
      <alignment horizontal="center" vertical="center"/>
      <protection locked="0" hidden="1"/>
    </xf>
    <xf numFmtId="164" fontId="3" fillId="0" borderId="7" xfId="4" applyNumberFormat="1" applyFont="1" applyBorder="1" applyAlignment="1" applyProtection="1">
      <alignment horizontal="center" vertical="center"/>
      <protection hidden="1"/>
    </xf>
    <xf numFmtId="164" fontId="3" fillId="0" borderId="7" xfId="4" applyNumberFormat="1" applyFont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>
      <alignment vertical="center"/>
    </xf>
    <xf numFmtId="0" fontId="3" fillId="0" borderId="14" xfId="4" applyFont="1" applyBorder="1" applyAlignment="1" applyProtection="1">
      <alignment horizontal="center" vertical="center"/>
      <protection hidden="1"/>
    </xf>
    <xf numFmtId="164" fontId="3" fillId="0" borderId="7" xfId="4" applyNumberFormat="1" applyFont="1" applyBorder="1" applyAlignment="1" applyProtection="1">
      <alignment horizontal="center" vertical="center"/>
      <protection locked="0" hidden="1"/>
    </xf>
    <xf numFmtId="0" fontId="3" fillId="0" borderId="15" xfId="4" applyFont="1" applyBorder="1" applyAlignment="1" applyProtection="1">
      <alignment horizontal="center" vertical="center"/>
      <protection hidden="1"/>
    </xf>
    <xf numFmtId="0" fontId="3" fillId="3" borderId="16" xfId="0" applyFont="1" applyFill="1" applyBorder="1" applyAlignment="1">
      <alignment vertical="center"/>
    </xf>
    <xf numFmtId="0" fontId="3" fillId="3" borderId="41" xfId="3" applyFont="1" applyFill="1" applyBorder="1" applyAlignment="1">
      <alignment horizontal="left" vertical="center"/>
    </xf>
    <xf numFmtId="0" fontId="3" fillId="3" borderId="42" xfId="3" applyFont="1" applyFill="1" applyBorder="1" applyAlignment="1">
      <alignment horizontal="left" vertical="center"/>
    </xf>
    <xf numFmtId="0" fontId="17" fillId="0" borderId="10" xfId="0" applyFont="1" applyBorder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9" fillId="0" borderId="0" xfId="0" applyFont="1" applyAlignment="1">
      <alignment vertical="center"/>
    </xf>
    <xf numFmtId="0" fontId="11" fillId="0" borderId="0" xfId="0" applyFont="1" applyAlignment="1" applyProtection="1">
      <alignment vertical="center" wrapText="1"/>
      <protection locked="0"/>
    </xf>
    <xf numFmtId="0" fontId="3" fillId="0" borderId="7" xfId="4" applyFont="1" applyBorder="1" applyAlignment="1" applyProtection="1">
      <alignment horizontal="center" vertical="center"/>
      <protection hidden="1"/>
    </xf>
    <xf numFmtId="0" fontId="3" fillId="0" borderId="13" xfId="4" applyFont="1" applyBorder="1" applyAlignment="1" applyProtection="1">
      <alignment horizontal="center" vertical="center"/>
      <protection hidden="1"/>
    </xf>
    <xf numFmtId="0" fontId="22" fillId="3" borderId="14" xfId="3" applyFont="1" applyFill="1" applyBorder="1" applyAlignment="1">
      <alignment horizontal="center"/>
    </xf>
    <xf numFmtId="0" fontId="22" fillId="3" borderId="7" xfId="3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10" fillId="0" borderId="0" xfId="3" applyAlignment="1">
      <alignment vertical="center"/>
    </xf>
    <xf numFmtId="165" fontId="22" fillId="0" borderId="7" xfId="3" applyNumberFormat="1" applyFont="1" applyBorder="1" applyAlignment="1">
      <alignment horizontal="center" vertical="center"/>
    </xf>
    <xf numFmtId="165" fontId="50" fillId="0" borderId="7" xfId="3" applyNumberFormat="1" applyFont="1" applyBorder="1" applyAlignment="1">
      <alignment horizontal="center" vertical="center"/>
    </xf>
    <xf numFmtId="0" fontId="22" fillId="3" borderId="44" xfId="3" applyFont="1" applyFill="1" applyBorder="1"/>
    <xf numFmtId="0" fontId="22" fillId="3" borderId="45" xfId="3" applyFont="1" applyFill="1" applyBorder="1"/>
    <xf numFmtId="0" fontId="22" fillId="3" borderId="45" xfId="0" applyFont="1" applyFill="1" applyBorder="1" applyAlignment="1">
      <alignment vertical="center"/>
    </xf>
    <xf numFmtId="0" fontId="22" fillId="3" borderId="46" xfId="0" applyFont="1" applyFill="1" applyBorder="1" applyAlignment="1">
      <alignment vertical="center"/>
    </xf>
    <xf numFmtId="0" fontId="3" fillId="3" borderId="47" xfId="0" applyFont="1" applyFill="1" applyBorder="1" applyAlignment="1">
      <alignment vertical="center"/>
    </xf>
    <xf numFmtId="0" fontId="3" fillId="3" borderId="48" xfId="0" applyFont="1" applyFill="1" applyBorder="1" applyAlignment="1">
      <alignment vertical="center"/>
    </xf>
    <xf numFmtId="0" fontId="22" fillId="3" borderId="48" xfId="3" applyFont="1" applyFill="1" applyBorder="1" applyProtection="1">
      <protection hidden="1"/>
    </xf>
    <xf numFmtId="0" fontId="3" fillId="3" borderId="49" xfId="0" applyFont="1" applyFill="1" applyBorder="1" applyAlignment="1">
      <alignment vertical="center"/>
    </xf>
    <xf numFmtId="165" fontId="3" fillId="0" borderId="0" xfId="0" applyNumberFormat="1" applyFont="1" applyAlignment="1" applyProtection="1">
      <alignment horizontal="center" vertical="center"/>
      <protection locked="0"/>
    </xf>
    <xf numFmtId="164" fontId="3" fillId="0" borderId="17" xfId="4" applyNumberFormat="1" applyFont="1" applyBorder="1" applyAlignment="1" applyProtection="1">
      <alignment horizontal="center" vertical="center"/>
      <protection hidden="1"/>
    </xf>
    <xf numFmtId="164" fontId="3" fillId="2" borderId="7" xfId="3" applyNumberFormat="1" applyFont="1" applyFill="1" applyBorder="1" applyAlignment="1">
      <alignment horizontal="center" vertical="center"/>
    </xf>
    <xf numFmtId="2" fontId="22" fillId="0" borderId="7" xfId="3" applyNumberFormat="1" applyFont="1" applyBorder="1" applyAlignment="1">
      <alignment horizontal="center" vertical="center"/>
    </xf>
    <xf numFmtId="0" fontId="22" fillId="3" borderId="23" xfId="0" applyFont="1" applyFill="1" applyBorder="1" applyAlignment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Alignment="1" applyProtection="1">
      <alignment horizontal="center" vertical="center"/>
      <protection locked="0"/>
    </xf>
    <xf numFmtId="0" fontId="51" fillId="6" borderId="79" xfId="0" applyFont="1" applyFill="1" applyBorder="1" applyAlignment="1">
      <alignment horizontal="center" vertical="center"/>
    </xf>
    <xf numFmtId="0" fontId="51" fillId="6" borderId="0" xfId="0" applyFont="1" applyFill="1"/>
    <xf numFmtId="0" fontId="52" fillId="6" borderId="80" xfId="0" applyFont="1" applyFill="1" applyBorder="1" applyAlignment="1">
      <alignment vertical="center"/>
    </xf>
    <xf numFmtId="0" fontId="52" fillId="6" borderId="80" xfId="0" applyFont="1" applyFill="1" applyBorder="1" applyAlignment="1">
      <alignment vertical="center" wrapText="1"/>
    </xf>
    <xf numFmtId="0" fontId="52" fillId="6" borderId="0" xfId="0" applyFont="1" applyFill="1" applyAlignment="1">
      <alignment vertical="center"/>
    </xf>
    <xf numFmtId="0" fontId="51" fillId="6" borderId="0" xfId="0" applyFont="1" applyFill="1" applyAlignment="1">
      <alignment vertical="center"/>
    </xf>
    <xf numFmtId="0" fontId="54" fillId="6" borderId="0" xfId="0" applyFont="1" applyFill="1" applyAlignment="1">
      <alignment vertical="center"/>
    </xf>
    <xf numFmtId="0" fontId="51" fillId="6" borderId="0" xfId="0" applyFont="1" applyFill="1" applyAlignment="1">
      <alignment horizontal="left" vertical="center"/>
    </xf>
    <xf numFmtId="0" fontId="55" fillId="6" borderId="0" xfId="0" applyFont="1" applyFill="1" applyAlignment="1">
      <alignment horizontal="left" vertical="center"/>
    </xf>
    <xf numFmtId="0" fontId="56" fillId="6" borderId="0" xfId="0" applyFont="1" applyFill="1" applyAlignment="1">
      <alignment vertical="center" wrapText="1"/>
    </xf>
    <xf numFmtId="0" fontId="57" fillId="6" borderId="0" xfId="0" applyFont="1" applyFill="1" applyAlignment="1">
      <alignment vertical="center" wrapText="1"/>
    </xf>
    <xf numFmtId="0" fontId="58" fillId="6" borderId="0" xfId="0" applyFont="1" applyFill="1" applyAlignment="1">
      <alignment vertical="center" wrapText="1"/>
    </xf>
    <xf numFmtId="0" fontId="10" fillId="3" borderId="0" xfId="0" applyFont="1" applyFill="1"/>
    <xf numFmtId="0" fontId="52" fillId="6" borderId="0" xfId="0" applyFont="1" applyFill="1" applyAlignment="1">
      <alignment horizontal="left"/>
    </xf>
    <xf numFmtId="0" fontId="51" fillId="6" borderId="0" xfId="0" applyFont="1" applyFill="1" applyAlignment="1">
      <alignment horizontal="center"/>
    </xf>
    <xf numFmtId="0" fontId="52" fillId="6" borderId="0" xfId="0" applyFont="1" applyFill="1"/>
    <xf numFmtId="0" fontId="51" fillId="6" borderId="0" xfId="0" quotePrefix="1" applyFont="1" applyFill="1" applyAlignment="1">
      <alignment horizontal="left"/>
    </xf>
    <xf numFmtId="0" fontId="51" fillId="6" borderId="0" xfId="0" applyFont="1" applyFill="1" applyAlignment="1">
      <alignment horizontal="left"/>
    </xf>
    <xf numFmtId="0" fontId="52" fillId="6" borderId="79" xfId="0" applyFont="1" applyFill="1" applyBorder="1" applyAlignment="1">
      <alignment horizontal="center" vertical="center"/>
    </xf>
    <xf numFmtId="0" fontId="48" fillId="3" borderId="7" xfId="3" applyFont="1" applyFill="1" applyBorder="1" applyAlignment="1" applyProtection="1">
      <alignment horizontal="center"/>
      <protection locked="0"/>
    </xf>
    <xf numFmtId="0" fontId="52" fillId="6" borderId="79" xfId="0" applyFont="1" applyFill="1" applyBorder="1" applyAlignment="1">
      <alignment horizontal="center"/>
    </xf>
    <xf numFmtId="168" fontId="59" fillId="3" borderId="7" xfId="3" applyNumberFormat="1" applyFont="1" applyFill="1" applyBorder="1" applyAlignment="1" applyProtection="1">
      <alignment horizontal="center" vertical="center"/>
      <protection locked="0"/>
    </xf>
    <xf numFmtId="1" fontId="59" fillId="3" borderId="7" xfId="3" applyNumberFormat="1" applyFont="1" applyFill="1" applyBorder="1" applyAlignment="1" applyProtection="1">
      <alignment horizontal="center"/>
      <protection locked="0"/>
    </xf>
    <xf numFmtId="164" fontId="59" fillId="6" borderId="79" xfId="0" applyNumberFormat="1" applyFont="1" applyFill="1" applyBorder="1" applyAlignment="1">
      <alignment horizontal="center"/>
    </xf>
    <xf numFmtId="0" fontId="51" fillId="6" borderId="79" xfId="0" applyFont="1" applyFill="1" applyBorder="1" applyAlignment="1">
      <alignment horizontal="center"/>
    </xf>
    <xf numFmtId="0" fontId="52" fillId="6" borderId="79" xfId="0" applyFont="1" applyFill="1" applyBorder="1"/>
    <xf numFmtId="167" fontId="51" fillId="6" borderId="79" xfId="0" applyNumberFormat="1" applyFont="1" applyFill="1" applyBorder="1" applyAlignment="1">
      <alignment horizontal="center"/>
    </xf>
    <xf numFmtId="167" fontId="51" fillId="6" borderId="0" xfId="0" applyNumberFormat="1" applyFont="1" applyFill="1" applyAlignment="1">
      <alignment horizontal="center"/>
    </xf>
    <xf numFmtId="0" fontId="60" fillId="6" borderId="0" xfId="0" applyFont="1" applyFill="1"/>
    <xf numFmtId="0" fontId="61" fillId="6" borderId="0" xfId="0" applyFont="1" applyFill="1" applyAlignment="1">
      <alignment horizontal="left" vertical="center"/>
    </xf>
    <xf numFmtId="1" fontId="51" fillId="6" borderId="79" xfId="0" applyNumberFormat="1" applyFont="1" applyFill="1" applyBorder="1" applyAlignment="1">
      <alignment horizontal="center" vertical="center"/>
    </xf>
    <xf numFmtId="167" fontId="51" fillId="6" borderId="79" xfId="0" applyNumberFormat="1" applyFont="1" applyFill="1" applyBorder="1" applyAlignment="1">
      <alignment horizontal="center" vertical="center"/>
    </xf>
    <xf numFmtId="164" fontId="59" fillId="3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3" borderId="0" xfId="0" applyFill="1"/>
    <xf numFmtId="0" fontId="3" fillId="3" borderId="45" xfId="0" applyFont="1" applyFill="1" applyBorder="1" applyAlignment="1">
      <alignment vertical="center"/>
    </xf>
    <xf numFmtId="0" fontId="3" fillId="3" borderId="50" xfId="0" applyFont="1" applyFill="1" applyBorder="1" applyAlignment="1">
      <alignment vertical="center"/>
    </xf>
    <xf numFmtId="0" fontId="3" fillId="3" borderId="46" xfId="0" applyFont="1" applyFill="1" applyBorder="1" applyAlignment="1">
      <alignment vertical="center"/>
    </xf>
    <xf numFmtId="0" fontId="22" fillId="0" borderId="13" xfId="3" applyFont="1" applyBorder="1" applyAlignment="1">
      <alignment horizontal="center" vertical="center"/>
    </xf>
    <xf numFmtId="165" fontId="22" fillId="0" borderId="13" xfId="3" applyNumberFormat="1" applyFont="1" applyBorder="1" applyAlignment="1">
      <alignment horizontal="center" vertical="center"/>
    </xf>
    <xf numFmtId="165" fontId="22" fillId="0" borderId="14" xfId="3" applyNumberFormat="1" applyFont="1" applyBorder="1" applyAlignment="1">
      <alignment horizontal="center" vertical="center"/>
    </xf>
    <xf numFmtId="0" fontId="22" fillId="3" borderId="6" xfId="0" applyFont="1" applyFill="1" applyBorder="1" applyAlignment="1">
      <alignment vertical="center"/>
    </xf>
    <xf numFmtId="2" fontId="22" fillId="0" borderId="14" xfId="3" applyNumberFormat="1" applyFont="1" applyBorder="1" applyAlignment="1">
      <alignment horizontal="center" vertical="center"/>
    </xf>
    <xf numFmtId="0" fontId="10" fillId="0" borderId="6" xfId="3" applyBorder="1" applyAlignment="1">
      <alignment vertical="center"/>
    </xf>
    <xf numFmtId="0" fontId="22" fillId="3" borderId="47" xfId="0" applyFont="1" applyFill="1" applyBorder="1" applyAlignment="1">
      <alignment vertical="center"/>
    </xf>
    <xf numFmtId="0" fontId="22" fillId="3" borderId="48" xfId="0" applyFont="1" applyFill="1" applyBorder="1" applyAlignment="1">
      <alignment vertical="center"/>
    </xf>
    <xf numFmtId="0" fontId="22" fillId="3" borderId="49" xfId="0" applyFont="1" applyFill="1" applyBorder="1" applyAlignment="1">
      <alignment vertical="center"/>
    </xf>
    <xf numFmtId="2" fontId="10" fillId="0" borderId="6" xfId="3" applyNumberFormat="1" applyBorder="1" applyAlignment="1">
      <alignment vertical="center"/>
    </xf>
    <xf numFmtId="2" fontId="10" fillId="0" borderId="0" xfId="3" applyNumberFormat="1" applyAlignment="1">
      <alignment vertical="center"/>
    </xf>
    <xf numFmtId="11" fontId="22" fillId="3" borderId="14" xfId="3" applyNumberFormat="1" applyFont="1" applyFill="1" applyBorder="1" applyAlignment="1" applyProtection="1">
      <alignment horizontal="center"/>
      <protection locked="0"/>
    </xf>
    <xf numFmtId="0" fontId="22" fillId="3" borderId="7" xfId="3" applyFont="1" applyFill="1" applyBorder="1" applyAlignment="1" applyProtection="1">
      <alignment horizontal="center"/>
      <protection locked="0"/>
    </xf>
    <xf numFmtId="1" fontId="22" fillId="3" borderId="7" xfId="3" applyNumberFormat="1" applyFont="1" applyFill="1" applyBorder="1" applyAlignment="1" applyProtection="1">
      <alignment horizontal="center"/>
      <protection locked="0"/>
    </xf>
    <xf numFmtId="164" fontId="22" fillId="3" borderId="7" xfId="3" applyNumberFormat="1" applyFont="1" applyFill="1" applyBorder="1" applyAlignment="1" applyProtection="1">
      <alignment horizontal="center"/>
      <protection locked="0"/>
    </xf>
    <xf numFmtId="2" fontId="22" fillId="3" borderId="7" xfId="3" applyNumberFormat="1" applyFont="1" applyFill="1" applyBorder="1" applyAlignment="1" applyProtection="1">
      <alignment horizontal="left" indent="1"/>
      <protection locked="0"/>
    </xf>
    <xf numFmtId="2" fontId="22" fillId="3" borderId="7" xfId="3" applyNumberFormat="1" applyFont="1" applyFill="1" applyBorder="1" applyAlignment="1" applyProtection="1">
      <alignment horizontal="center"/>
      <protection locked="0"/>
    </xf>
    <xf numFmtId="0" fontId="10" fillId="5" borderId="51" xfId="3" applyFill="1" applyBorder="1" applyAlignment="1">
      <alignment horizontal="center" vertical="center"/>
    </xf>
    <xf numFmtId="0" fontId="10" fillId="5" borderId="52" xfId="3" applyFill="1" applyBorder="1" applyAlignment="1">
      <alignment horizontal="center" vertical="center"/>
    </xf>
    <xf numFmtId="0" fontId="10" fillId="5" borderId="52" xfId="3" applyFill="1" applyBorder="1" applyAlignment="1">
      <alignment horizontal="center" vertical="center" wrapText="1"/>
    </xf>
    <xf numFmtId="0" fontId="10" fillId="5" borderId="53" xfId="3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vertical="center" wrapText="1"/>
    </xf>
    <xf numFmtId="164" fontId="22" fillId="3" borderId="34" xfId="3" quotePrefix="1" applyNumberFormat="1" applyFont="1" applyFill="1" applyBorder="1" applyAlignment="1" applyProtection="1">
      <alignment horizontal="center" vertical="center"/>
      <protection locked="0"/>
    </xf>
    <xf numFmtId="0" fontId="22" fillId="3" borderId="34" xfId="3" quotePrefix="1" applyFont="1" applyFill="1" applyBorder="1" applyAlignment="1">
      <alignment horizontal="center" vertical="center" wrapText="1"/>
    </xf>
    <xf numFmtId="0" fontId="22" fillId="3" borderId="20" xfId="3" quotePrefix="1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vertical="center" wrapText="1"/>
    </xf>
    <xf numFmtId="2" fontId="22" fillId="5" borderId="7" xfId="3" applyNumberFormat="1" applyFont="1" applyFill="1" applyBorder="1" applyAlignment="1" applyProtection="1">
      <alignment horizontal="center" vertical="center"/>
      <protection locked="0" hidden="1"/>
    </xf>
    <xf numFmtId="2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66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65" fontId="22" fillId="5" borderId="7" xfId="3" applyNumberFormat="1" applyFont="1" applyFill="1" applyBorder="1" applyAlignment="1" applyProtection="1">
      <alignment horizontal="center" vertical="center" wrapText="1"/>
      <protection hidden="1"/>
    </xf>
    <xf numFmtId="11" fontId="22" fillId="5" borderId="7" xfId="3" applyNumberFormat="1" applyFont="1" applyFill="1" applyBorder="1" applyAlignment="1" applyProtection="1">
      <alignment horizontal="center" vertical="center"/>
      <protection hidden="1"/>
    </xf>
    <xf numFmtId="165" fontId="22" fillId="5" borderId="13" xfId="3" applyNumberFormat="1" applyFont="1" applyFill="1" applyBorder="1" applyAlignment="1" applyProtection="1">
      <alignment horizontal="center" vertical="center" wrapText="1"/>
      <protection hidden="1"/>
    </xf>
    <xf numFmtId="0" fontId="3" fillId="3" borderId="14" xfId="3" applyFont="1" applyFill="1" applyBorder="1" applyAlignment="1">
      <alignment vertical="center" wrapText="1"/>
    </xf>
    <xf numFmtId="0" fontId="22" fillId="3" borderId="7" xfId="3" applyFont="1" applyFill="1" applyBorder="1" applyAlignment="1">
      <alignment vertical="center"/>
    </xf>
    <xf numFmtId="166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3" borderId="7" xfId="3" applyNumberFormat="1" applyFont="1" applyFill="1" applyBorder="1" applyAlignment="1" applyProtection="1">
      <alignment vertical="center"/>
      <protection hidden="1"/>
    </xf>
    <xf numFmtId="166" fontId="22" fillId="3" borderId="7" xfId="3" applyNumberFormat="1" applyFont="1" applyFill="1" applyBorder="1" applyAlignment="1" applyProtection="1">
      <alignment horizontal="center" vertical="center"/>
      <protection hidden="1"/>
    </xf>
    <xf numFmtId="166" fontId="22" fillId="3" borderId="7" xfId="3" quotePrefix="1" applyNumberFormat="1" applyFont="1" applyFill="1" applyBorder="1" applyAlignment="1" applyProtection="1">
      <alignment horizontal="center" vertical="center" wrapText="1"/>
      <protection hidden="1"/>
    </xf>
    <xf numFmtId="166" fontId="22" fillId="3" borderId="13" xfId="3" quotePrefix="1" applyNumberFormat="1" applyFont="1" applyFill="1" applyBorder="1" applyAlignment="1" applyProtection="1">
      <alignment horizontal="center" vertical="center" wrapText="1"/>
      <protection hidden="1"/>
    </xf>
    <xf numFmtId="2" fontId="22" fillId="3" borderId="7" xfId="0" applyNumberFormat="1" applyFont="1" applyFill="1" applyBorder="1" applyAlignment="1" applyProtection="1">
      <alignment vertical="center"/>
      <protection hidden="1"/>
    </xf>
    <xf numFmtId="165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3" borderId="7" xfId="3" applyNumberFormat="1" applyFont="1" applyFill="1" applyBorder="1" applyAlignment="1" applyProtection="1">
      <alignment horizontal="left" vertical="center"/>
      <protection hidden="1"/>
    </xf>
    <xf numFmtId="166" fontId="22" fillId="3" borderId="7" xfId="0" applyNumberFormat="1" applyFont="1" applyFill="1" applyBorder="1" applyAlignment="1" applyProtection="1">
      <alignment horizontal="center" vertical="center"/>
      <protection hidden="1"/>
    </xf>
    <xf numFmtId="0" fontId="45" fillId="5" borderId="7" xfId="3" quotePrefix="1" applyFont="1" applyFill="1" applyBorder="1" applyAlignment="1" applyProtection="1">
      <alignment horizontal="center" vertical="center"/>
      <protection hidden="1"/>
    </xf>
    <xf numFmtId="0" fontId="22" fillId="5" borderId="7" xfId="3" applyFont="1" applyFill="1" applyBorder="1" applyAlignment="1" applyProtection="1">
      <alignment horizontal="center" vertical="center"/>
      <protection hidden="1"/>
    </xf>
    <xf numFmtId="166" fontId="22" fillId="5" borderId="13" xfId="3" applyNumberFormat="1" applyFont="1" applyFill="1" applyBorder="1" applyAlignment="1" applyProtection="1">
      <alignment horizontal="center" vertical="center"/>
      <protection hidden="1"/>
    </xf>
    <xf numFmtId="167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167" fontId="22" fillId="5" borderId="13" xfId="3" applyNumberFormat="1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>
      <alignment horizontal="center"/>
    </xf>
    <xf numFmtId="0" fontId="22" fillId="5" borderId="54" xfId="3" applyFont="1" applyFill="1" applyBorder="1" applyAlignment="1">
      <alignment horizontal="left" vertical="center" wrapText="1"/>
    </xf>
    <xf numFmtId="166" fontId="22" fillId="5" borderId="55" xfId="3" quotePrefix="1" applyNumberFormat="1" applyFont="1" applyFill="1" applyBorder="1" applyAlignment="1" applyProtection="1">
      <alignment horizontal="center" vertical="center"/>
      <protection locked="0"/>
    </xf>
    <xf numFmtId="166" fontId="22" fillId="5" borderId="55" xfId="3" quotePrefix="1" applyNumberFormat="1" applyFont="1" applyFill="1" applyBorder="1" applyAlignment="1" applyProtection="1">
      <alignment horizontal="center" vertical="center"/>
      <protection hidden="1"/>
    </xf>
    <xf numFmtId="0" fontId="22" fillId="5" borderId="55" xfId="3" applyFont="1" applyFill="1" applyBorder="1" applyAlignment="1" applyProtection="1">
      <alignment horizontal="center" vertical="center"/>
      <protection hidden="1"/>
    </xf>
    <xf numFmtId="2" fontId="22" fillId="5" borderId="55" xfId="3" applyNumberFormat="1" applyFont="1" applyFill="1" applyBorder="1" applyAlignment="1" applyProtection="1">
      <alignment vertical="center"/>
      <protection hidden="1"/>
    </xf>
    <xf numFmtId="165" fontId="22" fillId="5" borderId="55" xfId="3" applyNumberFormat="1" applyFont="1" applyFill="1" applyBorder="1" applyAlignment="1" applyProtection="1">
      <alignment horizontal="center" vertical="center"/>
      <protection hidden="1"/>
    </xf>
    <xf numFmtId="166" fontId="22" fillId="5" borderId="55" xfId="3" quotePrefix="1" applyNumberFormat="1" applyFont="1" applyFill="1" applyBorder="1" applyAlignment="1" applyProtection="1">
      <alignment horizontal="center" vertical="center" wrapText="1"/>
      <protection hidden="1"/>
    </xf>
    <xf numFmtId="166" fontId="22" fillId="5" borderId="56" xfId="3" applyNumberFormat="1" applyFont="1" applyFill="1" applyBorder="1" applyAlignment="1">
      <alignment horizontal="center" vertical="center"/>
    </xf>
    <xf numFmtId="2" fontId="22" fillId="3" borderId="7" xfId="3" applyNumberFormat="1" applyFont="1" applyFill="1" applyBorder="1" applyAlignment="1">
      <alignment horizontal="center" vertical="center"/>
    </xf>
    <xf numFmtId="2" fontId="22" fillId="3" borderId="7" xfId="3" applyNumberFormat="1" applyFont="1" applyFill="1" applyBorder="1" applyAlignment="1">
      <alignment vertical="center"/>
    </xf>
    <xf numFmtId="165" fontId="22" fillId="3" borderId="7" xfId="3" applyNumberFormat="1" applyFont="1" applyFill="1" applyBorder="1" applyAlignment="1">
      <alignment vertical="center"/>
    </xf>
    <xf numFmtId="0" fontId="10" fillId="3" borderId="7" xfId="0" applyFont="1" applyFill="1" applyBorder="1"/>
    <xf numFmtId="0" fontId="0" fillId="5" borderId="7" xfId="0" applyFill="1" applyBorder="1"/>
    <xf numFmtId="0" fontId="13" fillId="5" borderId="7" xfId="3" applyFont="1" applyFill="1" applyBorder="1" applyAlignment="1">
      <alignment vertical="center" wrapText="1"/>
    </xf>
    <xf numFmtId="0" fontId="10" fillId="5" borderId="7" xfId="0" applyFont="1" applyFill="1" applyBorder="1" applyAlignment="1">
      <alignment horizontal="center"/>
    </xf>
    <xf numFmtId="0" fontId="10" fillId="5" borderId="7" xfId="0" applyFont="1" applyFill="1" applyBorder="1"/>
    <xf numFmtId="165" fontId="22" fillId="3" borderId="57" xfId="0" applyNumberFormat="1" applyFont="1" applyFill="1" applyBorder="1" applyAlignment="1" applyProtection="1">
      <alignment horizontal="center" vertical="center"/>
      <protection locked="0"/>
    </xf>
    <xf numFmtId="165" fontId="22" fillId="3" borderId="7" xfId="3" applyNumberFormat="1" applyFont="1" applyFill="1" applyBorder="1" applyAlignment="1">
      <alignment horizontal="center" vertical="center"/>
    </xf>
    <xf numFmtId="0" fontId="32" fillId="3" borderId="0" xfId="0" applyFont="1" applyFill="1"/>
    <xf numFmtId="0" fontId="10" fillId="5" borderId="58" xfId="0" applyFont="1" applyFill="1" applyBorder="1" applyAlignment="1">
      <alignment horizontal="center" vertical="center"/>
    </xf>
    <xf numFmtId="0" fontId="10" fillId="5" borderId="59" xfId="0" applyFont="1" applyFill="1" applyBorder="1" applyAlignment="1">
      <alignment horizontal="center" vertical="center" wrapText="1"/>
    </xf>
    <xf numFmtId="0" fontId="10" fillId="5" borderId="60" xfId="0" applyFont="1" applyFill="1" applyBorder="1" applyAlignment="1">
      <alignment horizontal="center" vertical="center" wrapText="1"/>
    </xf>
    <xf numFmtId="0" fontId="10" fillId="5" borderId="61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49" fillId="3" borderId="7" xfId="0" applyFont="1" applyFill="1" applyBorder="1" applyAlignment="1">
      <alignment horizontal="center" vertical="center"/>
    </xf>
    <xf numFmtId="2" fontId="21" fillId="3" borderId="62" xfId="0" applyNumberFormat="1" applyFont="1" applyFill="1" applyBorder="1" applyAlignment="1">
      <alignment vertical="center"/>
    </xf>
    <xf numFmtId="2" fontId="21" fillId="3" borderId="63" xfId="0" applyNumberFormat="1" applyFont="1" applyFill="1" applyBorder="1" applyAlignment="1" applyProtection="1">
      <alignment vertical="center"/>
      <protection hidden="1"/>
    </xf>
    <xf numFmtId="0" fontId="22" fillId="3" borderId="63" xfId="0" applyFont="1" applyFill="1" applyBorder="1"/>
    <xf numFmtId="0" fontId="13" fillId="3" borderId="7" xfId="3" applyFont="1" applyFill="1" applyBorder="1" applyAlignment="1">
      <alignment vertical="center"/>
    </xf>
    <xf numFmtId="0" fontId="13" fillId="5" borderId="7" xfId="3" applyFont="1" applyFill="1" applyBorder="1" applyAlignment="1">
      <alignment vertical="center"/>
    </xf>
    <xf numFmtId="0" fontId="10" fillId="0" borderId="7" xfId="3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/>
    </xf>
    <xf numFmtId="0" fontId="10" fillId="3" borderId="0" xfId="3" applyFill="1"/>
    <xf numFmtId="0" fontId="10" fillId="3" borderId="0" xfId="3" applyFill="1" applyAlignment="1">
      <alignment horizontal="left"/>
    </xf>
    <xf numFmtId="11" fontId="10" fillId="3" borderId="0" xfId="3" applyNumberFormat="1" applyFill="1" applyAlignment="1">
      <alignment horizontal="center"/>
    </xf>
    <xf numFmtId="0" fontId="10" fillId="3" borderId="0" xfId="3" quotePrefix="1" applyFill="1" applyAlignment="1">
      <alignment horizontal="left"/>
    </xf>
    <xf numFmtId="0" fontId="18" fillId="3" borderId="7" xfId="3" applyFont="1" applyFill="1" applyBorder="1"/>
    <xf numFmtId="0" fontId="18" fillId="3" borderId="7" xfId="3" applyFont="1" applyFill="1" applyBorder="1" applyAlignment="1">
      <alignment horizontal="center"/>
    </xf>
    <xf numFmtId="164" fontId="59" fillId="3" borderId="7" xfId="3" applyNumberFormat="1" applyFont="1" applyFill="1" applyBorder="1" applyAlignment="1" applyProtection="1">
      <alignment horizontal="center"/>
      <protection locked="0"/>
    </xf>
    <xf numFmtId="164" fontId="10" fillId="3" borderId="0" xfId="3" applyNumberFormat="1" applyFill="1"/>
    <xf numFmtId="0" fontId="10" fillId="3" borderId="7" xfId="3" applyFill="1" applyBorder="1" applyAlignment="1">
      <alignment horizontal="center"/>
    </xf>
    <xf numFmtId="167" fontId="10" fillId="3" borderId="7" xfId="3" applyNumberFormat="1" applyFill="1" applyBorder="1" applyAlignment="1">
      <alignment horizontal="center"/>
    </xf>
    <xf numFmtId="0" fontId="10" fillId="3" borderId="8" xfId="3" applyFill="1" applyBorder="1"/>
    <xf numFmtId="0" fontId="10" fillId="3" borderId="10" xfId="3" applyFill="1" applyBorder="1" applyAlignment="1">
      <alignment vertical="center"/>
    </xf>
    <xf numFmtId="0" fontId="10" fillId="3" borderId="0" xfId="3" applyFill="1" applyAlignment="1">
      <alignment vertical="center"/>
    </xf>
    <xf numFmtId="14" fontId="10" fillId="3" borderId="0" xfId="3" applyNumberFormat="1" applyFill="1" applyAlignment="1">
      <alignment horizontal="center" vertical="center"/>
    </xf>
    <xf numFmtId="1" fontId="51" fillId="3" borderId="79" xfId="0" applyNumberFormat="1" applyFont="1" applyFill="1" applyBorder="1" applyAlignment="1">
      <alignment horizontal="center" vertical="center"/>
    </xf>
    <xf numFmtId="0" fontId="32" fillId="3" borderId="0" xfId="3" applyFont="1" applyFill="1" applyAlignment="1">
      <alignment horizontal="left"/>
    </xf>
    <xf numFmtId="0" fontId="32" fillId="3" borderId="0" xfId="3" applyFont="1" applyFill="1"/>
    <xf numFmtId="0" fontId="10" fillId="3" borderId="0" xfId="3" applyFill="1" applyAlignment="1" applyProtection="1">
      <alignment horizontal="center" vertical="center"/>
      <protection locked="0"/>
    </xf>
    <xf numFmtId="0" fontId="0" fillId="3" borderId="8" xfId="0" applyFill="1" applyBorder="1"/>
    <xf numFmtId="0" fontId="10" fillId="3" borderId="11" xfId="3" applyFill="1" applyBorder="1" applyAlignment="1">
      <alignment horizontal="right" vertical="center" indent="1"/>
    </xf>
    <xf numFmtId="0" fontId="10" fillId="3" borderId="9" xfId="3" applyFill="1" applyBorder="1"/>
    <xf numFmtId="0" fontId="10" fillId="3" borderId="11" xfId="3" applyFill="1" applyBorder="1" applyAlignment="1">
      <alignment horizontal="left"/>
    </xf>
    <xf numFmtId="2" fontId="10" fillId="3" borderId="7" xfId="3" applyNumberFormat="1" applyFill="1" applyBorder="1" applyAlignment="1">
      <alignment horizontal="center" vertical="center"/>
    </xf>
    <xf numFmtId="167" fontId="10" fillId="3" borderId="7" xfId="3" applyNumberFormat="1" applyFill="1" applyBorder="1" applyAlignment="1">
      <alignment horizontal="center" vertical="center"/>
    </xf>
    <xf numFmtId="17" fontId="47" fillId="3" borderId="0" xfId="0" applyNumberFormat="1" applyFont="1" applyFill="1" applyAlignment="1">
      <alignment horizontal="center"/>
    </xf>
    <xf numFmtId="164" fontId="62" fillId="3" borderId="7" xfId="3" applyNumberFormat="1" applyFont="1" applyFill="1" applyBorder="1" applyAlignment="1" applyProtection="1">
      <alignment horizontal="center" vertical="center"/>
      <protection locked="0"/>
    </xf>
    <xf numFmtId="1" fontId="10" fillId="3" borderId="7" xfId="4" applyNumberFormat="1" applyFill="1" applyBorder="1" applyAlignment="1">
      <alignment horizontal="center" vertical="center"/>
    </xf>
    <xf numFmtId="1" fontId="10" fillId="3" borderId="42" xfId="4" applyNumberForma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/>
    </xf>
    <xf numFmtId="0" fontId="10" fillId="3" borderId="7" xfId="0" applyFont="1" applyFill="1" applyBorder="1" applyAlignment="1">
      <alignment horizontal="left" vertical="center" wrapText="1"/>
    </xf>
    <xf numFmtId="167" fontId="10" fillId="3" borderId="7" xfId="0" applyNumberFormat="1" applyFont="1" applyFill="1" applyBorder="1" applyAlignment="1">
      <alignment horizontal="center" vertical="center"/>
    </xf>
    <xf numFmtId="2" fontId="22" fillId="3" borderId="17" xfId="3" applyNumberFormat="1" applyFont="1" applyFill="1" applyBorder="1" applyAlignment="1">
      <alignment horizontal="center" vertical="center"/>
    </xf>
    <xf numFmtId="2" fontId="22" fillId="3" borderId="17" xfId="3" applyNumberFormat="1" applyFont="1" applyFill="1" applyBorder="1" applyAlignment="1">
      <alignment vertical="center"/>
    </xf>
    <xf numFmtId="0" fontId="0" fillId="0" borderId="17" xfId="0" applyBorder="1"/>
    <xf numFmtId="165" fontId="22" fillId="3" borderId="17" xfId="3" applyNumberFormat="1" applyFont="1" applyFill="1" applyBorder="1" applyAlignment="1">
      <alignment vertical="center"/>
    </xf>
    <xf numFmtId="165" fontId="22" fillId="3" borderId="16" xfId="3" applyNumberFormat="1" applyFont="1" applyFill="1" applyBorder="1" applyAlignment="1">
      <alignment horizontal="center" vertical="center"/>
    </xf>
    <xf numFmtId="164" fontId="22" fillId="5" borderId="7" xfId="3" applyNumberFormat="1" applyFont="1" applyFill="1" applyBorder="1" applyAlignment="1" applyProtection="1">
      <alignment horizontal="center" vertical="center"/>
      <protection locked="0" hidden="1"/>
    </xf>
    <xf numFmtId="164" fontId="22" fillId="3" borderId="7" xfId="3" applyNumberFormat="1" applyFont="1" applyFill="1" applyBorder="1" applyAlignment="1">
      <alignment vertical="center"/>
    </xf>
    <xf numFmtId="0" fontId="10" fillId="5" borderId="7" xfId="3" applyFill="1" applyBorder="1" applyAlignment="1">
      <alignment horizontal="center" vertical="center"/>
    </xf>
    <xf numFmtId="0" fontId="10" fillId="5" borderId="7" xfId="3" applyFill="1" applyBorder="1" applyAlignment="1">
      <alignment horizontal="center" vertical="center" wrapText="1"/>
    </xf>
    <xf numFmtId="2" fontId="21" fillId="3" borderId="7" xfId="0" applyNumberFormat="1" applyFont="1" applyFill="1" applyBorder="1" applyAlignment="1">
      <alignment vertical="center"/>
    </xf>
    <xf numFmtId="0" fontId="22" fillId="3" borderId="7" xfId="0" applyFont="1" applyFill="1" applyBorder="1"/>
    <xf numFmtId="0" fontId="3" fillId="3" borderId="7" xfId="3" applyFont="1" applyFill="1" applyBorder="1" applyAlignment="1">
      <alignment vertical="center" wrapText="1"/>
    </xf>
    <xf numFmtId="165" fontId="22" fillId="3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7" xfId="0" applyFont="1" applyBorder="1" applyAlignment="1">
      <alignment horizontal="center" vertical="center"/>
    </xf>
    <xf numFmtId="164" fontId="22" fillId="5" borderId="7" xfId="0" applyNumberFormat="1" applyFont="1" applyFill="1" applyBorder="1" applyAlignment="1">
      <alignment horizontal="center" vertical="center"/>
    </xf>
    <xf numFmtId="1" fontId="3" fillId="5" borderId="7" xfId="3" applyNumberFormat="1" applyFont="1" applyFill="1" applyBorder="1" applyAlignment="1" applyProtection="1">
      <alignment horizontal="center" vertical="center"/>
      <protection locked="0"/>
    </xf>
    <xf numFmtId="1" fontId="3" fillId="3" borderId="7" xfId="3" applyNumberFormat="1" applyFont="1" applyFill="1" applyBorder="1" applyAlignment="1" applyProtection="1">
      <alignment horizontal="center" vertical="center"/>
      <protection locked="0"/>
    </xf>
    <xf numFmtId="0" fontId="3" fillId="5" borderId="7" xfId="3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49" fillId="3" borderId="7" xfId="0" applyNumberFormat="1" applyFont="1" applyFill="1" applyBorder="1" applyAlignment="1">
      <alignment horizontal="center" vertical="center"/>
    </xf>
    <xf numFmtId="2" fontId="21" fillId="3" borderId="64" xfId="0" applyNumberFormat="1" applyFont="1" applyFill="1" applyBorder="1" applyAlignment="1">
      <alignment vertical="center"/>
    </xf>
    <xf numFmtId="2" fontId="21" fillId="3" borderId="65" xfId="0" applyNumberFormat="1" applyFont="1" applyFill="1" applyBorder="1" applyAlignment="1">
      <alignment vertical="center"/>
    </xf>
    <xf numFmtId="0" fontId="22" fillId="3" borderId="65" xfId="0" applyFont="1" applyFill="1" applyBorder="1"/>
    <xf numFmtId="166" fontId="22" fillId="0" borderId="7" xfId="0" applyNumberFormat="1" applyFont="1" applyBorder="1" applyAlignment="1" applyProtection="1">
      <alignment horizontal="center" vertical="center"/>
      <protection locked="0"/>
    </xf>
    <xf numFmtId="165" fontId="22" fillId="0" borderId="7" xfId="0" applyNumberFormat="1" applyFont="1" applyBorder="1"/>
    <xf numFmtId="2" fontId="22" fillId="0" borderId="7" xfId="0" applyNumberFormat="1" applyFont="1" applyBorder="1" applyAlignment="1" applyProtection="1">
      <alignment vertical="center"/>
      <protection hidden="1"/>
    </xf>
    <xf numFmtId="166" fontId="22" fillId="0" borderId="7" xfId="0" applyNumberFormat="1" applyFont="1" applyBorder="1" applyAlignment="1" applyProtection="1">
      <alignment horizontal="center" vertical="center"/>
      <protection hidden="1"/>
    </xf>
    <xf numFmtId="165" fontId="22" fillId="0" borderId="7" xfId="0" quotePrefix="1" applyNumberFormat="1" applyFont="1" applyBorder="1" applyAlignment="1" applyProtection="1">
      <alignment horizontal="center" vertical="center" wrapText="1"/>
      <protection hidden="1"/>
    </xf>
    <xf numFmtId="166" fontId="22" fillId="0" borderId="7" xfId="0" quotePrefix="1" applyNumberFormat="1" applyFont="1" applyBorder="1" applyAlignment="1" applyProtection="1">
      <alignment horizontal="center" vertical="center"/>
      <protection locked="0"/>
    </xf>
    <xf numFmtId="2" fontId="22" fillId="0" borderId="7" xfId="0" applyNumberFormat="1" applyFont="1" applyBorder="1" applyAlignment="1" applyProtection="1">
      <alignment horizontal="left" vertical="center"/>
      <protection hidden="1"/>
    </xf>
    <xf numFmtId="0" fontId="22" fillId="5" borderId="7" xfId="0" applyFont="1" applyFill="1" applyBorder="1" applyAlignment="1">
      <alignment horizontal="center"/>
    </xf>
    <xf numFmtId="0" fontId="22" fillId="5" borderId="7" xfId="0" quotePrefix="1" applyFont="1" applyFill="1" applyBorder="1" applyAlignment="1" applyProtection="1">
      <alignment horizontal="center" vertical="center"/>
      <protection hidden="1"/>
    </xf>
    <xf numFmtId="2" fontId="22" fillId="5" borderId="7" xfId="0" quotePrefix="1" applyNumberFormat="1" applyFont="1" applyFill="1" applyBorder="1" applyAlignment="1" applyProtection="1">
      <alignment horizontal="center" vertical="center"/>
      <protection hidden="1"/>
    </xf>
    <xf numFmtId="165" fontId="22" fillId="5" borderId="7" xfId="3" quotePrefix="1" applyNumberFormat="1" applyFont="1" applyFill="1" applyBorder="1" applyAlignment="1" applyProtection="1">
      <alignment horizontal="center" vertical="center"/>
      <protection hidden="1"/>
    </xf>
    <xf numFmtId="0" fontId="21" fillId="5" borderId="14" xfId="3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66" fontId="22" fillId="0" borderId="13" xfId="0" quotePrefix="1" applyNumberFormat="1" applyFont="1" applyBorder="1" applyAlignment="1" applyProtection="1">
      <alignment horizontal="center" vertical="center" wrapText="1"/>
      <protection hidden="1"/>
    </xf>
    <xf numFmtId="0" fontId="21" fillId="5" borderId="14" xfId="0" applyFont="1" applyFill="1" applyBorder="1" applyAlignment="1">
      <alignment vertical="center" wrapText="1"/>
    </xf>
    <xf numFmtId="166" fontId="22" fillId="5" borderId="13" xfId="0" applyNumberFormat="1" applyFont="1" applyFill="1" applyBorder="1" applyAlignment="1" applyProtection="1">
      <alignment horizontal="center" vertical="center"/>
      <protection hidden="1"/>
    </xf>
    <xf numFmtId="0" fontId="21" fillId="3" borderId="41" xfId="0" applyFont="1" applyFill="1" applyBorder="1" applyAlignment="1">
      <alignment vertical="center" wrapText="1"/>
    </xf>
    <xf numFmtId="0" fontId="22" fillId="3" borderId="42" xfId="0" applyFont="1" applyFill="1" applyBorder="1" applyAlignment="1">
      <alignment horizontal="center"/>
    </xf>
    <xf numFmtId="2" fontId="22" fillId="3" borderId="42" xfId="3" quotePrefix="1" applyNumberFormat="1" applyFont="1" applyFill="1" applyBorder="1" applyAlignment="1" applyProtection="1">
      <alignment horizontal="center" vertical="center"/>
      <protection locked="0"/>
    </xf>
    <xf numFmtId="0" fontId="22" fillId="3" borderId="42" xfId="0" quotePrefix="1" applyFont="1" applyFill="1" applyBorder="1" applyAlignment="1">
      <alignment horizontal="center" vertical="center" wrapText="1"/>
    </xf>
    <xf numFmtId="0" fontId="22" fillId="3" borderId="12" xfId="0" quotePrefix="1" applyFont="1" applyFill="1" applyBorder="1" applyAlignment="1">
      <alignment horizontal="center" vertical="center" wrapText="1"/>
    </xf>
    <xf numFmtId="0" fontId="21" fillId="3" borderId="42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2" fontId="63" fillId="3" borderId="7" xfId="0" applyNumberFormat="1" applyFont="1" applyFill="1" applyBorder="1" applyAlignment="1">
      <alignment horizontal="center" vertical="center"/>
    </xf>
    <xf numFmtId="166" fontId="22" fillId="3" borderId="7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21" fillId="3" borderId="9" xfId="0" applyFont="1" applyFill="1" applyBorder="1"/>
    <xf numFmtId="2" fontId="51" fillId="6" borderId="0" xfId="0" applyNumberFormat="1" applyFont="1" applyFill="1"/>
    <xf numFmtId="2" fontId="22" fillId="3" borderId="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2" fontId="21" fillId="3" borderId="66" xfId="0" applyNumberFormat="1" applyFont="1" applyFill="1" applyBorder="1" applyAlignment="1">
      <alignment horizontal="center" vertical="center"/>
    </xf>
    <xf numFmtId="2" fontId="21" fillId="3" borderId="67" xfId="0" applyNumberFormat="1" applyFont="1" applyFill="1" applyBorder="1" applyAlignment="1">
      <alignment horizontal="center" vertical="center"/>
    </xf>
    <xf numFmtId="2" fontId="21" fillId="3" borderId="13" xfId="0" applyNumberFormat="1" applyFont="1" applyFill="1" applyBorder="1" applyAlignment="1">
      <alignment horizontal="center" vertical="center"/>
    </xf>
    <xf numFmtId="2" fontId="21" fillId="3" borderId="16" xfId="0" applyNumberFormat="1" applyFont="1" applyFill="1" applyBorder="1" applyAlignment="1" applyProtection="1">
      <alignment horizontal="center" vertical="center"/>
      <protection hidden="1"/>
    </xf>
    <xf numFmtId="0" fontId="22" fillId="3" borderId="7" xfId="3" applyFont="1" applyFill="1" applyBorder="1" applyAlignment="1">
      <alignment horizontal="center" vertical="center"/>
    </xf>
    <xf numFmtId="1" fontId="22" fillId="5" borderId="7" xfId="0" applyNumberFormat="1" applyFont="1" applyFill="1" applyBorder="1" applyAlignment="1">
      <alignment horizontal="center" vertical="center"/>
    </xf>
    <xf numFmtId="0" fontId="22" fillId="5" borderId="7" xfId="0" applyFont="1" applyFill="1" applyBorder="1"/>
    <xf numFmtId="0" fontId="22" fillId="5" borderId="7" xfId="3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2" fontId="22" fillId="5" borderId="7" xfId="0" applyNumberFormat="1" applyFont="1" applyFill="1" applyBorder="1" applyAlignment="1">
      <alignment horizontal="center" vertical="center"/>
    </xf>
    <xf numFmtId="165" fontId="22" fillId="5" borderId="7" xfId="0" applyNumberFormat="1" applyFont="1" applyFill="1" applyBorder="1" applyAlignment="1">
      <alignment horizontal="center" vertical="center"/>
    </xf>
    <xf numFmtId="164" fontId="22" fillId="5" borderId="7" xfId="3" applyNumberFormat="1" applyFont="1" applyFill="1" applyBorder="1" applyAlignment="1" applyProtection="1">
      <alignment horizontal="center" vertical="center"/>
      <protection locked="0"/>
    </xf>
    <xf numFmtId="0" fontId="22" fillId="3" borderId="9" xfId="0" applyFont="1" applyFill="1" applyBorder="1" applyAlignment="1">
      <alignment horizontal="center" vertical="center"/>
    </xf>
    <xf numFmtId="165" fontId="22" fillId="5" borderId="7" xfId="3" applyNumberFormat="1" applyFont="1" applyFill="1" applyBorder="1" applyAlignment="1" applyProtection="1">
      <alignment horizontal="center" vertical="center"/>
      <protection locked="0"/>
    </xf>
    <xf numFmtId="0" fontId="22" fillId="5" borderId="9" xfId="0" applyFont="1" applyFill="1" applyBorder="1" applyAlignment="1">
      <alignment horizontal="center" vertical="center"/>
    </xf>
    <xf numFmtId="2" fontId="22" fillId="5" borderId="13" xfId="0" applyNumberFormat="1" applyFont="1" applyFill="1" applyBorder="1" applyAlignment="1" applyProtection="1">
      <alignment horizontal="center" vertical="center"/>
      <protection hidden="1"/>
    </xf>
    <xf numFmtId="166" fontId="22" fillId="5" borderId="7" xfId="0" applyNumberFormat="1" applyFont="1" applyFill="1" applyBorder="1" applyAlignment="1">
      <alignment horizontal="center" vertical="center"/>
    </xf>
    <xf numFmtId="165" fontId="21" fillId="3" borderId="7" xfId="0" applyNumberFormat="1" applyFont="1" applyFill="1" applyBorder="1" applyAlignment="1">
      <alignment horizontal="center" vertical="center"/>
    </xf>
    <xf numFmtId="164" fontId="22" fillId="3" borderId="7" xfId="0" applyNumberFormat="1" applyFont="1" applyFill="1" applyBorder="1" applyAlignment="1">
      <alignment horizontal="center" vertical="center"/>
    </xf>
    <xf numFmtId="11" fontId="22" fillId="0" borderId="7" xfId="0" applyNumberFormat="1" applyFont="1" applyBorder="1" applyAlignment="1" applyProtection="1">
      <alignment horizontal="center" vertical="center"/>
      <protection locked="0"/>
    </xf>
    <xf numFmtId="0" fontId="64" fillId="5" borderId="7" xfId="0" applyFont="1" applyFill="1" applyBorder="1" applyAlignment="1" applyProtection="1">
      <alignment horizontal="center" vertical="center"/>
      <protection locked="0"/>
    </xf>
    <xf numFmtId="0" fontId="3" fillId="0" borderId="8" xfId="5" applyFont="1" applyBorder="1" applyAlignment="1">
      <alignment vertical="center"/>
    </xf>
    <xf numFmtId="0" fontId="10" fillId="0" borderId="11" xfId="0" applyFont="1" applyBorder="1" applyAlignment="1" applyProtection="1">
      <alignment vertical="center"/>
      <protection locked="0"/>
    </xf>
    <xf numFmtId="183" fontId="3" fillId="3" borderId="0" xfId="0" applyNumberFormat="1" applyFont="1" applyFill="1" applyAlignment="1">
      <alignment horizontal="left" vertical="center"/>
    </xf>
    <xf numFmtId="9" fontId="64" fillId="5" borderId="7" xfId="0" applyNumberFormat="1" applyFont="1" applyFill="1" applyBorder="1" applyAlignment="1" applyProtection="1">
      <alignment horizontal="center" vertical="center"/>
      <protection locked="0"/>
    </xf>
    <xf numFmtId="165" fontId="22" fillId="3" borderId="32" xfId="0" applyNumberFormat="1" applyFont="1" applyFill="1" applyBorder="1" applyAlignment="1">
      <alignment horizontal="left" vertical="center"/>
    </xf>
    <xf numFmtId="0" fontId="65" fillId="0" borderId="0" xfId="0" applyFont="1" applyAlignment="1" applyProtection="1">
      <alignment vertical="center"/>
      <protection locked="0"/>
    </xf>
    <xf numFmtId="0" fontId="22" fillId="0" borderId="7" xfId="0" applyFont="1" applyBorder="1" applyAlignment="1" applyProtection="1">
      <alignment horizontal="left"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3" fillId="3" borderId="7" xfId="0" applyFont="1" applyFill="1" applyBorder="1" applyAlignment="1">
      <alignment horizontal="center" vertical="center"/>
    </xf>
    <xf numFmtId="0" fontId="50" fillId="0" borderId="0" xfId="0" applyFont="1" applyAlignment="1" applyProtection="1">
      <alignment vertical="center"/>
      <protection locked="0"/>
    </xf>
    <xf numFmtId="0" fontId="3" fillId="3" borderId="7" xfId="3" applyFont="1" applyFill="1" applyBorder="1" applyAlignment="1">
      <alignment horizontal="left" vertical="center"/>
    </xf>
    <xf numFmtId="164" fontId="43" fillId="5" borderId="41" xfId="3" applyNumberFormat="1" applyFont="1" applyFill="1" applyBorder="1" applyAlignment="1" applyProtection="1">
      <alignment horizontal="center" vertical="center"/>
      <protection locked="0"/>
    </xf>
    <xf numFmtId="0" fontId="3" fillId="0" borderId="13" xfId="3" applyFont="1" applyBorder="1" applyAlignment="1">
      <alignment horizontal="center" vertical="center"/>
    </xf>
    <xf numFmtId="165" fontId="3" fillId="0" borderId="7" xfId="3" applyNumberFormat="1" applyFont="1" applyBorder="1" applyAlignment="1">
      <alignment horizontal="center" vertical="center"/>
    </xf>
    <xf numFmtId="165" fontId="3" fillId="0" borderId="13" xfId="3" applyNumberFormat="1" applyFont="1" applyBorder="1" applyAlignment="1">
      <alignment horizontal="center" vertical="center"/>
    </xf>
    <xf numFmtId="166" fontId="3" fillId="0" borderId="14" xfId="3" applyNumberFormat="1" applyFont="1" applyBorder="1" applyAlignment="1">
      <alignment horizontal="center" vertical="center"/>
    </xf>
    <xf numFmtId="183" fontId="3" fillId="0" borderId="0" xfId="5" applyNumberFormat="1" applyFont="1" applyAlignment="1" applyProtection="1">
      <alignment horizontal="left" vertical="center"/>
      <protection locked="0"/>
    </xf>
    <xf numFmtId="164" fontId="22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164" fontId="10" fillId="0" borderId="0" xfId="3" applyNumberFormat="1" applyAlignment="1" applyProtection="1">
      <alignment vertical="center"/>
      <protection locked="0"/>
    </xf>
    <xf numFmtId="0" fontId="37" fillId="3" borderId="0" xfId="4" applyFont="1" applyFill="1" applyAlignment="1">
      <alignment horizontal="right" vertical="center"/>
    </xf>
    <xf numFmtId="164" fontId="49" fillId="5" borderId="14" xfId="0" applyNumberFormat="1" applyFont="1" applyFill="1" applyBorder="1" applyAlignment="1" applyProtection="1">
      <alignment horizontal="center" vertical="center"/>
      <protection locked="0"/>
    </xf>
    <xf numFmtId="164" fontId="49" fillId="5" borderId="9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vertical="center" wrapText="1"/>
    </xf>
    <xf numFmtId="2" fontId="22" fillId="0" borderId="7" xfId="0" quotePrefix="1" applyNumberFormat="1" applyFont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164" fontId="22" fillId="3" borderId="7" xfId="4" applyNumberFormat="1" applyFont="1" applyFill="1" applyBorder="1" applyAlignment="1" applyProtection="1">
      <alignment horizontal="center" vertical="center"/>
      <protection hidden="1"/>
    </xf>
    <xf numFmtId="166" fontId="22" fillId="0" borderId="7" xfId="4" applyNumberFormat="1" applyFont="1" applyBorder="1" applyAlignment="1" applyProtection="1">
      <alignment horizontal="center" vertical="center" wrapText="1"/>
      <protection hidden="1"/>
    </xf>
    <xf numFmtId="167" fontId="22" fillId="3" borderId="7" xfId="0" applyNumberFormat="1" applyFont="1" applyFill="1" applyBorder="1" applyAlignment="1">
      <alignment horizontal="center" vertical="center"/>
    </xf>
    <xf numFmtId="187" fontId="51" fillId="6" borderId="0" xfId="0" applyNumberFormat="1" applyFont="1" applyFill="1"/>
    <xf numFmtId="2" fontId="10" fillId="5" borderId="7" xfId="0" applyNumberFormat="1" applyFont="1" applyFill="1" applyBorder="1" applyAlignment="1">
      <alignment horizontal="center"/>
    </xf>
    <xf numFmtId="166" fontId="10" fillId="5" borderId="7" xfId="0" applyNumberFormat="1" applyFont="1" applyFill="1" applyBorder="1" applyAlignment="1">
      <alignment horizontal="center"/>
    </xf>
    <xf numFmtId="2" fontId="22" fillId="3" borderId="0" xfId="0" applyNumberFormat="1" applyFont="1" applyFill="1" applyAlignment="1">
      <alignment vertical="center"/>
    </xf>
    <xf numFmtId="2" fontId="22" fillId="3" borderId="0" xfId="0" applyNumberFormat="1" applyFont="1" applyFill="1" applyAlignment="1" applyProtection="1">
      <alignment vertical="center"/>
      <protection hidden="1"/>
    </xf>
    <xf numFmtId="0" fontId="22" fillId="3" borderId="0" xfId="0" applyFont="1" applyFill="1"/>
    <xf numFmtId="2" fontId="22" fillId="3" borderId="0" xfId="0" applyNumberFormat="1" applyFont="1" applyFill="1" applyAlignment="1">
      <alignment horizontal="center" vertical="center"/>
    </xf>
    <xf numFmtId="2" fontId="22" fillId="3" borderId="0" xfId="0" applyNumberFormat="1" applyFont="1" applyFill="1" applyAlignment="1" applyProtection="1">
      <alignment horizontal="center" vertical="center"/>
      <protection hidden="1"/>
    </xf>
    <xf numFmtId="11" fontId="22" fillId="5" borderId="7" xfId="4" applyNumberFormat="1" applyFont="1" applyFill="1" applyBorder="1" applyAlignment="1" applyProtection="1">
      <alignment horizontal="center" vertical="center"/>
      <protection hidden="1"/>
    </xf>
    <xf numFmtId="166" fontId="22" fillId="5" borderId="7" xfId="4" applyNumberFormat="1" applyFont="1" applyFill="1" applyBorder="1" applyAlignment="1" applyProtection="1">
      <alignment horizontal="center" vertical="center" wrapText="1"/>
      <protection hidden="1"/>
    </xf>
    <xf numFmtId="0" fontId="10" fillId="3" borderId="7" xfId="3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vertical="center" wrapText="1"/>
    </xf>
    <xf numFmtId="2" fontId="22" fillId="3" borderId="7" xfId="3" quotePrefix="1" applyNumberFormat="1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>
      <alignment vertical="center" wrapText="1"/>
    </xf>
    <xf numFmtId="2" fontId="21" fillId="3" borderId="7" xfId="0" applyNumberFormat="1" applyFont="1" applyFill="1" applyBorder="1" applyAlignment="1">
      <alignment horizontal="center" vertical="center"/>
    </xf>
    <xf numFmtId="2" fontId="21" fillId="3" borderId="7" xfId="0" applyNumberFormat="1" applyFont="1" applyFill="1" applyBorder="1" applyAlignment="1" applyProtection="1">
      <alignment vertical="center"/>
      <protection hidden="1"/>
    </xf>
    <xf numFmtId="2" fontId="21" fillId="3" borderId="7" xfId="0" applyNumberFormat="1" applyFont="1" applyFill="1" applyBorder="1" applyAlignment="1" applyProtection="1">
      <alignment horizontal="center" vertical="center"/>
      <protection hidden="1"/>
    </xf>
    <xf numFmtId="165" fontId="3" fillId="3" borderId="7" xfId="0" applyNumberFormat="1" applyFont="1" applyFill="1" applyBorder="1" applyAlignment="1">
      <alignment horizontal="left" vertical="center"/>
    </xf>
    <xf numFmtId="165" fontId="13" fillId="5" borderId="7" xfId="0" applyNumberFormat="1" applyFont="1" applyFill="1" applyBorder="1" applyAlignment="1">
      <alignment horizontal="left" vertical="center"/>
    </xf>
    <xf numFmtId="0" fontId="3" fillId="3" borderId="7" xfId="4" applyFont="1" applyFill="1" applyBorder="1" applyAlignment="1">
      <alignment vertical="center" wrapText="1"/>
    </xf>
    <xf numFmtId="166" fontId="0" fillId="0" borderId="7" xfId="0" applyNumberFormat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165" fontId="3" fillId="5" borderId="7" xfId="0" applyNumberFormat="1" applyFont="1" applyFill="1" applyBorder="1" applyAlignment="1">
      <alignment horizontal="left" vertical="center"/>
    </xf>
    <xf numFmtId="0" fontId="3" fillId="5" borderId="7" xfId="3" applyFont="1" applyFill="1" applyBorder="1" applyAlignment="1">
      <alignment vertical="center" wrapText="1"/>
    </xf>
    <xf numFmtId="165" fontId="63" fillId="5" borderId="7" xfId="0" applyNumberFormat="1" applyFont="1" applyFill="1" applyBorder="1" applyAlignment="1">
      <alignment horizontal="center" vertical="center"/>
    </xf>
    <xf numFmtId="0" fontId="22" fillId="5" borderId="7" xfId="3" applyFont="1" applyFill="1" applyBorder="1" applyAlignment="1">
      <alignment horizontal="left" vertical="center" wrapText="1"/>
    </xf>
    <xf numFmtId="165" fontId="22" fillId="5" borderId="7" xfId="3" quotePrefix="1" applyNumberFormat="1" applyFont="1" applyFill="1" applyBorder="1" applyAlignment="1" applyProtection="1">
      <alignment horizontal="center" vertical="center"/>
      <protection locked="0"/>
    </xf>
    <xf numFmtId="2" fontId="22" fillId="5" borderId="7" xfId="3" applyNumberFormat="1" applyFont="1" applyFill="1" applyBorder="1" applyAlignment="1" applyProtection="1">
      <alignment vertical="center"/>
      <protection hidden="1"/>
    </xf>
    <xf numFmtId="165" fontId="22" fillId="5" borderId="7" xfId="3" applyNumberFormat="1" applyFont="1" applyFill="1" applyBorder="1" applyAlignment="1" applyProtection="1">
      <alignment horizontal="center" vertical="center"/>
      <protection hidden="1"/>
    </xf>
    <xf numFmtId="166" fontId="22" fillId="5" borderId="7" xfId="3" quotePrefix="1" applyNumberFormat="1" applyFont="1" applyFill="1" applyBorder="1" applyAlignment="1" applyProtection="1">
      <alignment horizontal="center" vertical="center" wrapText="1"/>
      <protection hidden="1"/>
    </xf>
    <xf numFmtId="166" fontId="22" fillId="5" borderId="7" xfId="3" applyNumberFormat="1" applyFont="1" applyFill="1" applyBorder="1" applyAlignment="1">
      <alignment horizontal="center" vertical="center"/>
    </xf>
    <xf numFmtId="2" fontId="22" fillId="3" borderId="7" xfId="0" applyNumberFormat="1" applyFont="1" applyFill="1" applyBorder="1" applyAlignment="1">
      <alignment vertical="center"/>
    </xf>
    <xf numFmtId="2" fontId="22" fillId="3" borderId="7" xfId="0" applyNumberFormat="1" applyFont="1" applyFill="1" applyBorder="1" applyAlignment="1" applyProtection="1">
      <alignment horizontal="center" vertical="center"/>
      <protection hidden="1"/>
    </xf>
    <xf numFmtId="0" fontId="22" fillId="0" borderId="7" xfId="3" applyFont="1" applyBorder="1" applyAlignment="1">
      <alignment horizontal="center" vertical="center" wrapText="1"/>
    </xf>
    <xf numFmtId="2" fontId="22" fillId="3" borderId="15" xfId="3" applyNumberFormat="1" applyFont="1" applyFill="1" applyBorder="1" applyAlignment="1">
      <alignment vertical="center"/>
    </xf>
    <xf numFmtId="0" fontId="51" fillId="6" borderId="0" xfId="0" applyFont="1" applyFill="1" applyAlignment="1">
      <alignment horizontal="center" vertical="center"/>
    </xf>
    <xf numFmtId="184" fontId="51" fillId="6" borderId="0" xfId="0" applyNumberFormat="1" applyFont="1" applyFill="1" applyAlignment="1">
      <alignment horizontal="center" vertical="center"/>
    </xf>
    <xf numFmtId="14" fontId="51" fillId="6" borderId="0" xfId="0" applyNumberFormat="1" applyFont="1" applyFill="1" applyAlignment="1">
      <alignment horizontal="center" vertical="center"/>
    </xf>
    <xf numFmtId="0" fontId="53" fillId="6" borderId="3" xfId="0" applyFont="1" applyFill="1" applyBorder="1"/>
    <xf numFmtId="0" fontId="53" fillId="6" borderId="2" xfId="0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23" xfId="0" applyFont="1" applyFill="1" applyBorder="1"/>
    <xf numFmtId="0" fontId="10" fillId="3" borderId="21" xfId="0" applyFont="1" applyFill="1" applyBorder="1"/>
    <xf numFmtId="165" fontId="3" fillId="0" borderId="7" xfId="0" applyNumberFormat="1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vertical="center"/>
      <protection locked="0"/>
    </xf>
    <xf numFmtId="164" fontId="22" fillId="3" borderId="7" xfId="0" applyNumberFormat="1" applyFont="1" applyFill="1" applyBorder="1" applyAlignment="1" applyProtection="1">
      <alignment horizontal="center" vertical="center"/>
      <protection locked="0"/>
    </xf>
    <xf numFmtId="0" fontId="39" fillId="3" borderId="0" xfId="0" applyFont="1" applyFill="1"/>
    <xf numFmtId="0" fontId="53" fillId="3" borderId="0" xfId="0" applyFont="1" applyFill="1"/>
    <xf numFmtId="15" fontId="10" fillId="3" borderId="7" xfId="0" applyNumberFormat="1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>
      <alignment vertical="center" wrapText="1"/>
    </xf>
    <xf numFmtId="0" fontId="59" fillId="3" borderId="7" xfId="0" applyFont="1" applyFill="1" applyBorder="1" applyAlignment="1" applyProtection="1">
      <alignment horizontal="center" vertical="center"/>
      <protection locked="0"/>
    </xf>
    <xf numFmtId="166" fontId="10" fillId="3" borderId="7" xfId="0" applyNumberFormat="1" applyFont="1" applyFill="1" applyBorder="1" applyAlignment="1">
      <alignment horizontal="center" vertical="center"/>
    </xf>
    <xf numFmtId="166" fontId="59" fillId="3" borderId="7" xfId="0" applyNumberFormat="1" applyFont="1" applyFill="1" applyBorder="1" applyAlignment="1" applyProtection="1">
      <alignment horizontal="center" vertical="center"/>
      <protection locked="0"/>
    </xf>
    <xf numFmtId="1" fontId="10" fillId="3" borderId="0" xfId="4" applyNumberFormat="1" applyFill="1" applyAlignment="1">
      <alignment horizontal="center" vertical="center"/>
    </xf>
    <xf numFmtId="2" fontId="10" fillId="3" borderId="0" xfId="4" applyNumberFormat="1" applyFill="1" applyAlignment="1">
      <alignment horizontal="center" vertical="center"/>
    </xf>
    <xf numFmtId="0" fontId="66" fillId="3" borderId="0" xfId="0" applyFont="1" applyFill="1"/>
    <xf numFmtId="0" fontId="10" fillId="3" borderId="0" xfId="4" applyFill="1"/>
    <xf numFmtId="0" fontId="10" fillId="3" borderId="7" xfId="0" applyFont="1" applyFill="1" applyBorder="1" applyAlignment="1">
      <alignment horizontal="center" wrapText="1"/>
    </xf>
    <xf numFmtId="1" fontId="22" fillId="3" borderId="7" xfId="0" applyNumberFormat="1" applyFont="1" applyFill="1" applyBorder="1" applyAlignment="1">
      <alignment horizontal="center" vertical="center"/>
    </xf>
    <xf numFmtId="1" fontId="22" fillId="0" borderId="7" xfId="3" applyNumberFormat="1" applyFont="1" applyBorder="1" applyAlignment="1">
      <alignment horizontal="center" vertical="center"/>
    </xf>
    <xf numFmtId="164" fontId="22" fillId="7" borderId="7" xfId="0" applyNumberFormat="1" applyFont="1" applyFill="1" applyBorder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vertical="center"/>
      <protection locked="0"/>
    </xf>
    <xf numFmtId="0" fontId="67" fillId="0" borderId="7" xfId="0" applyFont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vertical="center"/>
    </xf>
    <xf numFmtId="0" fontId="63" fillId="0" borderId="7" xfId="0" applyFont="1" applyBorder="1" applyAlignment="1" applyProtection="1">
      <alignment horizontal="center" vertical="center"/>
      <protection locked="0"/>
    </xf>
    <xf numFmtId="164" fontId="63" fillId="0" borderId="7" xfId="0" applyNumberFormat="1" applyFont="1" applyBorder="1" applyAlignment="1" applyProtection="1">
      <alignment horizontal="center" vertical="center"/>
      <protection locked="0"/>
    </xf>
    <xf numFmtId="1" fontId="63" fillId="0" borderId="7" xfId="0" applyNumberFormat="1" applyFont="1" applyBorder="1" applyAlignment="1" applyProtection="1">
      <alignment horizontal="center" vertical="center"/>
      <protection locked="0"/>
    </xf>
    <xf numFmtId="1" fontId="10" fillId="3" borderId="7" xfId="0" applyNumberFormat="1" applyFont="1" applyFill="1" applyBorder="1" applyAlignment="1">
      <alignment horizontal="center" vertical="center"/>
    </xf>
    <xf numFmtId="1" fontId="51" fillId="6" borderId="7" xfId="0" applyNumberFormat="1" applyFont="1" applyFill="1" applyBorder="1" applyAlignment="1">
      <alignment horizontal="center"/>
    </xf>
    <xf numFmtId="0" fontId="50" fillId="0" borderId="9" xfId="0" applyFont="1" applyBorder="1" applyAlignment="1" applyProtection="1">
      <alignment horizontal="center" vertical="center"/>
      <protection locked="0"/>
    </xf>
    <xf numFmtId="0" fontId="21" fillId="3" borderId="0" xfId="0" applyFont="1" applyFill="1"/>
    <xf numFmtId="0" fontId="68" fillId="6" borderId="0" xfId="0" applyFont="1" applyFill="1" applyAlignment="1">
      <alignment horizontal="center" vertical="center"/>
    </xf>
    <xf numFmtId="0" fontId="68" fillId="6" borderId="0" xfId="0" applyFont="1" applyFill="1"/>
    <xf numFmtId="0" fontId="49" fillId="3" borderId="0" xfId="0" applyFont="1" applyFill="1" applyAlignment="1">
      <alignment horizontal="center" vertical="center"/>
    </xf>
    <xf numFmtId="2" fontId="63" fillId="3" borderId="0" xfId="0" applyNumberFormat="1" applyFont="1" applyFill="1" applyAlignment="1">
      <alignment horizontal="center" vertical="center"/>
    </xf>
    <xf numFmtId="2" fontId="49" fillId="3" borderId="0" xfId="0" applyNumberFormat="1" applyFont="1" applyFill="1" applyAlignment="1">
      <alignment horizontal="center" vertical="center"/>
    </xf>
    <xf numFmtId="166" fontId="22" fillId="3" borderId="0" xfId="0" applyNumberFormat="1" applyFont="1" applyFill="1" applyAlignment="1">
      <alignment horizontal="center" vertical="center"/>
    </xf>
    <xf numFmtId="0" fontId="41" fillId="6" borderId="0" xfId="0" applyFont="1" applyFill="1"/>
    <xf numFmtId="0" fontId="21" fillId="3" borderId="0" xfId="0" applyFont="1" applyFill="1" applyAlignment="1">
      <alignment horizontal="left" vertical="center"/>
    </xf>
    <xf numFmtId="2" fontId="63" fillId="0" borderId="7" xfId="0" applyNumberFormat="1" applyFont="1" applyBorder="1" applyAlignment="1" applyProtection="1">
      <alignment horizontal="center" vertical="center"/>
      <protection locked="0"/>
    </xf>
    <xf numFmtId="2" fontId="0" fillId="3" borderId="7" xfId="0" applyNumberFormat="1" applyFill="1" applyBorder="1" applyAlignment="1">
      <alignment horizontal="center" vertical="center"/>
    </xf>
    <xf numFmtId="166" fontId="10" fillId="3" borderId="7" xfId="0" applyNumberFormat="1" applyFont="1" applyFill="1" applyBorder="1" applyAlignment="1">
      <alignment horizontal="center"/>
    </xf>
    <xf numFmtId="9" fontId="3" fillId="0" borderId="7" xfId="0" applyNumberFormat="1" applyFont="1" applyBorder="1" applyAlignment="1" applyProtection="1">
      <alignment horizontal="center" vertical="center"/>
      <protection locked="0"/>
    </xf>
    <xf numFmtId="11" fontId="51" fillId="3" borderId="0" xfId="0" applyNumberFormat="1" applyFont="1" applyFill="1" applyAlignment="1">
      <alignment horizontal="center" vertical="center"/>
    </xf>
    <xf numFmtId="11" fontId="51" fillId="6" borderId="0" xfId="0" applyNumberFormat="1" applyFont="1" applyFill="1" applyAlignment="1">
      <alignment horizontal="center"/>
    </xf>
    <xf numFmtId="0" fontId="21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vertical="center"/>
      <protection locked="0"/>
    </xf>
    <xf numFmtId="0" fontId="21" fillId="0" borderId="9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>
      <alignment vertical="center"/>
      <protection locked="0"/>
    </xf>
    <xf numFmtId="0" fontId="51" fillId="6" borderId="8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10" fillId="3" borderId="11" xfId="0" applyFont="1" applyFill="1" applyBorder="1"/>
    <xf numFmtId="0" fontId="10" fillId="3" borderId="9" xfId="0" applyFont="1" applyFill="1" applyBorder="1"/>
    <xf numFmtId="0" fontId="51" fillId="6" borderId="86" xfId="0" applyFont="1" applyFill="1" applyBorder="1" applyAlignment="1">
      <alignment horizontal="left" vertical="center"/>
    </xf>
    <xf numFmtId="0" fontId="53" fillId="6" borderId="0" xfId="0" applyFont="1" applyFill="1" applyAlignment="1">
      <alignment vertical="center"/>
    </xf>
    <xf numFmtId="0" fontId="51" fillId="6" borderId="82" xfId="0" applyFont="1" applyFill="1" applyBorder="1"/>
    <xf numFmtId="0" fontId="53" fillId="6" borderId="11" xfId="0" applyFont="1" applyFill="1" applyBorder="1" applyAlignment="1">
      <alignment vertical="center"/>
    </xf>
    <xf numFmtId="0" fontId="51" fillId="6" borderId="11" xfId="0" applyFont="1" applyFill="1" applyBorder="1"/>
    <xf numFmtId="0" fontId="51" fillId="6" borderId="9" xfId="0" applyFont="1" applyFill="1" applyBorder="1"/>
    <xf numFmtId="0" fontId="2" fillId="6" borderId="0" xfId="0" applyFont="1" applyFill="1"/>
    <xf numFmtId="0" fontId="2" fillId="3" borderId="0" xfId="0" applyFont="1" applyFill="1"/>
    <xf numFmtId="0" fontId="71" fillId="3" borderId="0" xfId="0" applyFont="1" applyFill="1"/>
    <xf numFmtId="15" fontId="2" fillId="3" borderId="7" xfId="0" applyNumberFormat="1" applyFont="1" applyFill="1" applyBorder="1" applyAlignment="1" applyProtection="1">
      <alignment horizontal="center"/>
      <protection locked="0"/>
    </xf>
    <xf numFmtId="17" fontId="2" fillId="3" borderId="0" xfId="0" applyNumberFormat="1" applyFont="1" applyFill="1" applyAlignment="1">
      <alignment horizontal="center"/>
    </xf>
    <xf numFmtId="0" fontId="72" fillId="3" borderId="0" xfId="0" applyFont="1" applyFill="1"/>
    <xf numFmtId="0" fontId="2" fillId="3" borderId="7" xfId="0" applyFont="1" applyFill="1" applyBorder="1" applyAlignment="1">
      <alignment horizontal="left" vertical="center" wrapText="1"/>
    </xf>
    <xf numFmtId="2" fontId="22" fillId="0" borderId="7" xfId="0" applyNumberFormat="1" applyFont="1" applyBorder="1" applyAlignment="1" applyProtection="1">
      <alignment horizontal="center" vertical="center"/>
      <protection locked="0"/>
    </xf>
    <xf numFmtId="1" fontId="22" fillId="0" borderId="7" xfId="0" applyNumberFormat="1" applyFont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 applyProtection="1">
      <alignment horizontal="center" vertical="center"/>
      <protection locked="0"/>
    </xf>
    <xf numFmtId="0" fontId="59" fillId="3" borderId="7" xfId="3" applyFont="1" applyFill="1" applyBorder="1" applyAlignment="1" applyProtection="1">
      <alignment horizontal="center" vertical="center"/>
      <protection locked="0"/>
    </xf>
    <xf numFmtId="188" fontId="43" fillId="5" borderId="41" xfId="3" applyNumberFormat="1" applyFont="1" applyFill="1" applyBorder="1" applyAlignment="1" applyProtection="1">
      <alignment horizontal="center" vertical="center"/>
      <protection locked="0"/>
    </xf>
    <xf numFmtId="188" fontId="49" fillId="5" borderId="14" xfId="0" applyNumberFormat="1" applyFont="1" applyFill="1" applyBorder="1" applyAlignment="1" applyProtection="1">
      <alignment horizontal="center" vertical="center"/>
      <protection locked="0"/>
    </xf>
    <xf numFmtId="190" fontId="3" fillId="0" borderId="0" xfId="5" applyNumberFormat="1" applyFont="1" applyAlignment="1" applyProtection="1">
      <alignment horizontal="left" vertical="center"/>
      <protection locked="0"/>
    </xf>
    <xf numFmtId="191" fontId="3" fillId="0" borderId="0" xfId="5" applyNumberFormat="1" applyFont="1" applyAlignment="1" applyProtection="1">
      <alignment horizontal="left" vertical="center"/>
      <protection locked="0"/>
    </xf>
    <xf numFmtId="190" fontId="3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8" fillId="3" borderId="3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8" fillId="3" borderId="23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18" fillId="3" borderId="21" xfId="0" applyFont="1" applyFill="1" applyBorder="1" applyAlignment="1">
      <alignment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0" xfId="0" applyFont="1" applyFill="1" applyProtection="1">
      <protection hidden="1"/>
    </xf>
    <xf numFmtId="0" fontId="49" fillId="3" borderId="0" xfId="0" applyFont="1" applyFill="1" applyAlignment="1">
      <alignment vertical="center"/>
    </xf>
    <xf numFmtId="164" fontId="22" fillId="3" borderId="0" xfId="0" applyNumberFormat="1" applyFont="1" applyFill="1" applyAlignment="1">
      <alignment horizontal="left" vertical="center"/>
    </xf>
    <xf numFmtId="0" fontId="3" fillId="3" borderId="4" xfId="3" applyFont="1" applyFill="1" applyBorder="1" applyAlignment="1">
      <alignment horizontal="left" vertical="center"/>
    </xf>
    <xf numFmtId="0" fontId="22" fillId="3" borderId="0" xfId="3" applyFont="1" applyFill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0" fontId="21" fillId="3" borderId="7" xfId="0" quotePrefix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20" fontId="22" fillId="3" borderId="7" xfId="0" quotePrefix="1" applyNumberFormat="1" applyFont="1" applyFill="1" applyBorder="1" applyAlignment="1">
      <alignment horizontal="center" vertical="center"/>
    </xf>
    <xf numFmtId="165" fontId="22" fillId="3" borderId="7" xfId="0" applyNumberFormat="1" applyFont="1" applyFill="1" applyBorder="1" applyAlignment="1">
      <alignment horizontal="center" vertical="center"/>
    </xf>
    <xf numFmtId="20" fontId="21" fillId="3" borderId="7" xfId="0" quotePrefix="1" applyNumberFormat="1" applyFont="1" applyFill="1" applyBorder="1" applyAlignment="1">
      <alignment horizontal="center" vertical="center"/>
    </xf>
    <xf numFmtId="0" fontId="22" fillId="3" borderId="0" xfId="0" applyFont="1" applyFill="1" applyAlignment="1" applyProtection="1">
      <alignment vertical="center"/>
      <protection hidden="1"/>
    </xf>
    <xf numFmtId="192" fontId="12" fillId="3" borderId="0" xfId="0" applyNumberFormat="1" applyFont="1" applyFill="1" applyAlignment="1" applyProtection="1">
      <alignment horizontal="center" vertical="center"/>
      <protection hidden="1"/>
    </xf>
    <xf numFmtId="0" fontId="21" fillId="3" borderId="0" xfId="5" applyFont="1" applyFill="1" applyAlignment="1">
      <alignment vertical="center"/>
    </xf>
    <xf numFmtId="0" fontId="21" fillId="3" borderId="0" xfId="5" applyFont="1" applyFill="1" applyAlignment="1">
      <alignment horizontal="center" vertical="center"/>
    </xf>
    <xf numFmtId="0" fontId="22" fillId="3" borderId="0" xfId="0" applyFont="1" applyFill="1" applyAlignment="1">
      <alignment horizontal="left" vertical="center" wrapText="1"/>
    </xf>
    <xf numFmtId="17" fontId="22" fillId="3" borderId="0" xfId="0" applyNumberFormat="1" applyFont="1" applyFill="1" applyAlignment="1">
      <alignment vertical="center"/>
    </xf>
    <xf numFmtId="0" fontId="21" fillId="3" borderId="3" xfId="5" applyFont="1" applyFill="1" applyBorder="1" applyAlignment="1">
      <alignment vertical="center"/>
    </xf>
    <xf numFmtId="0" fontId="21" fillId="3" borderId="1" xfId="5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17" fontId="22" fillId="3" borderId="1" xfId="0" applyNumberFormat="1" applyFont="1" applyFill="1" applyBorder="1" applyAlignment="1">
      <alignment vertical="center"/>
    </xf>
    <xf numFmtId="0" fontId="22" fillId="3" borderId="1" xfId="0" applyFont="1" applyFill="1" applyBorder="1" applyProtection="1">
      <protection hidden="1"/>
    </xf>
    <xf numFmtId="0" fontId="22" fillId="3" borderId="2" xfId="0" applyFont="1" applyFill="1" applyBorder="1" applyProtection="1">
      <protection hidden="1"/>
    </xf>
    <xf numFmtId="0" fontId="22" fillId="3" borderId="4" xfId="0" applyFont="1" applyFill="1" applyBorder="1" applyAlignment="1">
      <alignment horizontal="left" vertical="center"/>
    </xf>
    <xf numFmtId="0" fontId="22" fillId="3" borderId="0" xfId="0" applyFont="1" applyFill="1" applyAlignment="1" applyProtection="1">
      <alignment horizontal="left" vertical="center"/>
      <protection hidden="1"/>
    </xf>
    <xf numFmtId="165" fontId="22" fillId="3" borderId="0" xfId="0" applyNumberFormat="1" applyFont="1" applyFill="1" applyAlignment="1">
      <alignment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0" xfId="0" applyFont="1" applyFill="1" applyAlignment="1" applyProtection="1">
      <alignment horizontal="right" vertical="center"/>
      <protection hidden="1"/>
    </xf>
    <xf numFmtId="0" fontId="22" fillId="3" borderId="23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22" fillId="3" borderId="5" xfId="3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164" fontId="22" fillId="3" borderId="0" xfId="0" applyNumberFormat="1" applyFont="1" applyFill="1" applyAlignment="1">
      <alignment vertical="center"/>
    </xf>
    <xf numFmtId="0" fontId="22" fillId="3" borderId="55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87" xfId="0" applyFont="1" applyFill="1" applyBorder="1" applyAlignment="1">
      <alignment horizontal="center" vertical="center"/>
    </xf>
    <xf numFmtId="0" fontId="22" fillId="3" borderId="7" xfId="0" applyFont="1" applyFill="1" applyBorder="1" applyAlignment="1" applyProtection="1">
      <alignment horizontal="center" vertical="center"/>
      <protection hidden="1"/>
    </xf>
    <xf numFmtId="0" fontId="22" fillId="3" borderId="8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Protection="1">
      <protection hidden="1"/>
    </xf>
    <xf numFmtId="0" fontId="22" fillId="3" borderId="7" xfId="0" quotePrefix="1" applyFont="1" applyFill="1" applyBorder="1" applyAlignment="1">
      <alignment horizontal="center" vertical="center"/>
    </xf>
    <xf numFmtId="0" fontId="22" fillId="3" borderId="7" xfId="0" applyFont="1" applyFill="1" applyBorder="1" applyProtection="1">
      <protection hidden="1"/>
    </xf>
    <xf numFmtId="1" fontId="49" fillId="3" borderId="4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 applyProtection="1">
      <alignment horizontal="left" vertical="center" indent="1"/>
      <protection hidden="1"/>
    </xf>
    <xf numFmtId="0" fontId="3" fillId="3" borderId="11" xfId="0" applyFont="1" applyFill="1" applyBorder="1" applyAlignment="1" applyProtection="1">
      <alignment horizontal="left" vertical="center" indent="1"/>
      <protection hidden="1"/>
    </xf>
    <xf numFmtId="0" fontId="3" fillId="3" borderId="9" xfId="0" applyFont="1" applyFill="1" applyBorder="1" applyAlignment="1" applyProtection="1">
      <alignment horizontal="left" vertical="center" indent="1"/>
      <protection hidden="1"/>
    </xf>
    <xf numFmtId="1" fontId="74" fillId="3" borderId="4" xfId="0" applyNumberFormat="1" applyFont="1" applyFill="1" applyBorder="1" applyAlignment="1">
      <alignment horizontal="center" vertical="center"/>
    </xf>
    <xf numFmtId="0" fontId="74" fillId="3" borderId="4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vertical="center"/>
    </xf>
    <xf numFmtId="164" fontId="22" fillId="3" borderId="10" xfId="0" applyNumberFormat="1" applyFont="1" applyFill="1" applyBorder="1" applyAlignment="1">
      <alignment vertical="center"/>
    </xf>
    <xf numFmtId="0" fontId="22" fillId="3" borderId="8" xfId="0" applyFont="1" applyFill="1" applyBorder="1" applyAlignment="1">
      <alignment vertical="center"/>
    </xf>
    <xf numFmtId="0" fontId="22" fillId="3" borderId="11" xfId="0" applyFont="1" applyFill="1" applyBorder="1" applyAlignment="1">
      <alignment vertical="center"/>
    </xf>
    <xf numFmtId="0" fontId="21" fillId="3" borderId="9" xfId="0" applyFont="1" applyFill="1" applyBorder="1" applyAlignment="1">
      <alignment vertical="center"/>
    </xf>
    <xf numFmtId="0" fontId="22" fillId="3" borderId="21" xfId="0" applyFont="1" applyFill="1" applyBorder="1" applyAlignment="1">
      <alignment vertical="center"/>
    </xf>
    <xf numFmtId="0" fontId="21" fillId="3" borderId="3" xfId="0" applyFont="1" applyFill="1" applyBorder="1" applyAlignment="1" applyProtection="1">
      <alignment horizontal="left" vertical="center"/>
      <protection hidden="1"/>
    </xf>
    <xf numFmtId="0" fontId="21" fillId="3" borderId="1" xfId="0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0" fontId="22" fillId="3" borderId="23" xfId="0" applyFont="1" applyFill="1" applyBorder="1" applyAlignment="1" applyProtection="1">
      <alignment horizontal="left" vertical="center" indent="2"/>
      <protection hidden="1"/>
    </xf>
    <xf numFmtId="0" fontId="21" fillId="3" borderId="0" xfId="0" applyFont="1" applyFill="1" applyAlignment="1" applyProtection="1">
      <alignment vertical="center"/>
      <protection hidden="1"/>
    </xf>
    <xf numFmtId="0" fontId="18" fillId="3" borderId="0" xfId="3" applyFont="1" applyFill="1" applyAlignment="1">
      <alignment horizontal="left"/>
    </xf>
    <xf numFmtId="0" fontId="18" fillId="3" borderId="0" xfId="3" applyFont="1" applyFill="1"/>
    <xf numFmtId="183" fontId="10" fillId="3" borderId="0" xfId="3" applyNumberFormat="1" applyFill="1" applyAlignment="1">
      <alignment horizontal="center" vertical="center"/>
    </xf>
    <xf numFmtId="0" fontId="51" fillId="3" borderId="7" xfId="11" applyFont="1" applyFill="1" applyBorder="1" applyAlignment="1">
      <alignment horizontal="center" vertical="center"/>
    </xf>
    <xf numFmtId="184" fontId="51" fillId="3" borderId="7" xfId="11" quotePrefix="1" applyNumberFormat="1" applyFont="1" applyFill="1" applyBorder="1" applyAlignment="1">
      <alignment horizontal="center" vertical="center"/>
    </xf>
    <xf numFmtId="183" fontId="51" fillId="3" borderId="7" xfId="11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8" fillId="3" borderId="0" xfId="3" applyFont="1" applyFill="1" applyAlignment="1">
      <alignment horizontal="center" vertical="center"/>
    </xf>
    <xf numFmtId="0" fontId="18" fillId="3" borderId="0" xfId="0" applyFont="1" applyFill="1" applyAlignment="1">
      <alignment horizontal="right"/>
    </xf>
    <xf numFmtId="0" fontId="2" fillId="3" borderId="55" xfId="0" applyFont="1" applyFill="1" applyBorder="1" applyAlignment="1">
      <alignment horizontal="left" indent="1"/>
    </xf>
    <xf numFmtId="0" fontId="2" fillId="3" borderId="87" xfId="0" applyFont="1" applyFill="1" applyBorder="1" applyAlignment="1">
      <alignment horizontal="left" indent="1"/>
    </xf>
    <xf numFmtId="0" fontId="0" fillId="3" borderId="87" xfId="0" applyFill="1" applyBorder="1" applyAlignment="1">
      <alignment horizontal="left" indent="1"/>
    </xf>
    <xf numFmtId="16" fontId="0" fillId="3" borderId="87" xfId="0" applyNumberFormat="1" applyFill="1" applyBorder="1" applyAlignment="1">
      <alignment horizontal="left" indent="1"/>
    </xf>
    <xf numFmtId="0" fontId="3" fillId="3" borderId="87" xfId="5" applyFont="1" applyFill="1" applyBorder="1" applyAlignment="1">
      <alignment horizontal="left" vertical="center" indent="1"/>
    </xf>
    <xf numFmtId="0" fontId="3" fillId="3" borderId="42" xfId="5" applyFont="1" applyFill="1" applyBorder="1" applyAlignment="1">
      <alignment horizontal="left" vertical="center" indent="1"/>
    </xf>
    <xf numFmtId="0" fontId="13" fillId="0" borderId="0" xfId="5" applyFont="1" applyAlignment="1">
      <alignment horizontal="right" vertical="center" wrapText="1"/>
    </xf>
    <xf numFmtId="0" fontId="22" fillId="3" borderId="0" xfId="1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left" vertical="center" indent="1"/>
      <protection hidden="1"/>
    </xf>
    <xf numFmtId="0" fontId="3" fillId="3" borderId="11" xfId="0" applyFont="1" applyFill="1" applyBorder="1" applyAlignment="1" applyProtection="1">
      <alignment horizontal="left" vertical="center" indent="1"/>
      <protection hidden="1"/>
    </xf>
    <xf numFmtId="0" fontId="3" fillId="3" borderId="9" xfId="0" applyFont="1" applyFill="1" applyBorder="1" applyAlignment="1" applyProtection="1">
      <alignment horizontal="left" vertical="center" indent="1"/>
      <protection hidden="1"/>
    </xf>
    <xf numFmtId="0" fontId="22" fillId="3" borderId="7" xfId="0" applyFont="1" applyFill="1" applyBorder="1" applyAlignment="1" applyProtection="1">
      <alignment horizontal="center" vertical="center"/>
      <protection hidden="1"/>
    </xf>
    <xf numFmtId="0" fontId="22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164" fontId="22" fillId="3" borderId="8" xfId="0" applyNumberFormat="1" applyFont="1" applyFill="1" applyBorder="1" applyAlignment="1">
      <alignment horizontal="center" vertical="center"/>
    </xf>
    <xf numFmtId="164" fontId="22" fillId="3" borderId="9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 applyProtection="1">
      <alignment horizontal="center" vertical="center" wrapText="1"/>
      <protection hidden="1"/>
    </xf>
    <xf numFmtId="0" fontId="13" fillId="3" borderId="11" xfId="0" applyFont="1" applyFill="1" applyBorder="1" applyAlignment="1" applyProtection="1">
      <alignment horizontal="center" vertical="center" wrapText="1"/>
      <protection hidden="1"/>
    </xf>
    <xf numFmtId="0" fontId="13" fillId="3" borderId="9" xfId="0" applyFont="1" applyFill="1" applyBorder="1" applyAlignment="1" applyProtection="1">
      <alignment horizontal="center" vertical="center" wrapText="1"/>
      <protection hidden="1"/>
    </xf>
    <xf numFmtId="0" fontId="21" fillId="3" borderId="7" xfId="0" applyFont="1" applyFill="1" applyBorder="1" applyAlignment="1" applyProtection="1">
      <alignment horizontal="center" vertical="center"/>
      <protection hidden="1"/>
    </xf>
    <xf numFmtId="0" fontId="22" fillId="3" borderId="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/>
    </xf>
    <xf numFmtId="0" fontId="22" fillId="3" borderId="55" xfId="0" applyFont="1" applyFill="1" applyBorder="1" applyAlignment="1" applyProtection="1">
      <alignment horizontal="center" vertical="center"/>
      <protection hidden="1"/>
    </xf>
    <xf numFmtId="0" fontId="22" fillId="3" borderId="42" xfId="0" applyFont="1" applyFill="1" applyBorder="1" applyAlignment="1" applyProtection="1">
      <alignment horizontal="center" vertical="center"/>
      <protection hidden="1"/>
    </xf>
    <xf numFmtId="0" fontId="22" fillId="3" borderId="11" xfId="0" applyFont="1" applyFill="1" applyBorder="1" applyAlignment="1">
      <alignment horizontal="center" vertical="center"/>
    </xf>
    <xf numFmtId="0" fontId="22" fillId="3" borderId="8" xfId="3" applyFont="1" applyFill="1" applyBorder="1" applyAlignment="1">
      <alignment horizontal="center" vertical="center"/>
    </xf>
    <xf numFmtId="0" fontId="22" fillId="3" borderId="11" xfId="3" applyFont="1" applyFill="1" applyBorder="1" applyAlignment="1">
      <alignment horizontal="center" vertical="center"/>
    </xf>
    <xf numFmtId="0" fontId="22" fillId="3" borderId="9" xfId="3" applyFont="1" applyFill="1" applyBorder="1" applyAlignment="1">
      <alignment horizontal="center" vertical="center"/>
    </xf>
    <xf numFmtId="0" fontId="22" fillId="3" borderId="55" xfId="0" applyFont="1" applyFill="1" applyBorder="1" applyAlignment="1">
      <alignment horizontal="center" vertical="center" wrapText="1"/>
    </xf>
    <xf numFmtId="0" fontId="22" fillId="3" borderId="87" xfId="0" applyFont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22" fillId="3" borderId="55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/>
    </xf>
    <xf numFmtId="0" fontId="22" fillId="3" borderId="8" xfId="3" applyFont="1" applyFill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0" fontId="22" fillId="3" borderId="9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21" fillId="3" borderId="11" xfId="3" applyFont="1" applyFill="1" applyBorder="1" applyAlignment="1">
      <alignment horizontal="left" vertical="center" wrapText="1"/>
    </xf>
    <xf numFmtId="0" fontId="21" fillId="3" borderId="9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/>
    </xf>
    <xf numFmtId="0" fontId="22" fillId="3" borderId="11" xfId="3" applyFont="1" applyFill="1" applyBorder="1" applyAlignment="1">
      <alignment horizontal="left" vertical="center"/>
    </xf>
    <xf numFmtId="0" fontId="22" fillId="3" borderId="9" xfId="3" applyFont="1" applyFill="1" applyBorder="1" applyAlignment="1">
      <alignment horizontal="left" vertical="center"/>
    </xf>
    <xf numFmtId="0" fontId="21" fillId="3" borderId="7" xfId="3" applyFont="1" applyFill="1" applyBorder="1" applyAlignment="1">
      <alignment horizontal="center" vertical="center"/>
    </xf>
    <xf numFmtId="49" fontId="22" fillId="3" borderId="7" xfId="3" applyNumberFormat="1" applyFont="1" applyFill="1" applyBorder="1" applyAlignment="1">
      <alignment horizontal="center" vertical="center"/>
    </xf>
    <xf numFmtId="0" fontId="49" fillId="3" borderId="7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left" vertical="center"/>
    </xf>
    <xf numFmtId="0" fontId="22" fillId="3" borderId="21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21" fillId="3" borderId="8" xfId="5" applyFont="1" applyFill="1" applyBorder="1" applyAlignment="1">
      <alignment horizontal="center" vertical="center"/>
    </xf>
    <xf numFmtId="0" fontId="21" fillId="3" borderId="9" xfId="5" applyFont="1" applyFill="1" applyBorder="1" applyAlignment="1">
      <alignment horizontal="center" vertical="center"/>
    </xf>
    <xf numFmtId="0" fontId="21" fillId="3" borderId="11" xfId="5" applyFont="1" applyFill="1" applyBorder="1" applyAlignment="1">
      <alignment horizontal="center" vertical="center"/>
    </xf>
    <xf numFmtId="0" fontId="21" fillId="3" borderId="3" xfId="0" applyFont="1" applyFill="1" applyBorder="1" applyAlignment="1" applyProtection="1">
      <alignment horizontal="center" vertical="center" wrapText="1"/>
      <protection hidden="1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21" fillId="3" borderId="2" xfId="0" applyFont="1" applyFill="1" applyBorder="1" applyAlignment="1" applyProtection="1">
      <alignment horizontal="center" vertical="center" wrapText="1"/>
      <protection hidden="1"/>
    </xf>
    <xf numFmtId="0" fontId="21" fillId="3" borderId="23" xfId="0" applyFont="1" applyFill="1" applyBorder="1" applyAlignment="1" applyProtection="1">
      <alignment horizontal="center" vertical="center" wrapText="1"/>
      <protection hidden="1"/>
    </xf>
    <xf numFmtId="0" fontId="21" fillId="3" borderId="10" xfId="0" applyFont="1" applyFill="1" applyBorder="1" applyAlignment="1" applyProtection="1">
      <alignment horizontal="center" vertical="center" wrapText="1"/>
      <protection hidden="1"/>
    </xf>
    <xf numFmtId="0" fontId="21" fillId="3" borderId="21" xfId="0" applyFont="1" applyFill="1" applyBorder="1" applyAlignment="1" applyProtection="1">
      <alignment horizontal="center" vertical="center" wrapText="1"/>
      <protection hidden="1"/>
    </xf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192" fontId="12" fillId="3" borderId="4" xfId="0" applyNumberFormat="1" applyFont="1" applyFill="1" applyBorder="1" applyAlignment="1" applyProtection="1">
      <alignment horizontal="center" vertical="center"/>
      <protection hidden="1"/>
    </xf>
    <xf numFmtId="192" fontId="12" fillId="3" borderId="0" xfId="0" applyNumberFormat="1" applyFont="1" applyFill="1" applyAlignment="1" applyProtection="1">
      <alignment horizontal="center" vertical="center"/>
      <protection hidden="1"/>
    </xf>
    <xf numFmtId="192" fontId="12" fillId="3" borderId="5" xfId="0" applyNumberFormat="1" applyFont="1" applyFill="1" applyBorder="1" applyAlignment="1" applyProtection="1">
      <alignment horizontal="center" vertical="center"/>
      <protection hidden="1"/>
    </xf>
    <xf numFmtId="0" fontId="73" fillId="3" borderId="8" xfId="0" applyFont="1" applyFill="1" applyBorder="1" applyAlignment="1">
      <alignment horizontal="center" vertical="center"/>
    </xf>
    <xf numFmtId="0" fontId="73" fillId="3" borderId="9" xfId="0" applyFont="1" applyFill="1" applyBorder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165" fontId="3" fillId="0" borderId="7" xfId="3" applyNumberFormat="1" applyFont="1" applyBorder="1" applyAlignment="1">
      <alignment horizontal="center" vertical="center"/>
    </xf>
    <xf numFmtId="16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" fontId="22" fillId="0" borderId="7" xfId="0" applyNumberFormat="1" applyFont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164" fontId="3" fillId="0" borderId="7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89" fontId="12" fillId="0" borderId="0" xfId="0" applyNumberFormat="1" applyFont="1" applyAlignment="1" applyProtection="1">
      <alignment horizontal="center" vertical="center" wrapText="1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82" fontId="13" fillId="0" borderId="8" xfId="0" applyNumberFormat="1" applyFont="1" applyBorder="1" applyAlignment="1" applyProtection="1">
      <alignment horizontal="center" vertical="center"/>
      <protection locked="0"/>
    </xf>
    <xf numFmtId="182" fontId="13" fillId="0" borderId="11" xfId="0" applyNumberFormat="1" applyFont="1" applyBorder="1" applyAlignment="1" applyProtection="1">
      <alignment horizontal="center" vertical="center"/>
      <protection locked="0"/>
    </xf>
    <xf numFmtId="182" fontId="13" fillId="0" borderId="9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2" fontId="3" fillId="0" borderId="7" xfId="3" applyNumberFormat="1" applyFont="1" applyBorder="1" applyAlignment="1">
      <alignment horizontal="center" vertical="center"/>
    </xf>
    <xf numFmtId="0" fontId="3" fillId="3" borderId="8" xfId="3" applyFont="1" applyFill="1" applyBorder="1" applyAlignment="1">
      <alignment horizontal="left" vertical="center"/>
    </xf>
    <xf numFmtId="0" fontId="3" fillId="3" borderId="11" xfId="3" applyFont="1" applyFill="1" applyBorder="1" applyAlignment="1">
      <alignment horizontal="left" vertical="center"/>
    </xf>
    <xf numFmtId="0" fontId="3" fillId="3" borderId="9" xfId="3" applyFont="1" applyFill="1" applyBorder="1" applyAlignment="1">
      <alignment horizontal="left" vertical="center"/>
    </xf>
    <xf numFmtId="0" fontId="13" fillId="3" borderId="7" xfId="3" applyFont="1" applyFill="1" applyBorder="1" applyAlignment="1">
      <alignment horizontal="center" vertical="center"/>
    </xf>
    <xf numFmtId="0" fontId="22" fillId="0" borderId="0" xfId="0" applyFont="1" applyAlignment="1" applyProtection="1">
      <alignment horizontal="left" vertical="center"/>
      <protection locked="0"/>
    </xf>
    <xf numFmtId="169" fontId="3" fillId="0" borderId="0" xfId="5" applyNumberFormat="1" applyFont="1" applyAlignment="1" applyProtection="1">
      <alignment horizontal="left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165" fontId="22" fillId="0" borderId="8" xfId="0" applyNumberFormat="1" applyFont="1" applyBorder="1" applyAlignment="1">
      <alignment horizontal="center" vertical="center"/>
    </xf>
    <xf numFmtId="165" fontId="22" fillId="0" borderId="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3" borderId="7" xfId="3" applyFont="1" applyFill="1" applyBorder="1" applyAlignment="1">
      <alignment horizontal="left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22" fillId="3" borderId="14" xfId="3" applyFont="1" applyFill="1" applyBorder="1" applyAlignment="1">
      <alignment horizontal="center"/>
    </xf>
    <xf numFmtId="0" fontId="22" fillId="3" borderId="7" xfId="3" applyFont="1" applyFill="1" applyBorder="1" applyAlignment="1">
      <alignment horizontal="center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42" xfId="0" applyFont="1" applyBorder="1" applyAlignment="1" applyProtection="1">
      <alignment horizontal="center" vertical="center" wrapText="1"/>
      <protection locked="0"/>
    </xf>
    <xf numFmtId="0" fontId="14" fillId="3" borderId="70" xfId="3" applyFont="1" applyFill="1" applyBorder="1" applyAlignment="1">
      <alignment horizontal="center" vertical="center"/>
    </xf>
    <xf numFmtId="0" fontId="14" fillId="3" borderId="71" xfId="3" applyFont="1" applyFill="1" applyBorder="1" applyAlignment="1">
      <alignment horizontal="center" vertical="center"/>
    </xf>
    <xf numFmtId="0" fontId="14" fillId="3" borderId="72" xfId="3" applyFont="1" applyFill="1" applyBorder="1" applyAlignment="1">
      <alignment horizontal="center" vertical="center"/>
    </xf>
    <xf numFmtId="0" fontId="22" fillId="3" borderId="18" xfId="3" applyFont="1" applyFill="1" applyBorder="1" applyAlignment="1">
      <alignment horizontal="center"/>
    </xf>
    <xf numFmtId="0" fontId="22" fillId="3" borderId="11" xfId="3" applyFont="1" applyFill="1" applyBorder="1" applyAlignment="1">
      <alignment horizontal="center"/>
    </xf>
    <xf numFmtId="0" fontId="22" fillId="3" borderId="9" xfId="3" applyFont="1" applyFill="1" applyBorder="1" applyAlignment="1">
      <alignment horizontal="center"/>
    </xf>
    <xf numFmtId="0" fontId="41" fillId="0" borderId="0" xfId="4" quotePrefix="1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189" fontId="12" fillId="3" borderId="0" xfId="0" applyNumberFormat="1" applyFont="1" applyFill="1" applyAlignment="1" applyProtection="1">
      <alignment horizontal="center" wrapText="1"/>
      <protection hidden="1"/>
    </xf>
    <xf numFmtId="165" fontId="22" fillId="3" borderId="4" xfId="0" applyNumberFormat="1" applyFont="1" applyFill="1" applyBorder="1" applyAlignment="1">
      <alignment horizontal="center" vertical="center"/>
    </xf>
    <xf numFmtId="165" fontId="22" fillId="3" borderId="0" xfId="0" applyNumberFormat="1" applyFont="1" applyFill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1" fillId="3" borderId="0" xfId="4" quotePrefix="1" applyFont="1" applyFill="1" applyAlignment="1">
      <alignment horizontal="left" vertical="center" wrapText="1"/>
    </xf>
    <xf numFmtId="0" fontId="22" fillId="0" borderId="7" xfId="0" applyFont="1" applyBorder="1" applyAlignment="1" applyProtection="1">
      <alignment horizontal="center" vertical="center"/>
      <protection locked="0"/>
    </xf>
    <xf numFmtId="0" fontId="48" fillId="5" borderId="18" xfId="3" applyFont="1" applyFill="1" applyBorder="1" applyAlignment="1" applyProtection="1">
      <alignment horizontal="center" vertical="center"/>
      <protection locked="0"/>
    </xf>
    <xf numFmtId="0" fontId="48" fillId="5" borderId="11" xfId="3" applyFont="1" applyFill="1" applyBorder="1" applyAlignment="1" applyProtection="1">
      <alignment horizontal="center" vertical="center"/>
      <protection locked="0"/>
    </xf>
    <xf numFmtId="0" fontId="48" fillId="5" borderId="19" xfId="3" applyFont="1" applyFill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43" fillId="5" borderId="73" xfId="3" applyFont="1" applyFill="1" applyBorder="1" applyAlignment="1">
      <alignment horizontal="center" vertical="center"/>
    </xf>
    <xf numFmtId="0" fontId="43" fillId="5" borderId="50" xfId="3" applyFont="1" applyFill="1" applyBorder="1" applyAlignment="1">
      <alignment horizontal="center" vertical="center"/>
    </xf>
    <xf numFmtId="0" fontId="43" fillId="5" borderId="74" xfId="3" applyFont="1" applyFill="1" applyBorder="1" applyAlignment="1">
      <alignment horizontal="center" vertical="center"/>
    </xf>
    <xf numFmtId="0" fontId="22" fillId="0" borderId="8" xfId="0" applyFont="1" applyBorder="1" applyAlignment="1" applyProtection="1">
      <alignment horizontal="left" vertical="center"/>
      <protection locked="0"/>
    </xf>
    <xf numFmtId="0" fontId="22" fillId="0" borderId="11" xfId="0" applyFont="1" applyBorder="1" applyAlignment="1" applyProtection="1">
      <alignment horizontal="left" vertical="center"/>
      <protection locked="0"/>
    </xf>
    <xf numFmtId="0" fontId="22" fillId="0" borderId="9" xfId="0" applyFont="1" applyBorder="1" applyAlignment="1" applyProtection="1">
      <alignment horizontal="left" vertical="center"/>
      <protection locked="0"/>
    </xf>
    <xf numFmtId="0" fontId="49" fillId="5" borderId="8" xfId="0" applyFont="1" applyFill="1" applyBorder="1" applyAlignment="1" applyProtection="1">
      <alignment horizontal="center" vertical="center"/>
      <protection locked="0"/>
    </xf>
    <xf numFmtId="0" fontId="49" fillId="5" borderId="9" xfId="0" applyFont="1" applyFill="1" applyBorder="1" applyAlignment="1" applyProtection="1">
      <alignment horizontal="center" vertical="center"/>
      <protection locked="0"/>
    </xf>
    <xf numFmtId="168" fontId="48" fillId="5" borderId="7" xfId="0" applyNumberFormat="1" applyFont="1" applyFill="1" applyBorder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 wrapText="1"/>
      <protection locked="0"/>
    </xf>
    <xf numFmtId="0" fontId="49" fillId="5" borderId="23" xfId="0" applyFont="1" applyFill="1" applyBorder="1" applyAlignment="1" applyProtection="1">
      <alignment horizontal="center" vertical="center"/>
      <protection locked="0"/>
    </xf>
    <xf numFmtId="0" fontId="49" fillId="5" borderId="21" xfId="0" applyFont="1" applyFill="1" applyBorder="1" applyAlignment="1" applyProtection="1">
      <alignment horizontal="center" vertical="center"/>
      <protection locked="0"/>
    </xf>
    <xf numFmtId="2" fontId="49" fillId="0" borderId="7" xfId="0" applyNumberFormat="1" applyFont="1" applyBorder="1" applyAlignment="1" applyProtection="1">
      <alignment horizontal="center" vertical="center"/>
      <protection locked="0"/>
    </xf>
    <xf numFmtId="0" fontId="3" fillId="3" borderId="14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2" fontId="22" fillId="0" borderId="7" xfId="0" applyNumberFormat="1" applyFont="1" applyBorder="1" applyAlignment="1" applyProtection="1">
      <alignment horizontal="center" vertical="center"/>
      <protection locked="0"/>
    </xf>
    <xf numFmtId="0" fontId="49" fillId="8" borderId="8" xfId="0" applyFont="1" applyFill="1" applyBorder="1" applyAlignment="1" applyProtection="1">
      <alignment horizontal="center" vertical="center"/>
      <protection locked="0"/>
    </xf>
    <xf numFmtId="0" fontId="49" fillId="8" borderId="9" xfId="0" applyFont="1" applyFill="1" applyBorder="1" applyAlignment="1" applyProtection="1">
      <alignment horizontal="center" vertical="center"/>
      <protection locked="0"/>
    </xf>
    <xf numFmtId="0" fontId="49" fillId="8" borderId="7" xfId="0" applyFont="1" applyFill="1" applyBorder="1" applyAlignment="1" applyProtection="1">
      <alignment horizontal="center" vertical="center"/>
      <protection locked="0"/>
    </xf>
    <xf numFmtId="0" fontId="69" fillId="0" borderId="51" xfId="0" applyFont="1" applyBorder="1" applyAlignment="1" applyProtection="1">
      <alignment horizontal="center" vertical="center"/>
      <protection locked="0"/>
    </xf>
    <xf numFmtId="0" fontId="69" fillId="0" borderId="52" xfId="0" applyFont="1" applyBorder="1" applyAlignment="1" applyProtection="1">
      <alignment horizontal="center" vertical="center"/>
      <protection locked="0"/>
    </xf>
    <xf numFmtId="0" fontId="69" fillId="0" borderId="53" xfId="0" applyFont="1" applyBorder="1" applyAlignment="1" applyProtection="1">
      <alignment horizontal="center" vertical="center"/>
      <protection locked="0"/>
    </xf>
    <xf numFmtId="0" fontId="13" fillId="3" borderId="33" xfId="3" applyFont="1" applyFill="1" applyBorder="1" applyAlignment="1">
      <alignment horizontal="center" vertical="center"/>
    </xf>
    <xf numFmtId="0" fontId="13" fillId="3" borderId="34" xfId="3" applyFont="1" applyFill="1" applyBorder="1" applyAlignment="1">
      <alignment horizontal="center" vertical="center"/>
    </xf>
    <xf numFmtId="0" fontId="13" fillId="3" borderId="20" xfId="3" applyFont="1" applyFill="1" applyBorder="1" applyAlignment="1">
      <alignment horizontal="center" vertical="center"/>
    </xf>
    <xf numFmtId="0" fontId="3" fillId="3" borderId="18" xfId="3" applyFont="1" applyFill="1" applyBorder="1" applyAlignment="1">
      <alignment horizontal="left" vertical="center"/>
    </xf>
    <xf numFmtId="0" fontId="13" fillId="0" borderId="18" xfId="3" applyFont="1" applyBorder="1" applyAlignment="1">
      <alignment horizontal="left" vertical="center"/>
    </xf>
    <xf numFmtId="0" fontId="13" fillId="0" borderId="9" xfId="3" applyFont="1" applyBorder="1" applyAlignment="1">
      <alignment horizontal="left" vertical="center"/>
    </xf>
    <xf numFmtId="49" fontId="48" fillId="5" borderId="18" xfId="3" applyNumberFormat="1" applyFont="1" applyFill="1" applyBorder="1" applyAlignment="1" applyProtection="1">
      <alignment horizontal="center" vertical="center"/>
      <protection locked="0"/>
    </xf>
    <xf numFmtId="0" fontId="13" fillId="3" borderId="18" xfId="3" applyFont="1" applyFill="1" applyBorder="1" applyAlignment="1">
      <alignment horizontal="left" vertical="center"/>
    </xf>
    <xf numFmtId="0" fontId="13" fillId="3" borderId="9" xfId="3" applyFont="1" applyFill="1" applyBorder="1" applyAlignment="1">
      <alignment horizontal="left" vertical="center"/>
    </xf>
    <xf numFmtId="0" fontId="3" fillId="0" borderId="43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13" fillId="3" borderId="75" xfId="3" applyFont="1" applyFill="1" applyBorder="1" applyAlignment="1">
      <alignment horizontal="left" vertical="center"/>
    </xf>
    <xf numFmtId="0" fontId="13" fillId="3" borderId="76" xfId="3" applyFont="1" applyFill="1" applyBorder="1" applyAlignment="1">
      <alignment horizontal="left" vertical="center"/>
    </xf>
    <xf numFmtId="0" fontId="69" fillId="0" borderId="70" xfId="0" applyFont="1" applyBorder="1" applyAlignment="1" applyProtection="1">
      <alignment horizontal="center" vertical="center"/>
      <protection locked="0"/>
    </xf>
    <xf numFmtId="0" fontId="69" fillId="0" borderId="71" xfId="0" applyFont="1" applyBorder="1" applyAlignment="1" applyProtection="1">
      <alignment horizontal="center" vertical="center"/>
      <protection locked="0"/>
    </xf>
    <xf numFmtId="0" fontId="69" fillId="0" borderId="72" xfId="0" applyFont="1" applyBorder="1" applyAlignment="1" applyProtection="1">
      <alignment horizontal="center" vertical="center"/>
      <protection locked="0"/>
    </xf>
    <xf numFmtId="0" fontId="3" fillId="3" borderId="73" xfId="3" applyFont="1" applyFill="1" applyBorder="1" applyAlignment="1">
      <alignment horizontal="left" vertical="center"/>
    </xf>
    <xf numFmtId="0" fontId="3" fillId="3" borderId="77" xfId="3" applyFont="1" applyFill="1" applyBorder="1" applyAlignment="1">
      <alignment horizontal="left" vertical="center"/>
    </xf>
    <xf numFmtId="0" fontId="3" fillId="3" borderId="75" xfId="3" applyFont="1" applyFill="1" applyBorder="1" applyAlignment="1">
      <alignment horizontal="left" vertical="center"/>
    </xf>
    <xf numFmtId="0" fontId="3" fillId="3" borderId="76" xfId="3" applyFont="1" applyFill="1" applyBorder="1" applyAlignment="1">
      <alignment horizontal="left" vertical="center"/>
    </xf>
    <xf numFmtId="0" fontId="21" fillId="0" borderId="68" xfId="3" applyFont="1" applyBorder="1" applyAlignment="1" applyProtection="1">
      <alignment horizontal="center" vertical="center"/>
      <protection hidden="1"/>
    </xf>
    <xf numFmtId="0" fontId="21" fillId="0" borderId="41" xfId="3" applyFont="1" applyBorder="1" applyAlignment="1" applyProtection="1">
      <alignment horizontal="center" vertical="center"/>
      <protection hidden="1"/>
    </xf>
    <xf numFmtId="0" fontId="21" fillId="0" borderId="69" xfId="3" applyFont="1" applyBorder="1" applyAlignment="1" applyProtection="1">
      <alignment horizontal="center" vertical="center"/>
      <protection hidden="1"/>
    </xf>
    <xf numFmtId="0" fontId="21" fillId="0" borderId="42" xfId="3" applyFont="1" applyBorder="1" applyAlignment="1" applyProtection="1">
      <alignment horizontal="center" vertical="center"/>
      <protection hidden="1"/>
    </xf>
    <xf numFmtId="0" fontId="21" fillId="0" borderId="78" xfId="3" applyFont="1" applyBorder="1" applyAlignment="1" applyProtection="1">
      <alignment horizontal="center" vertical="center"/>
      <protection hidden="1"/>
    </xf>
    <xf numFmtId="0" fontId="21" fillId="0" borderId="35" xfId="3" applyFont="1" applyBorder="1" applyAlignment="1" applyProtection="1">
      <alignment horizontal="center" vertical="center"/>
      <protection hidden="1"/>
    </xf>
    <xf numFmtId="0" fontId="21" fillId="0" borderId="23" xfId="3" applyFont="1" applyBorder="1" applyAlignment="1" applyProtection="1">
      <alignment horizontal="center" vertical="center"/>
      <protection hidden="1"/>
    </xf>
    <xf numFmtId="0" fontId="21" fillId="0" borderId="21" xfId="3" applyFont="1" applyBorder="1" applyAlignment="1" applyProtection="1">
      <alignment horizontal="center" vertical="center"/>
      <protection hidden="1"/>
    </xf>
    <xf numFmtId="0" fontId="21" fillId="0" borderId="39" xfId="3" applyFont="1" applyBorder="1" applyAlignment="1" applyProtection="1">
      <alignment horizontal="center" vertical="center"/>
      <protection hidden="1"/>
    </xf>
    <xf numFmtId="0" fontId="21" fillId="0" borderId="77" xfId="3" applyFont="1" applyBorder="1" applyAlignment="1" applyProtection="1">
      <alignment horizontal="center" vertical="center"/>
      <protection hidden="1"/>
    </xf>
    <xf numFmtId="0" fontId="21" fillId="0" borderId="74" xfId="3" applyFont="1" applyBorder="1" applyAlignment="1" applyProtection="1">
      <alignment horizontal="center" vertical="center"/>
      <protection hidden="1"/>
    </xf>
    <xf numFmtId="1" fontId="49" fillId="5" borderId="8" xfId="0" applyNumberFormat="1" applyFont="1" applyFill="1" applyBorder="1" applyAlignment="1" applyProtection="1">
      <alignment horizontal="center" vertical="center"/>
      <protection locked="0"/>
    </xf>
    <xf numFmtId="1" fontId="49" fillId="5" borderId="9" xfId="0" applyNumberFormat="1" applyFont="1" applyFill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182" fontId="3" fillId="0" borderId="73" xfId="0" applyNumberFormat="1" applyFont="1" applyBorder="1" applyAlignment="1" applyProtection="1">
      <alignment horizontal="center" vertical="center" wrapText="1"/>
      <protection locked="0"/>
    </xf>
    <xf numFmtId="182" fontId="3" fillId="0" borderId="50" xfId="0" applyNumberFormat="1" applyFont="1" applyBorder="1" applyAlignment="1" applyProtection="1">
      <alignment horizontal="center" vertical="center" wrapText="1"/>
      <protection locked="0"/>
    </xf>
    <xf numFmtId="182" fontId="3" fillId="0" borderId="74" xfId="0" applyNumberFormat="1" applyFont="1" applyBorder="1" applyAlignment="1" applyProtection="1">
      <alignment horizontal="center" vertical="center" wrapText="1"/>
      <protection locked="0"/>
    </xf>
    <xf numFmtId="0" fontId="35" fillId="3" borderId="8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70" fillId="6" borderId="4" xfId="0" applyFont="1" applyFill="1" applyBorder="1" applyAlignment="1">
      <alignment horizontal="center" vertical="center" wrapText="1"/>
    </xf>
    <xf numFmtId="0" fontId="70" fillId="6" borderId="0" xfId="0" applyFont="1" applyFill="1" applyAlignment="1">
      <alignment horizontal="center" vertical="center" wrapText="1"/>
    </xf>
    <xf numFmtId="0" fontId="70" fillId="6" borderId="82" xfId="0" applyFont="1" applyFill="1" applyBorder="1" applyAlignment="1">
      <alignment horizontal="center" vertical="center" wrapText="1"/>
    </xf>
    <xf numFmtId="0" fontId="70" fillId="6" borderId="83" xfId="0" applyFont="1" applyFill="1" applyBorder="1" applyAlignment="1">
      <alignment horizontal="center" vertical="center" wrapText="1"/>
    </xf>
    <xf numFmtId="0" fontId="70" fillId="6" borderId="84" xfId="0" applyFont="1" applyFill="1" applyBorder="1" applyAlignment="1">
      <alignment horizontal="center" vertical="center" wrapText="1"/>
    </xf>
    <xf numFmtId="0" fontId="70" fillId="6" borderId="85" xfId="0" applyFont="1" applyFill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183" fontId="10" fillId="3" borderId="8" xfId="3" applyNumberFormat="1" applyFill="1" applyBorder="1" applyAlignment="1">
      <alignment horizontal="center" vertical="center"/>
    </xf>
    <xf numFmtId="183" fontId="10" fillId="3" borderId="9" xfId="3" applyNumberForma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83" fontId="51" fillId="0" borderId="8" xfId="0" applyNumberFormat="1" applyFont="1" applyBorder="1" applyAlignment="1">
      <alignment horizontal="center" vertical="center"/>
    </xf>
    <xf numFmtId="183" fontId="51" fillId="0" borderId="9" xfId="0" applyNumberFormat="1" applyFont="1" applyBorder="1" applyAlignment="1">
      <alignment horizontal="center" vertical="center"/>
    </xf>
    <xf numFmtId="0" fontId="18" fillId="3" borderId="0" xfId="3" applyFont="1" applyFill="1" applyAlignment="1">
      <alignment horizontal="center" vertical="center"/>
    </xf>
    <xf numFmtId="0" fontId="41" fillId="6" borderId="80" xfId="0" applyFont="1" applyFill="1" applyBorder="1" applyAlignment="1">
      <alignment horizontal="left" vertical="center" wrapText="1"/>
    </xf>
    <xf numFmtId="0" fontId="10" fillId="3" borderId="81" xfId="0" applyFont="1" applyFill="1" applyBorder="1"/>
    <xf numFmtId="0" fontId="60" fillId="6" borderId="0" xfId="0" applyFont="1" applyFill="1" applyAlignment="1">
      <alignment horizontal="center"/>
    </xf>
    <xf numFmtId="0" fontId="10" fillId="3" borderId="0" xfId="0" applyFont="1" applyFill="1"/>
    <xf numFmtId="0" fontId="51" fillId="6" borderId="0" xfId="0" applyFont="1" applyFill="1" applyAlignment="1">
      <alignment horizontal="center"/>
    </xf>
    <xf numFmtId="0" fontId="41" fillId="6" borderId="80" xfId="0" applyFont="1" applyFill="1" applyBorder="1" applyAlignment="1">
      <alignment horizontal="left" vertical="center"/>
    </xf>
    <xf numFmtId="167" fontId="2" fillId="0" borderId="7" xfId="0" applyNumberFormat="1" applyFont="1" applyBorder="1" applyAlignment="1">
      <alignment horizontal="center" vertical="center"/>
    </xf>
    <xf numFmtId="167" fontId="10" fillId="0" borderId="7" xfId="0" applyNumberFormat="1" applyFont="1" applyBorder="1" applyAlignment="1">
      <alignment horizontal="center" vertical="center"/>
    </xf>
    <xf numFmtId="186" fontId="10" fillId="0" borderId="7" xfId="0" applyNumberFormat="1" applyFont="1" applyBorder="1" applyAlignment="1">
      <alignment horizontal="center" vertical="center"/>
    </xf>
    <xf numFmtId="185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/>
    </xf>
  </cellXfs>
  <cellStyles count="12">
    <cellStyle name="Euro" xfId="1" xr:uid="{5DBFC158-0A46-4131-AC39-89614A853194}"/>
    <cellStyle name="Hipervínculo" xfId="10" builtinId="8"/>
    <cellStyle name="Millares 2" xfId="2" xr:uid="{074612A6-789E-44F8-BBF2-D0725B983D75}"/>
    <cellStyle name="Normal" xfId="0" builtinId="0"/>
    <cellStyle name="Normal 2" xfId="3" xr:uid="{9B548938-2D2C-4B7C-849A-EB0AA38152F4}"/>
    <cellStyle name="Normal 2 2" xfId="4" xr:uid="{29A1EF95-E3B2-4375-9EBD-255F62FCDCEB}"/>
    <cellStyle name="Normal 6" xfId="11" xr:uid="{1E8FF63E-C8F6-4D94-9793-CF234D817545}"/>
    <cellStyle name="Normal_ENSAYOS" xfId="5" xr:uid="{4DBD217F-C92F-48A3-972C-43DAFBDDBB07}"/>
    <cellStyle name="Normal_Sub Base F-001 -GRAN. 21-10-03 2" xfId="6" xr:uid="{33250DE1-899C-4528-ABB3-767D16841E69}"/>
    <cellStyle name="Porcentaje 2" xfId="7" xr:uid="{46FC4795-4CD8-46EC-A2FC-560318C23660}"/>
    <cellStyle name="Porcentual 2" xfId="8" xr:uid="{23820B36-E094-4746-AA65-497AC7F20834}"/>
    <cellStyle name="Porcentual 3" xfId="9" xr:uid="{61B12F81-76E0-47D1-BBA8-D06CF83743D5}"/>
  </cellStyles>
  <dxfs count="1">
    <dxf>
      <font>
        <b/>
        <i val="0"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0.33875284176838488"/>
          <c:y val="2.042313967510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77596651920991"/>
          <c:y val="9.0804071788323767E-2"/>
          <c:w val="0.75722194651278207"/>
          <c:h val="0.76356990849116835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DATOS!$G$44:$G$55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CF-4047-A02F-84875E043982}"/>
            </c:ext>
          </c:extLst>
        </c:ser>
        <c:ser>
          <c:idx val="2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CF-4047-A02F-84875E043982}"/>
            </c:ext>
          </c:extLst>
        </c:ser>
        <c:ser>
          <c:idx val="3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CF-4047-A02F-84875E04398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CF-4047-A02F-84875E043982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CF-4047-A02F-84875E043982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CF-4047-A02F-84875E043982}"/>
            </c:ext>
          </c:extLst>
        </c:ser>
        <c:ser>
          <c:idx val="4"/>
          <c:order val="3"/>
          <c:tx>
            <c:v>Linea Correccion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</a:ln>
            </c:spPr>
          </c:marker>
          <c:dPt>
            <c:idx val="1"/>
            <c:marker>
              <c:spPr>
                <a:ln w="3175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6CF-4047-A02F-84875E043982}"/>
              </c:ext>
            </c:extLst>
          </c:dPt>
          <c:xVal>
            <c:numRef>
              <c:f>'INFORME-2'!$AA$15:$AA$16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'INFORME-2'!$AB$15:$AB$16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6CF-4047-A02F-84875E04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98176"/>
        <c:axId val="1"/>
      </c:scatterChart>
      <c:valAx>
        <c:axId val="1568898176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25084643229"/>
              <c:y val="0.919048024402355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2.3517450653240839E-2"/>
              <c:y val="0.2044583954032772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68898176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1.9778276812871316E-2"/>
          <c:y val="2.04226910660557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9.0368355776921372E-2"/>
                  <c:y val="-0.2972413526962236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'INFORME-2'!$U$29:$U$39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'INFORME-2'!$V$29:$V$39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7-4CCF-8A6E-67F0F0943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900096"/>
        <c:axId val="1"/>
      </c:scatterChart>
      <c:valAx>
        <c:axId val="1568900096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98351289118"/>
              <c:y val="0.9190478019515853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4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305608459596E-2"/>
              <c:y val="0.20445883288979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68900096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1.9777992867170673E-2"/>
          <c:y val="2.04227298442818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7025180943291179"/>
                  <c:y val="-0.7609674885529820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'INFORME-2'!$AE$29:$AE$39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'INFORME-2'!$AF$29:$AF$39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D3-43EF-B36E-C335642A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817904"/>
        <c:axId val="1"/>
      </c:scatterChart>
      <c:valAx>
        <c:axId val="1188817904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20386986507"/>
              <c:y val="0.9190480695213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3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2095116017474E-2"/>
              <c:y val="0.204458788941135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817904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1.9778656700170545E-2"/>
          <c:y val="2.04230568739883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7072867817914464"/>
                  <c:y val="-0.2623031833388242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'INFORME-2'!$AO$29:$AO$39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'INFORME-2'!$AP$29:$AP$38</c:f>
              <c:numCache>
                <c:formatCode>0.0</c:formatCode>
                <c:ptCount val="10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5-4BF5-9112-0003220A4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76880"/>
        <c:axId val="1"/>
      </c:scatterChart>
      <c:valAx>
        <c:axId val="1188776880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78381734536"/>
              <c:y val="0.9190478019515853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71256818704E-2"/>
              <c:y val="0.20445883288979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776880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0.37419498926270583"/>
          <c:y val="2.042313967510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DATOS!$K$44:$K$55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2-4410-A62A-CA82A80FC751}"/>
            </c:ext>
          </c:extLst>
        </c:ser>
        <c:ser>
          <c:idx val="2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C2-4410-A62A-CA82A80FC751}"/>
            </c:ext>
          </c:extLst>
        </c:ser>
        <c:ser>
          <c:idx val="3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2-4410-A62A-CA82A80FC75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2-4410-A62A-CA82A80FC751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C2-4410-A62A-CA82A80FC751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C2-4410-A62A-CA82A80FC751}"/>
            </c:ext>
          </c:extLst>
        </c:ser>
        <c:ser>
          <c:idx val="4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</a:ln>
            </c:spPr>
          </c:marker>
          <c:dPt>
            <c:idx val="1"/>
            <c:marker>
              <c:spPr>
                <a:ln w="3175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1C2-4410-A62A-CA82A80FC751}"/>
              </c:ext>
            </c:extLst>
          </c:dPt>
          <c:xVal>
            <c:numRef>
              <c:f>'INFORME-2'!$AK$15:$AK$16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'INFORME-2'!$AL$15:$AL$16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1C2-4410-A62A-CA82A80F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80399"/>
        <c:axId val="1"/>
      </c:scatterChart>
      <c:valAx>
        <c:axId val="1486280399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80434263894"/>
              <c:y val="0.919048024402355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0947267955139E-2"/>
              <c:y val="0.2044583954032772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86280399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0.37419447569053871"/>
          <c:y val="2.042313967510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DATOS!$O$44:$O$55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09-4209-A088-AF0AF09C19F9}"/>
            </c:ext>
          </c:extLst>
        </c:ser>
        <c:ser>
          <c:idx val="2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09-4209-A088-AF0AF09C19F9}"/>
            </c:ext>
          </c:extLst>
        </c:ser>
        <c:ser>
          <c:idx val="3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09-4209-A088-AF0AF09C19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09-4209-A088-AF0AF09C19F9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09-4209-A088-AF0AF09C19F9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09-4209-A088-AF0AF09C19F9}"/>
            </c:ext>
          </c:extLst>
        </c:ser>
        <c:ser>
          <c:idx val="4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</a:ln>
            </c:spPr>
          </c:marker>
          <c:dPt>
            <c:idx val="1"/>
            <c:marker>
              <c:spPr>
                <a:ln w="3175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909-4209-A088-AF0AF09C19F9}"/>
              </c:ext>
            </c:extLst>
          </c:dPt>
          <c:xVal>
            <c:numRef>
              <c:f>'INFORME-2'!$AU$15:$AU$16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'INFORME-2'!$AV$15:$AV$16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09-4209-A088-AF0AF09C1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636832"/>
        <c:axId val="1"/>
      </c:scatterChart>
      <c:valAx>
        <c:axId val="1678636832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45577636129"/>
              <c:y val="0.919048024402355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1833520809895E-2"/>
              <c:y val="0.2044583954032772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78636832"/>
        <c:crosses val="autoZero"/>
        <c:crossBetween val="midCat"/>
        <c:majorUnit val="1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PESO UNITARIO VS CBR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048977642781717"/>
          <c:y val="0.12027065793618302"/>
          <c:w val="0.79988800468657306"/>
          <c:h val="0.73459849694733226"/>
        </c:manualLayout>
      </c:layout>
      <c:scatterChart>
        <c:scatterStyle val="smoothMarker"/>
        <c:varyColors val="0"/>
        <c:ser>
          <c:idx val="2"/>
          <c:order val="0"/>
          <c:tx>
            <c:v>CBR 0.1"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3333CC"/>
                </a:solidFill>
                <a:prstDash val="solid"/>
              </a:ln>
            </c:spPr>
          </c:marker>
          <c:xVal>
            <c:numRef>
              <c:f>'INFORME-2'!$V$60:$X$60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'INFORME-2'!$V$59:$X$59</c:f>
              <c:numCache>
                <c:formatCode>0.0</c:formatCode>
                <c:ptCount val="3"/>
                <c:pt idx="0">
                  <c:v>8.3166496524545608E-2</c:v>
                </c:pt>
                <c:pt idx="1">
                  <c:v>8.3166496524545608E-2</c:v>
                </c:pt>
                <c:pt idx="2">
                  <c:v>8.3166496524545608E-2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4D-4218-B73C-05EFF79959F3}"/>
            </c:ext>
          </c:extLst>
        </c:ser>
        <c:ser>
          <c:idx val="0"/>
          <c:order val="1"/>
          <c:tx>
            <c:v>CBR 0.2"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'INFORME-2'!$V$63:$X$63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'INFORME-2'!$V$62:$X$62</c:f>
              <c:numCache>
                <c:formatCode>0.0</c:formatCode>
                <c:ptCount val="3"/>
                <c:pt idx="0">
                  <c:v>5.3890668418181138E-2</c:v>
                </c:pt>
                <c:pt idx="1">
                  <c:v>5.3890668418181138E-2</c:v>
                </c:pt>
                <c:pt idx="2">
                  <c:v>5.3890668418181138E-2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4D-4218-B73C-05EFF79959F3}"/>
            </c:ext>
          </c:extLst>
        </c:ser>
        <c:ser>
          <c:idx val="1"/>
          <c:order val="2"/>
          <c:tx>
            <c:v>95%MDS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ot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'[3]cbr graficos'!$J$41:$K$41</c:f>
              <c:numCache>
                <c:formatCode>General</c:formatCode>
                <c:ptCount val="2"/>
                <c:pt idx="0">
                  <c:v>0</c:v>
                </c:pt>
                <c:pt idx="1">
                  <c:v>2.9835906482015435</c:v>
                </c:pt>
              </c:numCache>
            </c:numRef>
          </c:xVal>
          <c:yVal>
            <c:numRef>
              <c:f>'[3]cbr graficos'!$J$43:$K$43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4D-4218-B73C-05EFF79959F3}"/>
            </c:ext>
          </c:extLst>
        </c:ser>
        <c:ser>
          <c:idx val="3"/>
          <c:order val="3"/>
          <c:tx>
            <c:v>100%MDS</c:v>
          </c:tx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E4D-4218-B73C-05EFF79959F3}"/>
            </c:ext>
          </c:extLst>
        </c:ser>
        <c:ser>
          <c:idx val="4"/>
          <c:order val="4"/>
          <c:tx>
            <c:v>VERTICAL 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3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'[3]cbr graficos'!$S$29:$S$30</c:f>
              <c:numCache>
                <c:formatCode>General</c:formatCode>
                <c:ptCount val="2"/>
                <c:pt idx="0">
                  <c:v>3.0572485011927606</c:v>
                </c:pt>
                <c:pt idx="1">
                  <c:v>3.0572485011927606</c:v>
                </c:pt>
              </c:numCache>
            </c:numRef>
          </c:xVal>
          <c:yVal>
            <c:numRef>
              <c:f>'[3]cbr graficos'!$T$29:$T$30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4D-4218-B73C-05EFF79959F3}"/>
            </c:ext>
          </c:extLst>
        </c:ser>
        <c:ser>
          <c:idx val="5"/>
          <c:order val="5"/>
          <c:tx>
            <c:v>VERTICAL 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'[3]cbr graficos'!$S$32:$S$33</c:f>
              <c:numCache>
                <c:formatCode>General</c:formatCode>
                <c:ptCount val="2"/>
                <c:pt idx="0">
                  <c:v>2.9835906482015435</c:v>
                </c:pt>
                <c:pt idx="1">
                  <c:v>2.9835906482015435</c:v>
                </c:pt>
              </c:numCache>
            </c:numRef>
          </c:xVal>
          <c:yVal>
            <c:numRef>
              <c:f>'[3]cbr graficos'!$T$32:$T$33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4D-4218-B73C-05EFF79959F3}"/>
            </c:ext>
          </c:extLst>
        </c:ser>
        <c:ser>
          <c:idx val="6"/>
          <c:order val="6"/>
          <c:tx>
            <c:v>VERTICAL 3</c:v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diamond"/>
            <c:size val="3"/>
            <c:spPr>
              <a:solidFill>
                <a:srgbClr val="424242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'[3]cbr graficos'!$V$29:$V$30</c:f>
              <c:numCache>
                <c:formatCode>General</c:formatCode>
                <c:ptCount val="2"/>
                <c:pt idx="0">
                  <c:v>4.4910604508071206</c:v>
                </c:pt>
                <c:pt idx="1">
                  <c:v>4.4910604508071206</c:v>
                </c:pt>
              </c:numCache>
            </c:numRef>
          </c:xVal>
          <c:yVal>
            <c:numRef>
              <c:f>'[3]cbr graficos'!$W$29:$W$30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4D-4218-B73C-05EFF79959F3}"/>
            </c:ext>
          </c:extLst>
        </c:ser>
        <c:ser>
          <c:idx val="7"/>
          <c:order val="7"/>
          <c:tx>
            <c:v>VERTICAL 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'[3]cbr graficos'!$V$32:$V$33</c:f>
              <c:numCache>
                <c:formatCode>General</c:formatCode>
                <c:ptCount val="2"/>
                <c:pt idx="0">
                  <c:v>4.0982100679275506</c:v>
                </c:pt>
                <c:pt idx="1">
                  <c:v>4.0982100679275506</c:v>
                </c:pt>
              </c:numCache>
            </c:numRef>
          </c:xVal>
          <c:yVal>
            <c:numRef>
              <c:f>'[3]cbr graficos'!$W$32:$W$33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4D-4218-B73C-05EFF79959F3}"/>
            </c:ext>
          </c:extLst>
        </c:ser>
        <c:ser>
          <c:idx val="8"/>
          <c:order val="8"/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'[3]cbr graficos'!$Z$29:$AA$29</c:f>
              <c:numCache>
                <c:formatCode>General</c:formatCode>
                <c:ptCount val="2"/>
                <c:pt idx="0">
                  <c:v>0</c:v>
                </c:pt>
                <c:pt idx="1">
                  <c:v>4.4910604508071206</c:v>
                </c:pt>
              </c:numCache>
            </c:numRef>
          </c:xVal>
          <c:yVal>
            <c:numRef>
              <c:f>'[3]cbr graficos'!$Z$30:$AA$30</c:f>
              <c:numCache>
                <c:formatCode>General</c:formatCode>
                <c:ptCount val="2"/>
                <c:pt idx="0">
                  <c:v>1.9319999999999999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4D-4218-B73C-05EFF79959F3}"/>
            </c:ext>
          </c:extLst>
        </c:ser>
        <c:ser>
          <c:idx val="9"/>
          <c:order val="9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'[3]cbr graficos'!$Z$32:$AA$32</c:f>
              <c:numCache>
                <c:formatCode>General</c:formatCode>
                <c:ptCount val="2"/>
                <c:pt idx="0">
                  <c:v>0</c:v>
                </c:pt>
                <c:pt idx="1">
                  <c:v>4.0982100679275506</c:v>
                </c:pt>
              </c:numCache>
            </c:numRef>
          </c:xVal>
          <c:yVal>
            <c:numRef>
              <c:f>'[3]cbr graficos'!$Z$33:$AA$33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4D-4218-B73C-05EFF79959F3}"/>
            </c:ext>
          </c:extLst>
        </c:ser>
        <c:ser>
          <c:idx val="10"/>
          <c:order val="10"/>
          <c:tx>
            <c:v>90%MDS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'[3]cbr graficos'!$J$44:$K$44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'[3]cbr graficos'!$J$46:$K$46</c:f>
              <c:numCache>
                <c:formatCode>General</c:formatCode>
                <c:ptCount val="2"/>
                <c:pt idx="0">
                  <c:v>1.7387999999999999</c:v>
                </c:pt>
                <c:pt idx="1">
                  <c:v>1.7387999999999999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4D-4218-B73C-05EFF799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00080"/>
        <c:axId val="1"/>
      </c:scatterChart>
      <c:valAx>
        <c:axId val="1188100080"/>
        <c:scaling>
          <c:orientation val="minMax"/>
          <c:max val="25"/>
          <c:min val="15"/>
        </c:scaling>
        <c:delete val="0"/>
        <c:axPos val="b"/>
        <c:majorGridlines>
          <c:spPr>
            <a:ln w="3175">
              <a:solidFill>
                <a:srgbClr val="0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Peso Unitario Seco (kN/m3)</a:t>
                </a:r>
              </a:p>
            </c:rich>
          </c:tx>
          <c:layout>
            <c:manualLayout>
              <c:xMode val="edge"/>
              <c:yMode val="edge"/>
              <c:x val="0.36748516489786603"/>
              <c:y val="0.920260099066564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  <c:max val="15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 C.B.R. Corregido (%)
</a:t>
                </a:r>
              </a:p>
            </c:rich>
          </c:tx>
          <c:layout>
            <c:manualLayout>
              <c:xMode val="edge"/>
              <c:yMode val="edge"/>
              <c:x val="8.7064932100878699E-3"/>
              <c:y val="0.270663667041619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100080"/>
        <c:crossesAt val="0"/>
        <c:crossBetween val="midCat"/>
        <c:majorUnit val="5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6296759100764577"/>
          <c:y val="0.60904189607877968"/>
          <c:w val="0.20981598767545362"/>
          <c:h val="0.21053302547707853"/>
        </c:manualLayout>
      </c:layout>
      <c:overlay val="0"/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 paperSize="9" orientation="landscape" horizontalDpi="-4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4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image" Target="../media/image3.png"/><Relationship Id="rId4" Type="http://schemas.openxmlformats.org/officeDocument/2006/relationships/chart" Target="../charts/chart3.xml"/><Relationship Id="rId9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61</xdr:row>
      <xdr:rowOff>161610</xdr:rowOff>
    </xdr:from>
    <xdr:to>
      <xdr:col>16</xdr:col>
      <xdr:colOff>411600</xdr:colOff>
      <xdr:row>61</xdr:row>
      <xdr:rowOff>161610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7B4E680D-B27D-4914-9C31-DA46EB119C6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2437430"/>
          <a:ext cx="79020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18</xdr:col>
      <xdr:colOff>0</xdr:colOff>
      <xdr:row>5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8A98D3-3FC6-4A89-928E-F04CD948047B}"/>
            </a:ext>
          </a:extLst>
        </xdr:cNvPr>
        <xdr:cNvSpPr txBox="1"/>
      </xdr:nvSpPr>
      <xdr:spPr>
        <a:xfrm>
          <a:off x="8702040" y="68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590550</xdr:colOff>
      <xdr:row>57</xdr:row>
      <xdr:rowOff>44450</xdr:rowOff>
    </xdr:from>
    <xdr:to>
      <xdr:col>7</xdr:col>
      <xdr:colOff>180007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C9F0F2A-BCD2-41A7-85C8-8FC730683F4C}"/>
            </a:ext>
          </a:extLst>
        </xdr:cNvPr>
        <xdr:cNvSpPr txBox="1"/>
      </xdr:nvSpPr>
      <xdr:spPr>
        <a:xfrm>
          <a:off x="1299210" y="11596370"/>
          <a:ext cx="2843197" cy="5499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  <a:r>
            <a:rPr lang="es-PE" sz="800" b="0"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>
    <xdr:from>
      <xdr:col>7</xdr:col>
      <xdr:colOff>246379</xdr:colOff>
      <xdr:row>57</xdr:row>
      <xdr:rowOff>44450</xdr:rowOff>
    </xdr:from>
    <xdr:to>
      <xdr:col>15</xdr:col>
      <xdr:colOff>88900</xdr:colOff>
      <xdr:row>60</xdr:row>
      <xdr:rowOff>0</xdr:rowOff>
    </xdr:to>
    <xdr:sp macro="" textlink="">
      <xdr:nvSpPr>
        <xdr:cNvPr id="6" name="15 CuadroTexto">
          <a:extLst>
            <a:ext uri="{FF2B5EF4-FFF2-40B4-BE49-F238E27FC236}">
              <a16:creationId xmlns:a16="http://schemas.microsoft.com/office/drawing/2014/main" id="{93256C8C-425D-451B-8078-921CD3AFE009}"/>
            </a:ext>
          </a:extLst>
        </xdr:cNvPr>
        <xdr:cNvSpPr txBox="1"/>
      </xdr:nvSpPr>
      <xdr:spPr>
        <a:xfrm>
          <a:off x="4208779" y="11596370"/>
          <a:ext cx="2981961" cy="54991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  <a:r>
            <a:rPr lang="es-PE" sz="800" b="0"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 editAs="oneCell">
    <xdr:from>
      <xdr:col>0</xdr:col>
      <xdr:colOff>371475</xdr:colOff>
      <xdr:row>0</xdr:row>
      <xdr:rowOff>47625</xdr:rowOff>
    </xdr:from>
    <xdr:to>
      <xdr:col>2</xdr:col>
      <xdr:colOff>114300</xdr:colOff>
      <xdr:row>4</xdr:row>
      <xdr:rowOff>81993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696D53-CD0D-2587-1A62-5A4E8446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625"/>
          <a:ext cx="1047750" cy="6211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127000</xdr:colOff>
      <xdr:row>61</xdr:row>
      <xdr:rowOff>71437</xdr:rowOff>
    </xdr:from>
    <xdr:to>
      <xdr:col>16</xdr:col>
      <xdr:colOff>384175</xdr:colOff>
      <xdr:row>65</xdr:row>
      <xdr:rowOff>145643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EE57086-A5FC-4AD8-A238-7CE86495DF9C}"/>
            </a:ext>
          </a:extLst>
        </xdr:cNvPr>
        <xdr:cNvSpPr/>
      </xdr:nvSpPr>
      <xdr:spPr bwMode="auto">
        <a:xfrm>
          <a:off x="6223000" y="11049000"/>
          <a:ext cx="844550" cy="8044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12</xdr:col>
      <xdr:colOff>0</xdr:colOff>
      <xdr:row>60</xdr:row>
      <xdr:rowOff>45720</xdr:rowOff>
    </xdr:from>
    <xdr:to>
      <xdr:col>13</xdr:col>
      <xdr:colOff>518213</xdr:colOff>
      <xdr:row>66</xdr:row>
      <xdr:rowOff>89633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35BD0F-B975-44CD-A29C-56CE8D54EA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960620" y="105460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419100</xdr:colOff>
      <xdr:row>59</xdr:row>
      <xdr:rowOff>152400</xdr:rowOff>
    </xdr:from>
    <xdr:to>
      <xdr:col>21</xdr:col>
      <xdr:colOff>376011</xdr:colOff>
      <xdr:row>66</xdr:row>
      <xdr:rowOff>136854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34B2BE-63AA-4317-BD7B-3E708772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1037844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68581</xdr:colOff>
      <xdr:row>59</xdr:row>
      <xdr:rowOff>220980</xdr:rowOff>
    </xdr:from>
    <xdr:to>
      <xdr:col>11</xdr:col>
      <xdr:colOff>339091</xdr:colOff>
      <xdr:row>66</xdr:row>
      <xdr:rowOff>31750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90659FF3-E38C-43EF-A812-8D8DCE38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352801" y="10447020"/>
          <a:ext cx="152781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9525</xdr:rowOff>
    </xdr:from>
    <xdr:to>
      <xdr:col>7</xdr:col>
      <xdr:colOff>66675</xdr:colOff>
      <xdr:row>26</xdr:row>
      <xdr:rowOff>161925</xdr:rowOff>
    </xdr:to>
    <xdr:graphicFrame macro="">
      <xdr:nvGraphicFramePr>
        <xdr:cNvPr id="11738240" name="Gráfico 2">
          <a:extLst>
            <a:ext uri="{FF2B5EF4-FFF2-40B4-BE49-F238E27FC236}">
              <a16:creationId xmlns:a16="http://schemas.microsoft.com/office/drawing/2014/main" id="{5047C750-2F0A-94FE-AC6C-8F1718C9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47625</xdr:colOff>
      <xdr:row>63</xdr:row>
      <xdr:rowOff>133350</xdr:rowOff>
    </xdr:to>
    <xdr:sp macro="" textlink="">
      <xdr:nvSpPr>
        <xdr:cNvPr id="11738241" name="Text Box 6">
          <a:extLst>
            <a:ext uri="{FF2B5EF4-FFF2-40B4-BE49-F238E27FC236}">
              <a16:creationId xmlns:a16="http://schemas.microsoft.com/office/drawing/2014/main" id="{DDE7BBB6-67EA-72AB-C928-E381435C3014}"/>
            </a:ext>
          </a:extLst>
        </xdr:cNvPr>
        <xdr:cNvSpPr txBox="1">
          <a:spLocks noChangeArrowheads="1"/>
        </xdr:cNvSpPr>
      </xdr:nvSpPr>
      <xdr:spPr bwMode="auto">
        <a:xfrm>
          <a:off x="3305175" y="12353925"/>
          <a:ext cx="476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190500</xdr:colOff>
      <xdr:row>51</xdr:row>
      <xdr:rowOff>41907</xdr:rowOff>
    </xdr:from>
    <xdr:to>
      <xdr:col>11</xdr:col>
      <xdr:colOff>346710</xdr:colOff>
      <xdr:row>59</xdr:row>
      <xdr:rowOff>43177</xdr:rowOff>
    </xdr:to>
    <xdr:pic>
      <xdr:nvPicPr>
        <xdr:cNvPr id="11738242" name="Imagen 8">
          <a:extLst>
            <a:ext uri="{FF2B5EF4-FFF2-40B4-BE49-F238E27FC236}">
              <a16:creationId xmlns:a16="http://schemas.microsoft.com/office/drawing/2014/main" id="{19993A45-1CA8-35F7-6890-CCEC5155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573780" y="9803127"/>
          <a:ext cx="152781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38100</xdr:colOff>
      <xdr:row>26</xdr:row>
      <xdr:rowOff>19050</xdr:rowOff>
    </xdr:from>
    <xdr:to>
      <xdr:col>29</xdr:col>
      <xdr:colOff>514350</xdr:colOff>
      <xdr:row>39</xdr:row>
      <xdr:rowOff>152400</xdr:rowOff>
    </xdr:to>
    <xdr:graphicFrame macro="">
      <xdr:nvGraphicFramePr>
        <xdr:cNvPr id="11738244" name="Gráfico 2">
          <a:extLst>
            <a:ext uri="{FF2B5EF4-FFF2-40B4-BE49-F238E27FC236}">
              <a16:creationId xmlns:a16="http://schemas.microsoft.com/office/drawing/2014/main" id="{24AA24AA-23A8-4BEE-7B75-1744535C0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26</xdr:row>
      <xdr:rowOff>38100</xdr:rowOff>
    </xdr:from>
    <xdr:to>
      <xdr:col>39</xdr:col>
      <xdr:colOff>561975</xdr:colOff>
      <xdr:row>39</xdr:row>
      <xdr:rowOff>133350</xdr:rowOff>
    </xdr:to>
    <xdr:graphicFrame macro="">
      <xdr:nvGraphicFramePr>
        <xdr:cNvPr id="11738245" name="Gráfico 2">
          <a:extLst>
            <a:ext uri="{FF2B5EF4-FFF2-40B4-BE49-F238E27FC236}">
              <a16:creationId xmlns:a16="http://schemas.microsoft.com/office/drawing/2014/main" id="{AEF635CE-ED0C-A961-B1EC-804563DBC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47625</xdr:colOff>
      <xdr:row>26</xdr:row>
      <xdr:rowOff>57150</xdr:rowOff>
    </xdr:from>
    <xdr:to>
      <xdr:col>49</xdr:col>
      <xdr:colOff>666750</xdr:colOff>
      <xdr:row>40</xdr:row>
      <xdr:rowOff>0</xdr:rowOff>
    </xdr:to>
    <xdr:graphicFrame macro="">
      <xdr:nvGraphicFramePr>
        <xdr:cNvPr id="11738246" name="Gráfico 2">
          <a:extLst>
            <a:ext uri="{FF2B5EF4-FFF2-40B4-BE49-F238E27FC236}">
              <a16:creationId xmlns:a16="http://schemas.microsoft.com/office/drawing/2014/main" id="{A9AC720F-4F0B-1810-C04E-0C06EEC8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95250</xdr:colOff>
      <xdr:row>12</xdr:row>
      <xdr:rowOff>19050</xdr:rowOff>
    </xdr:from>
    <xdr:to>
      <xdr:col>12</xdr:col>
      <xdr:colOff>190500</xdr:colOff>
      <xdr:row>26</xdr:row>
      <xdr:rowOff>171450</xdr:rowOff>
    </xdr:to>
    <xdr:graphicFrame macro="">
      <xdr:nvGraphicFramePr>
        <xdr:cNvPr id="11738247" name="Gráfico 2">
          <a:extLst>
            <a:ext uri="{FF2B5EF4-FFF2-40B4-BE49-F238E27FC236}">
              <a16:creationId xmlns:a16="http://schemas.microsoft.com/office/drawing/2014/main" id="{5F0F7CA5-3FA4-B564-271D-A21A347D9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9525</xdr:colOff>
      <xdr:row>12</xdr:row>
      <xdr:rowOff>19050</xdr:rowOff>
    </xdr:from>
    <xdr:to>
      <xdr:col>17</xdr:col>
      <xdr:colOff>152400</xdr:colOff>
      <xdr:row>26</xdr:row>
      <xdr:rowOff>171450</xdr:rowOff>
    </xdr:to>
    <xdr:graphicFrame macro="">
      <xdr:nvGraphicFramePr>
        <xdr:cNvPr id="11738248" name="Gráfico 2">
          <a:extLst>
            <a:ext uri="{FF2B5EF4-FFF2-40B4-BE49-F238E27FC236}">
              <a16:creationId xmlns:a16="http://schemas.microsoft.com/office/drawing/2014/main" id="{0F4ED119-C81F-9EA1-4AB2-7FBBBFB91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30</xdr:row>
      <xdr:rowOff>95250</xdr:rowOff>
    </xdr:from>
    <xdr:to>
      <xdr:col>9</xdr:col>
      <xdr:colOff>228600</xdr:colOff>
      <xdr:row>43</xdr:row>
      <xdr:rowOff>66675</xdr:rowOff>
    </xdr:to>
    <xdr:graphicFrame macro="">
      <xdr:nvGraphicFramePr>
        <xdr:cNvPr id="11738249" name="Chart 4">
          <a:extLst>
            <a:ext uri="{FF2B5EF4-FFF2-40B4-BE49-F238E27FC236}">
              <a16:creationId xmlns:a16="http://schemas.microsoft.com/office/drawing/2014/main" id="{2D8E4921-76CC-0286-23E6-84BD8EBD3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  <xdr:twoCellAnchor>
    <xdr:from>
      <xdr:col>15</xdr:col>
      <xdr:colOff>160021</xdr:colOff>
      <xdr:row>52</xdr:row>
      <xdr:rowOff>15240</xdr:rowOff>
    </xdr:from>
    <xdr:to>
      <xdr:col>17</xdr:col>
      <xdr:colOff>68581</xdr:colOff>
      <xdr:row>58</xdr:row>
      <xdr:rowOff>104369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C69E994-9BA4-477B-8196-44FE87BDB359}"/>
            </a:ext>
          </a:extLst>
        </xdr:cNvPr>
        <xdr:cNvSpPr/>
      </xdr:nvSpPr>
      <xdr:spPr bwMode="auto">
        <a:xfrm>
          <a:off x="6697981" y="9974580"/>
          <a:ext cx="1127760" cy="95780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0</xdr:colOff>
      <xdr:row>52</xdr:row>
      <xdr:rowOff>0</xdr:rowOff>
    </xdr:from>
    <xdr:to>
      <xdr:col>15</xdr:col>
      <xdr:colOff>1958</xdr:colOff>
      <xdr:row>59</xdr:row>
      <xdr:rowOff>51533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18E2FB9-6B24-4DF4-B89E-F9F405360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25440" y="98526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205740</xdr:colOff>
      <xdr:row>63</xdr:row>
      <xdr:rowOff>182880</xdr:rowOff>
    </xdr:from>
    <xdr:to>
      <xdr:col>23</xdr:col>
      <xdr:colOff>383631</xdr:colOff>
      <xdr:row>70</xdr:row>
      <xdr:rowOff>159714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CA0F930-BA45-4633-9463-2FBF958B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6280" y="118491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13</xdr:row>
      <xdr:rowOff>152400</xdr:rowOff>
    </xdr:from>
    <xdr:to>
      <xdr:col>16</xdr:col>
      <xdr:colOff>647700</xdr:colOff>
      <xdr:row>15</xdr:row>
      <xdr:rowOff>95250</xdr:rowOff>
    </xdr:to>
    <xdr:pic>
      <xdr:nvPicPr>
        <xdr:cNvPr id="11650229" name="Imagen 2">
          <a:extLst>
            <a:ext uri="{FF2B5EF4-FFF2-40B4-BE49-F238E27FC236}">
              <a16:creationId xmlns:a16="http://schemas.microsoft.com/office/drawing/2014/main" id="{A78FE62B-8752-558E-21FB-2FF730871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5" y="2981325"/>
          <a:ext cx="8286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647700</xdr:colOff>
      <xdr:row>15</xdr:row>
      <xdr:rowOff>180975</xdr:rowOff>
    </xdr:from>
    <xdr:to>
      <xdr:col>17</xdr:col>
      <xdr:colOff>447675</xdr:colOff>
      <xdr:row>18</xdr:row>
      <xdr:rowOff>95250</xdr:rowOff>
    </xdr:to>
    <xdr:pic>
      <xdr:nvPicPr>
        <xdr:cNvPr id="11650230" name="Imagen 3">
          <a:extLst>
            <a:ext uri="{FF2B5EF4-FFF2-40B4-BE49-F238E27FC236}">
              <a16:creationId xmlns:a16="http://schemas.microsoft.com/office/drawing/2014/main" id="{63FA1FAA-7977-9EA6-C9D2-EE429B68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5550" y="3390900"/>
          <a:ext cx="16764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171450</xdr:colOff>
      <xdr:row>13</xdr:row>
      <xdr:rowOff>133350</xdr:rowOff>
    </xdr:from>
    <xdr:to>
      <xdr:col>20</xdr:col>
      <xdr:colOff>1409700</xdr:colOff>
      <xdr:row>20</xdr:row>
      <xdr:rowOff>95251</xdr:rowOff>
    </xdr:to>
    <xdr:pic>
      <xdr:nvPicPr>
        <xdr:cNvPr id="11650231" name="Imagen 5">
          <a:extLst>
            <a:ext uri="{FF2B5EF4-FFF2-40B4-BE49-F238E27FC236}">
              <a16:creationId xmlns:a16="http://schemas.microsoft.com/office/drawing/2014/main" id="{26878F31-CB0A-51F6-41DE-D755973C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550" y="2962275"/>
          <a:ext cx="28003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373803</xdr:colOff>
      <xdr:row>13</xdr:row>
      <xdr:rowOff>136524</xdr:rowOff>
    </xdr:from>
    <xdr:ext cx="2166561" cy="11109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551E6AD-4C00-7AA4-40FD-8E56BE984E75}"/>
                </a:ext>
              </a:extLst>
            </xdr:cNvPr>
            <xdr:cNvSpPr txBox="1"/>
          </xdr:nvSpPr>
          <xdr:spPr>
            <a:xfrm>
              <a:off x="2857500" y="2954866"/>
              <a:ext cx="20801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𝐶𝐵𝑅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(0,1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𝑖𝑛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)%=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∗14,22∗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1000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 xmlns:a="http://schemas.openxmlformats.org/drawingml/2006/main">
              <a:off x="2857500" y="2954866"/>
              <a:ext cx="2080185" cy="318036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none" lIns="0" tIns="0" rIns="0" bIns="0" rtlCol="0" anchor="t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s-ES" sz="1100" b="0" i="0">
                  <a:latin typeface="Cambria Math" panose="02040503050406030204" pitchFamily="18" charset="0"/>
                </a:rPr>
                <a:t>𝐶𝐵𝑅 (0,1𝑖𝑛)%=𝐹/𝐴∗14,22∗100/1000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344170</xdr:colOff>
      <xdr:row>16</xdr:row>
      <xdr:rowOff>153458</xdr:rowOff>
    </xdr:from>
    <xdr:ext cx="2168500" cy="11091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480FF702-230A-E401-9E05-57356355A6C2}"/>
                </a:ext>
              </a:extLst>
            </xdr:cNvPr>
            <xdr:cNvSpPr txBox="1"/>
          </xdr:nvSpPr>
          <xdr:spPr>
            <a:xfrm>
              <a:off x="2827867" y="3556000"/>
              <a:ext cx="20801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𝐶𝐵𝑅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(0,2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𝑖𝑛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)%=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∗14,22∗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1500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1" name="CuadroTexto 10"/>
            <xdr:cNvSpPr txBox="1"/>
          </xdr:nvSpPr>
          <xdr:spPr>
            <a:xfrm xmlns:a="http://schemas.openxmlformats.org/drawingml/2006/main">
              <a:off x="2827867" y="3556000"/>
              <a:ext cx="2080185" cy="318036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none" lIns="0" tIns="0" rIns="0" bIns="0" rtlCol="0" anchor="t">
              <a:spAutoFit/>
            </a:bodyPr>
            <a:lstStyle xmlns:a="http://schemas.openxmlformats.org/drawingml/2006/main"/>
            <a:p xmlns:a="http://schemas.openxmlformats.org/drawingml/2006/main">
              <a:pPr/>
              <a:r>
                <a:rPr lang="es-ES" sz="1100" b="0" i="0">
                  <a:latin typeface="Cambria Math" panose="02040503050406030204" pitchFamily="18" charset="0"/>
                </a:rPr>
                <a:t>𝐶𝐵𝑅 (0,2𝑖𝑛)%=𝐹/𝐴∗14,22∗100/1500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6</xdr:col>
      <xdr:colOff>742950</xdr:colOff>
      <xdr:row>14</xdr:row>
      <xdr:rowOff>9525</xdr:rowOff>
    </xdr:from>
    <xdr:to>
      <xdr:col>10</xdr:col>
      <xdr:colOff>314325</xdr:colOff>
      <xdr:row>20</xdr:row>
      <xdr:rowOff>152401</xdr:rowOff>
    </xdr:to>
    <xdr:pic>
      <xdr:nvPicPr>
        <xdr:cNvPr id="11650234" name="Imagen 2">
          <a:extLst>
            <a:ext uri="{FF2B5EF4-FFF2-40B4-BE49-F238E27FC236}">
              <a16:creationId xmlns:a16="http://schemas.microsoft.com/office/drawing/2014/main" id="{6A98DB59-4040-E0FD-C4B4-FD467120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2" r="687"/>
        <a:stretch>
          <a:fillRect/>
        </a:stretch>
      </xdr:blipFill>
      <xdr:spPr bwMode="auto">
        <a:xfrm>
          <a:off x="5486400" y="3028950"/>
          <a:ext cx="28289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624416</xdr:colOff>
      <xdr:row>0</xdr:row>
      <xdr:rowOff>31750</xdr:rowOff>
    </xdr:from>
    <xdr:to>
      <xdr:col>2</xdr:col>
      <xdr:colOff>98391</xdr:colOff>
      <xdr:row>3</xdr:row>
      <xdr:rowOff>128086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4A017F5-D679-4EFC-A86F-2F737164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833" y="31750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68580</xdr:rowOff>
    </xdr:from>
    <xdr:to>
      <xdr:col>8</xdr:col>
      <xdr:colOff>579120</xdr:colOff>
      <xdr:row>5</xdr:row>
      <xdr:rowOff>97644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5A5A59-350D-7D03-E9C0-23872ED0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388620"/>
          <a:ext cx="5913120" cy="509124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2</xdr:row>
      <xdr:rowOff>38100</xdr:rowOff>
    </xdr:from>
    <xdr:to>
      <xdr:col>19</xdr:col>
      <xdr:colOff>152400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D339FD-0571-4B05-A554-1EA83E0D0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0425" y="361950"/>
          <a:ext cx="581025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682C-2560-455D-8A56-4ED1C510B030}">
  <sheetPr codeName="Hoja1"/>
  <dimension ref="A1"/>
  <sheetViews>
    <sheetView zoomScaleNormal="109" zoomScaleSheetLayoutView="70"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082C-47F2-4BE7-8737-285D1F257766}">
  <dimension ref="A1:U65"/>
  <sheetViews>
    <sheetView workbookViewId="0">
      <selection activeCell="R7" sqref="R7"/>
    </sheetView>
  </sheetViews>
  <sheetFormatPr baseColWidth="10" defaultColWidth="10.33203125" defaultRowHeight="11.4" x14ac:dyDescent="0.2"/>
  <cols>
    <col min="1" max="1" width="10.33203125" style="733"/>
    <col min="2" max="3" width="9.33203125" style="733" customWidth="1"/>
    <col min="4" max="4" width="10.109375" style="733" customWidth="1"/>
    <col min="5" max="5" width="4.6640625" style="733" customWidth="1"/>
    <col min="6" max="6" width="7.33203125" style="733" customWidth="1"/>
    <col min="7" max="7" width="6.6640625" style="733" customWidth="1"/>
    <col min="8" max="8" width="6.5546875" style="733" customWidth="1"/>
    <col min="9" max="9" width="6" style="733" customWidth="1"/>
    <col min="10" max="10" width="6.5546875" style="733" customWidth="1"/>
    <col min="11" max="11" width="5.44140625" style="733" customWidth="1"/>
    <col min="12" max="12" width="4.109375" style="733" customWidth="1"/>
    <col min="13" max="13" width="3.6640625" style="733" customWidth="1"/>
    <col min="14" max="14" width="7.109375" style="733" customWidth="1"/>
    <col min="15" max="17" width="6.33203125" style="733" customWidth="1"/>
    <col min="18" max="18" width="10.6640625" style="733" customWidth="1"/>
    <col min="19" max="19" width="16.109375" style="733" customWidth="1"/>
    <col min="20" max="16384" width="10.33203125" style="733"/>
  </cols>
  <sheetData>
    <row r="1" spans="1:21" ht="11.4" customHeight="1" x14ac:dyDescent="0.2">
      <c r="A1" s="724"/>
      <c r="B1" s="725"/>
      <c r="C1" s="726"/>
      <c r="D1" s="724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6"/>
    </row>
    <row r="2" spans="1:21" ht="11.4" customHeight="1" x14ac:dyDescent="0.25">
      <c r="A2" s="727"/>
      <c r="B2" s="129"/>
      <c r="C2" s="728"/>
      <c r="D2" s="865" t="s">
        <v>7</v>
      </c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7"/>
      <c r="T2" s="37" t="s">
        <v>13</v>
      </c>
      <c r="U2" s="802"/>
    </row>
    <row r="3" spans="1:21" ht="11.4" customHeight="1" x14ac:dyDescent="0.25">
      <c r="A3" s="727"/>
      <c r="B3" s="129"/>
      <c r="C3" s="728"/>
      <c r="D3" s="868" t="s">
        <v>362</v>
      </c>
      <c r="E3" s="869"/>
      <c r="F3" s="869"/>
      <c r="G3" s="869"/>
      <c r="H3" s="869"/>
      <c r="I3" s="869"/>
      <c r="J3" s="869"/>
      <c r="K3" s="869"/>
      <c r="L3" s="869"/>
      <c r="M3" s="869"/>
      <c r="N3" s="869"/>
      <c r="O3" s="869"/>
      <c r="P3" s="869"/>
      <c r="Q3" s="870"/>
      <c r="T3" s="37" t="s">
        <v>452</v>
      </c>
      <c r="U3" s="803"/>
    </row>
    <row r="4" spans="1:21" ht="11.4" customHeight="1" x14ac:dyDescent="0.25">
      <c r="A4" s="727"/>
      <c r="B4" s="129"/>
      <c r="C4" s="728"/>
      <c r="D4" s="727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728"/>
      <c r="T4" s="37" t="s">
        <v>453</v>
      </c>
      <c r="U4" s="803"/>
    </row>
    <row r="5" spans="1:21" ht="11.4" customHeight="1" x14ac:dyDescent="0.25">
      <c r="A5" s="729"/>
      <c r="B5" s="730"/>
      <c r="C5" s="731"/>
      <c r="D5" s="729"/>
      <c r="E5" s="730"/>
      <c r="F5" s="730"/>
      <c r="G5" s="730"/>
      <c r="H5" s="730"/>
      <c r="I5" s="730"/>
      <c r="J5" s="730"/>
      <c r="K5" s="730"/>
      <c r="L5" s="730"/>
      <c r="M5" s="730"/>
      <c r="N5" s="730"/>
      <c r="O5" s="730"/>
      <c r="P5" s="730"/>
      <c r="Q5" s="731"/>
      <c r="T5" s="37" t="s">
        <v>454</v>
      </c>
      <c r="U5" s="803"/>
    </row>
    <row r="6" spans="1:21" ht="3" customHeight="1" x14ac:dyDescent="0.25">
      <c r="A6" s="745"/>
      <c r="B6" s="745"/>
      <c r="C6" s="745"/>
      <c r="D6" s="745"/>
      <c r="E6" s="745"/>
      <c r="F6" s="745"/>
      <c r="G6" s="745"/>
      <c r="H6" s="745"/>
      <c r="I6" s="745"/>
      <c r="J6" s="745"/>
      <c r="K6" s="745"/>
      <c r="L6" s="745"/>
      <c r="M6" s="745"/>
      <c r="N6" s="745"/>
      <c r="O6" s="745"/>
      <c r="P6" s="745"/>
      <c r="Q6" s="745"/>
      <c r="T6" s="801"/>
      <c r="U6" s="804"/>
    </row>
    <row r="7" spans="1:21" ht="15.75" customHeight="1" x14ac:dyDescent="0.25">
      <c r="A7" s="723"/>
      <c r="B7" s="723"/>
      <c r="C7" s="723"/>
      <c r="D7" s="723"/>
      <c r="E7" s="723"/>
      <c r="F7" s="723"/>
      <c r="G7" s="723"/>
      <c r="H7" s="723"/>
      <c r="I7" s="723"/>
      <c r="J7" s="723"/>
      <c r="K7" s="723"/>
      <c r="L7" s="723"/>
      <c r="M7" s="723"/>
      <c r="N7" s="723"/>
      <c r="O7" s="723"/>
      <c r="T7" s="37" t="s">
        <v>156</v>
      </c>
      <c r="U7" s="804"/>
    </row>
    <row r="8" spans="1:21" ht="15.75" customHeight="1" x14ac:dyDescent="0.25">
      <c r="B8" s="746"/>
      <c r="C8" s="746"/>
      <c r="D8" s="871" t="s">
        <v>363</v>
      </c>
      <c r="E8" s="872"/>
      <c r="F8" s="871" t="s">
        <v>364</v>
      </c>
      <c r="G8" s="872"/>
      <c r="H8" s="871" t="s">
        <v>365</v>
      </c>
      <c r="I8" s="873"/>
      <c r="J8" s="872"/>
      <c r="K8" s="871" t="s">
        <v>366</v>
      </c>
      <c r="L8" s="873"/>
      <c r="M8" s="873"/>
      <c r="N8" s="872"/>
      <c r="T8" s="37" t="s">
        <v>16</v>
      </c>
      <c r="U8" s="805"/>
    </row>
    <row r="9" spans="1:21" ht="15.75" customHeight="1" x14ac:dyDescent="0.25">
      <c r="A9" s="746"/>
      <c r="B9" s="746"/>
      <c r="C9" s="746"/>
      <c r="D9" s="856"/>
      <c r="E9" s="857"/>
      <c r="F9" s="856"/>
      <c r="G9" s="857"/>
      <c r="H9" s="856"/>
      <c r="I9" s="858"/>
      <c r="J9" s="857"/>
      <c r="K9" s="856"/>
      <c r="L9" s="858"/>
      <c r="M9" s="858"/>
      <c r="N9" s="857"/>
      <c r="T9" s="37" t="s">
        <v>157</v>
      </c>
      <c r="U9" s="804"/>
    </row>
    <row r="10" spans="1:21" ht="15.75" customHeight="1" x14ac:dyDescent="0.25">
      <c r="A10" s="746"/>
      <c r="B10" s="747"/>
      <c r="C10" s="748"/>
      <c r="D10" s="748"/>
      <c r="E10" s="748"/>
      <c r="F10" s="748"/>
      <c r="G10" s="748"/>
      <c r="H10" s="748"/>
      <c r="I10" s="748"/>
      <c r="J10" s="748"/>
      <c r="K10" s="749"/>
      <c r="L10" s="749"/>
      <c r="M10" s="749"/>
      <c r="N10" s="749"/>
      <c r="O10" s="749"/>
      <c r="T10" s="801"/>
      <c r="U10" s="804"/>
    </row>
    <row r="11" spans="1:21" ht="15" customHeight="1" x14ac:dyDescent="0.25">
      <c r="A11" s="859" t="s">
        <v>367</v>
      </c>
      <c r="B11" s="860"/>
      <c r="C11" s="860"/>
      <c r="D11" s="860"/>
      <c r="E11" s="860"/>
      <c r="F11" s="860"/>
      <c r="G11" s="860"/>
      <c r="H11" s="860"/>
      <c r="I11" s="860"/>
      <c r="J11" s="860"/>
      <c r="K11" s="860"/>
      <c r="L11" s="860"/>
      <c r="M11" s="860"/>
      <c r="N11" s="860"/>
      <c r="O11" s="860"/>
      <c r="P11" s="860"/>
      <c r="Q11" s="861"/>
      <c r="T11" s="37" t="s">
        <v>455</v>
      </c>
      <c r="U11" s="804"/>
    </row>
    <row r="12" spans="1:21" ht="13.5" customHeight="1" x14ac:dyDescent="0.25">
      <c r="A12" s="862" t="s">
        <v>368</v>
      </c>
      <c r="B12" s="863"/>
      <c r="C12" s="863"/>
      <c r="D12" s="863"/>
      <c r="E12" s="863"/>
      <c r="F12" s="863"/>
      <c r="G12" s="863"/>
      <c r="H12" s="863"/>
      <c r="I12" s="863"/>
      <c r="J12" s="863"/>
      <c r="K12" s="863"/>
      <c r="L12" s="863"/>
      <c r="M12" s="863"/>
      <c r="N12" s="863"/>
      <c r="O12" s="863"/>
      <c r="P12" s="863"/>
      <c r="Q12" s="864"/>
      <c r="T12" s="37" t="s">
        <v>456</v>
      </c>
      <c r="U12" s="805"/>
    </row>
    <row r="13" spans="1:21" ht="11.25" customHeight="1" x14ac:dyDescent="0.25">
      <c r="A13" s="750"/>
      <c r="B13" s="751"/>
      <c r="C13" s="752"/>
      <c r="D13" s="752"/>
      <c r="E13" s="752"/>
      <c r="F13" s="752"/>
      <c r="G13" s="752"/>
      <c r="H13" s="752"/>
      <c r="I13" s="752"/>
      <c r="J13" s="752"/>
      <c r="K13" s="753"/>
      <c r="L13" s="753"/>
      <c r="M13" s="753"/>
      <c r="N13" s="753"/>
      <c r="O13" s="753"/>
      <c r="P13" s="754"/>
      <c r="Q13" s="755"/>
      <c r="T13" s="37" t="s">
        <v>457</v>
      </c>
      <c r="U13" s="805"/>
    </row>
    <row r="14" spans="1:21" ht="19.5" customHeight="1" x14ac:dyDescent="0.25">
      <c r="A14" s="756" t="s">
        <v>369</v>
      </c>
      <c r="B14" s="126"/>
      <c r="C14" s="184"/>
      <c r="D14" s="126"/>
      <c r="E14" s="855"/>
      <c r="F14" s="855"/>
      <c r="G14" s="757" t="s">
        <v>2</v>
      </c>
      <c r="H14" s="126"/>
      <c r="K14" s="758"/>
      <c r="L14" s="126"/>
      <c r="N14" s="759" t="s">
        <v>370</v>
      </c>
      <c r="O14" s="816"/>
      <c r="P14" s="817"/>
      <c r="Q14" s="146"/>
      <c r="T14" s="801"/>
      <c r="U14" s="804"/>
    </row>
    <row r="15" spans="1:21" ht="19.5" customHeight="1" x14ac:dyDescent="0.2">
      <c r="A15" s="756" t="s">
        <v>371</v>
      </c>
      <c r="B15" s="126"/>
      <c r="C15" s="126"/>
      <c r="D15" s="126"/>
      <c r="E15" s="855"/>
      <c r="F15" s="855"/>
      <c r="G15" s="757" t="s">
        <v>28</v>
      </c>
      <c r="H15" s="126"/>
      <c r="K15" s="126"/>
      <c r="L15" s="126"/>
      <c r="N15" s="759" t="s">
        <v>372</v>
      </c>
      <c r="O15" s="816"/>
      <c r="P15" s="817"/>
      <c r="Q15" s="146"/>
      <c r="T15" s="37" t="s">
        <v>458</v>
      </c>
      <c r="U15" s="806"/>
    </row>
    <row r="16" spans="1:21" ht="19.5" customHeight="1" x14ac:dyDescent="0.2">
      <c r="A16" s="756" t="s">
        <v>373</v>
      </c>
      <c r="B16" s="126"/>
      <c r="C16" s="126"/>
      <c r="D16" s="184" t="s">
        <v>374</v>
      </c>
      <c r="E16" s="732"/>
      <c r="G16" s="744"/>
      <c r="H16" s="126"/>
      <c r="K16" s="126"/>
      <c r="L16" s="126"/>
      <c r="N16" s="184" t="s">
        <v>375</v>
      </c>
      <c r="O16" s="816"/>
      <c r="P16" s="817"/>
      <c r="Q16" s="146"/>
      <c r="T16" s="37" t="s">
        <v>459</v>
      </c>
      <c r="U16" s="806"/>
    </row>
    <row r="17" spans="1:21" ht="17.399999999999999" customHeight="1" x14ac:dyDescent="0.2">
      <c r="A17" s="756"/>
      <c r="B17" s="126"/>
      <c r="C17" s="126"/>
      <c r="D17" s="760" t="s">
        <v>376</v>
      </c>
      <c r="E17" s="450"/>
      <c r="F17" s="126"/>
      <c r="H17" s="126"/>
      <c r="K17" s="126"/>
      <c r="L17" s="126"/>
      <c r="N17" s="184" t="s">
        <v>377</v>
      </c>
      <c r="O17" s="816"/>
      <c r="P17" s="817"/>
      <c r="Q17" s="146"/>
      <c r="T17" s="37" t="s">
        <v>460</v>
      </c>
      <c r="U17" s="807"/>
    </row>
    <row r="18" spans="1:21" ht="6" customHeight="1" x14ac:dyDescent="0.2">
      <c r="A18" s="756"/>
      <c r="B18" s="126"/>
      <c r="C18" s="126"/>
      <c r="D18" s="760"/>
      <c r="E18" s="672"/>
      <c r="F18" s="126"/>
      <c r="H18" s="126"/>
      <c r="K18" s="126"/>
      <c r="L18" s="126"/>
      <c r="N18" s="184"/>
      <c r="O18" s="184"/>
      <c r="P18" s="184"/>
      <c r="Q18" s="146"/>
    </row>
    <row r="19" spans="1:21" ht="15.75" customHeight="1" x14ac:dyDescent="0.2">
      <c r="A19" s="188" t="s">
        <v>378</v>
      </c>
      <c r="B19" s="126"/>
      <c r="C19" s="126"/>
      <c r="D19" s="126"/>
      <c r="E19" s="734"/>
      <c r="F19" s="734"/>
      <c r="G19" s="852"/>
      <c r="H19" s="852"/>
      <c r="K19" s="126"/>
      <c r="L19" s="126"/>
      <c r="N19" s="184"/>
      <c r="O19" s="735"/>
      <c r="P19" s="126"/>
      <c r="Q19" s="146"/>
    </row>
    <row r="20" spans="1:21" ht="24.75" customHeight="1" x14ac:dyDescent="0.2">
      <c r="A20" s="761" t="s">
        <v>379</v>
      </c>
      <c r="B20" s="762"/>
      <c r="C20" s="762"/>
      <c r="D20" s="763"/>
      <c r="E20" s="853"/>
      <c r="F20" s="853"/>
      <c r="G20" s="853"/>
      <c r="H20" s="853"/>
      <c r="I20" s="853"/>
      <c r="J20" s="853"/>
      <c r="K20" s="853"/>
      <c r="L20" s="853"/>
      <c r="M20" s="853"/>
      <c r="N20" s="853"/>
      <c r="O20" s="853"/>
      <c r="P20" s="853"/>
      <c r="Q20" s="854"/>
    </row>
    <row r="21" spans="1:21" ht="13.95" customHeight="1" x14ac:dyDescent="0.2">
      <c r="A21" s="850" t="s">
        <v>380</v>
      </c>
      <c r="B21" s="850"/>
      <c r="C21" s="850"/>
      <c r="D21" s="850" t="s">
        <v>381</v>
      </c>
      <c r="E21" s="850"/>
      <c r="F21" s="850"/>
      <c r="G21" s="850"/>
      <c r="H21" s="850" t="s">
        <v>382</v>
      </c>
      <c r="I21" s="850"/>
      <c r="J21" s="850"/>
      <c r="K21" s="850"/>
      <c r="L21" s="850" t="s">
        <v>383</v>
      </c>
      <c r="M21" s="850"/>
      <c r="N21" s="850"/>
      <c r="O21" s="850"/>
      <c r="P21" s="850"/>
      <c r="Q21" s="850"/>
      <c r="R21" s="163"/>
    </row>
    <row r="22" spans="1:21" ht="13.95" customHeight="1" x14ac:dyDescent="0.2">
      <c r="A22" s="850" t="s">
        <v>384</v>
      </c>
      <c r="B22" s="850"/>
      <c r="C22" s="850"/>
      <c r="D22" s="850" t="s">
        <v>32</v>
      </c>
      <c r="E22" s="850"/>
      <c r="F22" s="850" t="s">
        <v>33</v>
      </c>
      <c r="G22" s="850"/>
      <c r="H22" s="850" t="s">
        <v>32</v>
      </c>
      <c r="I22" s="850"/>
      <c r="J22" s="850" t="s">
        <v>33</v>
      </c>
      <c r="K22" s="850"/>
      <c r="L22" s="850" t="s">
        <v>32</v>
      </c>
      <c r="M22" s="850"/>
      <c r="N22" s="850"/>
      <c r="O22" s="850" t="s">
        <v>33</v>
      </c>
      <c r="P22" s="850"/>
      <c r="Q22" s="850"/>
      <c r="R22" s="163"/>
    </row>
    <row r="23" spans="1:21" ht="19.5" customHeight="1" x14ac:dyDescent="0.2">
      <c r="A23" s="838" t="s">
        <v>385</v>
      </c>
      <c r="B23" s="838"/>
      <c r="C23" s="838"/>
      <c r="D23" s="851">
        <v>56</v>
      </c>
      <c r="E23" s="851"/>
      <c r="F23" s="851"/>
      <c r="G23" s="851"/>
      <c r="H23" s="840">
        <v>25</v>
      </c>
      <c r="I23" s="840"/>
      <c r="J23" s="840"/>
      <c r="K23" s="840"/>
      <c r="L23" s="840">
        <v>10</v>
      </c>
      <c r="M23" s="840"/>
      <c r="N23" s="840"/>
      <c r="O23" s="840"/>
      <c r="P23" s="840"/>
      <c r="Q23" s="840"/>
    </row>
    <row r="24" spans="1:21" ht="19.5" customHeight="1" x14ac:dyDescent="0.2">
      <c r="A24" s="838" t="s">
        <v>386</v>
      </c>
      <c r="B24" s="838"/>
      <c r="C24" s="838"/>
      <c r="D24" s="851"/>
      <c r="E24" s="851"/>
      <c r="F24" s="851"/>
      <c r="G24" s="851"/>
      <c r="H24" s="851"/>
      <c r="I24" s="851"/>
      <c r="J24" s="851"/>
      <c r="K24" s="851"/>
      <c r="L24" s="840"/>
      <c r="M24" s="840"/>
      <c r="N24" s="840"/>
      <c r="O24" s="840"/>
      <c r="P24" s="840"/>
      <c r="Q24" s="840"/>
    </row>
    <row r="25" spans="1:21" ht="19.5" customHeight="1" x14ac:dyDescent="0.2">
      <c r="A25" s="847" t="s">
        <v>387</v>
      </c>
      <c r="B25" s="848"/>
      <c r="C25" s="849"/>
      <c r="D25" s="829"/>
      <c r="E25" s="830"/>
      <c r="F25" s="830"/>
      <c r="G25" s="831"/>
      <c r="H25" s="829"/>
      <c r="I25" s="830"/>
      <c r="J25" s="830"/>
      <c r="K25" s="831"/>
      <c r="L25" s="841"/>
      <c r="M25" s="842"/>
      <c r="N25" s="842"/>
      <c r="O25" s="842"/>
      <c r="P25" s="842"/>
      <c r="Q25" s="843"/>
    </row>
    <row r="26" spans="1:21" ht="19.5" customHeight="1" x14ac:dyDescent="0.25">
      <c r="A26" s="847" t="s">
        <v>388</v>
      </c>
      <c r="B26" s="848"/>
      <c r="C26" s="849"/>
      <c r="D26" s="829"/>
      <c r="E26" s="830"/>
      <c r="F26" s="830"/>
      <c r="G26" s="831"/>
      <c r="H26" s="829"/>
      <c r="I26" s="830"/>
      <c r="J26" s="830"/>
      <c r="K26" s="831"/>
      <c r="L26" s="841"/>
      <c r="M26" s="842"/>
      <c r="N26" s="842"/>
      <c r="O26" s="842"/>
      <c r="P26" s="842"/>
      <c r="Q26" s="843"/>
      <c r="S26" s="373"/>
      <c r="T26" s="373"/>
    </row>
    <row r="27" spans="1:21" ht="19.5" customHeight="1" x14ac:dyDescent="0.25">
      <c r="A27" s="838" t="s">
        <v>389</v>
      </c>
      <c r="B27" s="838"/>
      <c r="C27" s="838"/>
      <c r="D27" s="839"/>
      <c r="E27" s="839"/>
      <c r="F27" s="840"/>
      <c r="G27" s="840"/>
      <c r="H27" s="829"/>
      <c r="I27" s="831"/>
      <c r="J27" s="840"/>
      <c r="K27" s="840"/>
      <c r="L27" s="840"/>
      <c r="M27" s="840"/>
      <c r="N27" s="840"/>
      <c r="O27" s="840"/>
      <c r="P27" s="840"/>
      <c r="Q27" s="840"/>
      <c r="S27" s="373"/>
      <c r="T27" s="373"/>
    </row>
    <row r="28" spans="1:21" ht="11.4" customHeight="1" x14ac:dyDescent="0.25">
      <c r="A28" s="844" t="s">
        <v>390</v>
      </c>
      <c r="B28" s="845"/>
      <c r="C28" s="845"/>
      <c r="D28" s="845"/>
      <c r="E28" s="845"/>
      <c r="F28" s="845"/>
      <c r="G28" s="845"/>
      <c r="H28" s="845"/>
      <c r="I28" s="845"/>
      <c r="J28" s="845"/>
      <c r="K28" s="845"/>
      <c r="L28" s="845"/>
      <c r="M28" s="845"/>
      <c r="N28" s="845"/>
      <c r="O28" s="845"/>
      <c r="P28" s="845"/>
      <c r="Q28" s="846"/>
      <c r="S28" s="373"/>
      <c r="T28" s="373"/>
    </row>
    <row r="29" spans="1:21" ht="19.5" customHeight="1" x14ac:dyDescent="0.25">
      <c r="A29" s="838" t="s">
        <v>175</v>
      </c>
      <c r="B29" s="838"/>
      <c r="C29" s="838"/>
      <c r="D29" s="839"/>
      <c r="E29" s="839"/>
      <c r="F29" s="840"/>
      <c r="G29" s="840"/>
      <c r="H29" s="829"/>
      <c r="I29" s="831"/>
      <c r="J29" s="840"/>
      <c r="K29" s="840"/>
      <c r="L29" s="829"/>
      <c r="M29" s="830"/>
      <c r="N29" s="831"/>
      <c r="O29" s="829"/>
      <c r="P29" s="830"/>
      <c r="Q29" s="831"/>
      <c r="S29" s="373"/>
      <c r="T29" s="373"/>
    </row>
    <row r="30" spans="1:21" ht="19.5" customHeight="1" x14ac:dyDescent="0.25">
      <c r="A30" s="838" t="s">
        <v>391</v>
      </c>
      <c r="B30" s="838"/>
      <c r="C30" s="838"/>
      <c r="D30" s="839"/>
      <c r="E30" s="839"/>
      <c r="F30" s="840"/>
      <c r="G30" s="840"/>
      <c r="H30" s="829"/>
      <c r="I30" s="831"/>
      <c r="J30" s="840"/>
      <c r="K30" s="840"/>
      <c r="L30" s="829"/>
      <c r="M30" s="830"/>
      <c r="N30" s="831"/>
      <c r="O30" s="829"/>
      <c r="P30" s="830"/>
      <c r="Q30" s="831"/>
      <c r="S30" s="373"/>
      <c r="T30" s="373"/>
    </row>
    <row r="31" spans="1:21" ht="19.5" customHeight="1" x14ac:dyDescent="0.25">
      <c r="A31" s="838" t="s">
        <v>392</v>
      </c>
      <c r="B31" s="838"/>
      <c r="C31" s="838"/>
      <c r="D31" s="839"/>
      <c r="E31" s="839"/>
      <c r="F31" s="840"/>
      <c r="G31" s="840"/>
      <c r="H31" s="829"/>
      <c r="I31" s="831"/>
      <c r="J31" s="840"/>
      <c r="K31" s="840"/>
      <c r="L31" s="829"/>
      <c r="M31" s="830"/>
      <c r="N31" s="831"/>
      <c r="O31" s="829"/>
      <c r="P31" s="830"/>
      <c r="Q31" s="831"/>
      <c r="S31" s="373"/>
      <c r="T31" s="373"/>
    </row>
    <row r="32" spans="1:21" ht="19.5" customHeight="1" x14ac:dyDescent="0.25">
      <c r="A32" s="838" t="s">
        <v>393</v>
      </c>
      <c r="B32" s="838"/>
      <c r="C32" s="838"/>
      <c r="D32" s="839">
        <f>+D31-D30</f>
        <v>0</v>
      </c>
      <c r="E32" s="839"/>
      <c r="F32" s="839">
        <f>+F31-F30</f>
        <v>0</v>
      </c>
      <c r="G32" s="839"/>
      <c r="H32" s="839">
        <f>+H31-H30</f>
        <v>0</v>
      </c>
      <c r="I32" s="839"/>
      <c r="J32" s="839">
        <f>+J31-J30</f>
        <v>0</v>
      </c>
      <c r="K32" s="839"/>
      <c r="L32" s="841">
        <f>+L31-L30</f>
        <v>0</v>
      </c>
      <c r="M32" s="842"/>
      <c r="N32" s="843"/>
      <c r="O32" s="841">
        <f>+O31-O30</f>
        <v>0</v>
      </c>
      <c r="P32" s="842"/>
      <c r="Q32" s="843"/>
      <c r="S32" s="373"/>
      <c r="T32" s="373"/>
    </row>
    <row r="33" spans="1:20" ht="19.5" customHeight="1" x14ac:dyDescent="0.25">
      <c r="A33" s="838" t="s">
        <v>394</v>
      </c>
      <c r="B33" s="838"/>
      <c r="C33" s="838"/>
      <c r="D33" s="839"/>
      <c r="E33" s="839"/>
      <c r="F33" s="840"/>
      <c r="G33" s="840"/>
      <c r="H33" s="829"/>
      <c r="I33" s="831"/>
      <c r="J33" s="840"/>
      <c r="K33" s="840"/>
      <c r="L33" s="829"/>
      <c r="M33" s="830"/>
      <c r="N33" s="831"/>
      <c r="O33" s="829"/>
      <c r="P33" s="830"/>
      <c r="Q33" s="831"/>
      <c r="S33" s="373"/>
      <c r="T33" s="373"/>
    </row>
    <row r="34" spans="1:20" ht="22.5" customHeight="1" x14ac:dyDescent="0.25">
      <c r="A34" s="838" t="s">
        <v>395</v>
      </c>
      <c r="B34" s="838"/>
      <c r="C34" s="838"/>
      <c r="D34" s="839"/>
      <c r="E34" s="839"/>
      <c r="F34" s="840"/>
      <c r="G34" s="840"/>
      <c r="H34" s="829"/>
      <c r="I34" s="831"/>
      <c r="J34" s="840"/>
      <c r="K34" s="840"/>
      <c r="L34" s="829"/>
      <c r="M34" s="830"/>
      <c r="N34" s="831"/>
      <c r="O34" s="829"/>
      <c r="P34" s="830"/>
      <c r="Q34" s="831"/>
      <c r="S34" s="373"/>
      <c r="T34" s="373"/>
    </row>
    <row r="35" spans="1:20" ht="12.75" customHeight="1" x14ac:dyDescent="0.25">
      <c r="A35" s="736" t="s">
        <v>396</v>
      </c>
      <c r="B35" s="737"/>
      <c r="C35" s="737"/>
      <c r="D35" s="738"/>
      <c r="E35" s="738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5"/>
      <c r="S35" s="373"/>
      <c r="T35" s="373"/>
    </row>
    <row r="36" spans="1:20" ht="15" customHeight="1" x14ac:dyDescent="0.25">
      <c r="A36" s="766" t="s">
        <v>397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126"/>
      <c r="N36" s="767"/>
      <c r="O36" s="767"/>
      <c r="P36" s="767"/>
      <c r="Q36" s="146"/>
      <c r="S36" s="373"/>
      <c r="T36" s="373"/>
    </row>
    <row r="37" spans="1:20" ht="19.5" customHeight="1" x14ac:dyDescent="0.25">
      <c r="A37" s="832" t="s">
        <v>398</v>
      </c>
      <c r="B37" s="814" t="s">
        <v>1</v>
      </c>
      <c r="C37" s="815"/>
      <c r="D37" s="768" t="s">
        <v>399</v>
      </c>
      <c r="E37" s="814" t="s">
        <v>400</v>
      </c>
      <c r="F37" s="828"/>
      <c r="G37" s="828"/>
      <c r="H37" s="828"/>
      <c r="I37" s="828"/>
      <c r="J37" s="815"/>
      <c r="K37" s="769"/>
      <c r="L37" s="835" t="s">
        <v>107</v>
      </c>
      <c r="M37" s="835"/>
      <c r="N37" s="835"/>
      <c r="O37" s="835"/>
      <c r="P37" s="835"/>
      <c r="Q37" s="835"/>
      <c r="S37" s="373"/>
      <c r="T37" s="373"/>
    </row>
    <row r="38" spans="1:20" ht="19.5" customHeight="1" x14ac:dyDescent="0.25">
      <c r="A38" s="833"/>
      <c r="B38" s="836" t="s">
        <v>401</v>
      </c>
      <c r="C38" s="836" t="s">
        <v>402</v>
      </c>
      <c r="D38" s="770" t="s">
        <v>403</v>
      </c>
      <c r="E38" s="822" t="s">
        <v>50</v>
      </c>
      <c r="F38" s="823"/>
      <c r="G38" s="822" t="s">
        <v>50</v>
      </c>
      <c r="H38" s="823"/>
      <c r="I38" s="822" t="s">
        <v>50</v>
      </c>
      <c r="J38" s="823"/>
      <c r="K38" s="769"/>
      <c r="L38" s="822" t="s">
        <v>404</v>
      </c>
      <c r="M38" s="823"/>
      <c r="N38" s="826" t="s">
        <v>405</v>
      </c>
      <c r="O38" s="771" t="s">
        <v>406</v>
      </c>
      <c r="P38" s="771" t="s">
        <v>407</v>
      </c>
      <c r="Q38" s="771" t="s">
        <v>408</v>
      </c>
      <c r="S38" s="373"/>
      <c r="T38" s="373"/>
    </row>
    <row r="39" spans="1:20" ht="19.5" customHeight="1" x14ac:dyDescent="0.25">
      <c r="A39" s="834"/>
      <c r="B39" s="837"/>
      <c r="C39" s="837"/>
      <c r="D39" s="772" t="s">
        <v>409</v>
      </c>
      <c r="E39" s="824"/>
      <c r="F39" s="825"/>
      <c r="G39" s="824"/>
      <c r="H39" s="825"/>
      <c r="I39" s="824"/>
      <c r="J39" s="825"/>
      <c r="K39" s="769"/>
      <c r="L39" s="824"/>
      <c r="M39" s="825"/>
      <c r="N39" s="827"/>
      <c r="O39" s="814" t="s">
        <v>410</v>
      </c>
      <c r="P39" s="828"/>
      <c r="Q39" s="815"/>
      <c r="R39" s="773"/>
      <c r="S39" s="373"/>
      <c r="T39" s="373"/>
    </row>
    <row r="40" spans="1:20" ht="16.2" customHeight="1" x14ac:dyDescent="0.25">
      <c r="A40" s="774" t="s">
        <v>411</v>
      </c>
      <c r="B40" s="742">
        <v>0</v>
      </c>
      <c r="C40" s="542">
        <v>0</v>
      </c>
      <c r="D40" s="450"/>
      <c r="E40" s="814"/>
      <c r="F40" s="815"/>
      <c r="G40" s="814"/>
      <c r="H40" s="815"/>
      <c r="I40" s="814"/>
      <c r="J40" s="815"/>
      <c r="K40" s="769"/>
      <c r="L40" s="814" t="s">
        <v>412</v>
      </c>
      <c r="M40" s="815"/>
      <c r="N40" s="775" t="s">
        <v>413</v>
      </c>
      <c r="O40" s="740"/>
      <c r="P40" s="740"/>
      <c r="Q40" s="450"/>
      <c r="R40" s="773"/>
      <c r="S40" s="373"/>
      <c r="T40" s="373"/>
    </row>
    <row r="41" spans="1:20" ht="16.2" customHeight="1" x14ac:dyDescent="0.25">
      <c r="A41" s="774" t="s">
        <v>414</v>
      </c>
      <c r="B41" s="742">
        <v>2.5000000000000001E-2</v>
      </c>
      <c r="C41" s="542">
        <v>0.64</v>
      </c>
      <c r="D41" s="450"/>
      <c r="E41" s="814"/>
      <c r="F41" s="815"/>
      <c r="G41" s="814"/>
      <c r="H41" s="815"/>
      <c r="I41" s="814"/>
      <c r="J41" s="815"/>
      <c r="K41" s="776"/>
      <c r="L41" s="814" t="s">
        <v>415</v>
      </c>
      <c r="M41" s="815"/>
      <c r="N41" s="775" t="s">
        <v>413</v>
      </c>
      <c r="O41" s="742"/>
      <c r="P41" s="742"/>
      <c r="Q41" s="742"/>
      <c r="R41" s="603"/>
      <c r="S41" s="373"/>
      <c r="T41" s="373"/>
    </row>
    <row r="42" spans="1:20" ht="16.2" customHeight="1" x14ac:dyDescent="0.25">
      <c r="A42" s="774" t="s">
        <v>416</v>
      </c>
      <c r="B42" s="742">
        <v>0.05</v>
      </c>
      <c r="C42" s="542">
        <v>1.3</v>
      </c>
      <c r="D42" s="450"/>
      <c r="E42" s="814"/>
      <c r="F42" s="815"/>
      <c r="G42" s="814"/>
      <c r="H42" s="815"/>
      <c r="I42" s="814"/>
      <c r="J42" s="815"/>
      <c r="K42" s="776"/>
      <c r="L42" s="814" t="s">
        <v>417</v>
      </c>
      <c r="M42" s="815"/>
      <c r="N42" s="775" t="s">
        <v>413</v>
      </c>
      <c r="O42" s="742"/>
      <c r="P42" s="742"/>
      <c r="Q42" s="742"/>
      <c r="R42" s="603"/>
      <c r="S42" s="373"/>
      <c r="T42" s="373"/>
    </row>
    <row r="43" spans="1:20" ht="18" customHeight="1" x14ac:dyDescent="0.25">
      <c r="A43" s="774" t="s">
        <v>418</v>
      </c>
      <c r="B43" s="742">
        <v>7.4999999999999997E-2</v>
      </c>
      <c r="C43" s="542">
        <v>1.9</v>
      </c>
      <c r="D43" s="450"/>
      <c r="E43" s="814"/>
      <c r="F43" s="815"/>
      <c r="G43" s="814"/>
      <c r="H43" s="815"/>
      <c r="I43" s="814"/>
      <c r="J43" s="815"/>
      <c r="K43" s="776"/>
      <c r="L43" s="814" t="s">
        <v>419</v>
      </c>
      <c r="M43" s="815"/>
      <c r="N43" s="775" t="s">
        <v>413</v>
      </c>
      <c r="O43" s="742"/>
      <c r="P43" s="742"/>
      <c r="Q43" s="742"/>
      <c r="R43" s="603"/>
      <c r="S43" s="373"/>
      <c r="T43" s="373"/>
    </row>
    <row r="44" spans="1:20" ht="16.2" customHeight="1" x14ac:dyDescent="0.25">
      <c r="A44" s="739" t="s">
        <v>420</v>
      </c>
      <c r="B44" s="561">
        <v>0.1</v>
      </c>
      <c r="C44" s="612">
        <v>2.5</v>
      </c>
      <c r="D44" s="536">
        <v>1000</v>
      </c>
      <c r="E44" s="814"/>
      <c r="F44" s="815"/>
      <c r="G44" s="814"/>
      <c r="H44" s="815"/>
      <c r="I44" s="814"/>
      <c r="J44" s="815"/>
      <c r="K44" s="776"/>
      <c r="L44" s="814" t="s">
        <v>421</v>
      </c>
      <c r="M44" s="815"/>
      <c r="N44" s="775" t="s">
        <v>413</v>
      </c>
      <c r="O44" s="742"/>
      <c r="P44" s="742"/>
      <c r="Q44" s="742"/>
      <c r="R44" s="603"/>
      <c r="S44" s="373"/>
      <c r="T44" s="373"/>
    </row>
    <row r="45" spans="1:20" ht="16.2" customHeight="1" x14ac:dyDescent="0.25">
      <c r="A45" s="741">
        <v>0.10416666666666667</v>
      </c>
      <c r="B45" s="742">
        <v>0.125</v>
      </c>
      <c r="C45" s="542">
        <v>3.18</v>
      </c>
      <c r="D45" s="450"/>
      <c r="E45" s="814"/>
      <c r="F45" s="815"/>
      <c r="G45" s="814"/>
      <c r="H45" s="815"/>
      <c r="I45" s="814"/>
      <c r="J45" s="815"/>
      <c r="K45" s="776"/>
      <c r="L45" s="754"/>
      <c r="M45" s="754"/>
      <c r="N45" s="754"/>
      <c r="O45" s="754"/>
      <c r="P45" s="754"/>
      <c r="Q45" s="755"/>
      <c r="R45" s="603"/>
      <c r="S45" s="373"/>
      <c r="T45" s="373"/>
    </row>
    <row r="46" spans="1:20" ht="16.2" customHeight="1" x14ac:dyDescent="0.25">
      <c r="A46" s="741">
        <v>0.125</v>
      </c>
      <c r="B46" s="742">
        <v>0.15</v>
      </c>
      <c r="C46" s="542">
        <v>3.8</v>
      </c>
      <c r="D46" s="450"/>
      <c r="E46" s="814"/>
      <c r="F46" s="815"/>
      <c r="G46" s="814"/>
      <c r="H46" s="815"/>
      <c r="I46" s="814"/>
      <c r="J46" s="815"/>
      <c r="K46" s="776"/>
      <c r="L46" s="818" t="s">
        <v>422</v>
      </c>
      <c r="M46" s="819"/>
      <c r="N46" s="820"/>
      <c r="O46" s="821" t="s">
        <v>423</v>
      </c>
      <c r="P46" s="821"/>
      <c r="Q46" s="821"/>
      <c r="R46" s="603"/>
      <c r="S46" s="373"/>
      <c r="T46" s="373"/>
    </row>
    <row r="47" spans="1:20" ht="16.2" customHeight="1" x14ac:dyDescent="0.25">
      <c r="A47" s="741">
        <v>0.14583333333333334</v>
      </c>
      <c r="B47" s="742">
        <v>0.17499999999999999</v>
      </c>
      <c r="C47" s="542">
        <v>4.45</v>
      </c>
      <c r="D47" s="450"/>
      <c r="E47" s="814"/>
      <c r="F47" s="815"/>
      <c r="G47" s="814"/>
      <c r="H47" s="815"/>
      <c r="I47" s="814"/>
      <c r="J47" s="815"/>
      <c r="K47" s="776"/>
      <c r="L47" s="810" t="s">
        <v>424</v>
      </c>
      <c r="M47" s="811"/>
      <c r="N47" s="812"/>
      <c r="O47" s="813"/>
      <c r="P47" s="813"/>
      <c r="Q47" s="813"/>
      <c r="R47" s="603"/>
      <c r="S47" s="373"/>
      <c r="T47" s="373"/>
    </row>
    <row r="48" spans="1:20" ht="16.2" customHeight="1" x14ac:dyDescent="0.25">
      <c r="A48" s="743">
        <v>0.16666666666666666</v>
      </c>
      <c r="B48" s="561">
        <v>0.2</v>
      </c>
      <c r="C48" s="612">
        <v>5.0999999999999996</v>
      </c>
      <c r="D48" s="536">
        <v>1500</v>
      </c>
      <c r="E48" s="814"/>
      <c r="F48" s="815"/>
      <c r="G48" s="814"/>
      <c r="H48" s="815"/>
      <c r="I48" s="814"/>
      <c r="J48" s="815"/>
      <c r="K48" s="776"/>
      <c r="L48" s="810" t="s">
        <v>425</v>
      </c>
      <c r="M48" s="811"/>
      <c r="N48" s="812"/>
      <c r="O48" s="813"/>
      <c r="P48" s="813"/>
      <c r="Q48" s="813"/>
      <c r="R48" s="603"/>
      <c r="S48" s="373"/>
      <c r="T48" s="373"/>
    </row>
    <row r="49" spans="1:20" ht="16.2" customHeight="1" x14ac:dyDescent="0.25">
      <c r="A49" s="741">
        <v>0.25</v>
      </c>
      <c r="B49" s="742">
        <v>0.3</v>
      </c>
      <c r="C49" s="542">
        <v>7.6</v>
      </c>
      <c r="D49" s="450"/>
      <c r="E49" s="814"/>
      <c r="F49" s="815"/>
      <c r="G49" s="814"/>
      <c r="H49" s="815"/>
      <c r="I49" s="814"/>
      <c r="J49" s="815"/>
      <c r="K49" s="780"/>
      <c r="L49" s="810" t="s">
        <v>426</v>
      </c>
      <c r="M49" s="811"/>
      <c r="N49" s="812"/>
      <c r="O49" s="813"/>
      <c r="P49" s="813"/>
      <c r="Q49" s="813"/>
      <c r="R49" s="603"/>
      <c r="S49" s="373"/>
      <c r="T49" s="373"/>
    </row>
    <row r="50" spans="1:20" ht="16.2" customHeight="1" x14ac:dyDescent="0.25">
      <c r="A50" s="741">
        <v>0.33333333333333331</v>
      </c>
      <c r="B50" s="742">
        <v>0.4</v>
      </c>
      <c r="C50" s="542">
        <v>10</v>
      </c>
      <c r="D50" s="450"/>
      <c r="E50" s="814"/>
      <c r="F50" s="815"/>
      <c r="G50" s="814"/>
      <c r="H50" s="815"/>
      <c r="I50" s="814"/>
      <c r="J50" s="815"/>
      <c r="K50" s="780"/>
      <c r="L50" s="777" t="s">
        <v>427</v>
      </c>
      <c r="M50" s="778"/>
      <c r="N50" s="779"/>
      <c r="O50" s="813"/>
      <c r="P50" s="813"/>
      <c r="Q50" s="813"/>
      <c r="R50" s="603"/>
      <c r="S50" s="373"/>
      <c r="T50" s="373"/>
    </row>
    <row r="51" spans="1:20" ht="16.2" customHeight="1" x14ac:dyDescent="0.25">
      <c r="A51" s="741">
        <v>0.41666666666666669</v>
      </c>
      <c r="B51" s="742">
        <v>0.5</v>
      </c>
      <c r="C51" s="542">
        <v>13</v>
      </c>
      <c r="D51" s="450"/>
      <c r="E51" s="814"/>
      <c r="F51" s="815"/>
      <c r="G51" s="814"/>
      <c r="H51" s="815"/>
      <c r="I51" s="814"/>
      <c r="J51" s="815"/>
      <c r="K51" s="781"/>
      <c r="L51" s="777" t="s">
        <v>428</v>
      </c>
      <c r="M51" s="778"/>
      <c r="N51" s="779"/>
      <c r="O51" s="813"/>
      <c r="P51" s="813"/>
      <c r="Q51" s="813"/>
      <c r="R51" s="603"/>
      <c r="S51" s="373"/>
      <c r="T51" s="373"/>
    </row>
    <row r="52" spans="1:20" ht="16.2" customHeight="1" x14ac:dyDescent="0.25">
      <c r="A52" s="336"/>
      <c r="B52" s="762"/>
      <c r="C52" s="762"/>
      <c r="D52" s="782"/>
      <c r="E52" s="762"/>
      <c r="F52" s="762"/>
      <c r="G52" s="762"/>
      <c r="H52" s="762"/>
      <c r="I52" s="783"/>
      <c r="J52" s="762"/>
      <c r="K52" s="126"/>
      <c r="L52" s="810" t="s">
        <v>429</v>
      </c>
      <c r="M52" s="811"/>
      <c r="N52" s="812"/>
      <c r="O52" s="813"/>
      <c r="P52" s="813"/>
      <c r="Q52" s="813"/>
      <c r="S52" s="373"/>
      <c r="T52" s="373"/>
    </row>
    <row r="53" spans="1:20" ht="16.2" customHeight="1" x14ac:dyDescent="0.25">
      <c r="A53" s="784" t="s">
        <v>430</v>
      </c>
      <c r="B53" s="785"/>
      <c r="C53" s="785"/>
      <c r="D53" s="786"/>
      <c r="E53" s="814"/>
      <c r="F53" s="815"/>
      <c r="G53" s="814"/>
      <c r="H53" s="815"/>
      <c r="I53" s="816"/>
      <c r="J53" s="817"/>
      <c r="K53" s="188"/>
      <c r="L53" s="810" t="s">
        <v>431</v>
      </c>
      <c r="M53" s="811"/>
      <c r="N53" s="812"/>
      <c r="O53" s="813"/>
      <c r="P53" s="813"/>
      <c r="Q53" s="813"/>
      <c r="S53" s="373"/>
      <c r="T53" s="373"/>
    </row>
    <row r="54" spans="1:20" ht="16.2" customHeight="1" x14ac:dyDescent="0.25">
      <c r="A54" s="126"/>
      <c r="B54" s="126"/>
      <c r="C54" s="126"/>
      <c r="D54" s="127"/>
      <c r="E54" s="126"/>
      <c r="F54" s="126"/>
      <c r="G54" s="126"/>
      <c r="H54" s="126"/>
      <c r="I54" s="767"/>
      <c r="J54" s="126"/>
      <c r="K54" s="126"/>
      <c r="L54" s="126"/>
      <c r="M54" s="126"/>
      <c r="N54" s="126"/>
      <c r="O54" s="126"/>
      <c r="P54" s="126"/>
      <c r="Q54" s="126"/>
      <c r="S54" s="373"/>
      <c r="T54" s="373"/>
    </row>
    <row r="55" spans="1:20" ht="15.6" customHeight="1" x14ac:dyDescent="0.25">
      <c r="A55" s="336"/>
      <c r="B55" s="762"/>
      <c r="C55" s="762"/>
      <c r="D55" s="782"/>
      <c r="E55" s="762"/>
      <c r="F55" s="762"/>
      <c r="G55" s="762"/>
      <c r="H55" s="762"/>
      <c r="I55" s="783"/>
      <c r="J55" s="762"/>
      <c r="K55" s="762"/>
      <c r="L55" s="782"/>
      <c r="M55" s="762"/>
      <c r="N55" s="762"/>
      <c r="O55" s="762"/>
      <c r="P55" s="762"/>
      <c r="Q55" s="787"/>
      <c r="S55" s="373"/>
      <c r="T55" s="373"/>
    </row>
    <row r="56" spans="1:20" ht="15.75" customHeight="1" x14ac:dyDescent="0.25">
      <c r="A56" s="788" t="s">
        <v>159</v>
      </c>
      <c r="B56" s="138"/>
      <c r="C56" s="138"/>
      <c r="D56" s="789" t="s">
        <v>432</v>
      </c>
      <c r="E56" s="138"/>
      <c r="F56" s="138"/>
      <c r="G56" s="138"/>
      <c r="H56" s="138"/>
      <c r="I56" s="790"/>
      <c r="J56" s="138"/>
      <c r="K56" s="138"/>
      <c r="L56" s="789"/>
      <c r="M56" s="138"/>
      <c r="N56" s="138"/>
      <c r="O56" s="138"/>
      <c r="P56" s="138"/>
      <c r="Q56" s="142"/>
      <c r="S56" s="373"/>
      <c r="T56" s="373"/>
    </row>
    <row r="57" spans="1:20" ht="15.75" customHeight="1" x14ac:dyDescent="0.25">
      <c r="A57" s="791"/>
      <c r="B57" s="762"/>
      <c r="C57" s="762"/>
      <c r="D57" s="782"/>
      <c r="E57" s="762"/>
      <c r="F57" s="762"/>
      <c r="G57" s="762"/>
      <c r="H57" s="762"/>
      <c r="I57" s="783"/>
      <c r="J57" s="762"/>
      <c r="K57" s="762"/>
      <c r="L57" s="782"/>
      <c r="M57" s="762"/>
      <c r="N57" s="762"/>
      <c r="O57" s="762"/>
      <c r="P57" s="762"/>
      <c r="Q57" s="787"/>
      <c r="S57" s="373"/>
      <c r="T57" s="373"/>
    </row>
    <row r="58" spans="1:20" ht="15.75" customHeight="1" x14ac:dyDescent="0.2"/>
    <row r="59" spans="1:20" ht="15.75" customHeight="1" x14ac:dyDescent="0.2"/>
    <row r="60" spans="1:20" ht="15.75" customHeight="1" x14ac:dyDescent="0.2">
      <c r="A60" s="744" t="s">
        <v>433</v>
      </c>
      <c r="B60" s="792"/>
      <c r="C60" s="792"/>
      <c r="D60" s="792"/>
      <c r="E60" s="792"/>
      <c r="F60" s="792"/>
      <c r="G60" s="792"/>
      <c r="H60" s="792"/>
      <c r="I60" s="792"/>
      <c r="J60" s="792"/>
      <c r="K60" s="792"/>
      <c r="L60" s="792"/>
      <c r="M60" s="792"/>
      <c r="N60" s="792"/>
      <c r="O60" s="792"/>
    </row>
    <row r="61" spans="1:20" ht="15.75" customHeight="1" x14ac:dyDescent="0.2">
      <c r="A61" s="744" t="s">
        <v>434</v>
      </c>
      <c r="B61" s="792"/>
      <c r="C61" s="792"/>
      <c r="D61" s="792"/>
      <c r="E61" s="744"/>
      <c r="F61" s="744" t="s">
        <v>435</v>
      </c>
      <c r="G61" s="792"/>
      <c r="I61" s="792"/>
      <c r="J61" s="792"/>
      <c r="K61" s="792"/>
      <c r="L61" s="792"/>
      <c r="M61" s="792"/>
      <c r="N61" s="792"/>
      <c r="O61" s="792"/>
    </row>
    <row r="62" spans="1:20" ht="7.2" customHeight="1" x14ac:dyDescent="0.2"/>
    <row r="63" spans="1:20" ht="30.75" customHeight="1" x14ac:dyDescent="0.2">
      <c r="A63" s="809" t="s">
        <v>436</v>
      </c>
      <c r="B63" s="809"/>
      <c r="C63" s="809"/>
      <c r="D63" s="809"/>
      <c r="E63" s="809"/>
      <c r="F63" s="809"/>
      <c r="G63" s="809"/>
      <c r="H63" s="809"/>
      <c r="I63" s="809"/>
      <c r="J63" s="809"/>
      <c r="K63" s="809"/>
      <c r="L63" s="809"/>
      <c r="M63" s="809"/>
      <c r="N63" s="809"/>
      <c r="O63" s="809"/>
      <c r="P63" s="809"/>
      <c r="Q63" s="809"/>
    </row>
    <row r="64" spans="1:20" ht="15.9" customHeight="1" x14ac:dyDescent="0.2"/>
    <row r="65" ht="15.9" customHeight="1" x14ac:dyDescent="0.2"/>
  </sheetData>
  <protectedRanges>
    <protectedRange sqref="C10 C13" name="Rango3_3_1_1_1_1_1_1_1_1"/>
    <protectedRange sqref="C8:C9" name="Rango3_3_1_1_1_1_1_2_1"/>
  </protectedRanges>
  <mergeCells count="168">
    <mergeCell ref="D9:E9"/>
    <mergeCell ref="F9:G9"/>
    <mergeCell ref="H9:J9"/>
    <mergeCell ref="K9:N9"/>
    <mergeCell ref="A11:Q11"/>
    <mergeCell ref="A12:Q12"/>
    <mergeCell ref="D2:Q2"/>
    <mergeCell ref="D3:Q3"/>
    <mergeCell ref="D8:E8"/>
    <mergeCell ref="F8:G8"/>
    <mergeCell ref="H8:J8"/>
    <mergeCell ref="K8:N8"/>
    <mergeCell ref="G19:H19"/>
    <mergeCell ref="E20:Q20"/>
    <mergeCell ref="A21:C21"/>
    <mergeCell ref="D21:G21"/>
    <mergeCell ref="H21:K21"/>
    <mergeCell ref="L21:Q21"/>
    <mergeCell ref="E14:F14"/>
    <mergeCell ref="O14:P14"/>
    <mergeCell ref="E15:F15"/>
    <mergeCell ref="O15:P15"/>
    <mergeCell ref="O16:P16"/>
    <mergeCell ref="O17:P17"/>
    <mergeCell ref="A25:C25"/>
    <mergeCell ref="D25:G25"/>
    <mergeCell ref="H25:K25"/>
    <mergeCell ref="L25:Q25"/>
    <mergeCell ref="A26:C26"/>
    <mergeCell ref="D26:G26"/>
    <mergeCell ref="H26:K26"/>
    <mergeCell ref="L26:Q26"/>
    <mergeCell ref="O22:Q22"/>
    <mergeCell ref="A23:C23"/>
    <mergeCell ref="D23:G23"/>
    <mergeCell ref="H23:K23"/>
    <mergeCell ref="L23:Q23"/>
    <mergeCell ref="A24:C24"/>
    <mergeCell ref="D24:G24"/>
    <mergeCell ref="H24:K24"/>
    <mergeCell ref="L24:Q24"/>
    <mergeCell ref="A22:C22"/>
    <mergeCell ref="D22:E22"/>
    <mergeCell ref="F22:G22"/>
    <mergeCell ref="H22:I22"/>
    <mergeCell ref="J22:K22"/>
    <mergeCell ref="L22:N22"/>
    <mergeCell ref="O27:Q27"/>
    <mergeCell ref="A28:Q28"/>
    <mergeCell ref="A29:C29"/>
    <mergeCell ref="D29:E29"/>
    <mergeCell ref="F29:G29"/>
    <mergeCell ref="H29:I29"/>
    <mergeCell ref="J29:K29"/>
    <mergeCell ref="L29:N29"/>
    <mergeCell ref="O29:Q29"/>
    <mergeCell ref="A27:C27"/>
    <mergeCell ref="D27:E27"/>
    <mergeCell ref="F27:G27"/>
    <mergeCell ref="H27:I27"/>
    <mergeCell ref="J27:K27"/>
    <mergeCell ref="L27:N27"/>
    <mergeCell ref="O30:Q30"/>
    <mergeCell ref="A31:C31"/>
    <mergeCell ref="D31:E31"/>
    <mergeCell ref="F31:G31"/>
    <mergeCell ref="H31:I31"/>
    <mergeCell ref="J31:K31"/>
    <mergeCell ref="L31:N31"/>
    <mergeCell ref="O31:Q31"/>
    <mergeCell ref="A30:C30"/>
    <mergeCell ref="D30:E30"/>
    <mergeCell ref="F30:G30"/>
    <mergeCell ref="H30:I30"/>
    <mergeCell ref="J30:K30"/>
    <mergeCell ref="L30:N30"/>
    <mergeCell ref="O32:Q32"/>
    <mergeCell ref="A33:C33"/>
    <mergeCell ref="D33:E33"/>
    <mergeCell ref="F33:G33"/>
    <mergeCell ref="H33:I33"/>
    <mergeCell ref="J33:K33"/>
    <mergeCell ref="L33:N33"/>
    <mergeCell ref="O33:Q33"/>
    <mergeCell ref="A32:C32"/>
    <mergeCell ref="D32:E32"/>
    <mergeCell ref="F32:G32"/>
    <mergeCell ref="H32:I32"/>
    <mergeCell ref="J32:K32"/>
    <mergeCell ref="L32:N32"/>
    <mergeCell ref="L38:M39"/>
    <mergeCell ref="N38:N39"/>
    <mergeCell ref="O39:Q39"/>
    <mergeCell ref="E40:F40"/>
    <mergeCell ref="G40:H40"/>
    <mergeCell ref="I40:J40"/>
    <mergeCell ref="L40:M40"/>
    <mergeCell ref="O34:Q34"/>
    <mergeCell ref="A37:A39"/>
    <mergeCell ref="B37:C37"/>
    <mergeCell ref="E37:J37"/>
    <mergeCell ref="L37:Q37"/>
    <mergeCell ref="B38:B39"/>
    <mergeCell ref="C38:C39"/>
    <mergeCell ref="E38:F39"/>
    <mergeCell ref="G38:H39"/>
    <mergeCell ref="I38:J39"/>
    <mergeCell ref="A34:C34"/>
    <mergeCell ref="D34:E34"/>
    <mergeCell ref="F34:G34"/>
    <mergeCell ref="H34:I34"/>
    <mergeCell ref="J34:K34"/>
    <mergeCell ref="L34:N34"/>
    <mergeCell ref="E43:F43"/>
    <mergeCell ref="G43:H43"/>
    <mergeCell ref="I43:J43"/>
    <mergeCell ref="L43:M43"/>
    <mergeCell ref="E44:F44"/>
    <mergeCell ref="G44:H44"/>
    <mergeCell ref="I44:J44"/>
    <mergeCell ref="L44:M44"/>
    <mergeCell ref="E41:F41"/>
    <mergeCell ref="G41:H41"/>
    <mergeCell ref="I41:J41"/>
    <mergeCell ref="L41:M41"/>
    <mergeCell ref="E42:F42"/>
    <mergeCell ref="G42:H42"/>
    <mergeCell ref="I42:J42"/>
    <mergeCell ref="L42:M42"/>
    <mergeCell ref="L46:N46"/>
    <mergeCell ref="O46:Q46"/>
    <mergeCell ref="E47:F47"/>
    <mergeCell ref="G47:H47"/>
    <mergeCell ref="I47:J47"/>
    <mergeCell ref="L47:N47"/>
    <mergeCell ref="O47:Q47"/>
    <mergeCell ref="E45:F45"/>
    <mergeCell ref="G45:H45"/>
    <mergeCell ref="I45:J45"/>
    <mergeCell ref="E46:F46"/>
    <mergeCell ref="G46:H46"/>
    <mergeCell ref="I46:J46"/>
    <mergeCell ref="E48:F48"/>
    <mergeCell ref="G48:H48"/>
    <mergeCell ref="I48:J48"/>
    <mergeCell ref="L48:N48"/>
    <mergeCell ref="O48:Q48"/>
    <mergeCell ref="E49:F49"/>
    <mergeCell ref="G49:H49"/>
    <mergeCell ref="I49:J49"/>
    <mergeCell ref="L49:N49"/>
    <mergeCell ref="O49:Q49"/>
    <mergeCell ref="A63:Q63"/>
    <mergeCell ref="L52:N52"/>
    <mergeCell ref="O52:Q52"/>
    <mergeCell ref="E53:F53"/>
    <mergeCell ref="G53:H53"/>
    <mergeCell ref="I53:J53"/>
    <mergeCell ref="L53:N53"/>
    <mergeCell ref="O53:Q53"/>
    <mergeCell ref="E50:F50"/>
    <mergeCell ref="G50:H50"/>
    <mergeCell ref="I50:J50"/>
    <mergeCell ref="O50:Q50"/>
    <mergeCell ref="E51:F51"/>
    <mergeCell ref="G51:H51"/>
    <mergeCell ref="I51:J51"/>
    <mergeCell ref="O51:Q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9C06-00F1-480B-920A-06EF659D639E}">
  <sheetPr>
    <tabColor rgb="FFC00000"/>
  </sheetPr>
  <dimension ref="A1:V97"/>
  <sheetViews>
    <sheetView showGridLines="0" showWhiteSpace="0" view="pageBreakPreview" zoomScaleNormal="100" zoomScaleSheetLayoutView="100" workbookViewId="0">
      <selection activeCell="R8" sqref="R8"/>
    </sheetView>
  </sheetViews>
  <sheetFormatPr baseColWidth="10" defaultColWidth="11.44140625" defaultRowHeight="15" customHeight="1" x14ac:dyDescent="0.25"/>
  <cols>
    <col min="1" max="1" width="11" style="106" customWidth="1"/>
    <col min="2" max="2" width="3.109375" style="106" customWidth="1"/>
    <col min="3" max="3" width="4.6640625" style="106" customWidth="1"/>
    <col min="4" max="4" width="5.44140625" style="106" customWidth="1"/>
    <col min="5" max="5" width="5.33203125" style="106" customWidth="1"/>
    <col min="6" max="12" width="6.109375" style="106" customWidth="1"/>
    <col min="13" max="13" width="8.44140625" style="106" customWidth="1"/>
    <col min="14" max="14" width="9" style="106" customWidth="1"/>
    <col min="15" max="15" width="2.109375" style="106" customWidth="1"/>
    <col min="16" max="16" width="8.88671875" style="106" customWidth="1"/>
    <col min="17" max="17" width="4.5546875" style="106" customWidth="1"/>
    <col min="18" max="18" width="10" style="2" customWidth="1"/>
    <col min="19" max="19" width="16.33203125" style="2" customWidth="1"/>
    <col min="20" max="16384" width="11.44140625" style="2"/>
  </cols>
  <sheetData>
    <row r="1" spans="1:18" ht="12" customHeight="1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8" ht="12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18" ht="10.5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8" ht="10.5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8" ht="7.5" customHeight="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</row>
    <row r="6" spans="1:18" ht="7.5" customHeight="1" x14ac:dyDescent="0.25">
      <c r="A6" s="96"/>
      <c r="B6" s="96"/>
      <c r="C6" s="97"/>
      <c r="D6" s="97"/>
      <c r="E6" s="96"/>
      <c r="F6" s="97"/>
      <c r="G6" s="97"/>
      <c r="H6" s="97"/>
      <c r="I6" s="97"/>
      <c r="J6" s="97"/>
      <c r="K6" s="97"/>
      <c r="L6" s="97"/>
      <c r="M6" s="97"/>
      <c r="N6" s="96"/>
      <c r="O6" s="97"/>
      <c r="P6" s="97"/>
      <c r="Q6" s="97"/>
    </row>
    <row r="7" spans="1:18" ht="15.75" customHeight="1" x14ac:dyDescent="0.25">
      <c r="A7" s="887" t="s">
        <v>7</v>
      </c>
      <c r="B7" s="887"/>
      <c r="C7" s="887"/>
      <c r="D7" s="887"/>
      <c r="E7" s="887"/>
      <c r="F7" s="887"/>
      <c r="G7" s="887"/>
      <c r="H7" s="887"/>
      <c r="I7" s="887"/>
      <c r="J7" s="887"/>
      <c r="K7" s="887"/>
      <c r="L7" s="887"/>
      <c r="M7" s="887"/>
      <c r="N7" s="887"/>
      <c r="O7" s="887"/>
      <c r="P7" s="887"/>
      <c r="Q7" s="887"/>
    </row>
    <row r="8" spans="1:18" ht="15.75" customHeight="1" x14ac:dyDescent="0.25">
      <c r="A8" s="888">
        <v>0</v>
      </c>
      <c r="B8" s="888"/>
      <c r="C8" s="888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888"/>
      <c r="O8" s="888"/>
      <c r="P8" s="888"/>
      <c r="Q8" s="888"/>
      <c r="R8" s="3"/>
    </row>
    <row r="9" spans="1:18" ht="15.75" customHeight="1" x14ac:dyDescent="0.25">
      <c r="A9" s="98"/>
      <c r="B9" s="99"/>
      <c r="C9" s="100"/>
      <c r="D9" s="100"/>
      <c r="E9" s="101"/>
      <c r="F9" s="102"/>
      <c r="G9" s="103"/>
      <c r="H9" s="103"/>
      <c r="I9" s="102"/>
      <c r="J9" s="102"/>
      <c r="K9" s="102"/>
      <c r="L9" s="102"/>
      <c r="M9" s="102"/>
      <c r="N9" s="102"/>
      <c r="O9" s="102"/>
      <c r="P9" s="104"/>
      <c r="Q9" s="104"/>
      <c r="R9" s="5"/>
    </row>
    <row r="10" spans="1:18" ht="13.95" customHeight="1" x14ac:dyDescent="0.25">
      <c r="A10" s="18" t="s">
        <v>13</v>
      </c>
      <c r="B10" s="19" t="s">
        <v>0</v>
      </c>
      <c r="C10" s="874">
        <f>+FORMATO!U2</f>
        <v>0</v>
      </c>
      <c r="D10" s="874"/>
      <c r="E10" s="874"/>
      <c r="F10" s="874"/>
      <c r="G10" s="874"/>
      <c r="H10" s="874"/>
      <c r="I10" s="874"/>
      <c r="J10" s="874"/>
      <c r="K10" s="874"/>
      <c r="L10" s="874"/>
      <c r="M10" s="874"/>
      <c r="N10" s="21" t="s">
        <v>6</v>
      </c>
      <c r="O10" s="22" t="s">
        <v>0</v>
      </c>
      <c r="P10" s="20" t="s">
        <v>158</v>
      </c>
      <c r="Q10" s="20"/>
      <c r="R10" s="6"/>
    </row>
    <row r="11" spans="1:18" ht="17.399999999999999" customHeight="1" x14ac:dyDescent="0.25">
      <c r="A11" s="18" t="s">
        <v>14</v>
      </c>
      <c r="B11" s="19" t="s">
        <v>0</v>
      </c>
      <c r="C11" s="874">
        <f>+FORMATO!U3</f>
        <v>0</v>
      </c>
      <c r="D11" s="874"/>
      <c r="E11" s="874"/>
      <c r="F11" s="874"/>
      <c r="G11" s="874"/>
      <c r="H11" s="874"/>
      <c r="I11" s="874"/>
      <c r="J11" s="874"/>
      <c r="K11" s="874"/>
      <c r="L11" s="874"/>
      <c r="M11" s="874"/>
      <c r="N11" s="808" t="s">
        <v>156</v>
      </c>
      <c r="O11" s="19" t="s">
        <v>0</v>
      </c>
      <c r="P11" s="720">
        <f>+FORMATO!U7</f>
        <v>0</v>
      </c>
      <c r="Q11" s="105"/>
      <c r="R11" s="7"/>
    </row>
    <row r="12" spans="1:18" ht="13.95" customHeight="1" x14ac:dyDescent="0.25">
      <c r="A12" s="18" t="s">
        <v>15</v>
      </c>
      <c r="B12" s="19" t="s">
        <v>0</v>
      </c>
      <c r="C12" s="874">
        <f>+FORMATO!U4</f>
        <v>0</v>
      </c>
      <c r="D12" s="874"/>
      <c r="E12" s="874"/>
      <c r="F12" s="874"/>
      <c r="G12" s="874"/>
      <c r="H12" s="874"/>
      <c r="I12" s="874"/>
      <c r="J12" s="874"/>
      <c r="K12" s="874"/>
      <c r="L12" s="874"/>
      <c r="M12" s="874"/>
      <c r="N12" s="23" t="s">
        <v>157</v>
      </c>
      <c r="O12" s="19" t="s">
        <v>0</v>
      </c>
      <c r="P12" s="720">
        <f>+FORMATO!U9</f>
        <v>0</v>
      </c>
      <c r="Q12" s="8"/>
      <c r="R12" s="4"/>
    </row>
    <row r="13" spans="1:18" ht="13.95" customHeight="1" x14ac:dyDescent="0.25">
      <c r="A13" s="18" t="s">
        <v>17</v>
      </c>
      <c r="B13" s="19" t="s">
        <v>0</v>
      </c>
      <c r="C13" s="874">
        <f>+FORMATO!U5</f>
        <v>0</v>
      </c>
      <c r="D13" s="874"/>
      <c r="E13" s="874"/>
      <c r="F13" s="874"/>
      <c r="G13" s="874"/>
      <c r="H13" s="874"/>
      <c r="I13" s="874"/>
      <c r="J13" s="874"/>
      <c r="K13" s="874"/>
      <c r="L13" s="874"/>
      <c r="M13" s="874"/>
      <c r="N13" s="808" t="s">
        <v>16</v>
      </c>
      <c r="O13" s="19" t="s">
        <v>0</v>
      </c>
      <c r="P13" s="581">
        <f>+FORMATO!U8</f>
        <v>0</v>
      </c>
      <c r="Q13" s="9"/>
      <c r="R13" s="4"/>
    </row>
    <row r="14" spans="1:18" ht="10.199999999999999" customHeight="1" x14ac:dyDescent="0.25">
      <c r="A14" s="308" t="s">
        <v>18</v>
      </c>
      <c r="B14" s="19"/>
      <c r="C14" s="20"/>
      <c r="D14" s="20"/>
      <c r="F14" s="1"/>
      <c r="G14" s="1"/>
      <c r="H14" s="1"/>
      <c r="I14" s="1"/>
      <c r="N14" s="23"/>
      <c r="O14" s="19"/>
      <c r="P14" s="10"/>
      <c r="Q14" s="10"/>
      <c r="R14" s="4"/>
    </row>
    <row r="15" spans="1:18" ht="15" customHeight="1" x14ac:dyDescent="0.25">
      <c r="A15" s="889" t="s">
        <v>146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890"/>
      <c r="O15" s="890"/>
      <c r="P15" s="890"/>
      <c r="Q15" s="891"/>
      <c r="R15" s="4"/>
    </row>
    <row r="16" spans="1:18" ht="15" customHeight="1" x14ac:dyDescent="0.25">
      <c r="A16" s="876" t="s">
        <v>145</v>
      </c>
      <c r="B16" s="877"/>
      <c r="C16" s="877"/>
      <c r="D16" s="877"/>
      <c r="E16" s="877"/>
      <c r="F16" s="877"/>
      <c r="G16" s="877"/>
      <c r="H16" s="877"/>
      <c r="I16" s="877"/>
      <c r="J16" s="877"/>
      <c r="K16" s="877"/>
      <c r="L16" s="877"/>
      <c r="M16" s="877"/>
      <c r="N16" s="877"/>
      <c r="O16" s="877"/>
      <c r="P16" s="877"/>
      <c r="Q16" s="878"/>
      <c r="R16" s="4"/>
    </row>
    <row r="17" spans="1:22" ht="6" customHeight="1" x14ac:dyDescent="0.25">
      <c r="A17" s="24"/>
      <c r="B17" s="25"/>
      <c r="C17" s="25"/>
      <c r="D17" s="25"/>
      <c r="E17" s="2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4"/>
    </row>
    <row r="18" spans="1:22" ht="12.9" customHeight="1" x14ac:dyDescent="0.25">
      <c r="A18" s="27" t="s">
        <v>189</v>
      </c>
      <c r="B18" s="97"/>
      <c r="C18" s="97"/>
      <c r="D18" s="19" t="s">
        <v>0</v>
      </c>
      <c r="E18" s="1">
        <f>+FORMATO!U15</f>
        <v>0</v>
      </c>
      <c r="F18" s="2"/>
      <c r="G18" s="1"/>
      <c r="H18" s="1"/>
      <c r="I18" s="309"/>
      <c r="M18" s="97"/>
      <c r="N18" s="28" t="s">
        <v>8</v>
      </c>
      <c r="O18" s="22" t="s">
        <v>0</v>
      </c>
      <c r="P18" s="721">
        <f>+FORMATO!D9</f>
        <v>0</v>
      </c>
      <c r="Q18" s="203"/>
      <c r="R18" s="4"/>
    </row>
    <row r="19" spans="1:22" ht="12.9" customHeight="1" x14ac:dyDescent="0.25">
      <c r="A19" s="27" t="s">
        <v>188</v>
      </c>
      <c r="B19" s="97"/>
      <c r="C19" s="97"/>
      <c r="D19" s="19" t="s">
        <v>0</v>
      </c>
      <c r="E19" s="1">
        <f>+FORMATO!U16</f>
        <v>0</v>
      </c>
      <c r="F19" s="2"/>
      <c r="G19" s="1"/>
      <c r="H19" s="1"/>
      <c r="I19" s="309"/>
      <c r="M19" s="97"/>
      <c r="N19" s="28" t="s">
        <v>154</v>
      </c>
      <c r="O19" s="22" t="s">
        <v>0</v>
      </c>
      <c r="P19" s="581">
        <f>+FORMATO!U12</f>
        <v>0</v>
      </c>
      <c r="Q19" s="204"/>
      <c r="R19" s="4"/>
      <c r="T19" s="1"/>
    </row>
    <row r="20" spans="1:22" ht="12.9" customHeight="1" x14ac:dyDescent="0.25">
      <c r="A20" s="27" t="s">
        <v>187</v>
      </c>
      <c r="B20" s="97"/>
      <c r="C20" s="97"/>
      <c r="D20" s="19" t="s">
        <v>0</v>
      </c>
      <c r="E20" s="1">
        <f>+FORMATO!U17</f>
        <v>0</v>
      </c>
      <c r="F20" s="2"/>
      <c r="G20" s="1"/>
      <c r="H20" s="1"/>
      <c r="I20" s="309"/>
      <c r="M20" s="97"/>
      <c r="N20" s="28" t="s">
        <v>155</v>
      </c>
      <c r="O20" s="22" t="s">
        <v>0</v>
      </c>
      <c r="P20" s="581">
        <f>+FORMATO!U13</f>
        <v>0</v>
      </c>
      <c r="Q20" s="204"/>
      <c r="R20" s="4">
        <f>+FORMATO!H9</f>
        <v>0</v>
      </c>
    </row>
    <row r="21" spans="1:22" ht="12.9" customHeight="1" x14ac:dyDescent="0.25">
      <c r="A21" s="27" t="s">
        <v>152</v>
      </c>
      <c r="B21" s="97"/>
      <c r="C21" s="97"/>
      <c r="D21" s="19" t="s">
        <v>0</v>
      </c>
      <c r="E21" s="1" t="s">
        <v>309</v>
      </c>
      <c r="F21" s="2"/>
      <c r="G21" s="1"/>
      <c r="H21" s="1"/>
      <c r="I21" s="309"/>
      <c r="N21" s="28" t="s">
        <v>153</v>
      </c>
      <c r="O21" s="22" t="s">
        <v>0</v>
      </c>
      <c r="P21" s="30" t="str">
        <f>+DATOS!D2</f>
        <v>-</v>
      </c>
      <c r="Q21" s="94"/>
    </row>
    <row r="22" spans="1:22" ht="6" customHeight="1" x14ac:dyDescent="0.25">
      <c r="A22" s="107"/>
      <c r="B22" s="108"/>
      <c r="C22" s="108"/>
      <c r="D22" s="108"/>
      <c r="E22" s="109"/>
      <c r="F22" s="110"/>
      <c r="G22" s="110"/>
      <c r="H22" s="110"/>
      <c r="I22" s="110"/>
      <c r="J22" s="110"/>
      <c r="K22" s="110"/>
      <c r="L22" s="110"/>
      <c r="M22" s="108"/>
      <c r="N22" s="108"/>
      <c r="O22" s="109"/>
      <c r="P22" s="110"/>
      <c r="Q22" s="111"/>
    </row>
    <row r="23" spans="1:22" ht="7.5" customHeight="1" x14ac:dyDescent="0.25"/>
    <row r="24" spans="1:22" ht="12.9" customHeight="1" x14ac:dyDescent="0.25">
      <c r="A24" s="875" t="s">
        <v>151</v>
      </c>
      <c r="B24" s="875"/>
      <c r="C24" s="875"/>
      <c r="D24" s="875"/>
      <c r="E24" s="875"/>
      <c r="F24" s="875"/>
      <c r="G24" s="875"/>
      <c r="H24" s="875"/>
      <c r="I24" s="875"/>
      <c r="J24" s="875"/>
      <c r="K24" s="875"/>
      <c r="L24" s="875"/>
      <c r="M24" s="875"/>
      <c r="N24" s="875"/>
      <c r="O24" s="875"/>
      <c r="P24" s="875"/>
      <c r="Q24" s="875"/>
    </row>
    <row r="25" spans="1:22" ht="12.9" customHeight="1" x14ac:dyDescent="0.25">
      <c r="A25" s="93" t="s">
        <v>288</v>
      </c>
      <c r="B25" s="112"/>
      <c r="C25" s="113"/>
      <c r="D25" s="113"/>
      <c r="E25" s="114" t="s">
        <v>0</v>
      </c>
      <c r="F25" s="337">
        <f>+DATOS!J2</f>
        <v>0</v>
      </c>
      <c r="G25" s="115"/>
      <c r="H25" s="115"/>
      <c r="I25" s="115"/>
      <c r="J25" s="116"/>
      <c r="K25" s="116"/>
      <c r="L25" s="115"/>
      <c r="M25" s="115"/>
      <c r="N25" s="222" t="s">
        <v>115</v>
      </c>
      <c r="O25" s="223" t="s">
        <v>0</v>
      </c>
      <c r="P25" s="910" t="str">
        <f>+DATOS!D4</f>
        <v>-</v>
      </c>
      <c r="Q25" s="911"/>
    </row>
    <row r="26" spans="1:22" ht="12.9" customHeight="1" x14ac:dyDescent="0.25">
      <c r="A26" s="27" t="s">
        <v>40</v>
      </c>
      <c r="B26" s="97"/>
      <c r="C26" s="97"/>
      <c r="D26" s="97"/>
      <c r="E26" s="19" t="s">
        <v>0</v>
      </c>
      <c r="F26" s="30">
        <f>+DATOS!J3</f>
        <v>0</v>
      </c>
      <c r="N26" s="28" t="s">
        <v>116</v>
      </c>
      <c r="O26" s="22" t="s">
        <v>0</v>
      </c>
      <c r="P26" s="30" t="str">
        <f>+DATOS!D5</f>
        <v>-</v>
      </c>
      <c r="Q26" s="31"/>
    </row>
    <row r="27" spans="1:22" ht="12.9" customHeight="1" x14ac:dyDescent="0.25">
      <c r="A27" s="27" t="s">
        <v>39</v>
      </c>
      <c r="B27" s="97"/>
      <c r="C27" s="97"/>
      <c r="D27" s="97"/>
      <c r="E27" s="19" t="s">
        <v>0</v>
      </c>
      <c r="F27" s="338">
        <f>+DATOS!J4</f>
        <v>0</v>
      </c>
      <c r="H27" s="582"/>
      <c r="N27" s="28" t="s">
        <v>25</v>
      </c>
      <c r="O27" s="22" t="s">
        <v>0</v>
      </c>
      <c r="P27" s="30">
        <v>10</v>
      </c>
      <c r="Q27" s="31"/>
    </row>
    <row r="28" spans="1:22" ht="13.5" customHeight="1" x14ac:dyDescent="0.25">
      <c r="A28" s="26" t="s">
        <v>167</v>
      </c>
      <c r="B28" s="97"/>
      <c r="C28" s="97"/>
      <c r="D28" s="97"/>
      <c r="E28" s="19"/>
      <c r="F28" s="30"/>
      <c r="G28" s="117"/>
      <c r="H28" s="117"/>
      <c r="I28" s="117"/>
      <c r="J28" s="117"/>
      <c r="K28" s="117"/>
      <c r="L28" s="117"/>
      <c r="N28" s="2"/>
      <c r="O28" s="2"/>
      <c r="P28" s="2"/>
      <c r="Q28" s="31"/>
      <c r="S28" s="690"/>
      <c r="T28" s="691"/>
      <c r="U28" s="691"/>
      <c r="V28" s="692"/>
    </row>
    <row r="29" spans="1:22" ht="13.5" customHeight="1" x14ac:dyDescent="0.25">
      <c r="A29" s="226" t="s">
        <v>168</v>
      </c>
      <c r="B29" s="1"/>
      <c r="C29" s="1"/>
      <c r="D29" s="1"/>
      <c r="E29" s="1"/>
      <c r="F29" s="681" t="s">
        <v>98</v>
      </c>
      <c r="G29" s="1" t="s">
        <v>124</v>
      </c>
      <c r="H29" s="6"/>
      <c r="I29" s="6"/>
      <c r="J29" s="1" t="s">
        <v>126</v>
      </c>
      <c r="K29" s="583"/>
      <c r="L29" s="583"/>
      <c r="M29" s="1"/>
      <c r="N29" s="234" t="s">
        <v>98</v>
      </c>
      <c r="O29" s="20" t="s">
        <v>127</v>
      </c>
      <c r="P29" s="30"/>
      <c r="Q29" s="31"/>
      <c r="S29" s="225"/>
      <c r="T29" s="2" t="s">
        <v>129</v>
      </c>
      <c r="U29" s="2" t="s">
        <v>353</v>
      </c>
      <c r="V29" s="693"/>
    </row>
    <row r="30" spans="1:22" ht="13.5" customHeight="1" x14ac:dyDescent="0.25">
      <c r="A30" s="226" t="s">
        <v>123</v>
      </c>
      <c r="B30" s="20"/>
      <c r="C30" s="20"/>
      <c r="D30" s="20"/>
      <c r="E30" s="20"/>
      <c r="F30" s="681" t="s">
        <v>98</v>
      </c>
      <c r="G30" s="20" t="s">
        <v>125</v>
      </c>
      <c r="H30" s="6"/>
      <c r="I30" s="6"/>
      <c r="J30" s="1" t="s">
        <v>128</v>
      </c>
      <c r="K30" s="583"/>
      <c r="L30" s="583"/>
      <c r="M30" s="1"/>
      <c r="N30" s="685" t="s">
        <v>98</v>
      </c>
      <c r="O30" s="20" t="s">
        <v>129</v>
      </c>
      <c r="P30" s="30"/>
      <c r="Q30" s="31"/>
      <c r="S30" s="225"/>
      <c r="T30" s="2" t="s">
        <v>351</v>
      </c>
      <c r="U30" s="2" t="s">
        <v>352</v>
      </c>
      <c r="V30" s="693"/>
    </row>
    <row r="31" spans="1:22" ht="13.5" customHeight="1" x14ac:dyDescent="0.25">
      <c r="A31" s="227" t="s">
        <v>130</v>
      </c>
      <c r="B31" s="228"/>
      <c r="C31" s="228"/>
      <c r="D31" s="228"/>
      <c r="E31" s="228"/>
      <c r="F31" s="228"/>
      <c r="G31" s="228"/>
      <c r="H31" s="228"/>
      <c r="I31" s="228"/>
      <c r="J31" s="229"/>
      <c r="K31" s="229"/>
      <c r="L31" s="229"/>
      <c r="M31" s="229"/>
      <c r="N31" s="229"/>
      <c r="O31" s="229"/>
      <c r="P31" s="229"/>
      <c r="Q31" s="224"/>
      <c r="S31" s="694"/>
      <c r="T31" s="695"/>
      <c r="U31" s="695"/>
      <c r="V31" s="696"/>
    </row>
    <row r="32" spans="1:22" ht="8.25" customHeight="1" x14ac:dyDescent="0.25">
      <c r="A32" s="22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11"/>
      <c r="S32" s="584"/>
    </row>
    <row r="33" spans="1:19" ht="15.75" customHeight="1" x14ac:dyDescent="0.25">
      <c r="A33" s="875" t="s">
        <v>121</v>
      </c>
      <c r="B33" s="875"/>
      <c r="C33" s="875"/>
      <c r="D33" s="875"/>
      <c r="E33" s="875"/>
      <c r="F33" s="875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S33" s="584"/>
    </row>
    <row r="34" spans="1:19" s="6" customFormat="1" ht="15.75" customHeight="1" x14ac:dyDescent="0.25">
      <c r="A34" s="912" t="s">
        <v>30</v>
      </c>
      <c r="B34" s="912"/>
      <c r="C34" s="912"/>
      <c r="D34" s="912"/>
      <c r="E34" s="912"/>
      <c r="F34" s="903">
        <f>+DATOS!D15</f>
        <v>56</v>
      </c>
      <c r="G34" s="903"/>
      <c r="H34" s="903"/>
      <c r="I34" s="903"/>
      <c r="J34" s="903">
        <f>+DATOS!H15</f>
        <v>25</v>
      </c>
      <c r="K34" s="903"/>
      <c r="L34" s="903"/>
      <c r="M34" s="903"/>
      <c r="N34" s="903">
        <f>+DATOS!L15</f>
        <v>10</v>
      </c>
      <c r="O34" s="903"/>
      <c r="P34" s="903"/>
      <c r="Q34" s="903"/>
      <c r="R34" s="13"/>
      <c r="S34" s="584"/>
    </row>
    <row r="35" spans="1:19" s="6" customFormat="1" ht="15.75" customHeight="1" x14ac:dyDescent="0.25">
      <c r="A35" s="900" t="s">
        <v>117</v>
      </c>
      <c r="B35" s="901"/>
      <c r="C35" s="901"/>
      <c r="D35" s="901"/>
      <c r="E35" s="902"/>
      <c r="F35" s="883" t="str">
        <f>+DATOS!D6</f>
        <v>-</v>
      </c>
      <c r="G35" s="884"/>
      <c r="H35" s="884"/>
      <c r="I35" s="885"/>
      <c r="J35" s="883" t="str">
        <f>+DATOS!D6</f>
        <v>-</v>
      </c>
      <c r="K35" s="884"/>
      <c r="L35" s="884"/>
      <c r="M35" s="885"/>
      <c r="N35" s="883" t="str">
        <f>+DATOS!D6</f>
        <v>-</v>
      </c>
      <c r="O35" s="884"/>
      <c r="P35" s="884"/>
      <c r="Q35" s="885"/>
      <c r="S35" s="584"/>
    </row>
    <row r="36" spans="1:19" s="6" customFormat="1" ht="15.75" customHeight="1" x14ac:dyDescent="0.25">
      <c r="A36" s="230" t="s">
        <v>131</v>
      </c>
      <c r="B36" s="230"/>
      <c r="C36" s="230"/>
      <c r="D36" s="575"/>
      <c r="E36" s="231" t="s">
        <v>97</v>
      </c>
      <c r="F36" s="879" t="e">
        <f>+DATOS!E23</f>
        <v>#N/A</v>
      </c>
      <c r="G36" s="879"/>
      <c r="H36" s="879"/>
      <c r="I36" s="879"/>
      <c r="J36" s="879" t="e">
        <f>+DATOS!I23</f>
        <v>#N/A</v>
      </c>
      <c r="K36" s="879"/>
      <c r="L36" s="879"/>
      <c r="M36" s="879"/>
      <c r="N36" s="879" t="e">
        <f>+DATOS!M23</f>
        <v>#N/A</v>
      </c>
      <c r="O36" s="879"/>
      <c r="P36" s="879"/>
      <c r="Q36" s="879"/>
      <c r="R36" s="6" t="s">
        <v>118</v>
      </c>
      <c r="S36" s="584"/>
    </row>
    <row r="37" spans="1:19" s="6" customFormat="1" ht="15.75" customHeight="1" x14ac:dyDescent="0.25">
      <c r="A37" s="230" t="s">
        <v>132</v>
      </c>
      <c r="B37" s="230"/>
      <c r="C37" s="230"/>
      <c r="D37" s="575"/>
      <c r="E37" s="231" t="s">
        <v>291</v>
      </c>
      <c r="F37" s="886" t="e">
        <f>+DATOS!E24</f>
        <v>#N/A</v>
      </c>
      <c r="G37" s="886"/>
      <c r="H37" s="886"/>
      <c r="I37" s="886"/>
      <c r="J37" s="899" t="e">
        <f>+DATOS!I24</f>
        <v>#N/A</v>
      </c>
      <c r="K37" s="899"/>
      <c r="L37" s="899"/>
      <c r="M37" s="899"/>
      <c r="N37" s="899" t="e">
        <f>+DATOS!M24</f>
        <v>#N/A</v>
      </c>
      <c r="O37" s="899"/>
      <c r="P37" s="899"/>
      <c r="Q37" s="899"/>
      <c r="R37" s="6" t="s">
        <v>118</v>
      </c>
      <c r="S37" s="584"/>
    </row>
    <row r="38" spans="1:19" s="6" customFormat="1" ht="15.75" customHeight="1" x14ac:dyDescent="0.25">
      <c r="A38" s="875" t="s">
        <v>133</v>
      </c>
      <c r="B38" s="875"/>
      <c r="C38" s="875"/>
      <c r="D38" s="875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5"/>
      <c r="S38" s="584"/>
    </row>
    <row r="39" spans="1:19" s="6" customFormat="1" ht="15.75" customHeight="1" x14ac:dyDescent="0.25">
      <c r="A39" s="900" t="s">
        <v>95</v>
      </c>
      <c r="B39" s="901"/>
      <c r="C39" s="901"/>
      <c r="D39" s="902"/>
      <c r="E39" s="231" t="s">
        <v>2</v>
      </c>
      <c r="F39" s="886" t="e">
        <f>+DATOS!E32</f>
        <v>#DIV/0!</v>
      </c>
      <c r="G39" s="886"/>
      <c r="H39" s="886"/>
      <c r="I39" s="886"/>
      <c r="J39" s="886" t="e">
        <f>+DATOS!I32</f>
        <v>#DIV/0!</v>
      </c>
      <c r="K39" s="886"/>
      <c r="L39" s="886"/>
      <c r="M39" s="886"/>
      <c r="N39" s="886" t="e">
        <f>+DATOS!M32</f>
        <v>#DIV/0!</v>
      </c>
      <c r="O39" s="886"/>
      <c r="P39" s="886"/>
      <c r="Q39" s="886"/>
      <c r="R39" s="92">
        <v>1E-3</v>
      </c>
      <c r="S39" s="584"/>
    </row>
    <row r="40" spans="1:19" s="6" customFormat="1" ht="15.75" customHeight="1" x14ac:dyDescent="0.25">
      <c r="A40" s="875" t="s">
        <v>169</v>
      </c>
      <c r="B40" s="875"/>
      <c r="C40" s="875"/>
      <c r="D40" s="875"/>
      <c r="E40" s="875"/>
      <c r="F40" s="875"/>
      <c r="G40" s="875"/>
      <c r="H40" s="875"/>
      <c r="I40" s="875"/>
      <c r="J40" s="875"/>
      <c r="K40" s="875"/>
      <c r="L40" s="875"/>
      <c r="M40" s="875"/>
      <c r="N40" s="875"/>
      <c r="O40" s="875"/>
      <c r="P40" s="875"/>
      <c r="Q40" s="875"/>
      <c r="S40" s="584"/>
    </row>
    <row r="41" spans="1:19" s="6" customFormat="1" ht="15.75" customHeight="1" x14ac:dyDescent="0.25">
      <c r="A41" s="900" t="s">
        <v>134</v>
      </c>
      <c r="B41" s="901"/>
      <c r="C41" s="901"/>
      <c r="D41" s="902"/>
      <c r="E41" s="231" t="s">
        <v>2</v>
      </c>
      <c r="F41" s="880" t="e">
        <f>+DATOS!G32</f>
        <v>#DIV/0!</v>
      </c>
      <c r="G41" s="881"/>
      <c r="H41" s="881"/>
      <c r="I41" s="881"/>
      <c r="J41" s="880" t="e">
        <f>+DATOS!K32</f>
        <v>#DIV/0!</v>
      </c>
      <c r="K41" s="881"/>
      <c r="L41" s="881"/>
      <c r="M41" s="881"/>
      <c r="N41" s="880" t="e">
        <f>+DATOS!O32</f>
        <v>#DIV/0!</v>
      </c>
      <c r="O41" s="881"/>
      <c r="P41" s="881"/>
      <c r="Q41" s="881"/>
      <c r="R41" s="92">
        <v>1E-3</v>
      </c>
      <c r="S41" s="584"/>
    </row>
    <row r="42" spans="1:19" s="6" customFormat="1" ht="15.75" customHeight="1" x14ac:dyDescent="0.25">
      <c r="A42" s="875" t="s">
        <v>107</v>
      </c>
      <c r="B42" s="875"/>
      <c r="C42" s="875"/>
      <c r="D42" s="875"/>
      <c r="E42" s="875"/>
      <c r="F42" s="875"/>
      <c r="G42" s="875"/>
      <c r="H42" s="875"/>
      <c r="I42" s="875"/>
      <c r="J42" s="875"/>
      <c r="K42" s="875"/>
      <c r="L42" s="875"/>
      <c r="M42" s="875"/>
      <c r="N42" s="875"/>
      <c r="O42" s="875"/>
      <c r="P42" s="875"/>
      <c r="Q42" s="875"/>
      <c r="S42" s="584"/>
    </row>
    <row r="43" spans="1:19" s="6" customFormat="1" ht="15.75" customHeight="1" x14ac:dyDescent="0.25">
      <c r="A43" s="900" t="s">
        <v>119</v>
      </c>
      <c r="B43" s="901"/>
      <c r="C43" s="901"/>
      <c r="D43" s="902"/>
      <c r="E43" s="231" t="s">
        <v>2</v>
      </c>
      <c r="F43" s="886" t="e">
        <f>+DATOS!G40</f>
        <v>#N/A</v>
      </c>
      <c r="G43" s="886"/>
      <c r="H43" s="886"/>
      <c r="I43" s="886"/>
      <c r="J43" s="886" t="e">
        <f>+DATOS!K40</f>
        <v>#N/A</v>
      </c>
      <c r="K43" s="886"/>
      <c r="L43" s="886"/>
      <c r="M43" s="886"/>
      <c r="N43" s="886" t="e">
        <f>+DATOS!O40</f>
        <v>#N/A</v>
      </c>
      <c r="O43" s="886"/>
      <c r="P43" s="886"/>
      <c r="Q43" s="886"/>
      <c r="R43" s="92">
        <v>1E-3</v>
      </c>
      <c r="S43" s="584"/>
    </row>
    <row r="44" spans="1:19" s="6" customFormat="1" ht="6" customHeight="1" x14ac:dyDescent="0.25">
      <c r="A44" s="829"/>
      <c r="B44" s="830"/>
      <c r="C44" s="830"/>
      <c r="D44" s="830"/>
      <c r="E44" s="830"/>
      <c r="F44" s="830"/>
      <c r="G44" s="830"/>
      <c r="H44" s="830"/>
      <c r="I44" s="830"/>
      <c r="J44" s="830"/>
      <c r="K44" s="830"/>
      <c r="L44" s="830"/>
      <c r="M44" s="830"/>
      <c r="N44" s="830"/>
      <c r="O44" s="830"/>
      <c r="P44" s="830"/>
      <c r="Q44" s="831"/>
      <c r="S44" s="584"/>
    </row>
    <row r="45" spans="1:19" s="6" customFormat="1" ht="15.75" customHeight="1" x14ac:dyDescent="0.25">
      <c r="A45" s="875" t="s">
        <v>122</v>
      </c>
      <c r="B45" s="875"/>
      <c r="C45" s="875"/>
      <c r="D45" s="875"/>
      <c r="E45" s="875"/>
      <c r="F45" s="875"/>
      <c r="G45" s="875"/>
      <c r="H45" s="875"/>
      <c r="I45" s="875"/>
      <c r="J45" s="875"/>
      <c r="K45" s="875"/>
      <c r="L45" s="875"/>
      <c r="M45" s="875"/>
      <c r="N45" s="875"/>
      <c r="O45" s="875"/>
      <c r="P45" s="875"/>
      <c r="Q45" s="875"/>
      <c r="S45" s="584"/>
    </row>
    <row r="46" spans="1:19" s="6" customFormat="1" ht="22.5" customHeight="1" x14ac:dyDescent="0.25">
      <c r="A46" s="118" t="s">
        <v>1</v>
      </c>
      <c r="B46" s="119"/>
      <c r="C46" s="913" t="s">
        <v>170</v>
      </c>
      <c r="D46" s="914"/>
      <c r="E46" s="915"/>
      <c r="F46" s="892">
        <f>+F34</f>
        <v>56</v>
      </c>
      <c r="G46" s="893"/>
      <c r="H46" s="893"/>
      <c r="I46" s="894"/>
      <c r="J46" s="892">
        <f>+J34</f>
        <v>25</v>
      </c>
      <c r="K46" s="893"/>
      <c r="L46" s="893"/>
      <c r="M46" s="894"/>
      <c r="N46" s="892">
        <f>+N34</f>
        <v>10</v>
      </c>
      <c r="O46" s="893"/>
      <c r="P46" s="893"/>
      <c r="Q46" s="894"/>
      <c r="S46" s="584"/>
    </row>
    <row r="47" spans="1:19" s="6" customFormat="1" ht="21" customHeight="1" x14ac:dyDescent="0.25">
      <c r="A47" s="898" t="s">
        <v>47</v>
      </c>
      <c r="B47" s="898"/>
      <c r="C47" s="895" t="s">
        <v>49</v>
      </c>
      <c r="D47" s="896"/>
      <c r="E47" s="897"/>
      <c r="F47" s="909" t="s">
        <v>120</v>
      </c>
      <c r="G47" s="909"/>
      <c r="H47" s="881" t="s">
        <v>54</v>
      </c>
      <c r="I47" s="881"/>
      <c r="J47" s="909" t="s">
        <v>120</v>
      </c>
      <c r="K47" s="909"/>
      <c r="L47" s="881" t="s">
        <v>54</v>
      </c>
      <c r="M47" s="881"/>
      <c r="N47" s="909" t="s">
        <v>120</v>
      </c>
      <c r="O47" s="909"/>
      <c r="P47" s="881" t="s">
        <v>54</v>
      </c>
      <c r="Q47" s="881"/>
      <c r="S47" s="584"/>
    </row>
    <row r="48" spans="1:19" s="6" customFormat="1" ht="15.75" customHeight="1" x14ac:dyDescent="0.25">
      <c r="A48" s="907">
        <f>+DATOS!A44</f>
        <v>0</v>
      </c>
      <c r="B48" s="908"/>
      <c r="C48" s="895"/>
      <c r="D48" s="896"/>
      <c r="E48" s="897"/>
      <c r="F48" s="882">
        <f>+DATOS!D44*2.2046</f>
        <v>0</v>
      </c>
      <c r="G48" s="882"/>
      <c r="H48" s="880">
        <f>+DATOS!G44</f>
        <v>0</v>
      </c>
      <c r="I48" s="881"/>
      <c r="J48" s="882">
        <f>+DATOS!H44*2.2046</f>
        <v>0</v>
      </c>
      <c r="K48" s="882"/>
      <c r="L48" s="880">
        <f>+DATOS!K44</f>
        <v>0</v>
      </c>
      <c r="M48" s="881"/>
      <c r="N48" s="882">
        <f>+DATOS!L44*2.2046</f>
        <v>0</v>
      </c>
      <c r="O48" s="882"/>
      <c r="P48" s="880">
        <f>+DATOS!O44</f>
        <v>0</v>
      </c>
      <c r="Q48" s="881"/>
      <c r="S48" s="584"/>
    </row>
    <row r="49" spans="1:20" s="6" customFormat="1" ht="15.75" customHeight="1" x14ac:dyDescent="0.25">
      <c r="A49" s="907">
        <f>+DATOS!A45</f>
        <v>2.5000000000000001E-2</v>
      </c>
      <c r="B49" s="908"/>
      <c r="C49" s="895"/>
      <c r="D49" s="896"/>
      <c r="E49" s="897"/>
      <c r="F49" s="882">
        <f>+DATOS!D45*2.2046</f>
        <v>0</v>
      </c>
      <c r="G49" s="882"/>
      <c r="H49" s="880">
        <f>+DATOS!G45</f>
        <v>0.78855422374304684</v>
      </c>
      <c r="I49" s="881"/>
      <c r="J49" s="882">
        <f>+DATOS!H45*2.2046</f>
        <v>0</v>
      </c>
      <c r="K49" s="882"/>
      <c r="L49" s="880">
        <f>+DATOS!K45</f>
        <v>0.78855422374304684</v>
      </c>
      <c r="M49" s="881"/>
      <c r="N49" s="882">
        <f>+DATOS!L45*2.2046</f>
        <v>0</v>
      </c>
      <c r="O49" s="882"/>
      <c r="P49" s="880">
        <f>+DATOS!O45</f>
        <v>0.78855422374304684</v>
      </c>
      <c r="Q49" s="881"/>
      <c r="S49" s="584"/>
    </row>
    <row r="50" spans="1:20" s="6" customFormat="1" ht="15.75" customHeight="1" x14ac:dyDescent="0.25">
      <c r="A50" s="907">
        <f>+DATOS!A46</f>
        <v>0.05</v>
      </c>
      <c r="B50" s="908"/>
      <c r="C50" s="895"/>
      <c r="D50" s="896"/>
      <c r="E50" s="897"/>
      <c r="F50" s="882">
        <f>+DATOS!D46*2.2046</f>
        <v>0</v>
      </c>
      <c r="G50" s="882"/>
      <c r="H50" s="880">
        <f>+DATOS!G46</f>
        <v>0.78855422374304684</v>
      </c>
      <c r="I50" s="881"/>
      <c r="J50" s="882">
        <f>+DATOS!H46*2.2046</f>
        <v>0</v>
      </c>
      <c r="K50" s="882"/>
      <c r="L50" s="880">
        <f>+DATOS!K46</f>
        <v>0.78855422374304684</v>
      </c>
      <c r="M50" s="881"/>
      <c r="N50" s="882">
        <f>+DATOS!L46*2.2046</f>
        <v>0</v>
      </c>
      <c r="O50" s="882"/>
      <c r="P50" s="880">
        <f>+DATOS!O46</f>
        <v>0.78855422374304684</v>
      </c>
      <c r="Q50" s="881"/>
      <c r="S50" s="584"/>
    </row>
    <row r="51" spans="1:20" s="6" customFormat="1" ht="15.75" customHeight="1" x14ac:dyDescent="0.25">
      <c r="A51" s="907">
        <f>+DATOS!A47</f>
        <v>7.4999999999999997E-2</v>
      </c>
      <c r="B51" s="908"/>
      <c r="C51" s="895"/>
      <c r="D51" s="896"/>
      <c r="E51" s="897"/>
      <c r="F51" s="882">
        <f>+DATOS!D47*2.2046</f>
        <v>0</v>
      </c>
      <c r="G51" s="882"/>
      <c r="H51" s="880">
        <f>+DATOS!G47</f>
        <v>0.78855422374304684</v>
      </c>
      <c r="I51" s="881"/>
      <c r="J51" s="882">
        <f>+DATOS!H47*2.2046</f>
        <v>0</v>
      </c>
      <c r="K51" s="882"/>
      <c r="L51" s="880">
        <f>+DATOS!K47</f>
        <v>0.78855422374304684</v>
      </c>
      <c r="M51" s="881"/>
      <c r="N51" s="882">
        <f>+DATOS!L47*2.2046</f>
        <v>0</v>
      </c>
      <c r="O51" s="882"/>
      <c r="P51" s="880">
        <f>+DATOS!O47</f>
        <v>0.78855422374304684</v>
      </c>
      <c r="Q51" s="881"/>
    </row>
    <row r="52" spans="1:20" s="6" customFormat="1" ht="15.75" customHeight="1" x14ac:dyDescent="0.25">
      <c r="A52" s="907">
        <f>+DATOS!A48</f>
        <v>0.1</v>
      </c>
      <c r="B52" s="908"/>
      <c r="C52" s="895">
        <v>1000</v>
      </c>
      <c r="D52" s="896"/>
      <c r="E52" s="897"/>
      <c r="F52" s="882">
        <f>+DATOS!D48*2.2046</f>
        <v>0</v>
      </c>
      <c r="G52" s="882"/>
      <c r="H52" s="880">
        <f>+DATOS!G48</f>
        <v>0.78855422374304684</v>
      </c>
      <c r="I52" s="881"/>
      <c r="J52" s="882">
        <f>+DATOS!H48*2.2046</f>
        <v>0</v>
      </c>
      <c r="K52" s="882"/>
      <c r="L52" s="880">
        <f>+DATOS!K48</f>
        <v>0.78855422374304684</v>
      </c>
      <c r="M52" s="881"/>
      <c r="N52" s="882">
        <f>+DATOS!L48*2.2046</f>
        <v>0</v>
      </c>
      <c r="O52" s="882"/>
      <c r="P52" s="880">
        <f>+DATOS!O48</f>
        <v>0.78855422374304684</v>
      </c>
      <c r="Q52" s="881"/>
    </row>
    <row r="53" spans="1:20" s="6" customFormat="1" ht="15.75" customHeight="1" x14ac:dyDescent="0.25">
      <c r="A53" s="907">
        <f>+DATOS!A49</f>
        <v>0.125</v>
      </c>
      <c r="B53" s="908"/>
      <c r="C53" s="895"/>
      <c r="D53" s="896"/>
      <c r="E53" s="897"/>
      <c r="F53" s="882">
        <f>+DATOS!D49*2.2046</f>
        <v>0</v>
      </c>
      <c r="G53" s="882"/>
      <c r="H53" s="880">
        <f>+DATOS!G49</f>
        <v>0.78855422374304684</v>
      </c>
      <c r="I53" s="881"/>
      <c r="J53" s="882">
        <f>+DATOS!H49*2.2046</f>
        <v>0</v>
      </c>
      <c r="K53" s="882"/>
      <c r="L53" s="880">
        <f>+DATOS!K49</f>
        <v>0.78855422374304684</v>
      </c>
      <c r="M53" s="881"/>
      <c r="N53" s="882">
        <f>+DATOS!L49*2.2046</f>
        <v>0</v>
      </c>
      <c r="O53" s="882"/>
      <c r="P53" s="880">
        <f>+DATOS!O49</f>
        <v>0.78855422374304684</v>
      </c>
      <c r="Q53" s="881"/>
    </row>
    <row r="54" spans="1:20" s="6" customFormat="1" ht="15.75" customHeight="1" x14ac:dyDescent="0.25">
      <c r="A54" s="907">
        <f>+DATOS!A50</f>
        <v>0.15</v>
      </c>
      <c r="B54" s="908"/>
      <c r="C54" s="895"/>
      <c r="D54" s="896"/>
      <c r="E54" s="897"/>
      <c r="F54" s="882">
        <f>+DATOS!D50*2.2046</f>
        <v>0</v>
      </c>
      <c r="G54" s="882"/>
      <c r="H54" s="880">
        <f>+DATOS!G50</f>
        <v>0.78855422374304684</v>
      </c>
      <c r="I54" s="881"/>
      <c r="J54" s="882">
        <f>+DATOS!H50*2.2046</f>
        <v>0</v>
      </c>
      <c r="K54" s="882"/>
      <c r="L54" s="880">
        <f>+DATOS!K50</f>
        <v>0.78855422374304684</v>
      </c>
      <c r="M54" s="881"/>
      <c r="N54" s="882">
        <f>+DATOS!L50*2.2046</f>
        <v>0</v>
      </c>
      <c r="O54" s="882"/>
      <c r="P54" s="880">
        <f>+DATOS!O50</f>
        <v>0.78855422374304684</v>
      </c>
      <c r="Q54" s="881"/>
    </row>
    <row r="55" spans="1:20" s="6" customFormat="1" ht="15.75" customHeight="1" x14ac:dyDescent="0.25">
      <c r="A55" s="907">
        <f>+DATOS!A51</f>
        <v>0.17499999999999999</v>
      </c>
      <c r="B55" s="908"/>
      <c r="C55" s="895"/>
      <c r="D55" s="896"/>
      <c r="E55" s="897"/>
      <c r="F55" s="882">
        <f>+DATOS!D51*2.2046</f>
        <v>0</v>
      </c>
      <c r="G55" s="882"/>
      <c r="H55" s="880">
        <f>+DATOS!G51</f>
        <v>0.78855422374304684</v>
      </c>
      <c r="I55" s="881"/>
      <c r="J55" s="882">
        <f>+DATOS!H51*2.2046</f>
        <v>0</v>
      </c>
      <c r="K55" s="882"/>
      <c r="L55" s="880">
        <f>+DATOS!K51</f>
        <v>0.78855422374304684</v>
      </c>
      <c r="M55" s="881"/>
      <c r="N55" s="882">
        <f>+DATOS!L51*2.2046</f>
        <v>0</v>
      </c>
      <c r="O55" s="882"/>
      <c r="P55" s="880">
        <f>+DATOS!O51</f>
        <v>0.78855422374304684</v>
      </c>
      <c r="Q55" s="881"/>
    </row>
    <row r="56" spans="1:20" s="6" customFormat="1" ht="15.75" customHeight="1" x14ac:dyDescent="0.25">
      <c r="A56" s="907">
        <f>+DATOS!A52</f>
        <v>0.2</v>
      </c>
      <c r="B56" s="908"/>
      <c r="C56" s="895">
        <v>1500</v>
      </c>
      <c r="D56" s="896"/>
      <c r="E56" s="897"/>
      <c r="F56" s="882">
        <f>+DATOS!D52*2.2046</f>
        <v>0</v>
      </c>
      <c r="G56" s="882"/>
      <c r="H56" s="880">
        <f>+DATOS!G52</f>
        <v>0.78855422374304684</v>
      </c>
      <c r="I56" s="881"/>
      <c r="J56" s="882">
        <f>+DATOS!H52*2.2046</f>
        <v>0</v>
      </c>
      <c r="K56" s="882"/>
      <c r="L56" s="880">
        <f>+DATOS!K52</f>
        <v>0.78855422374304684</v>
      </c>
      <c r="M56" s="881"/>
      <c r="N56" s="882">
        <f>+DATOS!L52*2.2046</f>
        <v>0</v>
      </c>
      <c r="O56" s="882"/>
      <c r="P56" s="880">
        <f>+DATOS!O52</f>
        <v>0.78855422374304684</v>
      </c>
      <c r="Q56" s="881"/>
    </row>
    <row r="57" spans="1:20" s="6" customFormat="1" ht="15.75" customHeight="1" x14ac:dyDescent="0.25">
      <c r="A57" s="907">
        <f>+DATOS!A53</f>
        <v>0.3</v>
      </c>
      <c r="B57" s="908"/>
      <c r="C57" s="895"/>
      <c r="D57" s="896"/>
      <c r="E57" s="897"/>
      <c r="F57" s="882">
        <f>+DATOS!D53*2.2046</f>
        <v>0</v>
      </c>
      <c r="G57" s="882"/>
      <c r="H57" s="880">
        <f>+DATOS!G53</f>
        <v>0.78855422374304684</v>
      </c>
      <c r="I57" s="881"/>
      <c r="J57" s="882">
        <f>+DATOS!H53*2.2046</f>
        <v>0</v>
      </c>
      <c r="K57" s="882"/>
      <c r="L57" s="880">
        <f>+DATOS!K53</f>
        <v>0.78855422374304684</v>
      </c>
      <c r="M57" s="881"/>
      <c r="N57" s="882">
        <f>+DATOS!L53*2.2046</f>
        <v>0</v>
      </c>
      <c r="O57" s="882"/>
      <c r="P57" s="880">
        <f>+DATOS!O53</f>
        <v>0.78855422374304684</v>
      </c>
      <c r="Q57" s="881"/>
    </row>
    <row r="58" spans="1:20" s="6" customFormat="1" ht="15.75" customHeight="1" x14ac:dyDescent="0.25">
      <c r="A58" s="907">
        <f>+DATOS!A54</f>
        <v>0.4</v>
      </c>
      <c r="B58" s="908"/>
      <c r="C58" s="895"/>
      <c r="D58" s="896"/>
      <c r="E58" s="897"/>
      <c r="F58" s="882">
        <f>+DATOS!D54*2.2046</f>
        <v>0</v>
      </c>
      <c r="G58" s="882"/>
      <c r="H58" s="880">
        <f>+DATOS!G54</f>
        <v>0.78855422374304684</v>
      </c>
      <c r="I58" s="881"/>
      <c r="J58" s="882">
        <f>+DATOS!H54*2.2046</f>
        <v>0</v>
      </c>
      <c r="K58" s="882"/>
      <c r="L58" s="880">
        <f>+DATOS!K54</f>
        <v>0.78855422374304684</v>
      </c>
      <c r="M58" s="881"/>
      <c r="N58" s="882">
        <f>+DATOS!L54*2.2046</f>
        <v>0</v>
      </c>
      <c r="O58" s="882"/>
      <c r="P58" s="880">
        <f>+DATOS!O54</f>
        <v>0.78855422374304684</v>
      </c>
      <c r="Q58" s="881"/>
    </row>
    <row r="59" spans="1:20" s="6" customFormat="1" ht="15.75" customHeight="1" x14ac:dyDescent="0.25">
      <c r="A59" s="907">
        <f>+DATOS!A55</f>
        <v>0.5</v>
      </c>
      <c r="B59" s="908"/>
      <c r="C59" s="895"/>
      <c r="D59" s="896"/>
      <c r="E59" s="897"/>
      <c r="F59" s="882">
        <f>+DATOS!D55*2.2046</f>
        <v>0</v>
      </c>
      <c r="G59" s="882"/>
      <c r="H59" s="880">
        <f>+DATOS!G55</f>
        <v>0.78855422374304684</v>
      </c>
      <c r="I59" s="881"/>
      <c r="J59" s="882">
        <f>+DATOS!H55*2.2046</f>
        <v>0</v>
      </c>
      <c r="K59" s="882"/>
      <c r="L59" s="880">
        <f>+DATOS!K55</f>
        <v>0.78855422374304684</v>
      </c>
      <c r="M59" s="881"/>
      <c r="N59" s="882">
        <f>+DATOS!L55*2.2046</f>
        <v>0</v>
      </c>
      <c r="O59" s="882"/>
      <c r="P59" s="880">
        <f>+DATOS!O55</f>
        <v>0.78855422374304684</v>
      </c>
      <c r="Q59" s="881"/>
    </row>
    <row r="60" spans="1:20" s="6" customFormat="1" ht="21.75" customHeight="1" x14ac:dyDescent="0.25">
      <c r="A60" s="310" t="s">
        <v>159</v>
      </c>
      <c r="B60" s="1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</row>
    <row r="61" spans="1:20" s="6" customFormat="1" ht="14.25" customHeight="1" x14ac:dyDescent="0.25">
      <c r="S61" s="585"/>
      <c r="T61" s="585"/>
    </row>
    <row r="62" spans="1:20" s="6" customFormat="1" ht="14.25" customHeight="1" x14ac:dyDescent="0.25">
      <c r="A62" s="12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S62" s="585"/>
      <c r="T62" s="585"/>
    </row>
    <row r="63" spans="1:20" ht="14.25" customHeight="1" x14ac:dyDescent="0.25">
      <c r="A63" s="120"/>
      <c r="R63" s="6"/>
      <c r="S63" s="585"/>
      <c r="T63" s="585"/>
    </row>
    <row r="64" spans="1:20" ht="14.25" customHeight="1" x14ac:dyDescent="0.25">
      <c r="A64" s="2"/>
      <c r="S64" s="585"/>
      <c r="T64" s="585"/>
    </row>
    <row r="65" spans="1:20" ht="14.25" customHeight="1" x14ac:dyDescent="0.25">
      <c r="A65" s="2"/>
      <c r="S65" s="585"/>
      <c r="T65" s="585"/>
    </row>
    <row r="66" spans="1:20" ht="14.25" customHeight="1" x14ac:dyDescent="0.25">
      <c r="A66" s="20" t="s">
        <v>9</v>
      </c>
      <c r="B66" s="2"/>
      <c r="C66" s="2"/>
      <c r="D66" s="2"/>
      <c r="S66" s="585"/>
      <c r="T66" s="585"/>
    </row>
    <row r="67" spans="1:20" ht="14.25" customHeight="1" x14ac:dyDescent="0.25">
      <c r="A67" s="20" t="s">
        <v>302</v>
      </c>
      <c r="B67" s="2"/>
      <c r="C67" s="2"/>
      <c r="D67" s="2"/>
      <c r="P67" s="572"/>
      <c r="Q67" s="586" t="s">
        <v>19</v>
      </c>
      <c r="S67" s="585"/>
      <c r="T67" s="585"/>
    </row>
    <row r="68" spans="1:20" ht="14.25" customHeight="1" x14ac:dyDescent="0.25">
      <c r="S68" s="585"/>
      <c r="T68" s="585"/>
    </row>
    <row r="69" spans="1:20" ht="14.25" customHeight="1" x14ac:dyDescent="0.25">
      <c r="S69" s="585"/>
      <c r="T69" s="585"/>
    </row>
    <row r="70" spans="1:20" ht="14.25" customHeight="1" x14ac:dyDescent="0.25">
      <c r="S70" s="585"/>
      <c r="T70" s="585"/>
    </row>
    <row r="71" spans="1:20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S71" s="585"/>
      <c r="T71" s="585"/>
    </row>
    <row r="72" spans="1:20" ht="12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97"/>
      <c r="L72" s="97"/>
      <c r="M72" s="97"/>
      <c r="N72" s="97"/>
      <c r="O72" s="97"/>
      <c r="P72" s="97"/>
      <c r="Q72" s="97"/>
      <c r="S72" s="585"/>
      <c r="T72" s="585"/>
    </row>
    <row r="73" spans="1:20" ht="12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97"/>
      <c r="L73" s="97"/>
      <c r="M73" s="97"/>
      <c r="N73" s="97"/>
      <c r="O73" s="97"/>
      <c r="P73" s="97"/>
      <c r="Q73" s="97"/>
      <c r="S73" s="585"/>
      <c r="T73" s="585"/>
    </row>
    <row r="74" spans="1:20" ht="12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97"/>
      <c r="L74" s="97"/>
      <c r="M74" s="97"/>
      <c r="N74" s="97"/>
      <c r="O74" s="97"/>
      <c r="P74" s="97"/>
      <c r="Q74" s="97"/>
      <c r="S74" s="585"/>
      <c r="T74" s="585"/>
    </row>
    <row r="75" spans="1:20" ht="12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97"/>
      <c r="L75" s="97"/>
      <c r="M75" s="97"/>
      <c r="N75" s="97"/>
      <c r="O75" s="97"/>
      <c r="P75" s="97"/>
      <c r="Q75" s="97"/>
      <c r="S75" s="585"/>
      <c r="T75" s="585"/>
    </row>
    <row r="76" spans="1:20" ht="12" customHeight="1" x14ac:dyDescent="0.25"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S76" s="585"/>
      <c r="T76" s="585"/>
    </row>
    <row r="77" spans="1:20" ht="15.6" customHeight="1" x14ac:dyDescent="0.25"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S77" s="585"/>
      <c r="T77" s="585"/>
    </row>
    <row r="78" spans="1:20" ht="15.6" customHeight="1" x14ac:dyDescent="0.25"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S78" s="585"/>
      <c r="T78" s="585"/>
    </row>
    <row r="79" spans="1:20" ht="15.6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S79" s="585"/>
      <c r="T79" s="585"/>
    </row>
    <row r="80" spans="1:20" ht="15.6" customHeight="1" x14ac:dyDescent="0.25">
      <c r="S80" s="585"/>
      <c r="T80" s="585"/>
    </row>
    <row r="81" spans="1:20" ht="15.6" customHeight="1" x14ac:dyDescent="0.25">
      <c r="S81" s="585"/>
      <c r="T81" s="585"/>
    </row>
    <row r="82" spans="1:20" ht="15.6" customHeight="1" x14ac:dyDescent="0.25">
      <c r="S82" s="585"/>
      <c r="T82" s="585"/>
    </row>
    <row r="83" spans="1:20" ht="15.6" customHeight="1" x14ac:dyDescent="0.25">
      <c r="A83" s="121"/>
      <c r="F83" s="122"/>
      <c r="J83" s="121"/>
      <c r="K83" s="121"/>
      <c r="S83" s="585"/>
      <c r="T83" s="585"/>
    </row>
    <row r="84" spans="1:20" ht="15.6" customHeight="1" x14ac:dyDescent="0.25">
      <c r="A84" s="121"/>
      <c r="F84" s="122"/>
      <c r="J84" s="121"/>
      <c r="K84" s="121"/>
      <c r="R84" s="311"/>
    </row>
    <row r="85" spans="1:20" ht="15.6" customHeight="1" x14ac:dyDescent="0.25">
      <c r="A85" s="121"/>
      <c r="F85" s="122"/>
      <c r="J85" s="121"/>
      <c r="K85" s="121"/>
    </row>
    <row r="86" spans="1:20" ht="19.2" customHeight="1" x14ac:dyDescent="0.25">
      <c r="A86" s="121"/>
      <c r="F86" s="122"/>
      <c r="J86" s="121"/>
      <c r="K86" s="121"/>
    </row>
    <row r="87" spans="1:20" ht="19.2" customHeight="1" x14ac:dyDescent="0.25">
      <c r="A87" s="121"/>
      <c r="F87" s="122"/>
      <c r="J87" s="121"/>
      <c r="K87" s="121"/>
    </row>
    <row r="88" spans="1:20" ht="19.2" customHeight="1" x14ac:dyDescent="0.25"/>
    <row r="89" spans="1:20" ht="19.2" customHeight="1" x14ac:dyDescent="0.25">
      <c r="A89" s="15"/>
      <c r="B89" s="15"/>
      <c r="C89" s="15"/>
      <c r="D89" s="15"/>
    </row>
    <row r="90" spans="1:20" ht="19.2" customHeight="1" x14ac:dyDescent="0.25">
      <c r="A90" s="906"/>
      <c r="B90" s="906"/>
      <c r="C90" s="906"/>
      <c r="D90" s="906"/>
      <c r="E90" s="906"/>
      <c r="F90" s="906"/>
      <c r="G90" s="906"/>
      <c r="H90" s="906"/>
      <c r="I90" s="906"/>
      <c r="J90" s="906"/>
      <c r="K90" s="906"/>
      <c r="L90" s="906"/>
    </row>
    <row r="91" spans="1:20" ht="15.6" customHeight="1" x14ac:dyDescent="0.25">
      <c r="A91" s="906"/>
      <c r="B91" s="906"/>
      <c r="C91" s="906"/>
      <c r="D91" s="906"/>
      <c r="E91" s="906"/>
      <c r="F91" s="906"/>
      <c r="G91" s="906"/>
      <c r="H91" s="906"/>
      <c r="I91" s="906"/>
      <c r="J91" s="906"/>
      <c r="K91" s="906"/>
      <c r="L91" s="906"/>
    </row>
    <row r="92" spans="1:20" ht="15.6" customHeight="1" x14ac:dyDescent="0.25"/>
    <row r="93" spans="1:20" ht="15.6" customHeight="1" x14ac:dyDescent="0.25"/>
    <row r="94" spans="1:20" ht="15.6" customHeight="1" x14ac:dyDescent="0.25">
      <c r="L94" s="123"/>
    </row>
    <row r="95" spans="1:20" ht="15.6" customHeight="1" x14ac:dyDescent="0.25">
      <c r="E95" s="124"/>
      <c r="F95" s="904"/>
      <c r="G95" s="904"/>
      <c r="J95" s="122"/>
      <c r="K95" s="122"/>
      <c r="L95" s="122"/>
      <c r="M95" s="16"/>
      <c r="N95" s="16"/>
      <c r="O95" s="16"/>
      <c r="P95" s="16"/>
      <c r="Q95" s="16"/>
      <c r="R95" s="17"/>
    </row>
    <row r="96" spans="1:20" ht="15.6" customHeight="1" x14ac:dyDescent="0.25">
      <c r="E96" s="124"/>
      <c r="F96" s="904"/>
      <c r="G96" s="904"/>
      <c r="M96" s="16"/>
      <c r="N96" s="16"/>
      <c r="O96" s="16"/>
      <c r="P96" s="16"/>
      <c r="Q96" s="16"/>
      <c r="R96" s="17"/>
    </row>
    <row r="97" spans="5:7" ht="15.6" customHeight="1" x14ac:dyDescent="0.25">
      <c r="E97" s="124"/>
      <c r="F97" s="905"/>
      <c r="G97" s="905"/>
    </row>
  </sheetData>
  <sheetProtection algorithmName="SHA-512" hashValue="Btm4GbSCAVCG0Bqca5lQFrcd8eVUOx6msNnSmMJJw+ee7+hGaciCYTrfDhQZ82+OWnzI5fWHc888fAfZgndQzA==" saltValue="e67SLfd9b6WYFHo65vKZbw==" spinCount="100000" sheet="1" objects="1" scenarios="1"/>
  <protectedRanges>
    <protectedRange sqref="C14:D14" name="Rango3_3_1_1_1_1_1_1_1_1_2"/>
  </protectedRanges>
  <mergeCells count="154">
    <mergeCell ref="C58:E58"/>
    <mergeCell ref="F43:I43"/>
    <mergeCell ref="C46:E46"/>
    <mergeCell ref="C57:E57"/>
    <mergeCell ref="C54:E54"/>
    <mergeCell ref="C59:E59"/>
    <mergeCell ref="H55:I55"/>
    <mergeCell ref="L55:M55"/>
    <mergeCell ref="P55:Q55"/>
    <mergeCell ref="F55:G55"/>
    <mergeCell ref="J55:K55"/>
    <mergeCell ref="N55:O55"/>
    <mergeCell ref="F57:G57"/>
    <mergeCell ref="C55:E55"/>
    <mergeCell ref="C56:E56"/>
    <mergeCell ref="P59:Q59"/>
    <mergeCell ref="J56:K56"/>
    <mergeCell ref="J57:K57"/>
    <mergeCell ref="J54:K54"/>
    <mergeCell ref="P58:Q58"/>
    <mergeCell ref="N58:O58"/>
    <mergeCell ref="J58:K58"/>
    <mergeCell ref="L56:M56"/>
    <mergeCell ref="P56:Q56"/>
    <mergeCell ref="A57:B57"/>
    <mergeCell ref="F52:G52"/>
    <mergeCell ref="F53:G53"/>
    <mergeCell ref="F54:G54"/>
    <mergeCell ref="F56:G56"/>
    <mergeCell ref="C52:E52"/>
    <mergeCell ref="C53:E53"/>
    <mergeCell ref="P25:Q25"/>
    <mergeCell ref="J35:M35"/>
    <mergeCell ref="F35:I35"/>
    <mergeCell ref="J37:M37"/>
    <mergeCell ref="F36:I36"/>
    <mergeCell ref="A54:B54"/>
    <mergeCell ref="F50:G50"/>
    <mergeCell ref="F51:G51"/>
    <mergeCell ref="F41:I41"/>
    <mergeCell ref="F39:I39"/>
    <mergeCell ref="F37:I37"/>
    <mergeCell ref="A33:Q33"/>
    <mergeCell ref="N34:Q34"/>
    <mergeCell ref="J34:M34"/>
    <mergeCell ref="A34:E34"/>
    <mergeCell ref="N56:O56"/>
    <mergeCell ref="N57:O57"/>
    <mergeCell ref="A59:B59"/>
    <mergeCell ref="F59:G59"/>
    <mergeCell ref="H59:I59"/>
    <mergeCell ref="J59:K59"/>
    <mergeCell ref="L59:M59"/>
    <mergeCell ref="N59:O59"/>
    <mergeCell ref="F58:G58"/>
    <mergeCell ref="A58:B58"/>
    <mergeCell ref="A38:Q38"/>
    <mergeCell ref="N47:O47"/>
    <mergeCell ref="P47:Q47"/>
    <mergeCell ref="J47:K47"/>
    <mergeCell ref="N41:Q41"/>
    <mergeCell ref="J41:M41"/>
    <mergeCell ref="F47:G47"/>
    <mergeCell ref="J43:M43"/>
    <mergeCell ref="N43:Q43"/>
    <mergeCell ref="A49:B49"/>
    <mergeCell ref="A50:B50"/>
    <mergeCell ref="A51:B51"/>
    <mergeCell ref="A52:B52"/>
    <mergeCell ref="A53:B53"/>
    <mergeCell ref="A55:B55"/>
    <mergeCell ref="A56:B56"/>
    <mergeCell ref="F95:G95"/>
    <mergeCell ref="F96:G96"/>
    <mergeCell ref="H58:I58"/>
    <mergeCell ref="H47:I47"/>
    <mergeCell ref="H48:I48"/>
    <mergeCell ref="H56:I56"/>
    <mergeCell ref="H52:I52"/>
    <mergeCell ref="H53:I53"/>
    <mergeCell ref="F97:G97"/>
    <mergeCell ref="A90:L91"/>
    <mergeCell ref="J48:K48"/>
    <mergeCell ref="L58:M58"/>
    <mergeCell ref="J50:K50"/>
    <mergeCell ref="L47:M47"/>
    <mergeCell ref="L48:M48"/>
    <mergeCell ref="C48:E48"/>
    <mergeCell ref="L51:M51"/>
    <mergeCell ref="L50:M50"/>
    <mergeCell ref="J49:K49"/>
    <mergeCell ref="C49:E49"/>
    <mergeCell ref="A48:B48"/>
    <mergeCell ref="C51:E51"/>
    <mergeCell ref="C47:E47"/>
    <mergeCell ref="F48:G48"/>
    <mergeCell ref="H57:I57"/>
    <mergeCell ref="L57:M57"/>
    <mergeCell ref="P57:Q57"/>
    <mergeCell ref="P52:Q52"/>
    <mergeCell ref="N51:O51"/>
    <mergeCell ref="J51:K51"/>
    <mergeCell ref="J52:K52"/>
    <mergeCell ref="H54:I54"/>
    <mergeCell ref="L54:M54"/>
    <mergeCell ref="P51:Q51"/>
    <mergeCell ref="N52:O52"/>
    <mergeCell ref="L53:M53"/>
    <mergeCell ref="P53:Q53"/>
    <mergeCell ref="P54:Q54"/>
    <mergeCell ref="N53:O53"/>
    <mergeCell ref="N54:O54"/>
    <mergeCell ref="J53:K53"/>
    <mergeCell ref="L52:M52"/>
    <mergeCell ref="H51:I51"/>
    <mergeCell ref="N49:O49"/>
    <mergeCell ref="N50:O50"/>
    <mergeCell ref="N35:Q35"/>
    <mergeCell ref="N36:Q36"/>
    <mergeCell ref="J39:M39"/>
    <mergeCell ref="A7:Q7"/>
    <mergeCell ref="A24:Q24"/>
    <mergeCell ref="A8:Q8"/>
    <mergeCell ref="P48:Q48"/>
    <mergeCell ref="A15:Q15"/>
    <mergeCell ref="H50:I50"/>
    <mergeCell ref="N39:Q39"/>
    <mergeCell ref="J46:M46"/>
    <mergeCell ref="P50:Q50"/>
    <mergeCell ref="A45:Q45"/>
    <mergeCell ref="P49:Q49"/>
    <mergeCell ref="N48:O48"/>
    <mergeCell ref="A44:Q44"/>
    <mergeCell ref="F46:I46"/>
    <mergeCell ref="F49:G49"/>
    <mergeCell ref="N46:Q46"/>
    <mergeCell ref="C50:E50"/>
    <mergeCell ref="A47:B47"/>
    <mergeCell ref="C10:M10"/>
    <mergeCell ref="C11:M11"/>
    <mergeCell ref="C12:M12"/>
    <mergeCell ref="C13:M13"/>
    <mergeCell ref="A40:Q40"/>
    <mergeCell ref="A42:Q42"/>
    <mergeCell ref="A16:Q16"/>
    <mergeCell ref="J36:M36"/>
    <mergeCell ref="H49:I49"/>
    <mergeCell ref="L49:M49"/>
    <mergeCell ref="N37:Q37"/>
    <mergeCell ref="A39:D39"/>
    <mergeCell ref="A41:D41"/>
    <mergeCell ref="A35:E35"/>
    <mergeCell ref="A43:D43"/>
    <mergeCell ref="F34:I34"/>
  </mergeCells>
  <phoneticPr fontId="3" type="noConversion"/>
  <printOptions horizontalCentered="1"/>
  <pageMargins left="0.39370078740157483" right="0.39370078740157483" top="0.82677165354330717" bottom="0" header="0" footer="0"/>
  <pageSetup paperSize="274" scale="82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63AD-0655-4102-82B3-934F2E4BA2E2}">
  <sheetPr>
    <tabColor rgb="FFC00000"/>
  </sheetPr>
  <dimension ref="A1:AX92"/>
  <sheetViews>
    <sheetView view="pageBreakPreview" zoomScaleNormal="120" zoomScaleSheetLayoutView="100" workbookViewId="0">
      <selection activeCell="D6" sqref="D6:M6"/>
    </sheetView>
  </sheetViews>
  <sheetFormatPr baseColWidth="10" defaultColWidth="5.5546875" defaultRowHeight="15" customHeight="1" x14ac:dyDescent="0.25"/>
  <cols>
    <col min="1" max="1" width="5.5546875" style="126"/>
    <col min="2" max="2" width="4.6640625" style="126" customWidth="1"/>
    <col min="3" max="3" width="2" style="126" customWidth="1"/>
    <col min="4" max="4" width="9.6640625" style="126" customWidth="1"/>
    <col min="5" max="5" width="7.109375" style="126" customWidth="1"/>
    <col min="6" max="6" width="3.6640625" style="126" customWidth="1"/>
    <col min="7" max="9" width="5.5546875" style="126"/>
    <col min="10" max="10" width="11.109375" style="126" customWidth="1"/>
    <col min="11" max="11" width="8.88671875" style="126" customWidth="1"/>
    <col min="12" max="12" width="6.6640625" style="126" customWidth="1"/>
    <col min="13" max="13" width="3.109375" style="126" customWidth="1"/>
    <col min="14" max="14" width="8.88671875" style="126" customWidth="1"/>
    <col min="15" max="15" width="7.33203125" style="126" customWidth="1"/>
    <col min="16" max="16" width="6.33203125" style="126" customWidth="1"/>
    <col min="17" max="17" width="11.44140625" style="126" customWidth="1"/>
    <col min="18" max="18" width="3" style="126" customWidth="1"/>
    <col min="19" max="19" width="2.44140625" style="126" customWidth="1"/>
    <col min="20" max="20" width="5.6640625" style="126" customWidth="1"/>
    <col min="21" max="24" width="10.109375" style="126" customWidth="1"/>
    <col min="25" max="25" width="12.5546875" style="126" customWidth="1"/>
    <col min="26" max="26" width="9.5546875" style="126" customWidth="1"/>
    <col min="27" max="27" width="7" style="126" customWidth="1"/>
    <col min="28" max="29" width="11.33203125" style="126" customWidth="1"/>
    <col min="30" max="30" width="8.44140625" style="126" customWidth="1"/>
    <col min="31" max="34" width="11.44140625" style="126" customWidth="1"/>
    <col min="35" max="35" width="13.109375" style="126" customWidth="1"/>
    <col min="36" max="36" width="11.33203125" style="126" customWidth="1"/>
    <col min="37" max="37" width="11.6640625" style="126" customWidth="1"/>
    <col min="38" max="38" width="10.109375" style="126" customWidth="1"/>
    <col min="39" max="40" width="9.109375" style="126" customWidth="1"/>
    <col min="41" max="48" width="12.33203125" style="126" customWidth="1"/>
    <col min="49" max="50" width="10.109375" style="126" customWidth="1"/>
    <col min="51" max="16384" width="5.5546875" style="126"/>
  </cols>
  <sheetData>
    <row r="1" spans="1:50" ht="15.75" customHeight="1" x14ac:dyDescent="0.25">
      <c r="A1" s="936" t="s">
        <v>7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</row>
    <row r="2" spans="1:50" ht="15.75" customHeight="1" x14ac:dyDescent="0.25">
      <c r="A2" s="937">
        <f>+'INFORME-1'!A8:Q8</f>
        <v>0</v>
      </c>
      <c r="B2" s="937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</row>
    <row r="3" spans="1:50" ht="9" customHeight="1" x14ac:dyDescent="0.25">
      <c r="A3" s="128"/>
      <c r="B3" s="129"/>
      <c r="C3" s="130"/>
      <c r="D3" s="130"/>
      <c r="E3" s="131"/>
      <c r="F3" s="132"/>
      <c r="G3" s="133"/>
      <c r="H3" s="133"/>
      <c r="I3" s="132"/>
      <c r="J3" s="132"/>
      <c r="K3" s="132"/>
      <c r="L3" s="132"/>
      <c r="M3" s="132"/>
      <c r="N3" s="132"/>
      <c r="O3" s="134"/>
      <c r="P3" s="134"/>
      <c r="Q3" s="125"/>
      <c r="R3" s="125"/>
    </row>
    <row r="4" spans="1:50" ht="15.6" customHeight="1" x14ac:dyDescent="0.25">
      <c r="A4" s="32" t="s">
        <v>13</v>
      </c>
      <c r="C4" s="33" t="s">
        <v>0</v>
      </c>
      <c r="D4" s="943">
        <f>+'INFORME-1'!C10</f>
        <v>0</v>
      </c>
      <c r="E4" s="943"/>
      <c r="F4" s="943"/>
      <c r="G4" s="943"/>
      <c r="H4" s="943"/>
      <c r="I4" s="943"/>
      <c r="J4" s="943"/>
      <c r="K4" s="943"/>
      <c r="L4" s="943"/>
      <c r="M4" s="943"/>
      <c r="O4" s="34" t="s">
        <v>6</v>
      </c>
      <c r="P4" s="35" t="s">
        <v>0</v>
      </c>
      <c r="Q4" s="36" t="str">
        <f>+'INFORME-1'!P10</f>
        <v>F-LEM-P-SU.37.02</v>
      </c>
      <c r="R4" s="36"/>
    </row>
    <row r="5" spans="1:50" ht="15.6" customHeight="1" x14ac:dyDescent="0.25">
      <c r="A5" s="32" t="s">
        <v>14</v>
      </c>
      <c r="C5" s="33" t="s">
        <v>0</v>
      </c>
      <c r="D5" s="943">
        <f>+'INFORME-1'!C11</f>
        <v>0</v>
      </c>
      <c r="E5" s="943"/>
      <c r="F5" s="943"/>
      <c r="G5" s="943"/>
      <c r="H5" s="943"/>
      <c r="I5" s="943"/>
      <c r="J5" s="943"/>
      <c r="K5" s="943"/>
      <c r="L5" s="943"/>
      <c r="M5" s="943"/>
      <c r="O5" s="37" t="s">
        <v>156</v>
      </c>
      <c r="P5" s="33" t="s">
        <v>0</v>
      </c>
      <c r="Q5" s="722">
        <f>+'INFORME-1'!P11</f>
        <v>0</v>
      </c>
      <c r="R5" s="242"/>
    </row>
    <row r="6" spans="1:50" ht="15.6" customHeight="1" x14ac:dyDescent="0.25">
      <c r="A6" s="32" t="s">
        <v>15</v>
      </c>
      <c r="C6" s="33" t="s">
        <v>0</v>
      </c>
      <c r="D6" s="935">
        <f>+'INFORME-1'!C12</f>
        <v>0</v>
      </c>
      <c r="E6" s="935"/>
      <c r="F6" s="935"/>
      <c r="G6" s="935"/>
      <c r="H6" s="935"/>
      <c r="I6" s="935"/>
      <c r="J6" s="935"/>
      <c r="K6" s="935"/>
      <c r="L6" s="935"/>
      <c r="M6" s="935"/>
      <c r="O6" s="37" t="s">
        <v>157</v>
      </c>
      <c r="P6" s="33" t="s">
        <v>0</v>
      </c>
      <c r="Q6" s="722">
        <f>+'INFORME-1'!P12</f>
        <v>0</v>
      </c>
      <c r="R6" s="242"/>
    </row>
    <row r="7" spans="1:50" ht="15.6" customHeight="1" x14ac:dyDescent="0.25">
      <c r="A7" s="32" t="s">
        <v>17</v>
      </c>
      <c r="C7" s="33" t="s">
        <v>0</v>
      </c>
      <c r="D7" s="935">
        <f>+'INFORME-1'!C13</f>
        <v>0</v>
      </c>
      <c r="E7" s="935"/>
      <c r="F7" s="935"/>
      <c r="G7" s="935"/>
      <c r="H7" s="935"/>
      <c r="I7" s="935"/>
      <c r="J7" s="935"/>
      <c r="K7" s="935"/>
      <c r="L7" s="935"/>
      <c r="M7" s="935"/>
      <c r="O7" s="37" t="s">
        <v>16</v>
      </c>
      <c r="P7" s="33" t="s">
        <v>0</v>
      </c>
      <c r="Q7" s="567">
        <f>+'INFORME-1'!P13</f>
        <v>0</v>
      </c>
      <c r="R7" s="243"/>
    </row>
    <row r="8" spans="1:50" ht="9" customHeight="1" thickBot="1" x14ac:dyDescent="0.3">
      <c r="A8" s="32"/>
      <c r="B8" s="33"/>
      <c r="C8" s="36"/>
      <c r="D8" s="36"/>
      <c r="E8" s="36"/>
      <c r="F8" s="36"/>
      <c r="G8" s="36"/>
      <c r="H8" s="36"/>
      <c r="I8" s="36"/>
      <c r="M8" s="37"/>
      <c r="N8" s="33"/>
      <c r="O8" s="38"/>
      <c r="P8" s="38"/>
      <c r="Q8" s="125"/>
      <c r="R8" s="125"/>
    </row>
    <row r="9" spans="1:50" ht="18" customHeight="1" thickBot="1" x14ac:dyDescent="0.3">
      <c r="A9" s="918" t="str">
        <f>+'INFORME-1'!A15</f>
        <v>Standard Test Method for California Bearing Ratio (CBR) of Laboratory-Compacted Soils</v>
      </c>
      <c r="B9" s="919"/>
      <c r="C9" s="919"/>
      <c r="D9" s="919"/>
      <c r="E9" s="919"/>
      <c r="F9" s="919"/>
      <c r="G9" s="919"/>
      <c r="H9" s="919"/>
      <c r="I9" s="919"/>
      <c r="J9" s="919"/>
      <c r="K9" s="919"/>
      <c r="L9" s="919"/>
      <c r="M9" s="919"/>
      <c r="N9" s="919"/>
      <c r="O9" s="919"/>
      <c r="P9" s="919"/>
      <c r="Q9" s="919"/>
      <c r="R9" s="920"/>
      <c r="U9" s="928" t="s">
        <v>55</v>
      </c>
      <c r="V9" s="929"/>
      <c r="W9" s="929"/>
      <c r="X9" s="929"/>
      <c r="Y9" s="929"/>
      <c r="Z9" s="929"/>
      <c r="AA9" s="929"/>
      <c r="AB9" s="929"/>
      <c r="AC9" s="929"/>
      <c r="AD9" s="930"/>
      <c r="AE9" s="928" t="s">
        <v>82</v>
      </c>
      <c r="AF9" s="929"/>
      <c r="AG9" s="929"/>
      <c r="AH9" s="929"/>
      <c r="AI9" s="929"/>
      <c r="AJ9" s="929"/>
      <c r="AK9" s="929"/>
      <c r="AL9" s="929"/>
      <c r="AM9" s="929"/>
      <c r="AN9" s="930"/>
      <c r="AO9" s="928" t="s">
        <v>83</v>
      </c>
      <c r="AP9" s="929"/>
      <c r="AQ9" s="929"/>
      <c r="AR9" s="929"/>
      <c r="AS9" s="929"/>
      <c r="AT9" s="929"/>
      <c r="AU9" s="929"/>
      <c r="AV9" s="929"/>
      <c r="AW9" s="929"/>
      <c r="AX9" s="930"/>
    </row>
    <row r="10" spans="1:50" ht="14.25" customHeight="1" x14ac:dyDescent="0.2">
      <c r="A10" s="921" t="str">
        <f>+'INFORME-1'!A16</f>
        <v>ASTM D1883-21</v>
      </c>
      <c r="B10" s="922"/>
      <c r="C10" s="922"/>
      <c r="D10" s="922"/>
      <c r="E10" s="922"/>
      <c r="F10" s="922"/>
      <c r="G10" s="922"/>
      <c r="H10" s="922"/>
      <c r="I10" s="922"/>
      <c r="J10" s="922"/>
      <c r="K10" s="922"/>
      <c r="L10" s="922"/>
      <c r="M10" s="922"/>
      <c r="N10" s="922"/>
      <c r="O10" s="922"/>
      <c r="P10" s="922"/>
      <c r="Q10" s="922"/>
      <c r="R10" s="923"/>
      <c r="U10" s="324"/>
      <c r="V10" s="325"/>
      <c r="W10" s="326"/>
      <c r="X10" s="325"/>
      <c r="Y10" s="325"/>
      <c r="Z10" s="325"/>
      <c r="AA10" s="326"/>
      <c r="AB10" s="326"/>
      <c r="AC10" s="326"/>
      <c r="AD10" s="327"/>
      <c r="AE10" s="324"/>
      <c r="AF10" s="325"/>
      <c r="AG10" s="326"/>
      <c r="AH10" s="325"/>
      <c r="AI10" s="325"/>
      <c r="AJ10" s="325"/>
      <c r="AK10" s="326"/>
      <c r="AL10" s="326"/>
      <c r="AM10" s="326"/>
      <c r="AN10" s="327"/>
      <c r="AO10" s="324"/>
      <c r="AP10" s="325"/>
      <c r="AQ10" s="326"/>
      <c r="AR10" s="325"/>
      <c r="AS10" s="325"/>
      <c r="AT10" s="325"/>
      <c r="AU10" s="326"/>
      <c r="AV10" s="326"/>
      <c r="AW10" s="326"/>
      <c r="AX10" s="327"/>
    </row>
    <row r="11" spans="1:50" ht="11.4" customHeight="1" x14ac:dyDescent="0.2">
      <c r="A11" s="136"/>
      <c r="B11" s="137"/>
      <c r="C11" s="138"/>
      <c r="D11" s="138"/>
      <c r="E11" s="138"/>
      <c r="F11" s="138"/>
      <c r="G11" s="139"/>
      <c r="H11" s="140"/>
      <c r="I11" s="141"/>
      <c r="J11" s="138"/>
      <c r="K11" s="138"/>
      <c r="L11" s="138"/>
      <c r="M11" s="138"/>
      <c r="N11" s="138"/>
      <c r="O11" s="138"/>
      <c r="P11" s="138"/>
      <c r="Q11" s="138"/>
      <c r="R11" s="142"/>
      <c r="U11" s="924" t="s">
        <v>62</v>
      </c>
      <c r="V11" s="925"/>
      <c r="W11" s="925"/>
      <c r="X11" s="925"/>
      <c r="Y11" s="294" t="s">
        <v>190</v>
      </c>
      <c r="Z11" s="51"/>
      <c r="AD11" s="135"/>
      <c r="AE11" s="931" t="s">
        <v>62</v>
      </c>
      <c r="AF11" s="932"/>
      <c r="AG11" s="932"/>
      <c r="AH11" s="933"/>
      <c r="AI11" s="294" t="s">
        <v>190</v>
      </c>
      <c r="AJ11" s="51"/>
      <c r="AN11" s="135"/>
      <c r="AO11" s="931" t="s">
        <v>62</v>
      </c>
      <c r="AP11" s="932"/>
      <c r="AQ11" s="932"/>
      <c r="AR11" s="933"/>
      <c r="AS11" s="294" t="s">
        <v>190</v>
      </c>
      <c r="AT11" s="51"/>
      <c r="AX11" s="135"/>
    </row>
    <row r="12" spans="1:50" ht="15.45" customHeight="1" x14ac:dyDescent="0.2">
      <c r="A12" s="940" t="s">
        <v>135</v>
      </c>
      <c r="B12" s="941"/>
      <c r="C12" s="941"/>
      <c r="D12" s="941"/>
      <c r="E12" s="941"/>
      <c r="F12" s="941"/>
      <c r="G12" s="941"/>
      <c r="H12" s="941"/>
      <c r="I12" s="941"/>
      <c r="J12" s="941"/>
      <c r="K12" s="941"/>
      <c r="L12" s="941"/>
      <c r="M12" s="941"/>
      <c r="N12" s="941"/>
      <c r="O12" s="941"/>
      <c r="P12" s="941"/>
      <c r="Q12" s="941"/>
      <c r="R12" s="942"/>
      <c r="U12" s="45"/>
      <c r="V12" s="51"/>
      <c r="W12" s="51"/>
      <c r="X12" s="51"/>
      <c r="Y12" s="51"/>
      <c r="Z12" s="51"/>
      <c r="AD12" s="135"/>
      <c r="AE12" s="45"/>
      <c r="AF12" s="51"/>
      <c r="AG12" s="51"/>
      <c r="AH12" s="51"/>
      <c r="AI12" s="51"/>
      <c r="AJ12" s="51"/>
      <c r="AN12" s="135"/>
      <c r="AO12" s="45"/>
      <c r="AP12" s="51"/>
      <c r="AQ12" s="51"/>
      <c r="AR12" s="51"/>
      <c r="AS12" s="51"/>
      <c r="AT12" s="51"/>
      <c r="AX12" s="135"/>
    </row>
    <row r="13" spans="1:50" s="36" customFormat="1" ht="15.45" customHeight="1" x14ac:dyDescent="0.25">
      <c r="A13" s="143"/>
      <c r="G13" s="144"/>
      <c r="H13" s="144"/>
      <c r="I13" s="145"/>
      <c r="J13" s="145"/>
      <c r="K13" s="145"/>
      <c r="L13" s="145"/>
      <c r="M13" s="145"/>
      <c r="N13" s="145"/>
      <c r="O13" s="145"/>
      <c r="P13" s="126"/>
      <c r="R13" s="146"/>
      <c r="U13" s="55" t="s">
        <v>63</v>
      </c>
      <c r="V13" s="46"/>
      <c r="X13" s="56" t="s">
        <v>58</v>
      </c>
      <c r="Y13" s="46"/>
      <c r="Z13" s="51"/>
      <c r="AA13" s="64" t="s">
        <v>81</v>
      </c>
      <c r="AB13" s="64"/>
      <c r="AD13" s="147"/>
      <c r="AE13" s="55" t="s">
        <v>63</v>
      </c>
      <c r="AF13" s="46"/>
      <c r="AH13" s="56" t="s">
        <v>58</v>
      </c>
      <c r="AI13" s="46"/>
      <c r="AJ13" s="51"/>
      <c r="AK13" s="56" t="s">
        <v>81</v>
      </c>
      <c r="AN13" s="147"/>
      <c r="AO13" s="55" t="s">
        <v>63</v>
      </c>
      <c r="AP13" s="46"/>
      <c r="AR13" s="56" t="s">
        <v>58</v>
      </c>
      <c r="AS13" s="46"/>
      <c r="AT13" s="51"/>
      <c r="AU13" s="56" t="s">
        <v>81</v>
      </c>
      <c r="AX13" s="147"/>
    </row>
    <row r="14" spans="1:50" s="36" customFormat="1" ht="15.45" customHeight="1" x14ac:dyDescent="0.2">
      <c r="A14" s="148"/>
      <c r="B14" s="131"/>
      <c r="C14" s="131"/>
      <c r="D14" s="131"/>
      <c r="E14" s="144"/>
      <c r="F14" s="144"/>
      <c r="G14" s="144"/>
      <c r="I14" s="131"/>
      <c r="J14" s="131"/>
      <c r="K14" s="131"/>
      <c r="L14" s="144"/>
      <c r="M14" s="144"/>
      <c r="N14" s="144"/>
      <c r="R14" s="149"/>
      <c r="U14" s="314" t="s">
        <v>64</v>
      </c>
      <c r="V14" s="50" t="s">
        <v>65</v>
      </c>
      <c r="X14" s="53" t="s">
        <v>59</v>
      </c>
      <c r="Y14" s="59">
        <f>(V17-V15)/(U17-U15)</f>
        <v>0</v>
      </c>
      <c r="AA14" s="50" t="s">
        <v>79</v>
      </c>
      <c r="AB14" s="50" t="s">
        <v>80</v>
      </c>
      <c r="AD14" s="147"/>
      <c r="AE14" s="314" t="s">
        <v>64</v>
      </c>
      <c r="AF14" s="50" t="s">
        <v>65</v>
      </c>
      <c r="AH14" s="53" t="s">
        <v>59</v>
      </c>
      <c r="AI14" s="59">
        <f>(AF17-AF15)/(AE17-AE15)</f>
        <v>0</v>
      </c>
      <c r="AK14" s="50" t="s">
        <v>79</v>
      </c>
      <c r="AL14" s="50" t="s">
        <v>80</v>
      </c>
      <c r="AN14" s="147"/>
      <c r="AO14" s="314" t="s">
        <v>64</v>
      </c>
      <c r="AP14" s="50" t="s">
        <v>65</v>
      </c>
      <c r="AR14" s="53" t="s">
        <v>59</v>
      </c>
      <c r="AS14" s="59">
        <f>(AP17-AP15)/(AO17-AO15)</f>
        <v>0</v>
      </c>
      <c r="AU14" s="50" t="s">
        <v>79</v>
      </c>
      <c r="AV14" s="50" t="s">
        <v>80</v>
      </c>
      <c r="AX14" s="147"/>
    </row>
    <row r="15" spans="1:50" s="36" customFormat="1" ht="15.45" customHeight="1" x14ac:dyDescent="0.2">
      <c r="A15" s="148"/>
      <c r="B15" s="131"/>
      <c r="C15" s="131"/>
      <c r="D15" s="131"/>
      <c r="E15" s="144"/>
      <c r="F15" s="144"/>
      <c r="G15" s="144"/>
      <c r="I15" s="131"/>
      <c r="J15" s="131"/>
      <c r="K15" s="131"/>
      <c r="L15" s="150"/>
      <c r="M15" s="150"/>
      <c r="N15" s="150"/>
      <c r="R15" s="149"/>
      <c r="U15" s="292">
        <f>+DATOS!A49</f>
        <v>0.125</v>
      </c>
      <c r="V15" s="293">
        <f>+DATOS!G49</f>
        <v>0.78855422374304684</v>
      </c>
      <c r="X15" s="53" t="s">
        <v>68</v>
      </c>
      <c r="Y15" s="50">
        <v>0</v>
      </c>
      <c r="AA15" s="50">
        <f>IF(Y11="SI",U17,0)</f>
        <v>0</v>
      </c>
      <c r="AB15" s="59">
        <f>IF(Y11="SI",V17,0)</f>
        <v>0</v>
      </c>
      <c r="AD15" s="147"/>
      <c r="AE15" s="292">
        <f>+DATOS!A49</f>
        <v>0.125</v>
      </c>
      <c r="AF15" s="293">
        <f>+DATOS!K49</f>
        <v>0.78855422374304684</v>
      </c>
      <c r="AH15" s="53" t="s">
        <v>68</v>
      </c>
      <c r="AI15" s="50">
        <v>0</v>
      </c>
      <c r="AK15" s="50">
        <f>IF(AI11="SI",AE17,0)</f>
        <v>0</v>
      </c>
      <c r="AL15" s="59">
        <f>IF(AI11="SI",AF17,0)</f>
        <v>0</v>
      </c>
      <c r="AN15" s="147"/>
      <c r="AO15" s="292">
        <f>+DATOS!A48</f>
        <v>0.1</v>
      </c>
      <c r="AP15" s="293">
        <f>+DATOS!O48</f>
        <v>0.78855422374304684</v>
      </c>
      <c r="AR15" s="53" t="s">
        <v>68</v>
      </c>
      <c r="AS15" s="50">
        <v>0</v>
      </c>
      <c r="AU15" s="50">
        <f>IF(AS11="SI",AO17,0)</f>
        <v>0</v>
      </c>
      <c r="AV15" s="59">
        <f>IF(AS11="SI",AP17,0)</f>
        <v>0</v>
      </c>
      <c r="AX15" s="147"/>
    </row>
    <row r="16" spans="1:50" s="36" customFormat="1" ht="15.45" customHeight="1" x14ac:dyDescent="0.2">
      <c r="A16" s="148"/>
      <c r="B16" s="131"/>
      <c r="C16" s="131"/>
      <c r="D16" s="131"/>
      <c r="E16" s="151"/>
      <c r="F16" s="144"/>
      <c r="G16" s="144"/>
      <c r="I16" s="131"/>
      <c r="J16" s="131"/>
      <c r="K16" s="131"/>
      <c r="L16" s="150"/>
      <c r="M16" s="150"/>
      <c r="N16" s="150"/>
      <c r="R16" s="149"/>
      <c r="U16" s="314" t="s">
        <v>66</v>
      </c>
      <c r="V16" s="50" t="s">
        <v>67</v>
      </c>
      <c r="W16" s="46"/>
      <c r="X16" s="53" t="s">
        <v>69</v>
      </c>
      <c r="Y16" s="54" t="e">
        <f>(Y15-V15)/Y14+U15</f>
        <v>#DIV/0!</v>
      </c>
      <c r="Z16" s="36" t="s">
        <v>144</v>
      </c>
      <c r="AA16" s="54">
        <f>IF(Y11="SI",Y16,0)</f>
        <v>0</v>
      </c>
      <c r="AB16" s="50">
        <f>+Y15</f>
        <v>0</v>
      </c>
      <c r="AD16" s="147"/>
      <c r="AE16" s="314" t="s">
        <v>66</v>
      </c>
      <c r="AF16" s="50" t="s">
        <v>67</v>
      </c>
      <c r="AG16" s="46"/>
      <c r="AH16" s="53" t="s">
        <v>69</v>
      </c>
      <c r="AI16" s="54" t="e">
        <f>(AI15-AF15)/AI14+AE15</f>
        <v>#DIV/0!</v>
      </c>
      <c r="AK16" s="54">
        <f>IF(AI11="SI",AI16,0)</f>
        <v>0</v>
      </c>
      <c r="AL16" s="50">
        <f>+AI15</f>
        <v>0</v>
      </c>
      <c r="AN16" s="147"/>
      <c r="AO16" s="314" t="s">
        <v>66</v>
      </c>
      <c r="AP16" s="50" t="s">
        <v>67</v>
      </c>
      <c r="AQ16" s="46"/>
      <c r="AR16" s="53" t="s">
        <v>69</v>
      </c>
      <c r="AS16" s="54" t="e">
        <f>(AS15-AP15)/AS14+AO15</f>
        <v>#DIV/0!</v>
      </c>
      <c r="AU16" s="54">
        <f>IF(AS11="SI",AS16,0)</f>
        <v>0</v>
      </c>
      <c r="AV16" s="50">
        <f>+AS15</f>
        <v>0</v>
      </c>
      <c r="AX16" s="147"/>
    </row>
    <row r="17" spans="1:50" s="36" customFormat="1" ht="15.45" customHeight="1" x14ac:dyDescent="0.2">
      <c r="A17" s="148"/>
      <c r="B17" s="131"/>
      <c r="C17" s="131"/>
      <c r="D17" s="131"/>
      <c r="E17" s="144"/>
      <c r="F17" s="144"/>
      <c r="G17" s="144"/>
      <c r="I17" s="131"/>
      <c r="J17" s="131"/>
      <c r="K17" s="131"/>
      <c r="L17" s="150"/>
      <c r="M17" s="150"/>
      <c r="N17" s="150"/>
      <c r="R17" s="149"/>
      <c r="U17" s="292">
        <f>+DATOS!A52</f>
        <v>0.2</v>
      </c>
      <c r="V17" s="293">
        <f>+DATOS!G52</f>
        <v>0.78855422374304684</v>
      </c>
      <c r="Z17" s="63"/>
      <c r="AD17" s="147"/>
      <c r="AE17" s="292">
        <f>+DATOS!A52</f>
        <v>0.2</v>
      </c>
      <c r="AF17" s="293">
        <f>+DATOS!K52</f>
        <v>0.78855422374304684</v>
      </c>
      <c r="AJ17" s="63"/>
      <c r="AN17" s="147"/>
      <c r="AO17" s="292">
        <f>+DATOS!A52</f>
        <v>0.2</v>
      </c>
      <c r="AP17" s="293">
        <f>+DATOS!O52</f>
        <v>0.78855422374304684</v>
      </c>
      <c r="AT17" s="63"/>
      <c r="AX17" s="147"/>
    </row>
    <row r="18" spans="1:50" s="36" customFormat="1" ht="15.45" customHeight="1" x14ac:dyDescent="0.2">
      <c r="A18" s="148"/>
      <c r="B18" s="131"/>
      <c r="C18" s="131"/>
      <c r="D18" s="131"/>
      <c r="E18" s="144"/>
      <c r="F18" s="144"/>
      <c r="G18" s="144"/>
      <c r="I18" s="131"/>
      <c r="J18" s="131"/>
      <c r="K18" s="131"/>
      <c r="L18" s="150"/>
      <c r="M18" s="150"/>
      <c r="N18" s="150"/>
      <c r="R18" s="149"/>
      <c r="U18" s="45"/>
      <c r="V18" s="51"/>
      <c r="X18" s="51"/>
      <c r="Y18" s="51"/>
      <c r="Z18" s="51"/>
      <c r="AD18" s="147"/>
      <c r="AE18" s="45"/>
      <c r="AF18" s="51"/>
      <c r="AH18" s="51"/>
      <c r="AI18" s="51"/>
      <c r="AJ18" s="51"/>
      <c r="AN18" s="147"/>
      <c r="AO18" s="45"/>
      <c r="AP18" s="51"/>
      <c r="AR18" s="51"/>
      <c r="AS18" s="51"/>
      <c r="AT18" s="51"/>
      <c r="AX18" s="147"/>
    </row>
    <row r="19" spans="1:50" s="36" customFormat="1" ht="15.45" customHeight="1" x14ac:dyDescent="0.25">
      <c r="A19" s="148"/>
      <c r="B19" s="131"/>
      <c r="C19" s="131"/>
      <c r="D19" s="131"/>
      <c r="E19" s="144"/>
      <c r="F19" s="144"/>
      <c r="G19" s="144"/>
      <c r="I19" s="131"/>
      <c r="J19" s="131"/>
      <c r="K19" s="131"/>
      <c r="L19" s="150"/>
      <c r="M19" s="150"/>
      <c r="N19" s="150"/>
      <c r="R19" s="149"/>
      <c r="U19" s="45"/>
      <c r="V19" s="52" t="s">
        <v>76</v>
      </c>
      <c r="X19" s="51"/>
      <c r="Y19" s="51"/>
      <c r="Z19" s="51"/>
      <c r="AD19" s="147"/>
      <c r="AE19" s="45"/>
      <c r="AF19" s="52" t="s">
        <v>76</v>
      </c>
      <c r="AH19" s="51"/>
      <c r="AI19" s="51"/>
      <c r="AJ19" s="51"/>
      <c r="AN19" s="147"/>
      <c r="AO19" s="45"/>
      <c r="AP19" s="52" t="s">
        <v>76</v>
      </c>
      <c r="AR19" s="51"/>
      <c r="AS19" s="51"/>
      <c r="AT19" s="51"/>
      <c r="AX19" s="147"/>
    </row>
    <row r="20" spans="1:50" s="36" customFormat="1" ht="15.45" customHeight="1" x14ac:dyDescent="0.25">
      <c r="A20" s="148"/>
      <c r="B20" s="131"/>
      <c r="C20" s="131"/>
      <c r="D20" s="131"/>
      <c r="E20" s="144"/>
      <c r="F20" s="144"/>
      <c r="G20" s="144"/>
      <c r="I20" s="131"/>
      <c r="J20" s="131"/>
      <c r="K20" s="131"/>
      <c r="L20" s="152"/>
      <c r="M20" s="152"/>
      <c r="N20" s="152"/>
      <c r="R20" s="149"/>
      <c r="U20" s="314" t="s">
        <v>72</v>
      </c>
      <c r="V20" s="315" t="s">
        <v>73</v>
      </c>
      <c r="W20" s="315" t="s">
        <v>74</v>
      </c>
      <c r="X20" s="315" t="s">
        <v>75</v>
      </c>
      <c r="Y20" s="315" t="s">
        <v>56</v>
      </c>
      <c r="Z20" s="315" t="s">
        <v>57</v>
      </c>
      <c r="AD20" s="147"/>
      <c r="AE20" s="314" t="s">
        <v>72</v>
      </c>
      <c r="AF20" s="315" t="s">
        <v>73</v>
      </c>
      <c r="AG20" s="315" t="s">
        <v>74</v>
      </c>
      <c r="AH20" s="315" t="s">
        <v>75</v>
      </c>
      <c r="AI20" s="315" t="s">
        <v>56</v>
      </c>
      <c r="AJ20" s="315" t="s">
        <v>57</v>
      </c>
      <c r="AN20" s="147"/>
      <c r="AO20" s="314" t="s">
        <v>72</v>
      </c>
      <c r="AP20" s="315" t="s">
        <v>73</v>
      </c>
      <c r="AQ20" s="315" t="s">
        <v>74</v>
      </c>
      <c r="AR20" s="315" t="s">
        <v>75</v>
      </c>
      <c r="AS20" s="315" t="s">
        <v>56</v>
      </c>
      <c r="AT20" s="315" t="s">
        <v>57</v>
      </c>
      <c r="AX20" s="147"/>
    </row>
    <row r="21" spans="1:50" s="36" customFormat="1" ht="15.45" customHeight="1" x14ac:dyDescent="0.2">
      <c r="A21" s="148"/>
      <c r="B21" s="131"/>
      <c r="C21" s="131"/>
      <c r="D21" s="131"/>
      <c r="E21" s="153"/>
      <c r="F21" s="153"/>
      <c r="G21" s="153"/>
      <c r="I21" s="131"/>
      <c r="J21" s="131"/>
      <c r="K21" s="131"/>
      <c r="L21" s="154"/>
      <c r="M21" s="154"/>
      <c r="N21" s="154"/>
      <c r="R21" s="149"/>
      <c r="U21" s="388"/>
      <c r="V21" s="389">
        <v>0</v>
      </c>
      <c r="W21" s="390">
        <f>+AB45</f>
        <v>75.335239151102542</v>
      </c>
      <c r="X21" s="390">
        <f>+AB44</f>
        <v>-51.590400340557608</v>
      </c>
      <c r="Y21" s="391">
        <f>+AB43</f>
        <v>9.9706039718627153</v>
      </c>
      <c r="Z21" s="393">
        <f>+AB42</f>
        <v>0.27517333231365804</v>
      </c>
      <c r="AD21" s="147"/>
      <c r="AE21" s="388"/>
      <c r="AF21" s="389">
        <v>0</v>
      </c>
      <c r="AG21" s="390">
        <f>+AL45</f>
        <v>75.335239151102542</v>
      </c>
      <c r="AH21" s="393">
        <f>+AL44</f>
        <v>-51.590400340557608</v>
      </c>
      <c r="AI21" s="391">
        <f>+AL43</f>
        <v>9.9706039718627153</v>
      </c>
      <c r="AJ21" s="392">
        <f>+AL42</f>
        <v>0.27517333231365804</v>
      </c>
      <c r="AN21" s="147"/>
      <c r="AO21" s="388"/>
      <c r="AP21" s="389">
        <v>0</v>
      </c>
      <c r="AQ21" s="390">
        <f>+AV45</f>
        <v>75.335239151102542</v>
      </c>
      <c r="AR21" s="390">
        <f>+AV44</f>
        <v>-51.590400340557608</v>
      </c>
      <c r="AS21" s="391">
        <f>+AV43</f>
        <v>9.9706039718627153</v>
      </c>
      <c r="AT21" s="392">
        <f>+AV42</f>
        <v>0.27517333231365804</v>
      </c>
      <c r="AX21" s="147"/>
    </row>
    <row r="22" spans="1:50" s="36" customFormat="1" ht="15.45" customHeight="1" x14ac:dyDescent="0.2">
      <c r="A22" s="155"/>
      <c r="R22" s="149"/>
      <c r="U22" s="156"/>
      <c r="Z22" s="46"/>
      <c r="AD22" s="147"/>
      <c r="AE22" s="156"/>
      <c r="AJ22" s="46"/>
      <c r="AN22" s="147"/>
      <c r="AO22" s="156"/>
      <c r="AT22" s="46"/>
      <c r="AX22" s="147"/>
    </row>
    <row r="23" spans="1:50" s="36" customFormat="1" ht="15.45" customHeight="1" x14ac:dyDescent="0.2">
      <c r="A23" s="157"/>
      <c r="B23" s="35"/>
      <c r="C23" s="35"/>
      <c r="D23" s="35"/>
      <c r="E23" s="35"/>
      <c r="F23" s="35"/>
      <c r="G23" s="35"/>
      <c r="H23" s="35"/>
      <c r="I23" s="35"/>
      <c r="R23" s="149"/>
      <c r="U23" s="156"/>
      <c r="W23" s="46"/>
      <c r="X23" s="46"/>
      <c r="Y23" s="57" t="s">
        <v>77</v>
      </c>
      <c r="Z23" s="57" t="s">
        <v>78</v>
      </c>
      <c r="AD23" s="147"/>
      <c r="AE23" s="156"/>
      <c r="AG23" s="46"/>
      <c r="AH23" s="46"/>
      <c r="AI23" s="57" t="s">
        <v>77</v>
      </c>
      <c r="AJ23" s="57" t="s">
        <v>78</v>
      </c>
      <c r="AN23" s="147"/>
      <c r="AO23" s="156"/>
      <c r="AQ23" s="46"/>
      <c r="AR23" s="46"/>
      <c r="AS23" s="57" t="s">
        <v>77</v>
      </c>
      <c r="AT23" s="57" t="s">
        <v>78</v>
      </c>
      <c r="AX23" s="147"/>
    </row>
    <row r="24" spans="1:50" s="36" customFormat="1" ht="15.45" customHeight="1" x14ac:dyDescent="0.2">
      <c r="A24" s="158"/>
      <c r="B24" s="159"/>
      <c r="C24" s="159"/>
      <c r="D24" s="159"/>
      <c r="E24" s="159"/>
      <c r="F24" s="160"/>
      <c r="G24" s="160"/>
      <c r="H24" s="159"/>
      <c r="I24" s="159"/>
      <c r="R24" s="149"/>
      <c r="U24" s="156"/>
      <c r="W24" s="60" t="s">
        <v>60</v>
      </c>
      <c r="X24" s="61"/>
      <c r="Y24" s="58">
        <f>IF(Y11="SI",0.1+Y16,0.1)</f>
        <v>0.1</v>
      </c>
      <c r="Z24" s="59">
        <f>$U$21*Y24^5+$V$21*Y24^4+$W$21*Y24^3+$X$21*Y24^2+$Y$21*Y24+$Z$21</f>
        <v>0.83166496524545597</v>
      </c>
      <c r="AD24" s="147"/>
      <c r="AE24" s="156"/>
      <c r="AG24" s="60" t="s">
        <v>60</v>
      </c>
      <c r="AH24" s="61"/>
      <c r="AI24" s="58">
        <f>IF(AI11="SI",0.1+AI16,0.1)</f>
        <v>0.1</v>
      </c>
      <c r="AJ24" s="59">
        <f>$AE$21*AI24^5+$AF$21*AI24^4+$AG$21*AI24^3+$AH$21*AI24^2+$AI$21*AI24+$AJ$21</f>
        <v>0.83166496524545597</v>
      </c>
      <c r="AN24" s="147"/>
      <c r="AO24" s="156"/>
      <c r="AQ24" s="60" t="s">
        <v>60</v>
      </c>
      <c r="AR24" s="61"/>
      <c r="AS24" s="58">
        <f>IF(AS11="SI",0.1+AS16,0.1)</f>
        <v>0.1</v>
      </c>
      <c r="AT24" s="59">
        <f>$AO$21*AS24^5+$AP$21*AS24^4+$AQ$21*AS24^3+$AR$21*AS24^2+$AS$21*AS24+$AT$21</f>
        <v>0.83166496524545597</v>
      </c>
      <c r="AX24" s="147"/>
    </row>
    <row r="25" spans="1:50" s="36" customFormat="1" ht="15.45" customHeight="1" x14ac:dyDescent="0.2">
      <c r="A25" s="158"/>
      <c r="B25" s="159"/>
      <c r="C25" s="159"/>
      <c r="D25" s="159"/>
      <c r="E25" s="159"/>
      <c r="F25" s="159"/>
      <c r="G25" s="159"/>
      <c r="H25" s="159"/>
      <c r="I25" s="159"/>
      <c r="K25" s="127"/>
      <c r="L25" s="126"/>
      <c r="M25" s="126"/>
      <c r="N25" s="126"/>
      <c r="R25" s="149"/>
      <c r="U25" s="156"/>
      <c r="W25" s="60" t="s">
        <v>61</v>
      </c>
      <c r="X25" s="62"/>
      <c r="Y25" s="58">
        <f>IF(Y11="SI",0.2+Y16,0.2)</f>
        <v>0.2</v>
      </c>
      <c r="Z25" s="59">
        <f>$U$21*Y25^5+$V$21*Y25^4+$W$21*Y25^3+$X$21*Y25^2+$Y$21*Y25+$Z$21</f>
        <v>0.80836002627271708</v>
      </c>
      <c r="AD25" s="147"/>
      <c r="AE25" s="156"/>
      <c r="AG25" s="60" t="s">
        <v>61</v>
      </c>
      <c r="AH25" s="62"/>
      <c r="AI25" s="58">
        <f>IF(AI11="SI",0.2+AI16,0.2)</f>
        <v>0.2</v>
      </c>
      <c r="AJ25" s="59">
        <f>$AE$21*AI25^5+$AF$21*AI25^4+$AG$21*AI25^3+$AH$21*AI25^2+$AI$21*AI25+$AJ$21</f>
        <v>0.80836002627271708</v>
      </c>
      <c r="AN25" s="147"/>
      <c r="AO25" s="156"/>
      <c r="AQ25" s="60" t="s">
        <v>61</v>
      </c>
      <c r="AR25" s="62"/>
      <c r="AS25" s="58">
        <f>IF(AS11="SI",0.2+AS16,0.2)</f>
        <v>0.2</v>
      </c>
      <c r="AT25" s="59">
        <f>$AO$21*AS25^5+$AP$21*AS25^4+$AQ$21*AS25^3+$AR$21*AS25^2+$AS$21*AS25+$AT$21</f>
        <v>0.80836002627271708</v>
      </c>
      <c r="AX25" s="147"/>
    </row>
    <row r="26" spans="1:50" s="36" customFormat="1" ht="15.45" customHeight="1" thickBot="1" x14ac:dyDescent="0.25">
      <c r="A26" s="158"/>
      <c r="B26" s="159"/>
      <c r="C26" s="159"/>
      <c r="D26" s="159"/>
      <c r="E26" s="159"/>
      <c r="F26" s="159"/>
      <c r="G26" s="159"/>
      <c r="H26" s="159"/>
      <c r="I26" s="159"/>
      <c r="K26" s="126"/>
      <c r="L26" s="126"/>
      <c r="M26" s="126"/>
      <c r="N26" s="126"/>
      <c r="R26" s="149"/>
      <c r="U26" s="328"/>
      <c r="V26" s="329"/>
      <c r="W26" s="329"/>
      <c r="X26" s="329"/>
      <c r="Y26" s="329"/>
      <c r="Z26" s="330"/>
      <c r="AA26" s="329"/>
      <c r="AB26" s="329"/>
      <c r="AC26" s="329"/>
      <c r="AD26" s="331"/>
      <c r="AE26" s="328"/>
      <c r="AF26" s="329"/>
      <c r="AG26" s="329"/>
      <c r="AH26" s="329"/>
      <c r="AI26" s="329"/>
      <c r="AJ26" s="330"/>
      <c r="AK26" s="329"/>
      <c r="AL26" s="329"/>
      <c r="AM26" s="329"/>
      <c r="AN26" s="331"/>
      <c r="AO26" s="328"/>
      <c r="AP26" s="329"/>
      <c r="AQ26" s="329"/>
      <c r="AR26" s="329"/>
      <c r="AS26" s="329"/>
      <c r="AT26" s="330"/>
      <c r="AU26" s="329"/>
      <c r="AV26" s="329"/>
      <c r="AW26" s="329"/>
      <c r="AX26" s="331"/>
    </row>
    <row r="27" spans="1:50" s="36" customFormat="1" ht="15.45" customHeight="1" x14ac:dyDescent="0.25">
      <c r="A27" s="161"/>
      <c r="B27" s="144"/>
      <c r="C27" s="162"/>
      <c r="D27" s="162"/>
      <c r="E27" s="162"/>
      <c r="F27" s="162"/>
      <c r="G27" s="162"/>
      <c r="H27" s="144"/>
      <c r="I27" s="162"/>
      <c r="K27" s="163"/>
      <c r="L27" s="163"/>
      <c r="M27" s="163"/>
      <c r="N27" s="163"/>
      <c r="R27" s="149"/>
      <c r="U27" s="916" t="s">
        <v>70</v>
      </c>
      <c r="V27" s="926" t="s">
        <v>71</v>
      </c>
      <c r="W27" s="326"/>
      <c r="X27" s="326"/>
      <c r="Y27" s="326"/>
      <c r="Z27" s="326"/>
      <c r="AA27" s="374"/>
      <c r="AB27" s="374"/>
      <c r="AC27" s="375"/>
      <c r="AD27" s="376"/>
      <c r="AE27" s="916" t="s">
        <v>70</v>
      </c>
      <c r="AF27" s="926" t="s">
        <v>71</v>
      </c>
      <c r="AG27" s="326"/>
      <c r="AH27" s="326"/>
      <c r="AI27" s="326"/>
      <c r="AJ27" s="326"/>
      <c r="AK27" s="374"/>
      <c r="AL27" s="374"/>
      <c r="AM27" s="375"/>
      <c r="AN27" s="376"/>
      <c r="AO27" s="916" t="s">
        <v>70</v>
      </c>
      <c r="AP27" s="926" t="s">
        <v>71</v>
      </c>
      <c r="AQ27" s="326"/>
      <c r="AR27" s="326"/>
      <c r="AS27" s="326"/>
      <c r="AT27" s="326"/>
      <c r="AU27" s="374"/>
      <c r="AV27" s="374"/>
      <c r="AW27" s="375"/>
      <c r="AX27" s="376"/>
    </row>
    <row r="28" spans="1:50" s="36" customFormat="1" ht="18" customHeight="1" x14ac:dyDescent="0.25">
      <c r="A28" s="240" t="s">
        <v>160</v>
      </c>
      <c r="B28" s="153"/>
      <c r="C28" s="153"/>
      <c r="D28" s="153"/>
      <c r="E28" s="162">
        <f>+W55</f>
        <v>8.3166496524545608E-2</v>
      </c>
      <c r="F28" s="153"/>
      <c r="G28" s="162"/>
      <c r="I28" s="241" t="s">
        <v>162</v>
      </c>
      <c r="L28" s="162">
        <f>+Z55</f>
        <v>8.3166496524545608E-2</v>
      </c>
      <c r="N28" s="241" t="s">
        <v>164</v>
      </c>
      <c r="O28" s="153"/>
      <c r="Q28" s="162">
        <f>+AC55</f>
        <v>8.3166496524545608E-2</v>
      </c>
      <c r="R28" s="149"/>
      <c r="S28" s="36" t="s">
        <v>142</v>
      </c>
      <c r="U28" s="917"/>
      <c r="V28" s="927"/>
      <c r="W28" s="320" t="s">
        <v>178</v>
      </c>
      <c r="X28" s="320" t="s">
        <v>179</v>
      </c>
      <c r="Y28" s="320" t="s">
        <v>180</v>
      </c>
      <c r="Z28" s="320" t="s">
        <v>181</v>
      </c>
      <c r="AA28" s="320" t="s">
        <v>182</v>
      </c>
      <c r="AB28" s="320" t="s">
        <v>183</v>
      </c>
      <c r="AC28" s="320" t="s">
        <v>184</v>
      </c>
      <c r="AD28" s="377" t="s">
        <v>185</v>
      </c>
      <c r="AE28" s="917"/>
      <c r="AF28" s="927"/>
      <c r="AG28" s="320" t="s">
        <v>178</v>
      </c>
      <c r="AH28" s="320" t="s">
        <v>179</v>
      </c>
      <c r="AI28" s="320" t="s">
        <v>180</v>
      </c>
      <c r="AJ28" s="320" t="s">
        <v>181</v>
      </c>
      <c r="AK28" s="320" t="s">
        <v>182</v>
      </c>
      <c r="AL28" s="320" t="s">
        <v>183</v>
      </c>
      <c r="AM28" s="320" t="s">
        <v>184</v>
      </c>
      <c r="AN28" s="377" t="s">
        <v>185</v>
      </c>
      <c r="AO28" s="917"/>
      <c r="AP28" s="927"/>
      <c r="AQ28" s="320" t="s">
        <v>178</v>
      </c>
      <c r="AR28" s="320" t="s">
        <v>179</v>
      </c>
      <c r="AS28" s="320" t="s">
        <v>180</v>
      </c>
      <c r="AT28" s="320" t="s">
        <v>181</v>
      </c>
      <c r="AU28" s="320" t="s">
        <v>182</v>
      </c>
      <c r="AV28" s="320" t="s">
        <v>183</v>
      </c>
      <c r="AW28" s="320" t="s">
        <v>184</v>
      </c>
      <c r="AX28" s="377" t="s">
        <v>185</v>
      </c>
    </row>
    <row r="29" spans="1:50" s="36" customFormat="1" ht="15.45" customHeight="1" x14ac:dyDescent="0.25">
      <c r="A29" s="240" t="s">
        <v>161</v>
      </c>
      <c r="B29" s="153"/>
      <c r="C29" s="153"/>
      <c r="D29" s="153"/>
      <c r="E29" s="162">
        <f>+W56</f>
        <v>5.3890668418181138E-2</v>
      </c>
      <c r="F29" s="153"/>
      <c r="G29" s="162"/>
      <c r="I29" s="241" t="s">
        <v>163</v>
      </c>
      <c r="L29" s="162">
        <f>+Z56</f>
        <v>5.3890668418181138E-2</v>
      </c>
      <c r="N29" s="241" t="s">
        <v>165</v>
      </c>
      <c r="O29" s="153"/>
      <c r="Q29" s="162">
        <f>+AC56</f>
        <v>5.3890668418181138E-2</v>
      </c>
      <c r="R29" s="149"/>
      <c r="S29" s="36" t="s">
        <v>142</v>
      </c>
      <c r="U29" s="164">
        <f>IF(Y11="SI",Y16,0)</f>
        <v>0</v>
      </c>
      <c r="V29" s="165">
        <f>+Y15</f>
        <v>0</v>
      </c>
      <c r="W29" s="322">
        <f t="shared" ref="W29:W39" si="0">IF(U29="","",U29^2)</f>
        <v>0</v>
      </c>
      <c r="X29" s="322">
        <f t="shared" ref="X29:X39" si="1">IF(U29="","",U29^3)</f>
        <v>0</v>
      </c>
      <c r="Y29" s="322">
        <f t="shared" ref="Y29:Y39" si="2">IF(U29="","",U29^4)</f>
        <v>0</v>
      </c>
      <c r="Z29" s="322">
        <f t="shared" ref="Z29:Z39" si="3">IF(U29="","",U29^5)</f>
        <v>0</v>
      </c>
      <c r="AA29" s="322">
        <f t="shared" ref="AA29:AA39" si="4">IF(U29="","",U29^6)</f>
        <v>0</v>
      </c>
      <c r="AB29" s="322">
        <f t="shared" ref="AB29:AB39" si="5">IF(U29="","",U29*V29)</f>
        <v>0</v>
      </c>
      <c r="AC29" s="322">
        <f t="shared" ref="AC29:AC39" si="6">IF(U29="","",U29^2*V29)</f>
        <v>0</v>
      </c>
      <c r="AD29" s="378">
        <f t="shared" ref="AD29:AD39" si="7">IF(U29="","",U29^3*V29)</f>
        <v>0</v>
      </c>
      <c r="AE29" s="164">
        <f>IF(AI11="SI",AI16,0)</f>
        <v>0</v>
      </c>
      <c r="AF29" s="165">
        <f>+AI15</f>
        <v>0</v>
      </c>
      <c r="AG29" s="322">
        <f t="shared" ref="AG29:AG39" si="8">IF(AE29="","",AE29^2)</f>
        <v>0</v>
      </c>
      <c r="AH29" s="322">
        <f t="shared" ref="AH29:AH39" si="9">IF(AE29="","",AE29^3)</f>
        <v>0</v>
      </c>
      <c r="AI29" s="322">
        <f t="shared" ref="AI29:AI39" si="10">IF(AE29="","",AE29^4)</f>
        <v>0</v>
      </c>
      <c r="AJ29" s="322">
        <f t="shared" ref="AJ29:AJ39" si="11">IF(AE29="","",AE29^5)</f>
        <v>0</v>
      </c>
      <c r="AK29" s="322">
        <f t="shared" ref="AK29:AK39" si="12">IF(AE29="","",AE29^6)</f>
        <v>0</v>
      </c>
      <c r="AL29" s="322">
        <f t="shared" ref="AL29:AL39" si="13">IF(AE29="","",AE29*AF29)</f>
        <v>0</v>
      </c>
      <c r="AM29" s="322">
        <f t="shared" ref="AM29:AM39" si="14">IF(AE29="","",AE29^2*AF29)</f>
        <v>0</v>
      </c>
      <c r="AN29" s="378">
        <f t="shared" ref="AN29:AN39" si="15">IF(AE29="","",AE29^3*AF29)</f>
        <v>0</v>
      </c>
      <c r="AO29" s="164">
        <f>IF(AS11="SI",AS16,0)</f>
        <v>0</v>
      </c>
      <c r="AP29" s="165">
        <f>+AS15</f>
        <v>0</v>
      </c>
      <c r="AQ29" s="322">
        <f t="shared" ref="AQ29:AQ39" si="16">IF(AO29="","",AO29^2)</f>
        <v>0</v>
      </c>
      <c r="AR29" s="322">
        <f t="shared" ref="AR29:AR39" si="17">IF(AO29="","",AO29^3)</f>
        <v>0</v>
      </c>
      <c r="AS29" s="322">
        <f t="shared" ref="AS29:AS39" si="18">IF(AO29="","",AO29^4)</f>
        <v>0</v>
      </c>
      <c r="AT29" s="322">
        <f t="shared" ref="AT29:AT39" si="19">IF(AO29="","",AO29^5)</f>
        <v>0</v>
      </c>
      <c r="AU29" s="322">
        <f t="shared" ref="AU29:AU39" si="20">IF(AO29="","",AO29^6)</f>
        <v>0</v>
      </c>
      <c r="AV29" s="322">
        <f t="shared" ref="AV29:AV39" si="21">IF(AO29="","",AO29*AP29)</f>
        <v>0</v>
      </c>
      <c r="AW29" s="322">
        <f t="shared" ref="AW29:AW39" si="22">IF(AO29="","",AO29^2*AP29)</f>
        <v>0</v>
      </c>
      <c r="AX29" s="378">
        <f t="shared" ref="AX29:AX39" si="23">IF(AO29="","",AO29^3*AP29)</f>
        <v>0</v>
      </c>
    </row>
    <row r="30" spans="1:50" ht="15.45" customHeight="1" x14ac:dyDescent="0.25">
      <c r="A30" s="240" t="s">
        <v>289</v>
      </c>
      <c r="B30" s="153"/>
      <c r="C30" s="153"/>
      <c r="D30" s="153"/>
      <c r="E30" s="152" t="e">
        <f>+DATOS!E24</f>
        <v>#N/A</v>
      </c>
      <c r="F30" s="153"/>
      <c r="G30" s="162"/>
      <c r="I30" s="241" t="s">
        <v>289</v>
      </c>
      <c r="J30" s="36"/>
      <c r="L30" s="150" t="e">
        <f>+DATOS!I24</f>
        <v>#N/A</v>
      </c>
      <c r="N30" s="241" t="s">
        <v>289</v>
      </c>
      <c r="O30" s="153"/>
      <c r="Q30" s="150" t="e">
        <f>+DATOS!M24</f>
        <v>#N/A</v>
      </c>
      <c r="R30" s="149"/>
      <c r="S30" s="36" t="s">
        <v>166</v>
      </c>
      <c r="U30" s="295">
        <f>+DATOS!A45</f>
        <v>2.5000000000000001E-2</v>
      </c>
      <c r="V30" s="296">
        <f>+DATOS!G45</f>
        <v>0.78855422374304684</v>
      </c>
      <c r="W30" s="322">
        <f t="shared" si="0"/>
        <v>6.2500000000000012E-4</v>
      </c>
      <c r="X30" s="322">
        <f t="shared" si="1"/>
        <v>1.5625000000000004E-5</v>
      </c>
      <c r="Y30" s="322">
        <f t="shared" si="2"/>
        <v>3.9062500000000018E-7</v>
      </c>
      <c r="Z30" s="322">
        <f t="shared" si="3"/>
        <v>9.7656250000000058E-9</v>
      </c>
      <c r="AA30" s="322">
        <f t="shared" si="4"/>
        <v>2.4414062500000014E-10</v>
      </c>
      <c r="AB30" s="322">
        <f t="shared" si="5"/>
        <v>1.9713855593576173E-2</v>
      </c>
      <c r="AC30" s="322">
        <f t="shared" si="6"/>
        <v>4.9284638983940437E-4</v>
      </c>
      <c r="AD30" s="378">
        <f t="shared" si="7"/>
        <v>1.2321159745985109E-5</v>
      </c>
      <c r="AE30" s="295">
        <f>+DATOS!A45</f>
        <v>2.5000000000000001E-2</v>
      </c>
      <c r="AF30" s="296">
        <f>+DATOS!K45</f>
        <v>0.78855422374304684</v>
      </c>
      <c r="AG30" s="322">
        <f t="shared" si="8"/>
        <v>6.2500000000000012E-4</v>
      </c>
      <c r="AH30" s="322">
        <f t="shared" si="9"/>
        <v>1.5625000000000004E-5</v>
      </c>
      <c r="AI30" s="322">
        <f t="shared" si="10"/>
        <v>3.9062500000000018E-7</v>
      </c>
      <c r="AJ30" s="322">
        <f t="shared" si="11"/>
        <v>9.7656250000000058E-9</v>
      </c>
      <c r="AK30" s="322">
        <f t="shared" si="12"/>
        <v>2.4414062500000014E-10</v>
      </c>
      <c r="AL30" s="322">
        <f t="shared" si="13"/>
        <v>1.9713855593576173E-2</v>
      </c>
      <c r="AM30" s="322">
        <f t="shared" si="14"/>
        <v>4.9284638983940437E-4</v>
      </c>
      <c r="AN30" s="378">
        <f t="shared" si="15"/>
        <v>1.2321159745985109E-5</v>
      </c>
      <c r="AO30" s="295">
        <f>+DATOS!A45</f>
        <v>2.5000000000000001E-2</v>
      </c>
      <c r="AP30" s="296">
        <f>+DATOS!O45</f>
        <v>0.78855422374304684</v>
      </c>
      <c r="AQ30" s="322">
        <f t="shared" si="16"/>
        <v>6.2500000000000012E-4</v>
      </c>
      <c r="AR30" s="322">
        <f t="shared" si="17"/>
        <v>1.5625000000000004E-5</v>
      </c>
      <c r="AS30" s="322">
        <f t="shared" si="18"/>
        <v>3.9062500000000018E-7</v>
      </c>
      <c r="AT30" s="322">
        <f t="shared" si="19"/>
        <v>9.7656250000000058E-9</v>
      </c>
      <c r="AU30" s="322">
        <f t="shared" si="20"/>
        <v>2.4414062500000014E-10</v>
      </c>
      <c r="AV30" s="322">
        <f t="shared" si="21"/>
        <v>1.9713855593576173E-2</v>
      </c>
      <c r="AW30" s="322">
        <f t="shared" si="22"/>
        <v>4.9284638983940437E-4</v>
      </c>
      <c r="AX30" s="378">
        <f t="shared" si="23"/>
        <v>1.2321159745985109E-5</v>
      </c>
    </row>
    <row r="31" spans="1:50" ht="15.45" customHeight="1" x14ac:dyDescent="0.25">
      <c r="A31" s="166"/>
      <c r="B31" s="167"/>
      <c r="C31" s="167"/>
      <c r="D31" s="167"/>
      <c r="E31" s="167"/>
      <c r="F31" s="167"/>
      <c r="G31" s="167"/>
      <c r="H31" s="167"/>
      <c r="I31" s="167"/>
      <c r="J31" s="167"/>
      <c r="K31" s="168"/>
      <c r="L31" s="168"/>
      <c r="M31" s="168"/>
      <c r="N31" s="168"/>
      <c r="O31" s="168"/>
      <c r="P31" s="168"/>
      <c r="Q31" s="168"/>
      <c r="R31" s="146"/>
      <c r="U31" s="295">
        <f>+DATOS!A46</f>
        <v>0.05</v>
      </c>
      <c r="V31" s="296">
        <f>+DATOS!G46</f>
        <v>0.78855422374304684</v>
      </c>
      <c r="W31" s="322">
        <f t="shared" si="0"/>
        <v>2.5000000000000005E-3</v>
      </c>
      <c r="X31" s="322">
        <f t="shared" si="1"/>
        <v>1.2500000000000003E-4</v>
      </c>
      <c r="Y31" s="322">
        <f t="shared" si="2"/>
        <v>6.2500000000000028E-6</v>
      </c>
      <c r="Z31" s="322">
        <f t="shared" si="3"/>
        <v>3.1250000000000018E-7</v>
      </c>
      <c r="AA31" s="322">
        <f t="shared" si="4"/>
        <v>1.5625000000000009E-8</v>
      </c>
      <c r="AB31" s="322">
        <f t="shared" si="5"/>
        <v>3.9427711187152346E-2</v>
      </c>
      <c r="AC31" s="322">
        <f t="shared" si="6"/>
        <v>1.9713855593576175E-3</v>
      </c>
      <c r="AD31" s="378">
        <f t="shared" si="7"/>
        <v>9.8569277967880875E-5</v>
      </c>
      <c r="AE31" s="295">
        <f>+DATOS!A46</f>
        <v>0.05</v>
      </c>
      <c r="AF31" s="296">
        <f>+DATOS!K46</f>
        <v>0.78855422374304684</v>
      </c>
      <c r="AG31" s="322">
        <f t="shared" si="8"/>
        <v>2.5000000000000005E-3</v>
      </c>
      <c r="AH31" s="322">
        <f t="shared" si="9"/>
        <v>1.2500000000000003E-4</v>
      </c>
      <c r="AI31" s="322">
        <f t="shared" si="10"/>
        <v>6.2500000000000028E-6</v>
      </c>
      <c r="AJ31" s="322">
        <f t="shared" si="11"/>
        <v>3.1250000000000018E-7</v>
      </c>
      <c r="AK31" s="322">
        <f t="shared" si="12"/>
        <v>1.5625000000000009E-8</v>
      </c>
      <c r="AL31" s="322">
        <f t="shared" si="13"/>
        <v>3.9427711187152346E-2</v>
      </c>
      <c r="AM31" s="322">
        <f t="shared" si="14"/>
        <v>1.9713855593576175E-3</v>
      </c>
      <c r="AN31" s="378">
        <f t="shared" si="15"/>
        <v>9.8569277967880875E-5</v>
      </c>
      <c r="AO31" s="295">
        <f>+DATOS!A46</f>
        <v>0.05</v>
      </c>
      <c r="AP31" s="296">
        <f>+DATOS!O46</f>
        <v>0.78855422374304684</v>
      </c>
      <c r="AQ31" s="322">
        <f t="shared" si="16"/>
        <v>2.5000000000000005E-3</v>
      </c>
      <c r="AR31" s="322">
        <f t="shared" si="17"/>
        <v>1.2500000000000003E-4</v>
      </c>
      <c r="AS31" s="322">
        <f t="shared" si="18"/>
        <v>6.2500000000000028E-6</v>
      </c>
      <c r="AT31" s="322">
        <f t="shared" si="19"/>
        <v>3.1250000000000018E-7</v>
      </c>
      <c r="AU31" s="322">
        <f t="shared" si="20"/>
        <v>1.5625000000000009E-8</v>
      </c>
      <c r="AV31" s="322">
        <f t="shared" si="21"/>
        <v>3.9427711187152346E-2</v>
      </c>
      <c r="AW31" s="322">
        <f t="shared" si="22"/>
        <v>1.9713855593576175E-3</v>
      </c>
      <c r="AX31" s="378">
        <f t="shared" si="23"/>
        <v>9.8569277967880875E-5</v>
      </c>
    </row>
    <row r="32" spans="1:50" ht="21.75" customHeight="1" thickBot="1" x14ac:dyDescent="0.3">
      <c r="A32" s="938"/>
      <c r="B32" s="939"/>
      <c r="C32" s="939"/>
      <c r="D32" s="939"/>
      <c r="E32" s="939"/>
      <c r="F32" s="939"/>
      <c r="G32" s="939"/>
      <c r="H32" s="939"/>
      <c r="I32" s="939"/>
      <c r="J32" s="939"/>
      <c r="K32" s="169"/>
      <c r="R32" s="146"/>
      <c r="U32" s="295">
        <f>+DATOS!A47</f>
        <v>7.4999999999999997E-2</v>
      </c>
      <c r="V32" s="296">
        <f>+DATOS!G47</f>
        <v>0.78855422374304684</v>
      </c>
      <c r="W32" s="322">
        <f t="shared" si="0"/>
        <v>5.6249999999999998E-3</v>
      </c>
      <c r="X32" s="322">
        <f t="shared" si="1"/>
        <v>4.21875E-4</v>
      </c>
      <c r="Y32" s="322">
        <f t="shared" si="2"/>
        <v>3.1640624999999998E-5</v>
      </c>
      <c r="Z32" s="322">
        <f t="shared" si="3"/>
        <v>2.3730468749999999E-6</v>
      </c>
      <c r="AA32" s="322">
        <f t="shared" si="4"/>
        <v>1.7797851562499999E-7</v>
      </c>
      <c r="AB32" s="322">
        <f t="shared" si="5"/>
        <v>5.9141566780728509E-2</v>
      </c>
      <c r="AC32" s="322">
        <f t="shared" si="6"/>
        <v>4.4356175085546387E-3</v>
      </c>
      <c r="AD32" s="378">
        <f t="shared" si="7"/>
        <v>3.3267131314159787E-4</v>
      </c>
      <c r="AE32" s="295">
        <f>+DATOS!A47</f>
        <v>7.4999999999999997E-2</v>
      </c>
      <c r="AF32" s="296">
        <f>+DATOS!K47</f>
        <v>0.78855422374304684</v>
      </c>
      <c r="AG32" s="322">
        <f t="shared" si="8"/>
        <v>5.6249999999999998E-3</v>
      </c>
      <c r="AH32" s="322">
        <f t="shared" si="9"/>
        <v>4.21875E-4</v>
      </c>
      <c r="AI32" s="322">
        <f t="shared" si="10"/>
        <v>3.1640624999999998E-5</v>
      </c>
      <c r="AJ32" s="322">
        <f t="shared" si="11"/>
        <v>2.3730468749999999E-6</v>
      </c>
      <c r="AK32" s="322">
        <f t="shared" si="12"/>
        <v>1.7797851562499999E-7</v>
      </c>
      <c r="AL32" s="322">
        <f t="shared" si="13"/>
        <v>5.9141566780728509E-2</v>
      </c>
      <c r="AM32" s="322">
        <f t="shared" si="14"/>
        <v>4.4356175085546387E-3</v>
      </c>
      <c r="AN32" s="378">
        <f t="shared" si="15"/>
        <v>3.3267131314159787E-4</v>
      </c>
      <c r="AO32" s="295">
        <f>+DATOS!A47</f>
        <v>7.4999999999999997E-2</v>
      </c>
      <c r="AP32" s="296">
        <f>+DATOS!O47</f>
        <v>0.78855422374304684</v>
      </c>
      <c r="AQ32" s="322">
        <f t="shared" si="16"/>
        <v>5.6249999999999998E-3</v>
      </c>
      <c r="AR32" s="322">
        <f t="shared" si="17"/>
        <v>4.21875E-4</v>
      </c>
      <c r="AS32" s="322">
        <f t="shared" si="18"/>
        <v>3.1640624999999998E-5</v>
      </c>
      <c r="AT32" s="322">
        <f t="shared" si="19"/>
        <v>2.3730468749999999E-6</v>
      </c>
      <c r="AU32" s="322">
        <f t="shared" si="20"/>
        <v>1.7797851562499999E-7</v>
      </c>
      <c r="AV32" s="322">
        <f t="shared" si="21"/>
        <v>5.9141566780728509E-2</v>
      </c>
      <c r="AW32" s="322">
        <f t="shared" si="22"/>
        <v>4.4356175085546387E-3</v>
      </c>
      <c r="AX32" s="378">
        <f t="shared" si="23"/>
        <v>3.3267131314159787E-4</v>
      </c>
    </row>
    <row r="33" spans="1:50" ht="15.45" customHeight="1" thickTop="1" x14ac:dyDescent="0.25">
      <c r="A33" s="205"/>
      <c r="B33" s="163"/>
      <c r="C33" s="170"/>
      <c r="D33" s="170"/>
      <c r="E33" s="162"/>
      <c r="F33" s="163"/>
      <c r="G33" s="162"/>
      <c r="H33" s="163"/>
      <c r="I33" s="162"/>
      <c r="K33" s="171"/>
      <c r="L33" s="172"/>
      <c r="M33" s="172"/>
      <c r="N33" s="173" t="s">
        <v>136</v>
      </c>
      <c r="O33" s="174">
        <f>+'INFORME-1'!F25</f>
        <v>0</v>
      </c>
      <c r="P33" s="175" t="s">
        <v>290</v>
      </c>
      <c r="R33" s="146"/>
      <c r="U33" s="295">
        <f>+DATOS!A48</f>
        <v>0.1</v>
      </c>
      <c r="V33" s="296">
        <f>+DATOS!G48</f>
        <v>0.78855422374304684</v>
      </c>
      <c r="W33" s="322">
        <f t="shared" si="0"/>
        <v>1.0000000000000002E-2</v>
      </c>
      <c r="X33" s="322">
        <f t="shared" si="1"/>
        <v>1.0000000000000002E-3</v>
      </c>
      <c r="Y33" s="322">
        <f t="shared" si="2"/>
        <v>1.0000000000000005E-4</v>
      </c>
      <c r="Z33" s="322">
        <f t="shared" si="3"/>
        <v>1.0000000000000006E-5</v>
      </c>
      <c r="AA33" s="322">
        <f t="shared" si="4"/>
        <v>1.0000000000000006E-6</v>
      </c>
      <c r="AB33" s="322">
        <f t="shared" si="5"/>
        <v>7.8855422374304693E-2</v>
      </c>
      <c r="AC33" s="322">
        <f t="shared" si="6"/>
        <v>7.88554223743047E-3</v>
      </c>
      <c r="AD33" s="378">
        <f t="shared" si="7"/>
        <v>7.88554223743047E-4</v>
      </c>
      <c r="AE33" s="295">
        <f>+DATOS!A48</f>
        <v>0.1</v>
      </c>
      <c r="AF33" s="296">
        <f>+DATOS!K48</f>
        <v>0.78855422374304684</v>
      </c>
      <c r="AG33" s="322">
        <f t="shared" si="8"/>
        <v>1.0000000000000002E-2</v>
      </c>
      <c r="AH33" s="322">
        <f t="shared" si="9"/>
        <v>1.0000000000000002E-3</v>
      </c>
      <c r="AI33" s="322">
        <f t="shared" si="10"/>
        <v>1.0000000000000005E-4</v>
      </c>
      <c r="AJ33" s="322">
        <f t="shared" si="11"/>
        <v>1.0000000000000006E-5</v>
      </c>
      <c r="AK33" s="322">
        <f t="shared" si="12"/>
        <v>1.0000000000000006E-6</v>
      </c>
      <c r="AL33" s="322">
        <f t="shared" si="13"/>
        <v>7.8855422374304693E-2</v>
      </c>
      <c r="AM33" s="322">
        <f t="shared" si="14"/>
        <v>7.88554223743047E-3</v>
      </c>
      <c r="AN33" s="378">
        <f t="shared" si="15"/>
        <v>7.88554223743047E-4</v>
      </c>
      <c r="AO33" s="295">
        <f>+DATOS!A48</f>
        <v>0.1</v>
      </c>
      <c r="AP33" s="296">
        <f>+DATOS!O48</f>
        <v>0.78855422374304684</v>
      </c>
      <c r="AQ33" s="322">
        <f t="shared" si="16"/>
        <v>1.0000000000000002E-2</v>
      </c>
      <c r="AR33" s="322">
        <f t="shared" si="17"/>
        <v>1.0000000000000002E-3</v>
      </c>
      <c r="AS33" s="322">
        <f t="shared" si="18"/>
        <v>1.0000000000000005E-4</v>
      </c>
      <c r="AT33" s="322">
        <f t="shared" si="19"/>
        <v>1.0000000000000006E-5</v>
      </c>
      <c r="AU33" s="322">
        <f t="shared" si="20"/>
        <v>1.0000000000000006E-6</v>
      </c>
      <c r="AV33" s="322">
        <f t="shared" si="21"/>
        <v>7.8855422374304693E-2</v>
      </c>
      <c r="AW33" s="322">
        <f t="shared" si="22"/>
        <v>7.88554223743047E-3</v>
      </c>
      <c r="AX33" s="378">
        <f t="shared" si="23"/>
        <v>7.88554223743047E-4</v>
      </c>
    </row>
    <row r="34" spans="1:50" ht="15.45" customHeight="1" thickBot="1" x14ac:dyDescent="0.3">
      <c r="A34" s="205"/>
      <c r="B34" s="163"/>
      <c r="C34" s="170"/>
      <c r="D34" s="170"/>
      <c r="E34" s="162"/>
      <c r="F34" s="163"/>
      <c r="G34" s="162"/>
      <c r="H34" s="163"/>
      <c r="I34" s="162"/>
      <c r="K34" s="176"/>
      <c r="L34" s="177"/>
      <c r="M34" s="177"/>
      <c r="N34" s="178" t="s">
        <v>137</v>
      </c>
      <c r="O34" s="179">
        <f>+O33*0.95</f>
        <v>0</v>
      </c>
      <c r="P34" s="569" t="s">
        <v>290</v>
      </c>
      <c r="R34" s="146"/>
      <c r="U34" s="295">
        <f>+DATOS!A49</f>
        <v>0.125</v>
      </c>
      <c r="V34" s="296">
        <f>+DATOS!G49</f>
        <v>0.78855422374304684</v>
      </c>
      <c r="W34" s="322">
        <f t="shared" si="0"/>
        <v>1.5625E-2</v>
      </c>
      <c r="X34" s="322">
        <f t="shared" si="1"/>
        <v>1.953125E-3</v>
      </c>
      <c r="Y34" s="322">
        <f t="shared" si="2"/>
        <v>2.44140625E-4</v>
      </c>
      <c r="Z34" s="322">
        <f t="shared" si="3"/>
        <v>3.0517578125E-5</v>
      </c>
      <c r="AA34" s="322">
        <f t="shared" si="4"/>
        <v>3.814697265625E-6</v>
      </c>
      <c r="AB34" s="322">
        <f t="shared" si="5"/>
        <v>9.8569277967880856E-2</v>
      </c>
      <c r="AC34" s="322">
        <f t="shared" si="6"/>
        <v>1.2321159745985107E-2</v>
      </c>
      <c r="AD34" s="378">
        <f t="shared" si="7"/>
        <v>1.5401449682481384E-3</v>
      </c>
      <c r="AE34" s="295">
        <f>+DATOS!A49</f>
        <v>0.125</v>
      </c>
      <c r="AF34" s="296">
        <f>+DATOS!K49</f>
        <v>0.78855422374304684</v>
      </c>
      <c r="AG34" s="322">
        <f t="shared" si="8"/>
        <v>1.5625E-2</v>
      </c>
      <c r="AH34" s="322">
        <f t="shared" si="9"/>
        <v>1.953125E-3</v>
      </c>
      <c r="AI34" s="322">
        <f t="shared" si="10"/>
        <v>2.44140625E-4</v>
      </c>
      <c r="AJ34" s="322">
        <f t="shared" si="11"/>
        <v>3.0517578125E-5</v>
      </c>
      <c r="AK34" s="322">
        <f t="shared" si="12"/>
        <v>3.814697265625E-6</v>
      </c>
      <c r="AL34" s="322">
        <f t="shared" si="13"/>
        <v>9.8569277967880856E-2</v>
      </c>
      <c r="AM34" s="322">
        <f t="shared" si="14"/>
        <v>1.2321159745985107E-2</v>
      </c>
      <c r="AN34" s="378">
        <f t="shared" si="15"/>
        <v>1.5401449682481384E-3</v>
      </c>
      <c r="AO34" s="295">
        <f>+DATOS!A49</f>
        <v>0.125</v>
      </c>
      <c r="AP34" s="296">
        <f>+DATOS!O49</f>
        <v>0.78855422374304684</v>
      </c>
      <c r="AQ34" s="322">
        <f t="shared" si="16"/>
        <v>1.5625E-2</v>
      </c>
      <c r="AR34" s="322">
        <f t="shared" si="17"/>
        <v>1.953125E-3</v>
      </c>
      <c r="AS34" s="322">
        <f t="shared" si="18"/>
        <v>2.44140625E-4</v>
      </c>
      <c r="AT34" s="322">
        <f t="shared" si="19"/>
        <v>3.0517578125E-5</v>
      </c>
      <c r="AU34" s="322">
        <f t="shared" si="20"/>
        <v>3.814697265625E-6</v>
      </c>
      <c r="AV34" s="322">
        <f t="shared" si="21"/>
        <v>9.8569277967880856E-2</v>
      </c>
      <c r="AW34" s="322">
        <f t="shared" si="22"/>
        <v>1.2321159745985107E-2</v>
      </c>
      <c r="AX34" s="378">
        <f t="shared" si="23"/>
        <v>1.5401449682481384E-3</v>
      </c>
    </row>
    <row r="35" spans="1:50" ht="15.45" customHeight="1" thickTop="1" x14ac:dyDescent="0.25">
      <c r="A35" s="205"/>
      <c r="B35" s="163"/>
      <c r="C35" s="170"/>
      <c r="D35" s="170"/>
      <c r="E35" s="162"/>
      <c r="F35" s="163"/>
      <c r="G35" s="162"/>
      <c r="H35" s="163"/>
      <c r="I35" s="162"/>
      <c r="K35" s="181"/>
      <c r="L35" s="172"/>
      <c r="M35" s="172"/>
      <c r="N35" s="173" t="s">
        <v>138</v>
      </c>
      <c r="O35" s="206" t="e">
        <f>ROUND(IF(E30&lt;O33,E28,(O33-E30)*(L28-E28)/(L30-E30)+E28),2)</f>
        <v>#N/A</v>
      </c>
      <c r="P35" s="182" t="s">
        <v>2</v>
      </c>
      <c r="R35" s="146"/>
      <c r="U35" s="295">
        <f>+DATOS!A50</f>
        <v>0.15</v>
      </c>
      <c r="V35" s="296">
        <f>+DATOS!G50</f>
        <v>0.78855422374304684</v>
      </c>
      <c r="W35" s="322">
        <f t="shared" si="0"/>
        <v>2.2499999999999999E-2</v>
      </c>
      <c r="X35" s="322">
        <f t="shared" si="1"/>
        <v>3.375E-3</v>
      </c>
      <c r="Y35" s="322">
        <f t="shared" si="2"/>
        <v>5.0624999999999997E-4</v>
      </c>
      <c r="Z35" s="322">
        <f t="shared" si="3"/>
        <v>7.5937499999999996E-5</v>
      </c>
      <c r="AA35" s="322">
        <f t="shared" si="4"/>
        <v>1.1390624999999999E-5</v>
      </c>
      <c r="AB35" s="322">
        <f t="shared" si="5"/>
        <v>0.11828313356145702</v>
      </c>
      <c r="AC35" s="322">
        <f t="shared" si="6"/>
        <v>1.7742470034218555E-2</v>
      </c>
      <c r="AD35" s="378">
        <f t="shared" si="7"/>
        <v>2.661370505132783E-3</v>
      </c>
      <c r="AE35" s="295">
        <f>+DATOS!A50</f>
        <v>0.15</v>
      </c>
      <c r="AF35" s="296">
        <f>+DATOS!K50</f>
        <v>0.78855422374304684</v>
      </c>
      <c r="AG35" s="322">
        <f t="shared" si="8"/>
        <v>2.2499999999999999E-2</v>
      </c>
      <c r="AH35" s="322">
        <f t="shared" si="9"/>
        <v>3.375E-3</v>
      </c>
      <c r="AI35" s="322">
        <f t="shared" si="10"/>
        <v>5.0624999999999997E-4</v>
      </c>
      <c r="AJ35" s="322">
        <f t="shared" si="11"/>
        <v>7.5937499999999996E-5</v>
      </c>
      <c r="AK35" s="322">
        <f t="shared" si="12"/>
        <v>1.1390624999999999E-5</v>
      </c>
      <c r="AL35" s="322">
        <f t="shared" si="13"/>
        <v>0.11828313356145702</v>
      </c>
      <c r="AM35" s="322">
        <f t="shared" si="14"/>
        <v>1.7742470034218555E-2</v>
      </c>
      <c r="AN35" s="378">
        <f t="shared" si="15"/>
        <v>2.661370505132783E-3</v>
      </c>
      <c r="AO35" s="295">
        <f>+DATOS!A50</f>
        <v>0.15</v>
      </c>
      <c r="AP35" s="296">
        <f>+DATOS!O50</f>
        <v>0.78855422374304684</v>
      </c>
      <c r="AQ35" s="322">
        <f t="shared" si="16"/>
        <v>2.2499999999999999E-2</v>
      </c>
      <c r="AR35" s="322">
        <f t="shared" si="17"/>
        <v>3.375E-3</v>
      </c>
      <c r="AS35" s="322">
        <f t="shared" si="18"/>
        <v>5.0624999999999997E-4</v>
      </c>
      <c r="AT35" s="322">
        <f t="shared" si="19"/>
        <v>7.5937499999999996E-5</v>
      </c>
      <c r="AU35" s="322">
        <f t="shared" si="20"/>
        <v>1.1390624999999999E-5</v>
      </c>
      <c r="AV35" s="322">
        <f t="shared" si="21"/>
        <v>0.11828313356145702</v>
      </c>
      <c r="AW35" s="322">
        <f t="shared" si="22"/>
        <v>1.7742470034218555E-2</v>
      </c>
      <c r="AX35" s="378">
        <f t="shared" si="23"/>
        <v>2.661370505132783E-3</v>
      </c>
    </row>
    <row r="36" spans="1:50" ht="15.45" customHeight="1" thickBot="1" x14ac:dyDescent="0.3">
      <c r="A36" s="205"/>
      <c r="B36" s="163"/>
      <c r="C36" s="170"/>
      <c r="D36" s="170"/>
      <c r="E36" s="162"/>
      <c r="F36" s="163"/>
      <c r="G36" s="162"/>
      <c r="H36" s="163"/>
      <c r="I36" s="162"/>
      <c r="K36" s="183"/>
      <c r="N36" s="184" t="s">
        <v>139</v>
      </c>
      <c r="O36" s="207" t="e">
        <f>ROUND(IF(Q30&gt;O34,Q28,(O34-L30)*(Q28-L28)/(Q30-L30)+L28),2)</f>
        <v>#N/A</v>
      </c>
      <c r="P36" s="185" t="s">
        <v>2</v>
      </c>
      <c r="R36" s="146"/>
      <c r="U36" s="295">
        <f>+DATOS!A51</f>
        <v>0.17499999999999999</v>
      </c>
      <c r="V36" s="296">
        <f>+DATOS!G51</f>
        <v>0.78855422374304684</v>
      </c>
      <c r="W36" s="322">
        <f t="shared" si="0"/>
        <v>3.0624999999999996E-2</v>
      </c>
      <c r="X36" s="322">
        <f t="shared" si="1"/>
        <v>5.3593749999999987E-3</v>
      </c>
      <c r="Y36" s="322">
        <f t="shared" si="2"/>
        <v>9.3789062499999971E-4</v>
      </c>
      <c r="Z36" s="322">
        <f t="shared" si="3"/>
        <v>1.6413085937499994E-4</v>
      </c>
      <c r="AA36" s="322">
        <f t="shared" si="4"/>
        <v>2.8722900390624987E-5</v>
      </c>
      <c r="AB36" s="322">
        <f t="shared" si="5"/>
        <v>0.1379969891550332</v>
      </c>
      <c r="AC36" s="322">
        <f t="shared" si="6"/>
        <v>2.4149473102130805E-2</v>
      </c>
      <c r="AD36" s="378">
        <f t="shared" si="7"/>
        <v>4.226157792872891E-3</v>
      </c>
      <c r="AE36" s="295">
        <f>+DATOS!A51</f>
        <v>0.17499999999999999</v>
      </c>
      <c r="AF36" s="296">
        <f>+DATOS!K51</f>
        <v>0.78855422374304684</v>
      </c>
      <c r="AG36" s="322">
        <f t="shared" si="8"/>
        <v>3.0624999999999996E-2</v>
      </c>
      <c r="AH36" s="322">
        <f t="shared" si="9"/>
        <v>5.3593749999999987E-3</v>
      </c>
      <c r="AI36" s="322">
        <f t="shared" si="10"/>
        <v>9.3789062499999971E-4</v>
      </c>
      <c r="AJ36" s="322">
        <f t="shared" si="11"/>
        <v>1.6413085937499994E-4</v>
      </c>
      <c r="AK36" s="322">
        <f t="shared" si="12"/>
        <v>2.8722900390624987E-5</v>
      </c>
      <c r="AL36" s="322">
        <f t="shared" si="13"/>
        <v>0.1379969891550332</v>
      </c>
      <c r="AM36" s="322">
        <f t="shared" si="14"/>
        <v>2.4149473102130805E-2</v>
      </c>
      <c r="AN36" s="378">
        <f t="shared" si="15"/>
        <v>4.226157792872891E-3</v>
      </c>
      <c r="AO36" s="295">
        <f>+DATOS!A51</f>
        <v>0.17499999999999999</v>
      </c>
      <c r="AP36" s="296">
        <f>+DATOS!O51</f>
        <v>0.78855422374304684</v>
      </c>
      <c r="AQ36" s="322">
        <f t="shared" si="16"/>
        <v>3.0624999999999996E-2</v>
      </c>
      <c r="AR36" s="322">
        <f t="shared" si="17"/>
        <v>5.3593749999999987E-3</v>
      </c>
      <c r="AS36" s="322">
        <f t="shared" si="18"/>
        <v>9.3789062499999971E-4</v>
      </c>
      <c r="AT36" s="322">
        <f t="shared" si="19"/>
        <v>1.6413085937499994E-4</v>
      </c>
      <c r="AU36" s="322">
        <f t="shared" si="20"/>
        <v>2.8722900390624987E-5</v>
      </c>
      <c r="AV36" s="322">
        <f t="shared" si="21"/>
        <v>0.1379969891550332</v>
      </c>
      <c r="AW36" s="322">
        <f t="shared" si="22"/>
        <v>2.4149473102130805E-2</v>
      </c>
      <c r="AX36" s="378">
        <f t="shared" si="23"/>
        <v>4.226157792872891E-3</v>
      </c>
    </row>
    <row r="37" spans="1:50" ht="15.45" customHeight="1" thickTop="1" x14ac:dyDescent="0.25">
      <c r="A37" s="205"/>
      <c r="B37" s="163"/>
      <c r="C37" s="170"/>
      <c r="D37" s="170"/>
      <c r="E37" s="162"/>
      <c r="F37" s="163"/>
      <c r="G37" s="162"/>
      <c r="H37" s="163"/>
      <c r="I37" s="162"/>
      <c r="K37" s="181"/>
      <c r="L37" s="172"/>
      <c r="M37" s="172"/>
      <c r="N37" s="173" t="s">
        <v>140</v>
      </c>
      <c r="O37" s="206" t="e">
        <f>ROUND(IF(E30&lt;O33,E29,(O33-E30)*(L29-E29)/(L30-E30)+E29),2)</f>
        <v>#N/A</v>
      </c>
      <c r="P37" s="182" t="s">
        <v>2</v>
      </c>
      <c r="Q37" s="186"/>
      <c r="R37" s="146"/>
      <c r="U37" s="295">
        <f>+DATOS!A52</f>
        <v>0.2</v>
      </c>
      <c r="V37" s="296">
        <f>+DATOS!G52</f>
        <v>0.78855422374304684</v>
      </c>
      <c r="W37" s="322">
        <f t="shared" si="0"/>
        <v>4.0000000000000008E-2</v>
      </c>
      <c r="X37" s="322">
        <f t="shared" si="1"/>
        <v>8.0000000000000019E-3</v>
      </c>
      <c r="Y37" s="322">
        <f t="shared" si="2"/>
        <v>1.6000000000000007E-3</v>
      </c>
      <c r="Z37" s="322">
        <f t="shared" si="3"/>
        <v>3.2000000000000019E-4</v>
      </c>
      <c r="AA37" s="322">
        <f t="shared" si="4"/>
        <v>6.4000000000000038E-5</v>
      </c>
      <c r="AB37" s="322">
        <f t="shared" si="5"/>
        <v>0.15771084474860939</v>
      </c>
      <c r="AC37" s="322">
        <f t="shared" si="6"/>
        <v>3.154216894972188E-2</v>
      </c>
      <c r="AD37" s="378">
        <f t="shared" si="7"/>
        <v>6.308433789944376E-3</v>
      </c>
      <c r="AE37" s="295">
        <f>+DATOS!A52</f>
        <v>0.2</v>
      </c>
      <c r="AF37" s="296">
        <f>+DATOS!K52</f>
        <v>0.78855422374304684</v>
      </c>
      <c r="AG37" s="322">
        <f t="shared" si="8"/>
        <v>4.0000000000000008E-2</v>
      </c>
      <c r="AH37" s="322">
        <f t="shared" si="9"/>
        <v>8.0000000000000019E-3</v>
      </c>
      <c r="AI37" s="322">
        <f t="shared" si="10"/>
        <v>1.6000000000000007E-3</v>
      </c>
      <c r="AJ37" s="322">
        <f t="shared" si="11"/>
        <v>3.2000000000000019E-4</v>
      </c>
      <c r="AK37" s="322">
        <f t="shared" si="12"/>
        <v>6.4000000000000038E-5</v>
      </c>
      <c r="AL37" s="322">
        <f t="shared" si="13"/>
        <v>0.15771084474860939</v>
      </c>
      <c r="AM37" s="322">
        <f t="shared" si="14"/>
        <v>3.154216894972188E-2</v>
      </c>
      <c r="AN37" s="378">
        <f t="shared" si="15"/>
        <v>6.308433789944376E-3</v>
      </c>
      <c r="AO37" s="295">
        <f>+DATOS!A52</f>
        <v>0.2</v>
      </c>
      <c r="AP37" s="296">
        <f>+DATOS!O52</f>
        <v>0.78855422374304684</v>
      </c>
      <c r="AQ37" s="322">
        <f t="shared" si="16"/>
        <v>4.0000000000000008E-2</v>
      </c>
      <c r="AR37" s="322">
        <f t="shared" si="17"/>
        <v>8.0000000000000019E-3</v>
      </c>
      <c r="AS37" s="322">
        <f t="shared" si="18"/>
        <v>1.6000000000000007E-3</v>
      </c>
      <c r="AT37" s="322">
        <f t="shared" si="19"/>
        <v>3.2000000000000019E-4</v>
      </c>
      <c r="AU37" s="322">
        <f t="shared" si="20"/>
        <v>6.4000000000000038E-5</v>
      </c>
      <c r="AV37" s="322">
        <f t="shared" si="21"/>
        <v>0.15771084474860939</v>
      </c>
      <c r="AW37" s="322">
        <f t="shared" si="22"/>
        <v>3.154216894972188E-2</v>
      </c>
      <c r="AX37" s="378">
        <f t="shared" si="23"/>
        <v>6.308433789944376E-3</v>
      </c>
    </row>
    <row r="38" spans="1:50" ht="15.45" customHeight="1" thickBot="1" x14ac:dyDescent="0.3">
      <c r="A38" s="205"/>
      <c r="B38" s="163"/>
      <c r="C38" s="170"/>
      <c r="D38" s="170"/>
      <c r="E38" s="162"/>
      <c r="F38" s="163"/>
      <c r="G38" s="162"/>
      <c r="H38" s="163"/>
      <c r="I38" s="162"/>
      <c r="K38" s="187"/>
      <c r="L38" s="177"/>
      <c r="M38" s="177"/>
      <c r="N38" s="178" t="s">
        <v>141</v>
      </c>
      <c r="O38" s="208" t="e">
        <f>ROUND(IF(L30&lt;O34,L29,(O34-L30)*(Q29-L29)/(Q30-L30)+L29),2)</f>
        <v>#N/A</v>
      </c>
      <c r="P38" s="180" t="s">
        <v>2</v>
      </c>
      <c r="Q38" s="186"/>
      <c r="R38" s="146"/>
      <c r="U38" s="295">
        <f>+DATOS!A53</f>
        <v>0.3</v>
      </c>
      <c r="V38" s="296">
        <f>+DATOS!G53</f>
        <v>0.78855422374304684</v>
      </c>
      <c r="W38" s="322">
        <f t="shared" si="0"/>
        <v>0.09</v>
      </c>
      <c r="X38" s="322">
        <f t="shared" si="1"/>
        <v>2.7E-2</v>
      </c>
      <c r="Y38" s="322">
        <f t="shared" si="2"/>
        <v>8.0999999999999996E-3</v>
      </c>
      <c r="Z38" s="322">
        <f t="shared" si="3"/>
        <v>2.4299999999999999E-3</v>
      </c>
      <c r="AA38" s="322">
        <f t="shared" si="4"/>
        <v>7.2899999999999994E-4</v>
      </c>
      <c r="AB38" s="322">
        <f t="shared" si="5"/>
        <v>0.23656626712291404</v>
      </c>
      <c r="AC38" s="322">
        <f t="shared" si="6"/>
        <v>7.0969880136874219E-2</v>
      </c>
      <c r="AD38" s="378">
        <f t="shared" si="7"/>
        <v>2.1290964041062264E-2</v>
      </c>
      <c r="AE38" s="295">
        <f>+DATOS!A53</f>
        <v>0.3</v>
      </c>
      <c r="AF38" s="296">
        <f>+DATOS!K53</f>
        <v>0.78855422374304684</v>
      </c>
      <c r="AG38" s="322">
        <f t="shared" si="8"/>
        <v>0.09</v>
      </c>
      <c r="AH38" s="322">
        <f t="shared" si="9"/>
        <v>2.7E-2</v>
      </c>
      <c r="AI38" s="322">
        <f t="shared" si="10"/>
        <v>8.0999999999999996E-3</v>
      </c>
      <c r="AJ38" s="322">
        <f t="shared" si="11"/>
        <v>2.4299999999999999E-3</v>
      </c>
      <c r="AK38" s="322">
        <f t="shared" si="12"/>
        <v>7.2899999999999994E-4</v>
      </c>
      <c r="AL38" s="322">
        <f t="shared" si="13"/>
        <v>0.23656626712291404</v>
      </c>
      <c r="AM38" s="322">
        <f t="shared" si="14"/>
        <v>7.0969880136874219E-2</v>
      </c>
      <c r="AN38" s="378">
        <f t="shared" si="15"/>
        <v>2.1290964041062264E-2</v>
      </c>
      <c r="AO38" s="295">
        <f>+DATOS!A53</f>
        <v>0.3</v>
      </c>
      <c r="AP38" s="296">
        <f>+DATOS!O53</f>
        <v>0.78855422374304684</v>
      </c>
      <c r="AQ38" s="322">
        <f t="shared" si="16"/>
        <v>0.09</v>
      </c>
      <c r="AR38" s="322">
        <f t="shared" si="17"/>
        <v>2.7E-2</v>
      </c>
      <c r="AS38" s="322">
        <f t="shared" si="18"/>
        <v>8.0999999999999996E-3</v>
      </c>
      <c r="AT38" s="322">
        <f t="shared" si="19"/>
        <v>2.4299999999999999E-3</v>
      </c>
      <c r="AU38" s="322">
        <f t="shared" si="20"/>
        <v>7.2899999999999994E-4</v>
      </c>
      <c r="AV38" s="322">
        <f t="shared" si="21"/>
        <v>0.23656626712291404</v>
      </c>
      <c r="AW38" s="322">
        <f t="shared" si="22"/>
        <v>7.0969880136874219E-2</v>
      </c>
      <c r="AX38" s="378">
        <f t="shared" si="23"/>
        <v>2.1290964041062264E-2</v>
      </c>
    </row>
    <row r="39" spans="1:50" ht="15.45" customHeight="1" thickTop="1" x14ac:dyDescent="0.25">
      <c r="A39" s="188"/>
      <c r="K39" s="189"/>
      <c r="L39" s="186"/>
      <c r="M39" s="186"/>
      <c r="N39" s="189"/>
      <c r="O39" s="190"/>
      <c r="P39" s="186"/>
      <c r="Q39" s="191"/>
      <c r="R39" s="146"/>
      <c r="U39" s="295">
        <f>+DATOS!A54</f>
        <v>0.4</v>
      </c>
      <c r="V39" s="296">
        <f>+DATOS!G54</f>
        <v>0.78855422374304684</v>
      </c>
      <c r="W39" s="322">
        <f t="shared" si="0"/>
        <v>0.16000000000000003</v>
      </c>
      <c r="X39" s="322">
        <f t="shared" si="1"/>
        <v>6.4000000000000015E-2</v>
      </c>
      <c r="Y39" s="322">
        <f t="shared" si="2"/>
        <v>2.5600000000000012E-2</v>
      </c>
      <c r="Z39" s="322">
        <f t="shared" si="3"/>
        <v>1.0240000000000006E-2</v>
      </c>
      <c r="AA39" s="322">
        <f t="shared" si="4"/>
        <v>4.0960000000000024E-3</v>
      </c>
      <c r="AB39" s="322">
        <f t="shared" si="5"/>
        <v>0.31542168949721877</v>
      </c>
      <c r="AC39" s="322">
        <f t="shared" si="6"/>
        <v>0.12616867579888752</v>
      </c>
      <c r="AD39" s="378">
        <f t="shared" si="7"/>
        <v>5.0467470319555008E-2</v>
      </c>
      <c r="AE39" s="295">
        <f>+DATOS!A54</f>
        <v>0.4</v>
      </c>
      <c r="AF39" s="296">
        <f>+DATOS!K54</f>
        <v>0.78855422374304684</v>
      </c>
      <c r="AG39" s="322">
        <f t="shared" si="8"/>
        <v>0.16000000000000003</v>
      </c>
      <c r="AH39" s="322">
        <f t="shared" si="9"/>
        <v>6.4000000000000015E-2</v>
      </c>
      <c r="AI39" s="322">
        <f t="shared" si="10"/>
        <v>2.5600000000000012E-2</v>
      </c>
      <c r="AJ39" s="322">
        <f t="shared" si="11"/>
        <v>1.0240000000000006E-2</v>
      </c>
      <c r="AK39" s="322">
        <f t="shared" si="12"/>
        <v>4.0960000000000024E-3</v>
      </c>
      <c r="AL39" s="322">
        <f t="shared" si="13"/>
        <v>0.31542168949721877</v>
      </c>
      <c r="AM39" s="322">
        <f t="shared" si="14"/>
        <v>0.12616867579888752</v>
      </c>
      <c r="AN39" s="378">
        <f t="shared" si="15"/>
        <v>5.0467470319555008E-2</v>
      </c>
      <c r="AO39" s="295">
        <f>+DATOS!A54</f>
        <v>0.4</v>
      </c>
      <c r="AP39" s="296">
        <f>+DATOS!O54</f>
        <v>0.78855422374304684</v>
      </c>
      <c r="AQ39" s="322">
        <f t="shared" si="16"/>
        <v>0.16000000000000003</v>
      </c>
      <c r="AR39" s="322">
        <f t="shared" si="17"/>
        <v>6.4000000000000015E-2</v>
      </c>
      <c r="AS39" s="322">
        <f t="shared" si="18"/>
        <v>2.5600000000000012E-2</v>
      </c>
      <c r="AT39" s="322">
        <f t="shared" si="19"/>
        <v>1.0240000000000006E-2</v>
      </c>
      <c r="AU39" s="322">
        <f t="shared" si="20"/>
        <v>4.0960000000000024E-3</v>
      </c>
      <c r="AV39" s="322">
        <f t="shared" si="21"/>
        <v>0.31542168949721877</v>
      </c>
      <c r="AW39" s="322">
        <f t="shared" si="22"/>
        <v>0.12616867579888752</v>
      </c>
      <c r="AX39" s="378">
        <f t="shared" si="23"/>
        <v>5.0467470319555008E-2</v>
      </c>
    </row>
    <row r="40" spans="1:50" ht="15.45" customHeight="1" x14ac:dyDescent="0.25">
      <c r="A40" s="188"/>
      <c r="R40" s="146"/>
      <c r="U40" s="379">
        <f t="shared" ref="U40:AX40" si="24">SUM(U29:U39)</f>
        <v>1.6</v>
      </c>
      <c r="V40" s="322">
        <f t="shared" si="24"/>
        <v>7.8855422374304682</v>
      </c>
      <c r="W40" s="322">
        <f t="shared" si="24"/>
        <v>0.37750000000000006</v>
      </c>
      <c r="X40" s="322">
        <f t="shared" si="24"/>
        <v>0.11125000000000002</v>
      </c>
      <c r="Y40" s="322">
        <f t="shared" si="24"/>
        <v>3.7126562500000015E-2</v>
      </c>
      <c r="Z40" s="322">
        <f t="shared" si="24"/>
        <v>1.3273281250000006E-2</v>
      </c>
      <c r="AA40" s="322">
        <f t="shared" si="24"/>
        <v>4.9341220703125023E-3</v>
      </c>
      <c r="AB40" s="322">
        <f t="shared" si="24"/>
        <v>1.2616867579888751</v>
      </c>
      <c r="AC40" s="322">
        <f t="shared" si="24"/>
        <v>0.29767921946300024</v>
      </c>
      <c r="AD40" s="378">
        <f t="shared" si="24"/>
        <v>8.772665739141397E-2</v>
      </c>
      <c r="AE40" s="379">
        <f t="shared" si="24"/>
        <v>1.6</v>
      </c>
      <c r="AF40" s="322">
        <f t="shared" si="24"/>
        <v>7.8855422374304682</v>
      </c>
      <c r="AG40" s="322">
        <f t="shared" si="24"/>
        <v>0.37750000000000006</v>
      </c>
      <c r="AH40" s="322">
        <f t="shared" si="24"/>
        <v>0.11125000000000002</v>
      </c>
      <c r="AI40" s="322">
        <f t="shared" si="24"/>
        <v>3.7126562500000015E-2</v>
      </c>
      <c r="AJ40" s="322">
        <f t="shared" si="24"/>
        <v>1.3273281250000006E-2</v>
      </c>
      <c r="AK40" s="322">
        <f t="shared" si="24"/>
        <v>4.9341220703125023E-3</v>
      </c>
      <c r="AL40" s="322">
        <f t="shared" si="24"/>
        <v>1.2616867579888751</v>
      </c>
      <c r="AM40" s="322">
        <f t="shared" si="24"/>
        <v>0.29767921946300024</v>
      </c>
      <c r="AN40" s="378">
        <f t="shared" si="24"/>
        <v>8.772665739141397E-2</v>
      </c>
      <c r="AO40" s="379">
        <f t="shared" si="24"/>
        <v>1.6</v>
      </c>
      <c r="AP40" s="322">
        <f t="shared" si="24"/>
        <v>7.8855422374304682</v>
      </c>
      <c r="AQ40" s="322">
        <f t="shared" si="24"/>
        <v>0.37750000000000006</v>
      </c>
      <c r="AR40" s="322">
        <f t="shared" si="24"/>
        <v>0.11125000000000002</v>
      </c>
      <c r="AS40" s="322">
        <f t="shared" si="24"/>
        <v>3.7126562500000015E-2</v>
      </c>
      <c r="AT40" s="322">
        <f t="shared" si="24"/>
        <v>1.3273281250000006E-2</v>
      </c>
      <c r="AU40" s="322">
        <f t="shared" si="24"/>
        <v>4.9341220703125023E-3</v>
      </c>
      <c r="AV40" s="322">
        <f t="shared" si="24"/>
        <v>1.2616867579888751</v>
      </c>
      <c r="AW40" s="322">
        <f t="shared" si="24"/>
        <v>0.29767921946300024</v>
      </c>
      <c r="AX40" s="378">
        <f t="shared" si="24"/>
        <v>8.772665739141397E-2</v>
      </c>
    </row>
    <row r="41" spans="1:50" ht="15.45" customHeight="1" x14ac:dyDescent="0.25">
      <c r="A41" s="188"/>
      <c r="R41" s="146"/>
      <c r="U41" s="380"/>
      <c r="AD41" s="135"/>
      <c r="AE41" s="380"/>
      <c r="AN41" s="135"/>
      <c r="AO41" s="380"/>
      <c r="AX41" s="135"/>
    </row>
    <row r="42" spans="1:50" ht="15.45" customHeight="1" x14ac:dyDescent="0.25">
      <c r="A42" s="188"/>
      <c r="R42" s="146"/>
      <c r="U42" s="381">
        <f>COUNT(U29:U39)</f>
        <v>11</v>
      </c>
      <c r="V42" s="335">
        <f>+U40</f>
        <v>1.6</v>
      </c>
      <c r="W42" s="335">
        <f>+W40</f>
        <v>0.37750000000000006</v>
      </c>
      <c r="X42" s="335">
        <f>+X40</f>
        <v>0.11125000000000002</v>
      </c>
      <c r="Y42" s="335">
        <f>+V40</f>
        <v>7.8855422374304682</v>
      </c>
      <c r="AA42" s="320" t="s">
        <v>57</v>
      </c>
      <c r="AB42" s="335">
        <f t="array" ref="AB42:AB45">MMULT(U47:X50,Y47:Y50)</f>
        <v>0.27517333231365804</v>
      </c>
      <c r="AC42" s="323"/>
      <c r="AD42" s="135"/>
      <c r="AE42" s="381">
        <f>COUNT(AE29:AE39)</f>
        <v>11</v>
      </c>
      <c r="AF42" s="335">
        <f>+AE40</f>
        <v>1.6</v>
      </c>
      <c r="AG42" s="335">
        <f>+AG40</f>
        <v>0.37750000000000006</v>
      </c>
      <c r="AH42" s="335">
        <f>+AH40</f>
        <v>0.11125000000000002</v>
      </c>
      <c r="AI42" s="335">
        <f>+AF40</f>
        <v>7.8855422374304682</v>
      </c>
      <c r="AK42" s="320" t="s">
        <v>57</v>
      </c>
      <c r="AL42" s="335">
        <f t="array" ref="AL42:AL45">MMULT(AE47:AH50,AI47:AI50)</f>
        <v>0.27517333231365804</v>
      </c>
      <c r="AM42" s="323"/>
      <c r="AN42" s="135"/>
      <c r="AO42" s="381">
        <f>COUNT(AO29:AO39)</f>
        <v>11</v>
      </c>
      <c r="AP42" s="335">
        <f>+AO40</f>
        <v>1.6</v>
      </c>
      <c r="AQ42" s="335">
        <f>+AQ40</f>
        <v>0.37750000000000006</v>
      </c>
      <c r="AR42" s="335">
        <f>+AR40</f>
        <v>0.11125000000000002</v>
      </c>
      <c r="AS42" s="335">
        <f>+AP40</f>
        <v>7.8855422374304682</v>
      </c>
      <c r="AU42" s="320" t="s">
        <v>57</v>
      </c>
      <c r="AV42" s="335">
        <f t="array" ref="AV42:AV45">MMULT(AO47:AR50,AS47:AS50)</f>
        <v>0.27517333231365804</v>
      </c>
      <c r="AW42" s="323"/>
      <c r="AX42" s="135"/>
    </row>
    <row r="43" spans="1:50" ht="15.45" customHeight="1" x14ac:dyDescent="0.25">
      <c r="A43" s="188"/>
      <c r="R43" s="146"/>
      <c r="U43" s="381">
        <f>+U40</f>
        <v>1.6</v>
      </c>
      <c r="V43" s="335">
        <f>+W40</f>
        <v>0.37750000000000006</v>
      </c>
      <c r="W43" s="335">
        <f>+X40</f>
        <v>0.11125000000000002</v>
      </c>
      <c r="X43" s="335">
        <f>+Y40</f>
        <v>3.7126562500000015E-2</v>
      </c>
      <c r="Y43" s="335">
        <f>+AB40</f>
        <v>1.2616867579888751</v>
      </c>
      <c r="AA43" s="320" t="s">
        <v>79</v>
      </c>
      <c r="AB43" s="335">
        <v>9.9706039718627153</v>
      </c>
      <c r="AC43" s="323">
        <f>+AB43</f>
        <v>9.9706039718627153</v>
      </c>
      <c r="AD43" s="135"/>
      <c r="AE43" s="381">
        <f>+AE40</f>
        <v>1.6</v>
      </c>
      <c r="AF43" s="335">
        <f>+AG40</f>
        <v>0.37750000000000006</v>
      </c>
      <c r="AG43" s="335">
        <f>+AH40</f>
        <v>0.11125000000000002</v>
      </c>
      <c r="AH43" s="335">
        <f>+AI40</f>
        <v>3.7126562500000015E-2</v>
      </c>
      <c r="AI43" s="335">
        <f>+AL40</f>
        <v>1.2616867579888751</v>
      </c>
      <c r="AK43" s="320" t="s">
        <v>79</v>
      </c>
      <c r="AL43" s="335">
        <v>9.9706039718627153</v>
      </c>
      <c r="AM43" s="323">
        <f>+AL43</f>
        <v>9.9706039718627153</v>
      </c>
      <c r="AN43" s="135"/>
      <c r="AO43" s="381">
        <f>+AO40</f>
        <v>1.6</v>
      </c>
      <c r="AP43" s="335">
        <f>+AQ40</f>
        <v>0.37750000000000006</v>
      </c>
      <c r="AQ43" s="335">
        <f>+AR40</f>
        <v>0.11125000000000002</v>
      </c>
      <c r="AR43" s="335">
        <f>+AS40</f>
        <v>3.7126562500000015E-2</v>
      </c>
      <c r="AS43" s="335">
        <f>+AV40</f>
        <v>1.2616867579888751</v>
      </c>
      <c r="AU43" s="320" t="s">
        <v>79</v>
      </c>
      <c r="AV43" s="335">
        <v>9.9706039718627153</v>
      </c>
      <c r="AW43" s="323">
        <f>+AV43</f>
        <v>9.9706039718627153</v>
      </c>
      <c r="AX43" s="135"/>
    </row>
    <row r="44" spans="1:50" ht="20.25" customHeight="1" x14ac:dyDescent="0.25">
      <c r="A44" s="336"/>
      <c r="R44" s="146"/>
      <c r="U44" s="381">
        <f>+W40</f>
        <v>0.37750000000000006</v>
      </c>
      <c r="V44" s="335">
        <f>+X40</f>
        <v>0.11125000000000002</v>
      </c>
      <c r="W44" s="335">
        <f>+Y40</f>
        <v>3.7126562500000015E-2</v>
      </c>
      <c r="X44" s="335">
        <f>+Z40</f>
        <v>1.3273281250000006E-2</v>
      </c>
      <c r="Y44" s="335">
        <f>+AC40</f>
        <v>0.29767921946300024</v>
      </c>
      <c r="AA44" s="320" t="s">
        <v>66</v>
      </c>
      <c r="AB44" s="335">
        <v>-51.590400340557608</v>
      </c>
      <c r="AC44" s="323">
        <f>2*AB44</f>
        <v>-103.18080068111522</v>
      </c>
      <c r="AD44" s="135"/>
      <c r="AE44" s="381">
        <f>+AG40</f>
        <v>0.37750000000000006</v>
      </c>
      <c r="AF44" s="335">
        <f>+AH40</f>
        <v>0.11125000000000002</v>
      </c>
      <c r="AG44" s="335">
        <f>+AI40</f>
        <v>3.7126562500000015E-2</v>
      </c>
      <c r="AH44" s="335">
        <f>+AJ40</f>
        <v>1.3273281250000006E-2</v>
      </c>
      <c r="AI44" s="335">
        <f>+AM40</f>
        <v>0.29767921946300024</v>
      </c>
      <c r="AK44" s="320" t="s">
        <v>66</v>
      </c>
      <c r="AL44" s="335">
        <v>-51.590400340557608</v>
      </c>
      <c r="AM44" s="323">
        <f>2*AL44</f>
        <v>-103.18080068111522</v>
      </c>
      <c r="AN44" s="135"/>
      <c r="AO44" s="381">
        <f>+AQ40</f>
        <v>0.37750000000000006</v>
      </c>
      <c r="AP44" s="335">
        <f>+AR40</f>
        <v>0.11125000000000002</v>
      </c>
      <c r="AQ44" s="335">
        <f>+AS40</f>
        <v>3.7126562500000015E-2</v>
      </c>
      <c r="AR44" s="335">
        <f>+AT40</f>
        <v>1.3273281250000006E-2</v>
      </c>
      <c r="AS44" s="335">
        <f>+AW40</f>
        <v>0.29767921946300024</v>
      </c>
      <c r="AU44" s="320" t="s">
        <v>66</v>
      </c>
      <c r="AV44" s="335">
        <v>-51.590400340557608</v>
      </c>
      <c r="AW44" s="323">
        <f>2*AV44</f>
        <v>-103.18080068111522</v>
      </c>
      <c r="AX44" s="135"/>
    </row>
    <row r="45" spans="1:50" ht="15.45" customHeight="1" x14ac:dyDescent="0.25">
      <c r="A45" s="39" t="s">
        <v>20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U45" s="381">
        <f>+X40</f>
        <v>0.11125000000000002</v>
      </c>
      <c r="V45" s="335">
        <f>+Y40</f>
        <v>3.7126562500000015E-2</v>
      </c>
      <c r="W45" s="335">
        <f>+Z40</f>
        <v>1.3273281250000006E-2</v>
      </c>
      <c r="X45" s="335">
        <f>+AA40</f>
        <v>4.9341220703125023E-3</v>
      </c>
      <c r="Y45" s="335">
        <f>+AD40</f>
        <v>8.772665739141397E-2</v>
      </c>
      <c r="AA45" s="320" t="s">
        <v>186</v>
      </c>
      <c r="AB45" s="335">
        <v>75.335239151102542</v>
      </c>
      <c r="AC45" s="323">
        <f>3*AB45</f>
        <v>226.00571745330762</v>
      </c>
      <c r="AD45" s="135"/>
      <c r="AE45" s="381">
        <f>+AH40</f>
        <v>0.11125000000000002</v>
      </c>
      <c r="AF45" s="335">
        <f>+AI40</f>
        <v>3.7126562500000015E-2</v>
      </c>
      <c r="AG45" s="335">
        <f>+AJ40</f>
        <v>1.3273281250000006E-2</v>
      </c>
      <c r="AH45" s="335">
        <f>+AK40</f>
        <v>4.9341220703125023E-3</v>
      </c>
      <c r="AI45" s="335">
        <f>+AN40</f>
        <v>8.772665739141397E-2</v>
      </c>
      <c r="AK45" s="320" t="s">
        <v>186</v>
      </c>
      <c r="AL45" s="335">
        <v>75.335239151102542</v>
      </c>
      <c r="AM45" s="323">
        <f>3*AL45</f>
        <v>226.00571745330762</v>
      </c>
      <c r="AN45" s="135"/>
      <c r="AO45" s="381">
        <f>+AR40</f>
        <v>0.11125000000000002</v>
      </c>
      <c r="AP45" s="335">
        <f>+AS40</f>
        <v>3.7126562500000015E-2</v>
      </c>
      <c r="AQ45" s="335">
        <f>+AT40</f>
        <v>1.3273281250000006E-2</v>
      </c>
      <c r="AR45" s="335">
        <f>+AU40</f>
        <v>4.9341220703125023E-3</v>
      </c>
      <c r="AS45" s="335">
        <f>+AX40</f>
        <v>8.772665739141397E-2</v>
      </c>
      <c r="AU45" s="320" t="s">
        <v>186</v>
      </c>
      <c r="AV45" s="335">
        <v>75.335239151102542</v>
      </c>
      <c r="AW45" s="323">
        <f>3*AV45</f>
        <v>226.00571745330762</v>
      </c>
      <c r="AX45" s="135"/>
    </row>
    <row r="46" spans="1:50" ht="15.45" customHeight="1" x14ac:dyDescent="0.25">
      <c r="A46" s="41" t="s">
        <v>21</v>
      </c>
      <c r="U46" s="382"/>
      <c r="V46" s="321"/>
      <c r="W46" s="321"/>
      <c r="X46" s="321"/>
      <c r="Y46" s="321"/>
      <c r="AD46" s="135"/>
      <c r="AE46" s="386"/>
      <c r="AF46" s="387"/>
      <c r="AG46" s="387"/>
      <c r="AH46" s="387"/>
      <c r="AI46" s="387"/>
      <c r="AN46" s="135"/>
      <c r="AO46" s="386"/>
      <c r="AP46" s="387"/>
      <c r="AQ46" s="387"/>
      <c r="AR46" s="387"/>
      <c r="AS46" s="387"/>
      <c r="AX46" s="135"/>
    </row>
    <row r="47" spans="1:50" ht="13.95" customHeight="1" x14ac:dyDescent="0.25">
      <c r="A47" s="42" t="s">
        <v>22</v>
      </c>
      <c r="B47" s="40"/>
      <c r="C47" s="198"/>
      <c r="D47" s="198"/>
      <c r="E47" s="198"/>
      <c r="F47" s="198"/>
      <c r="G47" s="198"/>
      <c r="H47" s="198"/>
      <c r="I47" s="198"/>
      <c r="J47" s="199"/>
      <c r="K47" s="198"/>
      <c r="L47" s="129"/>
      <c r="U47" s="381">
        <f t="array" ref="U47:X50">MINVERSE(U42:X45)</f>
        <v>0.65104069697639744</v>
      </c>
      <c r="V47" s="335">
        <v>-12.644157715033192</v>
      </c>
      <c r="W47" s="335">
        <v>65.424036530643249</v>
      </c>
      <c r="X47" s="335">
        <v>-95.535902139371998</v>
      </c>
      <c r="Y47" s="335">
        <f>+Y42</f>
        <v>7.8855422374304682</v>
      </c>
      <c r="AD47" s="135"/>
      <c r="AE47" s="381">
        <f t="array" ref="AE47:AH50">MINVERSE(AE42:AH45)</f>
        <v>0.65104069697639744</v>
      </c>
      <c r="AF47" s="335">
        <v>-12.644157715033192</v>
      </c>
      <c r="AG47" s="335">
        <v>65.424036530643249</v>
      </c>
      <c r="AH47" s="335">
        <v>-95.535902139371998</v>
      </c>
      <c r="AI47" s="335">
        <f>+AI42</f>
        <v>7.8855422374304682</v>
      </c>
      <c r="AN47" s="135"/>
      <c r="AO47" s="381">
        <f t="array" ref="AO47:AR50">MINVERSE(AO42:AR45)</f>
        <v>0.65104069697639744</v>
      </c>
      <c r="AP47" s="335">
        <v>-12.644157715033192</v>
      </c>
      <c r="AQ47" s="335">
        <v>65.424036530643249</v>
      </c>
      <c r="AR47" s="335">
        <v>-95.535902139371998</v>
      </c>
      <c r="AS47" s="335">
        <f>+AS42</f>
        <v>7.8855422374304682</v>
      </c>
      <c r="AX47" s="135"/>
    </row>
    <row r="48" spans="1:50" ht="20.25" customHeight="1" x14ac:dyDescent="0.25">
      <c r="A48" s="944" t="s">
        <v>23</v>
      </c>
      <c r="B48" s="944"/>
      <c r="C48" s="944"/>
      <c r="D48" s="944"/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41"/>
      <c r="U48" s="381">
        <v>-12.644157715033192</v>
      </c>
      <c r="V48" s="335">
        <v>388.09010904124148</v>
      </c>
      <c r="W48" s="335">
        <v>-2412.3085015043234</v>
      </c>
      <c r="X48" s="335">
        <v>3854.2743345371782</v>
      </c>
      <c r="Y48" s="335">
        <f>+Y43</f>
        <v>1.2616867579888751</v>
      </c>
      <c r="AD48" s="135"/>
      <c r="AE48" s="381">
        <v>-12.644157715033192</v>
      </c>
      <c r="AF48" s="335">
        <v>388.09010904124148</v>
      </c>
      <c r="AG48" s="335">
        <v>-2412.3085015043234</v>
      </c>
      <c r="AH48" s="335">
        <v>3854.2743345371782</v>
      </c>
      <c r="AI48" s="335">
        <f>+AI43</f>
        <v>1.2616867579888751</v>
      </c>
      <c r="AN48" s="135"/>
      <c r="AO48" s="381">
        <v>-12.644157715033192</v>
      </c>
      <c r="AP48" s="335">
        <v>388.09010904124148</v>
      </c>
      <c r="AQ48" s="335">
        <v>-2412.3085015043234</v>
      </c>
      <c r="AR48" s="335">
        <v>3854.2743345371782</v>
      </c>
      <c r="AS48" s="335">
        <f>+AS43</f>
        <v>1.2616867579888751</v>
      </c>
      <c r="AX48" s="135"/>
    </row>
    <row r="49" spans="1:50" ht="13.95" customHeight="1" x14ac:dyDescent="0.25">
      <c r="A49" s="42" t="s">
        <v>24</v>
      </c>
      <c r="B49" s="42"/>
      <c r="C49" s="42"/>
      <c r="D49" s="42"/>
      <c r="E49" s="200"/>
      <c r="F49" s="200"/>
      <c r="G49" s="200"/>
      <c r="H49" s="200"/>
      <c r="I49" s="200"/>
      <c r="J49" s="200"/>
      <c r="K49" s="200"/>
      <c r="L49" s="129"/>
      <c r="U49" s="381">
        <v>65.424036530643448</v>
      </c>
      <c r="V49" s="335">
        <v>-2412.3085015043243</v>
      </c>
      <c r="W49" s="335">
        <v>16424.18165233107</v>
      </c>
      <c r="X49" s="335">
        <v>-27506.511219641685</v>
      </c>
      <c r="Y49" s="335">
        <f>+Y44</f>
        <v>0.29767921946300024</v>
      </c>
      <c r="AD49" s="135"/>
      <c r="AE49" s="381">
        <v>65.424036530643448</v>
      </c>
      <c r="AF49" s="335">
        <v>-2412.3085015043243</v>
      </c>
      <c r="AG49" s="335">
        <v>16424.18165233107</v>
      </c>
      <c r="AH49" s="335">
        <v>-27506.511219641685</v>
      </c>
      <c r="AI49" s="335">
        <f>+AI44</f>
        <v>0.29767921946300024</v>
      </c>
      <c r="AN49" s="135"/>
      <c r="AO49" s="381">
        <v>65.424036530643448</v>
      </c>
      <c r="AP49" s="335">
        <v>-2412.3085015043243</v>
      </c>
      <c r="AQ49" s="335">
        <v>16424.18165233107</v>
      </c>
      <c r="AR49" s="335">
        <v>-27506.511219641685</v>
      </c>
      <c r="AS49" s="335">
        <f>+AS44</f>
        <v>0.29767921946300024</v>
      </c>
      <c r="AX49" s="135"/>
    </row>
    <row r="50" spans="1:50" ht="20.399999999999999" customHeight="1" x14ac:dyDescent="0.25">
      <c r="A50" s="934" t="s">
        <v>347</v>
      </c>
      <c r="B50" s="934"/>
      <c r="C50" s="934"/>
      <c r="D50" s="934"/>
      <c r="E50" s="934"/>
      <c r="F50" s="934"/>
      <c r="G50" s="934"/>
      <c r="H50" s="934"/>
      <c r="I50" s="934"/>
      <c r="J50" s="934"/>
      <c r="K50" s="934"/>
      <c r="L50" s="934"/>
      <c r="M50" s="934"/>
      <c r="N50" s="934"/>
      <c r="O50" s="934"/>
      <c r="P50" s="934"/>
      <c r="Q50" s="934"/>
      <c r="R50" s="245"/>
      <c r="U50" s="381">
        <v>-95.535902139372268</v>
      </c>
      <c r="V50" s="335">
        <v>3854.2743345371791</v>
      </c>
      <c r="W50" s="335">
        <v>-27506.511219641685</v>
      </c>
      <c r="X50" s="335">
        <v>47350.687403940159</v>
      </c>
      <c r="Y50" s="335">
        <f>+Y45</f>
        <v>8.772665739141397E-2</v>
      </c>
      <c r="AD50" s="135"/>
      <c r="AE50" s="381">
        <v>-95.535902139372268</v>
      </c>
      <c r="AF50" s="335">
        <v>3854.2743345371791</v>
      </c>
      <c r="AG50" s="335">
        <v>-27506.511219641685</v>
      </c>
      <c r="AH50" s="335">
        <v>47350.687403940159</v>
      </c>
      <c r="AI50" s="335">
        <f>+AI45</f>
        <v>8.772665739141397E-2</v>
      </c>
      <c r="AN50" s="135"/>
      <c r="AO50" s="381">
        <v>-95.535902139372268</v>
      </c>
      <c r="AP50" s="335">
        <v>3854.2743345371791</v>
      </c>
      <c r="AQ50" s="335">
        <v>-27506.511219641685</v>
      </c>
      <c r="AR50" s="335">
        <v>47350.687403940159</v>
      </c>
      <c r="AS50" s="335">
        <f>+AS45</f>
        <v>8.772665739141397E-2</v>
      </c>
      <c r="AX50" s="135"/>
    </row>
    <row r="51" spans="1:50" ht="6.75" customHeight="1" thickBot="1" x14ac:dyDescent="0.3">
      <c r="B51" s="42"/>
      <c r="C51" s="42"/>
      <c r="D51" s="42"/>
      <c r="E51" s="200"/>
      <c r="F51" s="200"/>
      <c r="G51" s="200"/>
      <c r="H51" s="200"/>
      <c r="I51" s="200"/>
      <c r="J51" s="200"/>
      <c r="K51" s="200"/>
      <c r="L51" s="129"/>
      <c r="U51" s="383"/>
      <c r="V51" s="384"/>
      <c r="W51" s="384"/>
      <c r="X51" s="384"/>
      <c r="Y51" s="384"/>
      <c r="Z51" s="384"/>
      <c r="AA51" s="384"/>
      <c r="AB51" s="384"/>
      <c r="AC51" s="384"/>
      <c r="AD51" s="385"/>
      <c r="AE51" s="383"/>
      <c r="AF51" s="384"/>
      <c r="AG51" s="384"/>
      <c r="AH51" s="384"/>
      <c r="AI51" s="384"/>
      <c r="AJ51" s="384"/>
      <c r="AK51" s="384"/>
      <c r="AL51" s="384"/>
      <c r="AM51" s="384"/>
      <c r="AN51" s="385"/>
      <c r="AO51" s="383"/>
      <c r="AP51" s="384"/>
      <c r="AQ51" s="384"/>
      <c r="AR51" s="384"/>
      <c r="AS51" s="384"/>
      <c r="AT51" s="384"/>
      <c r="AU51" s="384"/>
      <c r="AV51" s="384"/>
      <c r="AW51" s="384"/>
      <c r="AX51" s="385"/>
    </row>
    <row r="52" spans="1:50" ht="7.5" customHeight="1" thickBot="1" x14ac:dyDescent="0.3">
      <c r="A52" s="42"/>
      <c r="B52" s="42"/>
      <c r="C52" s="42"/>
      <c r="D52" s="42"/>
      <c r="E52" s="200"/>
      <c r="F52" s="200"/>
      <c r="G52" s="200"/>
      <c r="H52" s="200"/>
      <c r="I52" s="200"/>
      <c r="J52" s="200"/>
      <c r="K52" s="200"/>
      <c r="L52" s="129"/>
    </row>
    <row r="53" spans="1:50" ht="13.95" customHeight="1" x14ac:dyDescent="0.25">
      <c r="A53" s="42"/>
      <c r="B53" s="42"/>
      <c r="C53" s="42"/>
      <c r="D53" s="42"/>
      <c r="E53" s="200"/>
      <c r="F53" s="200"/>
      <c r="G53" s="200"/>
      <c r="H53" s="200"/>
      <c r="I53" s="200"/>
      <c r="J53" s="200"/>
      <c r="K53" s="200"/>
      <c r="L53" s="129"/>
      <c r="U53" s="192" t="s">
        <v>171</v>
      </c>
      <c r="V53" s="193"/>
      <c r="W53" s="194"/>
      <c r="X53" s="192" t="s">
        <v>172</v>
      </c>
      <c r="Y53" s="193"/>
      <c r="Z53" s="193"/>
      <c r="AA53" s="192" t="s">
        <v>173</v>
      </c>
      <c r="AB53" s="193"/>
      <c r="AC53" s="195"/>
    </row>
    <row r="54" spans="1:50" ht="12" customHeight="1" x14ac:dyDescent="0.25">
      <c r="E54" s="129"/>
      <c r="L54" s="129"/>
      <c r="U54" s="319" t="s">
        <v>85</v>
      </c>
      <c r="V54" s="297" t="s">
        <v>143</v>
      </c>
      <c r="W54" s="233" t="s">
        <v>2</v>
      </c>
      <c r="X54" s="319" t="s">
        <v>85</v>
      </c>
      <c r="Y54" s="297" t="s">
        <v>143</v>
      </c>
      <c r="Z54" s="233" t="s">
        <v>2</v>
      </c>
      <c r="AA54" s="319" t="s">
        <v>85</v>
      </c>
      <c r="AB54" s="297" t="s">
        <v>143</v>
      </c>
      <c r="AC54" s="233" t="s">
        <v>2</v>
      </c>
    </row>
    <row r="55" spans="1:50" ht="12" customHeight="1" x14ac:dyDescent="0.25">
      <c r="E55" s="129"/>
      <c r="L55" s="129"/>
      <c r="U55" s="319" t="s">
        <v>86</v>
      </c>
      <c r="V55" s="334">
        <f>+Z24</f>
        <v>0.83166496524545597</v>
      </c>
      <c r="W55" s="196">
        <f>V55/1000*100</f>
        <v>8.3166496524545608E-2</v>
      </c>
      <c r="X55" s="319" t="s">
        <v>86</v>
      </c>
      <c r="Y55" s="334">
        <f>+AJ24</f>
        <v>0.83166496524545597</v>
      </c>
      <c r="Z55" s="196">
        <f>Y55/1000*100</f>
        <v>8.3166496524545608E-2</v>
      </c>
      <c r="AA55" s="319" t="s">
        <v>86</v>
      </c>
      <c r="AB55" s="334">
        <f>+AT24</f>
        <v>0.83166496524545597</v>
      </c>
      <c r="AC55" s="196">
        <f>AB55/1000*100</f>
        <v>8.3166496524545608E-2</v>
      </c>
    </row>
    <row r="56" spans="1:50" ht="12" customHeight="1" thickBot="1" x14ac:dyDescent="0.3">
      <c r="E56" s="129"/>
      <c r="L56" s="129"/>
      <c r="U56" s="197" t="s">
        <v>87</v>
      </c>
      <c r="V56" s="90">
        <f>+Z25</f>
        <v>0.80836002627271708</v>
      </c>
      <c r="W56" s="91">
        <f>V56/1500*100</f>
        <v>5.3890668418181138E-2</v>
      </c>
      <c r="X56" s="197" t="s">
        <v>87</v>
      </c>
      <c r="Y56" s="90">
        <f>+AJ25</f>
        <v>0.80836002627271708</v>
      </c>
      <c r="Z56" s="91">
        <f>Y56/1500*100</f>
        <v>5.3890668418181138E-2</v>
      </c>
      <c r="AA56" s="197" t="s">
        <v>87</v>
      </c>
      <c r="AB56" s="90">
        <f>+AT25</f>
        <v>0.80836002627271708</v>
      </c>
      <c r="AC56" s="91">
        <f>AB56/1500*100</f>
        <v>5.3890668418181138E-2</v>
      </c>
    </row>
    <row r="57" spans="1:50" ht="7.95" customHeight="1" thickBot="1" x14ac:dyDescent="0.3">
      <c r="E57" s="129"/>
      <c r="L57" s="129"/>
    </row>
    <row r="58" spans="1:50" ht="10.95" customHeight="1" x14ac:dyDescent="0.25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U58" s="316" t="s">
        <v>91</v>
      </c>
      <c r="V58" s="317" t="s">
        <v>256</v>
      </c>
      <c r="W58" s="317" t="s">
        <v>257</v>
      </c>
      <c r="X58" s="317" t="s">
        <v>258</v>
      </c>
      <c r="Y58" s="318"/>
    </row>
    <row r="59" spans="1:50" ht="13.95" customHeight="1" x14ac:dyDescent="0.25">
      <c r="A59" s="20" t="s">
        <v>10</v>
      </c>
      <c r="E59" s="129"/>
      <c r="L59" s="129"/>
      <c r="U59" s="298" t="s">
        <v>88</v>
      </c>
      <c r="V59" s="299">
        <f>+W55</f>
        <v>8.3166496524545608E-2</v>
      </c>
      <c r="W59" s="299">
        <f>+Z55</f>
        <v>8.3166496524545608E-2</v>
      </c>
      <c r="X59" s="300">
        <f>+AC55</f>
        <v>8.3166496524545608E-2</v>
      </c>
      <c r="Y59" s="301" t="s">
        <v>284</v>
      </c>
    </row>
    <row r="60" spans="1:50" ht="13.95" customHeight="1" x14ac:dyDescent="0.25">
      <c r="A60" s="20" t="s">
        <v>302</v>
      </c>
      <c r="R60" s="43" t="s">
        <v>19</v>
      </c>
      <c r="U60" s="298" t="s">
        <v>79</v>
      </c>
      <c r="V60" s="299" t="e">
        <f>+E30</f>
        <v>#N/A</v>
      </c>
      <c r="W60" s="299" t="e">
        <f>+L30</f>
        <v>#N/A</v>
      </c>
      <c r="X60" s="300" t="e">
        <f>+Q30</f>
        <v>#N/A</v>
      </c>
      <c r="Y60" s="301" t="s">
        <v>285</v>
      </c>
    </row>
    <row r="61" spans="1:50" ht="15.75" customHeight="1" x14ac:dyDescent="0.25">
      <c r="U61" s="302" t="s">
        <v>92</v>
      </c>
      <c r="V61" s="312"/>
      <c r="W61" s="312"/>
      <c r="X61" s="312"/>
      <c r="Y61" s="313"/>
    </row>
    <row r="62" spans="1:50" ht="15.75" customHeight="1" x14ac:dyDescent="0.25">
      <c r="A62" s="201"/>
      <c r="J62" s="201"/>
      <c r="U62" s="302" t="s">
        <v>80</v>
      </c>
      <c r="V62" s="299">
        <f>+W56</f>
        <v>5.3890668418181138E-2</v>
      </c>
      <c r="W62" s="300">
        <f>+Z56</f>
        <v>5.3890668418181138E-2</v>
      </c>
      <c r="X62" s="303">
        <f>+AC56</f>
        <v>5.3890668418181138E-2</v>
      </c>
      <c r="Y62" s="301" t="s">
        <v>89</v>
      </c>
    </row>
    <row r="63" spans="1:50" ht="15.75" customHeight="1" thickBot="1" x14ac:dyDescent="0.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U63" s="304" t="s">
        <v>79</v>
      </c>
      <c r="V63" s="333" t="e">
        <f>+V60</f>
        <v>#N/A</v>
      </c>
      <c r="W63" s="333" t="e">
        <f>+W60</f>
        <v>#N/A</v>
      </c>
      <c r="X63" s="333" t="e">
        <f>+X60</f>
        <v>#N/A</v>
      </c>
      <c r="Y63" s="305" t="s">
        <v>90</v>
      </c>
    </row>
    <row r="64" spans="1:50" ht="15" customHeight="1" x14ac:dyDescent="0.25">
      <c r="A64" s="130"/>
      <c r="B64" s="130"/>
      <c r="C64" s="130"/>
      <c r="D64" s="130"/>
      <c r="E64" s="130"/>
      <c r="F64" s="130"/>
      <c r="G64" s="130"/>
      <c r="H64" s="130"/>
      <c r="I64" s="130"/>
      <c r="J64" s="130"/>
    </row>
    <row r="72" spans="16:17" ht="15" customHeight="1" x14ac:dyDescent="0.25">
      <c r="P72" s="246"/>
      <c r="Q72" s="246"/>
    </row>
    <row r="73" spans="16:17" ht="15" customHeight="1" x14ac:dyDescent="0.25">
      <c r="P73" s="247"/>
      <c r="Q73" s="247"/>
    </row>
    <row r="85" spans="26:31" ht="15" customHeight="1" x14ac:dyDescent="0.25">
      <c r="AE85" s="321"/>
    </row>
    <row r="86" spans="26:31" ht="15" customHeight="1" x14ac:dyDescent="0.25">
      <c r="Z86" s="321"/>
      <c r="AA86" s="321"/>
      <c r="AB86" s="321"/>
      <c r="AC86" s="321"/>
      <c r="AD86" s="321"/>
    </row>
    <row r="87" spans="26:31" ht="15" customHeight="1" x14ac:dyDescent="0.25">
      <c r="Z87" s="321"/>
      <c r="AA87" s="321"/>
      <c r="AB87" s="321"/>
      <c r="AC87" s="321"/>
      <c r="AD87" s="321"/>
    </row>
    <row r="88" spans="26:31" ht="15" customHeight="1" x14ac:dyDescent="0.25">
      <c r="Z88" s="321"/>
      <c r="AD88" s="321"/>
    </row>
    <row r="89" spans="26:31" ht="15" customHeight="1" x14ac:dyDescent="0.25">
      <c r="Z89" s="321"/>
      <c r="AD89" s="321"/>
    </row>
    <row r="90" spans="26:31" ht="15" customHeight="1" x14ac:dyDescent="0.25">
      <c r="Z90" s="321"/>
      <c r="AD90" s="321"/>
    </row>
    <row r="91" spans="26:31" ht="15" customHeight="1" x14ac:dyDescent="0.25">
      <c r="Z91" s="321"/>
      <c r="AD91" s="321"/>
    </row>
    <row r="92" spans="26:31" ht="15" customHeight="1" x14ac:dyDescent="0.25">
      <c r="Z92" s="321"/>
      <c r="AA92" s="321"/>
      <c r="AB92" s="321"/>
      <c r="AC92" s="321"/>
      <c r="AD92" s="321"/>
    </row>
  </sheetData>
  <sheetProtection algorithmName="SHA-512" hashValue="vU/dCQV1wVKrIs2LVuL8Gs75lznHDquz0K9gGWkx2S/QghIt98S4Qxdbf+CRo8GnI6+XoJ81j1Na7cleoh7u1A==" saltValue="H5dAXpZhoJq/ajCXPj67aw==" spinCount="100000" sheet="1" selectLockedCells="1" selectUnlockedCells="1"/>
  <protectedRanges>
    <protectedRange sqref="C8:D8" name="Rango3_3_1_1_1_1_1_1_1_1_2"/>
    <protectedRange sqref="D4:D7" name="Rango3_3_1_1_1_1_1_2_1"/>
  </protectedRanges>
  <mergeCells count="24">
    <mergeCell ref="A50:Q50"/>
    <mergeCell ref="D6:M6"/>
    <mergeCell ref="D7:M7"/>
    <mergeCell ref="A1:R1"/>
    <mergeCell ref="A2:R2"/>
    <mergeCell ref="A32:J32"/>
    <mergeCell ref="A12:R12"/>
    <mergeCell ref="D4:M4"/>
    <mergeCell ref="D5:M5"/>
    <mergeCell ref="A48:Q48"/>
    <mergeCell ref="AP27:AP28"/>
    <mergeCell ref="AO9:AX9"/>
    <mergeCell ref="AE11:AH11"/>
    <mergeCell ref="AE27:AE28"/>
    <mergeCell ref="AF27:AF28"/>
    <mergeCell ref="AE9:AN9"/>
    <mergeCell ref="AO11:AR11"/>
    <mergeCell ref="U27:U28"/>
    <mergeCell ref="A9:R9"/>
    <mergeCell ref="A10:R10"/>
    <mergeCell ref="AO27:AO28"/>
    <mergeCell ref="U11:X11"/>
    <mergeCell ref="V27:V28"/>
    <mergeCell ref="U9:AD9"/>
  </mergeCells>
  <conditionalFormatting sqref="O35:O38">
    <cfRule type="expression" dxfId="0" priority="9" stopIfTrue="1">
      <formula>$V$45&gt;=100</formula>
    </cfRule>
  </conditionalFormatting>
  <dataValidations count="1">
    <dataValidation type="list" allowBlank="1" showInputMessage="1" showErrorMessage="1" sqref="Y11 AI11 AS11" xr:uid="{E0C7D423-0482-493A-87DF-720636A8B477}">
      <formula1>"SI, NO"</formula1>
    </dataValidation>
  </dataValidations>
  <printOptions horizontalCentered="1"/>
  <pageMargins left="0.39370078740157483" right="0.39370078740157483" top="1.5748031496062993" bottom="0" header="0" footer="0"/>
  <pageSetup paperSize="274" scale="80" orientation="portrait" r:id="rId1"/>
  <headerFooter scaleWithDoc="0">
    <oddHeader>&amp;C&amp;G</oddHeader>
  </headerFooter>
  <rowBreaks count="1" manualBreakCount="1">
    <brk id="63" max="16383" man="1"/>
  </rowBreaks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396C-5D3D-4B4D-8E6F-F06E57000FBB}">
  <sheetPr>
    <tabColor rgb="FFC00000"/>
  </sheetPr>
  <dimension ref="A1:AB74"/>
  <sheetViews>
    <sheetView showGridLines="0" tabSelected="1" showWhiteSpace="0" zoomScale="120" zoomScaleNormal="120" zoomScaleSheetLayoutView="100" workbookViewId="0">
      <selection activeCell="J10" sqref="J10"/>
    </sheetView>
  </sheetViews>
  <sheetFormatPr baseColWidth="10" defaultColWidth="11.44140625" defaultRowHeight="15" customHeight="1" x14ac:dyDescent="0.25"/>
  <cols>
    <col min="1" max="1" width="14" style="106" customWidth="1"/>
    <col min="2" max="2" width="17.88671875" style="106" customWidth="1"/>
    <col min="3" max="3" width="9.5546875" style="106" customWidth="1"/>
    <col min="4" max="9" width="8.6640625" style="106" customWidth="1"/>
    <col min="10" max="10" width="10.44140625" style="106" customWidth="1"/>
    <col min="11" max="12" width="8.6640625" style="106" customWidth="1"/>
    <col min="13" max="13" width="9.6640625" style="106" customWidth="1"/>
    <col min="14" max="14" width="10.33203125" style="106" customWidth="1"/>
    <col min="15" max="15" width="11.33203125" style="106" customWidth="1"/>
    <col min="16" max="16" width="6.88671875" style="106" customWidth="1"/>
    <col min="17" max="17" width="9" style="106" customWidth="1"/>
    <col min="18" max="18" width="8.33203125" style="106" customWidth="1"/>
    <col min="19" max="19" width="9.6640625" style="106" customWidth="1"/>
    <col min="20" max="21" width="10.5546875" style="106" customWidth="1"/>
    <col min="22" max="22" width="2.33203125" style="106" customWidth="1"/>
    <col min="23" max="25" width="8.88671875" style="106" customWidth="1"/>
    <col min="26" max="26" width="3" style="106" customWidth="1"/>
    <col min="27" max="16384" width="11.44140625" style="106"/>
  </cols>
  <sheetData>
    <row r="1" spans="1:28" ht="8.25" customHeight="1" x14ac:dyDescent="0.25"/>
    <row r="2" spans="1:28" ht="15" customHeight="1" x14ac:dyDescent="0.25">
      <c r="A2" s="958" t="s">
        <v>27</v>
      </c>
      <c r="B2" s="959"/>
      <c r="C2" s="960"/>
      <c r="D2" s="961" t="s">
        <v>98</v>
      </c>
      <c r="E2" s="962"/>
      <c r="F2" s="1">
        <f>+FORMATO!K9</f>
        <v>0</v>
      </c>
      <c r="G2" s="565" t="s">
        <v>287</v>
      </c>
      <c r="H2" s="566"/>
      <c r="I2" s="250"/>
      <c r="J2" s="564"/>
      <c r="L2" s="949" t="s">
        <v>41</v>
      </c>
      <c r="M2" s="950"/>
      <c r="N2" s="951"/>
      <c r="O2" s="684" t="s">
        <v>349</v>
      </c>
      <c r="Q2" s="945" t="s">
        <v>109</v>
      </c>
      <c r="R2" s="945"/>
      <c r="S2" s="945"/>
      <c r="T2" s="945"/>
      <c r="U2" s="945"/>
      <c r="W2" s="952" t="s">
        <v>150</v>
      </c>
      <c r="X2" s="953"/>
      <c r="Y2" s="954"/>
      <c r="AA2" s="662" t="s">
        <v>319</v>
      </c>
      <c r="AB2" s="540"/>
    </row>
    <row r="3" spans="1:28" ht="15" customHeight="1" x14ac:dyDescent="0.25">
      <c r="A3" s="248" t="s">
        <v>26</v>
      </c>
      <c r="B3" s="249"/>
      <c r="C3" s="250"/>
      <c r="D3" s="963" t="s">
        <v>98</v>
      </c>
      <c r="E3" s="963"/>
      <c r="F3" s="102"/>
      <c r="G3" s="565" t="s">
        <v>40</v>
      </c>
      <c r="H3" s="249"/>
      <c r="I3" s="250"/>
      <c r="J3" s="564"/>
      <c r="L3" s="687" t="s">
        <v>3</v>
      </c>
      <c r="M3" s="688" t="s">
        <v>42</v>
      </c>
      <c r="N3" s="689"/>
      <c r="O3" s="684" t="s">
        <v>350</v>
      </c>
      <c r="Q3" s="251" t="s">
        <v>3</v>
      </c>
      <c r="R3" s="251" t="s">
        <v>298</v>
      </c>
      <c r="S3" s="571" t="s">
        <v>299</v>
      </c>
      <c r="T3" s="571" t="s">
        <v>300</v>
      </c>
      <c r="U3" s="571" t="s">
        <v>341</v>
      </c>
      <c r="W3" s="259">
        <f>+D17</f>
        <v>0</v>
      </c>
      <c r="X3" s="259" t="str">
        <f>+H17</f>
        <v>+FORMATO!H24</v>
      </c>
      <c r="Y3" s="259">
        <f>+L17</f>
        <v>0</v>
      </c>
      <c r="AA3" s="535" t="s">
        <v>274</v>
      </c>
      <c r="AB3" s="536" t="s">
        <v>275</v>
      </c>
    </row>
    <row r="4" spans="1:28" ht="15" customHeight="1" x14ac:dyDescent="0.25">
      <c r="A4" s="248" t="s">
        <v>110</v>
      </c>
      <c r="B4" s="249"/>
      <c r="C4" s="250"/>
      <c r="D4" s="965" t="s">
        <v>98</v>
      </c>
      <c r="E4" s="966"/>
      <c r="F4" s="30"/>
      <c r="G4" s="565" t="s">
        <v>39</v>
      </c>
      <c r="H4" s="249"/>
      <c r="I4" s="250"/>
      <c r="J4" s="568"/>
      <c r="L4" s="251">
        <v>1</v>
      </c>
      <c r="M4" s="251" t="str">
        <f>+Balanza!C11</f>
        <v>EQP-0054</v>
      </c>
      <c r="N4" s="251">
        <f>+Balanza!C7</f>
        <v>-2.0299999999999999E-5</v>
      </c>
      <c r="O4" s="686">
        <f>+Balanza!D12</f>
        <v>45799</v>
      </c>
      <c r="Q4" s="251" t="s">
        <v>295</v>
      </c>
      <c r="R4" s="663">
        <v>8178</v>
      </c>
      <c r="S4" s="664">
        <v>2122.1999999999998</v>
      </c>
      <c r="T4" s="678">
        <v>116.50000000000001</v>
      </c>
      <c r="U4" s="678">
        <v>152.29500000000002</v>
      </c>
      <c r="V4" s="106">
        <v>11</v>
      </c>
      <c r="W4" s="504" t="e">
        <f>LOOKUP(D17,Q4:Q21,T4:T21)</f>
        <v>#N/A</v>
      </c>
      <c r="X4" s="504" t="e">
        <f>LOOKUP(H17,Q4:Q21,T4:T21)</f>
        <v>#N/A</v>
      </c>
      <c r="Y4" s="504" t="e">
        <f>LOOKUP(L17,Q4:Q21,T4:T21)</f>
        <v>#N/A</v>
      </c>
      <c r="AA4" s="451">
        <v>1</v>
      </c>
      <c r="AB4" s="537">
        <v>49.6</v>
      </c>
    </row>
    <row r="5" spans="1:28" ht="15" customHeight="1" x14ac:dyDescent="0.25">
      <c r="A5" s="248" t="s">
        <v>114</v>
      </c>
      <c r="B5" s="249"/>
      <c r="C5" s="249"/>
      <c r="D5" s="961" t="s">
        <v>98</v>
      </c>
      <c r="E5" s="962"/>
      <c r="F5" s="102"/>
      <c r="G5" s="102"/>
      <c r="L5" s="251">
        <v>2</v>
      </c>
      <c r="M5" s="251" t="str">
        <f>+Balanza!M11</f>
        <v>EQP-0046</v>
      </c>
      <c r="N5" s="563">
        <f>+Balanza!M7</f>
        <v>-3.2899999999999998E-6</v>
      </c>
      <c r="O5" s="686">
        <f>+Balanza!O12</f>
        <v>46132</v>
      </c>
      <c r="Q5" s="251" t="s">
        <v>296</v>
      </c>
      <c r="R5" s="663">
        <v>7715</v>
      </c>
      <c r="S5" s="664">
        <v>2119.4</v>
      </c>
      <c r="T5" s="663">
        <v>116.35000000000001</v>
      </c>
      <c r="U5" s="678">
        <v>152.29500000000002</v>
      </c>
      <c r="V5" s="106">
        <v>12</v>
      </c>
      <c r="AA5" s="451">
        <v>2</v>
      </c>
      <c r="AB5" s="537">
        <v>49.61</v>
      </c>
    </row>
    <row r="6" spans="1:28" ht="15" customHeight="1" x14ac:dyDescent="0.25">
      <c r="A6" s="248" t="s">
        <v>117</v>
      </c>
      <c r="B6" s="249"/>
      <c r="C6" s="250"/>
      <c r="D6" s="961" t="s">
        <v>98</v>
      </c>
      <c r="E6" s="962"/>
      <c r="F6" s="102"/>
      <c r="G6" s="102"/>
      <c r="Q6" s="251" t="s">
        <v>297</v>
      </c>
      <c r="R6" s="663">
        <v>8378</v>
      </c>
      <c r="S6" s="664">
        <v>2121.3000000000002</v>
      </c>
      <c r="T6" s="663">
        <v>116.61999999999999</v>
      </c>
      <c r="U6" s="678">
        <v>152.185</v>
      </c>
      <c r="V6" s="106">
        <v>13</v>
      </c>
      <c r="AA6" s="451">
        <v>3</v>
      </c>
      <c r="AB6" s="537">
        <v>49.6</v>
      </c>
    </row>
    <row r="7" spans="1:28" ht="15" customHeight="1" x14ac:dyDescent="0.25">
      <c r="L7" s="964" t="s">
        <v>51</v>
      </c>
      <c r="M7" s="964"/>
      <c r="N7" s="570">
        <v>1</v>
      </c>
      <c r="Q7" s="716">
        <v>1</v>
      </c>
      <c r="R7" s="251">
        <v>7629</v>
      </c>
      <c r="S7" s="165">
        <v>2118.8000000000002</v>
      </c>
      <c r="T7" s="251">
        <v>116.27</v>
      </c>
      <c r="U7" s="251">
        <v>152.33000000000001</v>
      </c>
      <c r="V7" s="574"/>
      <c r="AA7" s="451">
        <v>4</v>
      </c>
      <c r="AB7" s="537">
        <v>49.6</v>
      </c>
    </row>
    <row r="8" spans="1:28" ht="15" customHeight="1" x14ac:dyDescent="0.25">
      <c r="A8" s="248" t="s">
        <v>29</v>
      </c>
      <c r="B8" s="252"/>
      <c r="C8" s="251" t="s">
        <v>5</v>
      </c>
      <c r="D8" s="967">
        <f>+AB9+INCERT!D80</f>
        <v>49.603844559999999</v>
      </c>
      <c r="E8" s="967"/>
      <c r="P8" s="290"/>
      <c r="Q8" s="716">
        <v>2</v>
      </c>
      <c r="R8" s="715">
        <v>7625.2</v>
      </c>
      <c r="S8" s="165">
        <v>2123.6999999999998</v>
      </c>
      <c r="T8" s="251">
        <v>116.23</v>
      </c>
      <c r="U8" s="251">
        <v>152.53</v>
      </c>
      <c r="V8" s="574"/>
      <c r="AA8" s="451">
        <v>5</v>
      </c>
      <c r="AB8" s="537">
        <v>49.61</v>
      </c>
    </row>
    <row r="9" spans="1:28" ht="15" customHeight="1" x14ac:dyDescent="0.25">
      <c r="A9" s="248" t="s">
        <v>108</v>
      </c>
      <c r="B9" s="250"/>
      <c r="C9" s="251" t="s">
        <v>4</v>
      </c>
      <c r="D9" s="971">
        <f>((D8^2)*PI()/4)/100</f>
        <v>19.325046927005715</v>
      </c>
      <c r="E9" s="971"/>
      <c r="P9" s="290"/>
      <c r="Q9" s="716">
        <v>3</v>
      </c>
      <c r="R9" s="715">
        <v>7712.1</v>
      </c>
      <c r="S9" s="165">
        <v>2112.3000000000002</v>
      </c>
      <c r="T9" s="251">
        <v>116.12</v>
      </c>
      <c r="U9" s="251">
        <v>152.19</v>
      </c>
      <c r="V9" s="574"/>
      <c r="AA9" s="449" t="s">
        <v>342</v>
      </c>
      <c r="AB9" s="679">
        <f>+AVERAGE(AB4:AB8)</f>
        <v>49.603999999999999</v>
      </c>
    </row>
    <row r="10" spans="1:28" ht="15" customHeight="1" x14ac:dyDescent="0.25">
      <c r="A10" s="248" t="s">
        <v>111</v>
      </c>
      <c r="B10" s="254"/>
      <c r="C10" s="234" t="s">
        <v>113</v>
      </c>
      <c r="D10" s="972">
        <f>+FORMATO!D25</f>
        <v>0</v>
      </c>
      <c r="E10" s="973"/>
      <c r="F10" s="256" t="str">
        <f>+IF(AND(D10&gt;18,D10&lt;24),"conforme","Temperatura Fuera del rango")</f>
        <v>Temperatura Fuera del rango</v>
      </c>
      <c r="M10" s="255"/>
      <c r="O10" s="1"/>
      <c r="P10" s="290"/>
      <c r="Q10" s="716">
        <v>4</v>
      </c>
      <c r="R10" s="715">
        <v>7501.7</v>
      </c>
      <c r="S10" s="165">
        <v>2121.9</v>
      </c>
      <c r="T10" s="251">
        <v>116.33</v>
      </c>
      <c r="U10" s="714">
        <v>152.4</v>
      </c>
      <c r="V10" s="574"/>
    </row>
    <row r="11" spans="1:28" ht="15" customHeight="1" x14ac:dyDescent="0.25">
      <c r="A11" s="248" t="s">
        <v>112</v>
      </c>
      <c r="B11" s="254"/>
      <c r="C11" s="234" t="s">
        <v>113</v>
      </c>
      <c r="D11" s="974">
        <f>+FORMATO!D26</f>
        <v>0</v>
      </c>
      <c r="E11" s="974"/>
      <c r="F11" s="256" t="str">
        <f>+IF(AND(D11&gt;18,D11&lt;24),"conforme","Temperatura Fuera del rango")</f>
        <v>Temperatura Fuera del rango</v>
      </c>
      <c r="P11" s="290"/>
      <c r="Q11" s="716">
        <v>5</v>
      </c>
      <c r="R11" s="715">
        <v>7577.5</v>
      </c>
      <c r="S11" s="165">
        <v>2117.5</v>
      </c>
      <c r="T11" s="251">
        <v>116.31</v>
      </c>
      <c r="U11" s="714">
        <v>152.25</v>
      </c>
      <c r="V11" s="668" t="s">
        <v>147</v>
      </c>
    </row>
    <row r="12" spans="1:28" ht="15" customHeight="1" x14ac:dyDescent="0.25">
      <c r="P12" s="290"/>
      <c r="Q12" s="716">
        <v>6</v>
      </c>
      <c r="R12" s="715">
        <v>7277.4</v>
      </c>
      <c r="S12" s="165">
        <v>2121.33</v>
      </c>
      <c r="T12" s="251">
        <v>116.29</v>
      </c>
      <c r="U12" s="714">
        <v>152.4</v>
      </c>
      <c r="V12" s="668" t="s">
        <v>148</v>
      </c>
    </row>
    <row r="13" spans="1:28" ht="15" customHeight="1" thickBot="1" x14ac:dyDescent="0.3">
      <c r="Q13" s="716">
        <v>7</v>
      </c>
      <c r="R13" s="715">
        <v>7555.3</v>
      </c>
      <c r="S13" s="165">
        <v>2123.23</v>
      </c>
      <c r="T13" s="251">
        <v>116.39</v>
      </c>
      <c r="U13" s="714">
        <v>152.4</v>
      </c>
      <c r="V13" s="668" t="s">
        <v>99</v>
      </c>
    </row>
    <row r="14" spans="1:28" ht="18" customHeight="1" thickBot="1" x14ac:dyDescent="0.3">
      <c r="A14" s="975" t="s">
        <v>94</v>
      </c>
      <c r="B14" s="976"/>
      <c r="C14" s="976"/>
      <c r="D14" s="976"/>
      <c r="E14" s="976"/>
      <c r="F14" s="976"/>
      <c r="G14" s="976"/>
      <c r="H14" s="976"/>
      <c r="I14" s="976"/>
      <c r="J14" s="976"/>
      <c r="K14" s="976"/>
      <c r="L14" s="976"/>
      <c r="M14" s="976"/>
      <c r="N14" s="976"/>
      <c r="O14" s="977"/>
      <c r="Q14" s="716">
        <v>8</v>
      </c>
      <c r="R14" s="715">
        <v>7645.3</v>
      </c>
      <c r="S14" s="165">
        <v>2118.96</v>
      </c>
      <c r="T14" s="251">
        <v>116.15</v>
      </c>
      <c r="U14" s="714">
        <v>152.41</v>
      </c>
      <c r="V14" s="668" t="s">
        <v>100</v>
      </c>
      <c r="W14" s="257"/>
      <c r="X14" s="257"/>
      <c r="Y14" s="257"/>
    </row>
    <row r="15" spans="1:28" ht="18" customHeight="1" x14ac:dyDescent="0.25">
      <c r="A15" s="978" t="s">
        <v>30</v>
      </c>
      <c r="B15" s="979"/>
      <c r="C15" s="980"/>
      <c r="D15" s="955">
        <v>56</v>
      </c>
      <c r="E15" s="956"/>
      <c r="F15" s="956"/>
      <c r="G15" s="957"/>
      <c r="H15" s="955">
        <v>25</v>
      </c>
      <c r="I15" s="956"/>
      <c r="J15" s="956"/>
      <c r="K15" s="957"/>
      <c r="L15" s="955">
        <v>10</v>
      </c>
      <c r="M15" s="956"/>
      <c r="N15" s="956"/>
      <c r="O15" s="957"/>
      <c r="Q15" s="716">
        <v>9</v>
      </c>
      <c r="R15" s="715">
        <v>7674</v>
      </c>
      <c r="S15" s="165">
        <v>2119.27</v>
      </c>
      <c r="T15" s="251">
        <v>116.22</v>
      </c>
      <c r="U15" s="714">
        <v>152.37</v>
      </c>
      <c r="V15" s="668" t="s">
        <v>101</v>
      </c>
      <c r="W15" s="257"/>
      <c r="X15" s="257"/>
    </row>
    <row r="16" spans="1:28" s="1" customFormat="1" ht="18" customHeight="1" x14ac:dyDescent="0.25">
      <c r="A16" s="83" t="s">
        <v>31</v>
      </c>
      <c r="B16" s="66"/>
      <c r="C16" s="84"/>
      <c r="D16" s="968" t="s">
        <v>32</v>
      </c>
      <c r="E16" s="969"/>
      <c r="F16" s="969" t="s">
        <v>33</v>
      </c>
      <c r="G16" s="970"/>
      <c r="H16" s="968" t="s">
        <v>32</v>
      </c>
      <c r="I16" s="969"/>
      <c r="J16" s="969" t="s">
        <v>33</v>
      </c>
      <c r="K16" s="970"/>
      <c r="L16" s="968" t="s">
        <v>32</v>
      </c>
      <c r="M16" s="969"/>
      <c r="N16" s="969" t="s">
        <v>33</v>
      </c>
      <c r="O16" s="970"/>
      <c r="P16" s="106"/>
      <c r="Q16" s="251" t="s">
        <v>99</v>
      </c>
      <c r="R16" s="665">
        <v>8105</v>
      </c>
      <c r="S16" s="664">
        <v>2125</v>
      </c>
      <c r="T16" s="663">
        <v>116.58999999999999</v>
      </c>
      <c r="U16" s="678">
        <v>152.33500000000001</v>
      </c>
      <c r="V16" s="668" t="s">
        <v>101</v>
      </c>
      <c r="W16" s="257" t="s">
        <v>356</v>
      </c>
      <c r="X16" s="257"/>
    </row>
    <row r="17" spans="1:25" s="1" customFormat="1" ht="18" customHeight="1" x14ac:dyDescent="0.25">
      <c r="A17" s="83" t="s">
        <v>34</v>
      </c>
      <c r="B17" s="66"/>
      <c r="C17" s="84"/>
      <c r="D17" s="984">
        <f>+FORMATO!D24</f>
        <v>0</v>
      </c>
      <c r="E17" s="947"/>
      <c r="F17" s="947"/>
      <c r="G17" s="948"/>
      <c r="H17" s="946">
        <f>+FORMATO!H24</f>
        <v>0</v>
      </c>
      <c r="I17" s="947"/>
      <c r="J17" s="947"/>
      <c r="K17" s="948"/>
      <c r="L17" s="946">
        <f>+FORMATO!L24</f>
        <v>0</v>
      </c>
      <c r="M17" s="947"/>
      <c r="N17" s="947"/>
      <c r="O17" s="948"/>
      <c r="P17" s="106"/>
      <c r="Q17" s="251" t="s">
        <v>100</v>
      </c>
      <c r="R17" s="665">
        <v>7581</v>
      </c>
      <c r="S17" s="664">
        <v>2126.1</v>
      </c>
      <c r="T17" s="663">
        <v>116.69000000000001</v>
      </c>
      <c r="U17" s="678">
        <v>152.315</v>
      </c>
      <c r="V17" s="668" t="s">
        <v>101</v>
      </c>
      <c r="W17" s="257" t="s">
        <v>357</v>
      </c>
      <c r="X17" s="257"/>
    </row>
    <row r="18" spans="1:25" s="1" customFormat="1" ht="18" customHeight="1" x14ac:dyDescent="0.25">
      <c r="A18" s="981" t="s">
        <v>43</v>
      </c>
      <c r="B18" s="902"/>
      <c r="C18" s="233" t="s">
        <v>28</v>
      </c>
      <c r="D18" s="718">
        <f>+FORMATO!D27</f>
        <v>0</v>
      </c>
      <c r="E18" s="67">
        <f>+D18+$N$4*D18</f>
        <v>0</v>
      </c>
      <c r="F18" s="718">
        <f>+FORMATO!F27</f>
        <v>0</v>
      </c>
      <c r="G18" s="71">
        <f>+F18+$N$4*F18</f>
        <v>0</v>
      </c>
      <c r="H18" s="718">
        <f>+FORMATO!H27</f>
        <v>0</v>
      </c>
      <c r="I18" s="67">
        <f>+H18+$N$4*H18</f>
        <v>0</v>
      </c>
      <c r="J18" s="718">
        <f>+FORMATO!J27</f>
        <v>0</v>
      </c>
      <c r="K18" s="71">
        <f>+J18+$N$4*J18</f>
        <v>0</v>
      </c>
      <c r="L18" s="718">
        <f>+FORMATO!L27</f>
        <v>0</v>
      </c>
      <c r="M18" s="67">
        <f>+L18+$N$4*L18</f>
        <v>0</v>
      </c>
      <c r="N18" s="718">
        <f>+FORMATO!O27</f>
        <v>0</v>
      </c>
      <c r="O18" s="71">
        <f>+N18+$N$4*N18</f>
        <v>0</v>
      </c>
      <c r="P18" s="106"/>
      <c r="Q18" s="251" t="s">
        <v>101</v>
      </c>
      <c r="R18" s="665">
        <v>8171</v>
      </c>
      <c r="S18" s="664">
        <v>2124.6</v>
      </c>
      <c r="T18" s="663">
        <v>116.67</v>
      </c>
      <c r="U18" s="678">
        <v>152.26999999999998</v>
      </c>
      <c r="V18" s="668" t="s">
        <v>101</v>
      </c>
      <c r="W18" s="257" t="s">
        <v>358</v>
      </c>
      <c r="X18" s="257"/>
      <c r="Y18" s="257"/>
    </row>
    <row r="19" spans="1:25" s="1" customFormat="1" ht="18" customHeight="1" x14ac:dyDescent="0.25">
      <c r="A19" s="981" t="s">
        <v>37</v>
      </c>
      <c r="B19" s="902"/>
      <c r="C19" s="233" t="s">
        <v>28</v>
      </c>
      <c r="D19" s="76"/>
      <c r="E19" s="67" t="e">
        <f>+LOOKUP($D$17,$Q$4:$Q$21,$R$4:$R$21)</f>
        <v>#N/A</v>
      </c>
      <c r="G19" s="67" t="e">
        <f>+LOOKUP($D$17,$Q$4:$Q$21,$R$4:$R$21)</f>
        <v>#N/A</v>
      </c>
      <c r="H19" s="78"/>
      <c r="I19" s="67" t="e">
        <f>+LOOKUP($H$17,$Q$4:$Q$21,$R$4:$R$21)</f>
        <v>#N/A</v>
      </c>
      <c r="J19" s="65"/>
      <c r="K19" s="67" t="e">
        <f>+LOOKUP($H$17,$Q$4:$Q$21,$R$4:$R$21)</f>
        <v>#N/A</v>
      </c>
      <c r="L19" s="78"/>
      <c r="M19" s="67" t="e">
        <f>+LOOKUP($L$17,$Q$4:$Q$21,$R$4:$R$21)</f>
        <v>#N/A</v>
      </c>
      <c r="N19" s="65"/>
      <c r="O19" s="71" t="e">
        <f>+LOOKUP($L$17,$Q$4:$Q$21,$R$4:$R$21)</f>
        <v>#N/A</v>
      </c>
      <c r="P19" s="106"/>
      <c r="Q19" s="251" t="s">
        <v>269</v>
      </c>
      <c r="R19" s="665">
        <v>7844</v>
      </c>
      <c r="S19" s="664">
        <v>2126.1</v>
      </c>
      <c r="T19" s="663">
        <v>116.7</v>
      </c>
      <c r="U19" s="678">
        <v>152.30500000000001</v>
      </c>
      <c r="V19" s="668" t="s">
        <v>101</v>
      </c>
      <c r="W19" s="257" t="s">
        <v>359</v>
      </c>
      <c r="X19" s="257"/>
      <c r="Y19" s="257"/>
    </row>
    <row r="20" spans="1:25" s="1" customFormat="1" ht="18" customHeight="1" x14ac:dyDescent="0.25">
      <c r="A20" s="981" t="s">
        <v>95</v>
      </c>
      <c r="B20" s="902"/>
      <c r="C20" s="233" t="s">
        <v>2</v>
      </c>
      <c r="D20" s="77"/>
      <c r="E20" s="67" t="e">
        <f>+E32</f>
        <v>#DIV/0!</v>
      </c>
      <c r="F20" s="68"/>
      <c r="G20" s="71" t="e">
        <f>+G32</f>
        <v>#DIV/0!</v>
      </c>
      <c r="H20" s="77"/>
      <c r="I20" s="67" t="e">
        <f>+I32</f>
        <v>#DIV/0!</v>
      </c>
      <c r="J20" s="68"/>
      <c r="K20" s="71" t="e">
        <f>+K32</f>
        <v>#DIV/0!</v>
      </c>
      <c r="L20" s="77"/>
      <c r="M20" s="67" t="e">
        <f>+M32</f>
        <v>#DIV/0!</v>
      </c>
      <c r="N20" s="68"/>
      <c r="O20" s="71" t="e">
        <f>+O32</f>
        <v>#DIV/0!</v>
      </c>
      <c r="P20" s="106"/>
      <c r="Q20" s="251" t="s">
        <v>354</v>
      </c>
      <c r="R20" s="665">
        <v>7874</v>
      </c>
      <c r="S20" s="664">
        <v>2127.8000000000002</v>
      </c>
      <c r="T20" s="663">
        <v>116.69000000000001</v>
      </c>
      <c r="U20" s="678">
        <v>152.375</v>
      </c>
      <c r="V20" s="668" t="s">
        <v>101</v>
      </c>
      <c r="W20" s="257" t="s">
        <v>360</v>
      </c>
      <c r="X20" s="257"/>
      <c r="Y20" s="258"/>
    </row>
    <row r="21" spans="1:25" s="1" customFormat="1" ht="18" customHeight="1" x14ac:dyDescent="0.25">
      <c r="A21" s="985" t="s">
        <v>44</v>
      </c>
      <c r="B21" s="986"/>
      <c r="C21" s="233" t="s">
        <v>28</v>
      </c>
      <c r="D21" s="72"/>
      <c r="E21" s="67" t="e">
        <f>(E18-E19)/(1+(E20/100))</f>
        <v>#N/A</v>
      </c>
      <c r="F21" s="69"/>
      <c r="G21" s="71" t="e">
        <f>(G18-G19)/(1+(G20/100))</f>
        <v>#N/A</v>
      </c>
      <c r="H21" s="72"/>
      <c r="I21" s="67" t="e">
        <f>(I18-I19)/(1+(I20/100))</f>
        <v>#N/A</v>
      </c>
      <c r="J21" s="69"/>
      <c r="K21" s="71" t="e">
        <f>(K18-K19)/(1+(K20/100))</f>
        <v>#N/A</v>
      </c>
      <c r="L21" s="72"/>
      <c r="M21" s="67" t="e">
        <f>(M18-M19)/(1+(M20/100))</f>
        <v>#N/A</v>
      </c>
      <c r="N21" s="69"/>
      <c r="O21" s="71" t="e">
        <f>(O18-O19)/(1+(O20/100))</f>
        <v>#N/A</v>
      </c>
      <c r="P21" s="106"/>
      <c r="Q21" s="251" t="s">
        <v>355</v>
      </c>
      <c r="R21" s="665">
        <v>8010</v>
      </c>
      <c r="S21" s="664">
        <v>2125.8000000000002</v>
      </c>
      <c r="T21" s="663">
        <v>116.69000000000001</v>
      </c>
      <c r="U21" s="678">
        <v>152.30000000000001</v>
      </c>
      <c r="V21" s="668" t="s">
        <v>101</v>
      </c>
      <c r="W21" s="257" t="s">
        <v>361</v>
      </c>
      <c r="X21" s="257"/>
      <c r="Y21" s="258"/>
    </row>
    <row r="22" spans="1:25" s="1" customFormat="1" ht="18" customHeight="1" x14ac:dyDescent="0.25">
      <c r="A22" s="981" t="s">
        <v>36</v>
      </c>
      <c r="B22" s="902"/>
      <c r="C22" s="233" t="s">
        <v>96</v>
      </c>
      <c r="D22" s="78"/>
      <c r="E22" s="67" t="e">
        <f>+LOOKUP($D$17,$Q$4:$Q$21,$S$4:$S$21)</f>
        <v>#N/A</v>
      </c>
      <c r="F22" s="65"/>
      <c r="G22" s="67" t="e">
        <f>+LOOKUP($D$17,$Q$4:$Q$21,$S$4:$S$21)</f>
        <v>#N/A</v>
      </c>
      <c r="H22" s="78"/>
      <c r="I22" s="67" t="e">
        <f>+LOOKUP($H$17,$Q$4:$Q$21,$S$4:$S$21)</f>
        <v>#N/A</v>
      </c>
      <c r="J22" s="65"/>
      <c r="K22" s="67" t="e">
        <f>+LOOKUP($H$17,$Q$4:$Q$21,$S$4:$S$21)</f>
        <v>#N/A</v>
      </c>
      <c r="L22" s="78"/>
      <c r="M22" s="67" t="e">
        <f>+LOOKUP($L$17,$Q$4:$Q$21,$S$4:$S$21)</f>
        <v>#N/A</v>
      </c>
      <c r="N22" s="65"/>
      <c r="O22" s="71" t="e">
        <f>+LOOKUP($L$17,$Q$4:$Q$21,$S$4:$S$21)</f>
        <v>#N/A</v>
      </c>
      <c r="P22" s="106"/>
      <c r="W22" s="257"/>
      <c r="X22" s="257"/>
    </row>
    <row r="23" spans="1:25" s="1" customFormat="1" ht="18" customHeight="1" x14ac:dyDescent="0.25">
      <c r="A23" s="982" t="s">
        <v>35</v>
      </c>
      <c r="B23" s="983"/>
      <c r="C23" s="577" t="s">
        <v>97</v>
      </c>
      <c r="D23" s="78"/>
      <c r="E23" s="578" t="e">
        <f>+E21/E22</f>
        <v>#N/A</v>
      </c>
      <c r="F23" s="578"/>
      <c r="G23" s="579" t="e">
        <f>+G21/G22</f>
        <v>#N/A</v>
      </c>
      <c r="H23" s="580"/>
      <c r="I23" s="578" t="e">
        <f>+I21/I22</f>
        <v>#N/A</v>
      </c>
      <c r="J23" s="578"/>
      <c r="K23" s="579" t="e">
        <f>+K21/K22</f>
        <v>#N/A</v>
      </c>
      <c r="L23" s="580"/>
      <c r="M23" s="578" t="e">
        <f>+M21/M22</f>
        <v>#N/A</v>
      </c>
      <c r="N23" s="578"/>
      <c r="O23" s="579" t="e">
        <f>+O21/O22</f>
        <v>#N/A</v>
      </c>
      <c r="P23" s="106"/>
      <c r="W23" s="257"/>
      <c r="X23" s="257"/>
      <c r="Y23" s="257"/>
    </row>
    <row r="24" spans="1:25" s="1" customFormat="1" ht="18" customHeight="1" thickBot="1" x14ac:dyDescent="0.3">
      <c r="A24" s="989" t="s">
        <v>46</v>
      </c>
      <c r="B24" s="990"/>
      <c r="C24" s="85" t="s">
        <v>286</v>
      </c>
      <c r="D24" s="79"/>
      <c r="E24" s="80" t="e">
        <f>9.8066*E23</f>
        <v>#N/A</v>
      </c>
      <c r="F24" s="90"/>
      <c r="G24" s="91" t="e">
        <f>9.8066*G23</f>
        <v>#N/A</v>
      </c>
      <c r="H24" s="82"/>
      <c r="I24" s="80" t="e">
        <f>9.8066*I23</f>
        <v>#N/A</v>
      </c>
      <c r="J24" s="80"/>
      <c r="K24" s="81" t="e">
        <f>9.8066*K23</f>
        <v>#N/A</v>
      </c>
      <c r="L24" s="82"/>
      <c r="M24" s="80" t="e">
        <f>9.8066*M23</f>
        <v>#N/A</v>
      </c>
      <c r="N24" s="80"/>
      <c r="O24" s="81" t="e">
        <f>9.8066*O23</f>
        <v>#N/A</v>
      </c>
      <c r="P24" s="106"/>
      <c r="W24" s="257"/>
      <c r="X24" s="257"/>
      <c r="Y24" s="257"/>
    </row>
    <row r="25" spans="1:25" s="1" customFormat="1" ht="18" customHeight="1" thickBot="1" x14ac:dyDescent="0.3">
      <c r="A25" s="991" t="s">
        <v>93</v>
      </c>
      <c r="B25" s="992"/>
      <c r="C25" s="992"/>
      <c r="D25" s="992"/>
      <c r="E25" s="992"/>
      <c r="F25" s="992"/>
      <c r="G25" s="992"/>
      <c r="H25" s="992"/>
      <c r="I25" s="992"/>
      <c r="J25" s="992"/>
      <c r="K25" s="992"/>
      <c r="L25" s="992"/>
      <c r="M25" s="992"/>
      <c r="N25" s="992"/>
      <c r="O25" s="993"/>
      <c r="P25" s="106"/>
      <c r="Q25" s="65">
        <f>+J3-0.5</f>
        <v>-0.5</v>
      </c>
      <c r="R25" s="65">
        <f>+J3+0.5</f>
        <v>0.5</v>
      </c>
      <c r="W25" s="257"/>
      <c r="X25" s="257"/>
      <c r="Y25" s="258"/>
    </row>
    <row r="26" spans="1:25" s="1" customFormat="1" ht="18" customHeight="1" x14ac:dyDescent="0.25">
      <c r="A26" s="994" t="s">
        <v>175</v>
      </c>
      <c r="B26" s="995"/>
      <c r="C26" s="86" t="s">
        <v>98</v>
      </c>
      <c r="D26" s="987">
        <f>+FORMATO!D29</f>
        <v>0</v>
      </c>
      <c r="E26" s="988"/>
      <c r="F26" s="987">
        <f>+FORMATO!F29</f>
        <v>0</v>
      </c>
      <c r="G26" s="988"/>
      <c r="H26" s="987">
        <f>+FORMATO!H29</f>
        <v>0</v>
      </c>
      <c r="I26" s="988"/>
      <c r="J26" s="987">
        <f>+FORMATO!J29</f>
        <v>0</v>
      </c>
      <c r="K26" s="988"/>
      <c r="L26" s="987">
        <f>+FORMATO!L29</f>
        <v>0</v>
      </c>
      <c r="M26" s="988"/>
      <c r="N26" s="987">
        <f>+FORMATO!O29</f>
        <v>0</v>
      </c>
      <c r="O26" s="988"/>
      <c r="P26" s="106"/>
      <c r="T26" s="30"/>
      <c r="U26" s="30"/>
      <c r="W26" s="257"/>
      <c r="X26" s="257"/>
      <c r="Y26" s="258"/>
    </row>
    <row r="27" spans="1:25" s="1" customFormat="1" ht="18" customHeight="1" x14ac:dyDescent="0.25">
      <c r="A27" s="236" t="s">
        <v>84</v>
      </c>
      <c r="B27" s="237"/>
      <c r="C27" s="233" t="s">
        <v>28</v>
      </c>
      <c r="D27" s="718">
        <f>+FORMATO!D30</f>
        <v>0</v>
      </c>
      <c r="E27" s="70">
        <f>+D27+$N$5*D27</f>
        <v>0</v>
      </c>
      <c r="F27" s="576">
        <f>+FORMATO!F30</f>
        <v>0</v>
      </c>
      <c r="G27" s="70">
        <f>+F27+$N$5*F27</f>
        <v>0</v>
      </c>
      <c r="H27" s="576">
        <f>+FORMATO!H30</f>
        <v>0</v>
      </c>
      <c r="I27" s="70">
        <f>+H27+$N$5*H27</f>
        <v>0</v>
      </c>
      <c r="J27" s="576">
        <f>+FORMATO!J30</f>
        <v>0</v>
      </c>
      <c r="K27" s="70">
        <f>+J27+$N$5*J27</f>
        <v>0</v>
      </c>
      <c r="L27" s="576">
        <f>+FORMATO!L30</f>
        <v>0</v>
      </c>
      <c r="M27" s="70">
        <f>+L27+$N$5*L27</f>
        <v>0</v>
      </c>
      <c r="N27" s="576">
        <f>+FORMATO!O30</f>
        <v>0</v>
      </c>
      <c r="O27" s="70">
        <f>+N27+$N$5*N27</f>
        <v>0</v>
      </c>
      <c r="P27" s="106"/>
      <c r="Q27" s="65" t="s">
        <v>337</v>
      </c>
      <c r="R27" s="65"/>
      <c r="S27" s="234">
        <v>2500</v>
      </c>
      <c r="T27" s="30"/>
      <c r="U27" s="30"/>
      <c r="W27" s="257"/>
      <c r="X27" s="257"/>
      <c r="Y27" s="258"/>
    </row>
    <row r="28" spans="1:25" s="1" customFormat="1" ht="18" customHeight="1" x14ac:dyDescent="0.25">
      <c r="A28" s="306" t="s">
        <v>174</v>
      </c>
      <c r="B28" s="307"/>
      <c r="C28" s="87" t="s">
        <v>28</v>
      </c>
      <c r="D28" s="576">
        <f>+FORMATO!D31</f>
        <v>0</v>
      </c>
      <c r="E28" s="70">
        <f>+D28+$N$5*D28</f>
        <v>0</v>
      </c>
      <c r="F28" s="576">
        <f>+FORMATO!F31</f>
        <v>0</v>
      </c>
      <c r="G28" s="70">
        <f>+F28+$N$5*F28</f>
        <v>0</v>
      </c>
      <c r="H28" s="576">
        <f>+FORMATO!H31</f>
        <v>0</v>
      </c>
      <c r="I28" s="70">
        <f>+H28+$N$5*H28</f>
        <v>0</v>
      </c>
      <c r="J28" s="576">
        <f>+FORMATO!J31</f>
        <v>0</v>
      </c>
      <c r="K28" s="70">
        <f>+J28+$N$5*J28</f>
        <v>0</v>
      </c>
      <c r="L28" s="576">
        <f>+FORMATO!L31</f>
        <v>0</v>
      </c>
      <c r="M28" s="70">
        <f>+L28+$N$5*L28</f>
        <v>0</v>
      </c>
      <c r="N28" s="576">
        <f>+FORMATO!O31</f>
        <v>0</v>
      </c>
      <c r="O28" s="70">
        <f>+N28+$N$5*N28</f>
        <v>0</v>
      </c>
      <c r="P28" s="106"/>
      <c r="Q28" s="643">
        <f>+D26</f>
        <v>0</v>
      </c>
      <c r="R28" s="165">
        <f>+D28-D27</f>
        <v>0</v>
      </c>
      <c r="S28" s="661" t="str">
        <f>+IF(R28&gt;$S$27,"cumple","no cumple")</f>
        <v>no cumple</v>
      </c>
      <c r="W28" s="257"/>
      <c r="X28" s="257"/>
      <c r="Y28" s="258"/>
    </row>
    <row r="29" spans="1:25" s="1" customFormat="1" ht="18" customHeight="1" x14ac:dyDescent="0.25">
      <c r="A29" s="236" t="s">
        <v>176</v>
      </c>
      <c r="B29" s="237"/>
      <c r="C29" s="233" t="s">
        <v>28</v>
      </c>
      <c r="D29" s="576">
        <f>+FORMATO!D33</f>
        <v>0</v>
      </c>
      <c r="E29" s="71">
        <f>+D29+$N$5*D29</f>
        <v>0</v>
      </c>
      <c r="F29" s="576">
        <f>+FORMATO!F33</f>
        <v>0</v>
      </c>
      <c r="G29" s="71">
        <f>+F29+$N$5*F29</f>
        <v>0</v>
      </c>
      <c r="H29" s="576">
        <f>+FORMATO!H33</f>
        <v>0</v>
      </c>
      <c r="I29" s="71">
        <f>+H29+$N$5*H29</f>
        <v>0</v>
      </c>
      <c r="J29" s="576">
        <f>+FORMATO!J33</f>
        <v>0</v>
      </c>
      <c r="K29" s="71">
        <f>+J29+$N$5*J29</f>
        <v>0</v>
      </c>
      <c r="L29" s="576">
        <f>+FORMATO!L33</f>
        <v>0</v>
      </c>
      <c r="M29" s="71">
        <f>+L29+$N$5*L29</f>
        <v>0</v>
      </c>
      <c r="N29" s="576">
        <f>+FORMATO!O33</f>
        <v>0</v>
      </c>
      <c r="O29" s="71">
        <f>+N29+$N$5*N29</f>
        <v>0</v>
      </c>
      <c r="P29" s="106"/>
      <c r="Q29" s="643">
        <f>+H26</f>
        <v>0</v>
      </c>
      <c r="R29" s="165">
        <f>+H28-H27</f>
        <v>0</v>
      </c>
      <c r="S29" s="661" t="str">
        <f>+IF(R29&gt;$S$27,"cumple","no cumple")</f>
        <v>no cumple</v>
      </c>
      <c r="W29" s="257"/>
      <c r="X29" s="257"/>
      <c r="Y29" s="257"/>
    </row>
    <row r="30" spans="1:25" s="1" customFormat="1" ht="18" customHeight="1" x14ac:dyDescent="0.25">
      <c r="A30" s="236" t="s">
        <v>177</v>
      </c>
      <c r="B30" s="237"/>
      <c r="C30" s="233" t="s">
        <v>28</v>
      </c>
      <c r="D30" s="576">
        <f>+FORMATO!D34</f>
        <v>0</v>
      </c>
      <c r="E30" s="71">
        <f>+D30+$N$5*D30</f>
        <v>0</v>
      </c>
      <c r="F30" s="576">
        <f>+FORMATO!F34</f>
        <v>0</v>
      </c>
      <c r="G30" s="71">
        <f>+F30+$N$5*F30</f>
        <v>0</v>
      </c>
      <c r="H30" s="576">
        <f>+FORMATO!H34</f>
        <v>0</v>
      </c>
      <c r="I30" s="71">
        <f>+H30+$N$5*H30</f>
        <v>0</v>
      </c>
      <c r="J30" s="576">
        <f>+FORMATO!J34</f>
        <v>0</v>
      </c>
      <c r="K30" s="71">
        <f>+J30+$N$5*J30</f>
        <v>0</v>
      </c>
      <c r="L30" s="576">
        <f>+FORMATO!L34</f>
        <v>0</v>
      </c>
      <c r="M30" s="71">
        <f>+L30+$N$5*L30</f>
        <v>0</v>
      </c>
      <c r="N30" s="576">
        <f>+FORMATO!O34</f>
        <v>0</v>
      </c>
      <c r="O30" s="71">
        <f>+N30+$N$5*N30</f>
        <v>0</v>
      </c>
      <c r="P30" s="106"/>
      <c r="Q30" s="643">
        <f>+L26</f>
        <v>0</v>
      </c>
      <c r="R30" s="165">
        <f>+L28-L27</f>
        <v>0</v>
      </c>
      <c r="S30" s="661" t="str">
        <f>+IF(R30&gt;$S$27,"cumple","no cumple")</f>
        <v>no cumple</v>
      </c>
      <c r="W30" s="257"/>
      <c r="X30" s="257"/>
      <c r="Y30" s="257"/>
    </row>
    <row r="31" spans="1:25" s="1" customFormat="1" ht="18" customHeight="1" x14ac:dyDescent="0.25">
      <c r="A31" s="236" t="s">
        <v>38</v>
      </c>
      <c r="B31" s="237"/>
      <c r="C31" s="233" t="s">
        <v>28</v>
      </c>
      <c r="D31" s="291"/>
      <c r="E31" s="71">
        <f>+E28-E30</f>
        <v>0</v>
      </c>
      <c r="F31" s="291"/>
      <c r="G31" s="71">
        <f>+G28-G30</f>
        <v>0</v>
      </c>
      <c r="H31" s="291"/>
      <c r="I31" s="71">
        <f>+I28-I30</f>
        <v>0</v>
      </c>
      <c r="J31" s="291"/>
      <c r="K31" s="71">
        <f>+K28-K30</f>
        <v>0</v>
      </c>
      <c r="L31" s="291"/>
      <c r="M31" s="71">
        <f>+M28-M30</f>
        <v>0</v>
      </c>
      <c r="N31" s="291"/>
      <c r="O31" s="71">
        <f>+O28-O30</f>
        <v>0</v>
      </c>
      <c r="P31" s="106"/>
      <c r="Q31" s="106"/>
      <c r="R31" s="660"/>
      <c r="W31" s="257"/>
      <c r="X31" s="257"/>
    </row>
    <row r="32" spans="1:25" s="1" customFormat="1" ht="18" customHeight="1" thickBot="1" x14ac:dyDescent="0.3">
      <c r="A32" s="996" t="s">
        <v>95</v>
      </c>
      <c r="B32" s="997"/>
      <c r="C32" s="85" t="s">
        <v>2</v>
      </c>
      <c r="D32" s="73"/>
      <c r="E32" s="74" t="e">
        <f>+(E31/(E30-E27))*100</f>
        <v>#DIV/0!</v>
      </c>
      <c r="F32" s="75"/>
      <c r="G32" s="74" t="e">
        <f>+(G31/(G30-G27))*100</f>
        <v>#DIV/0!</v>
      </c>
      <c r="H32" s="75"/>
      <c r="I32" s="74" t="e">
        <f>+(I31/(I30-I27))*100</f>
        <v>#DIV/0!</v>
      </c>
      <c r="J32" s="75"/>
      <c r="K32" s="74" t="e">
        <f>+(K31/(K30-K27))*100</f>
        <v>#DIV/0!</v>
      </c>
      <c r="L32" s="75"/>
      <c r="M32" s="74" t="e">
        <f>+(M31/(M30-M27))*100</f>
        <v>#DIV/0!</v>
      </c>
      <c r="N32" s="75"/>
      <c r="O32" s="74" t="e">
        <f>+(O31/(O30-O27))*100</f>
        <v>#DIV/0!</v>
      </c>
      <c r="P32" s="106"/>
      <c r="Q32" s="106"/>
      <c r="R32" s="106"/>
      <c r="W32" s="257"/>
      <c r="X32" s="257"/>
      <c r="Y32" s="257"/>
    </row>
    <row r="33" spans="1:25" s="1" customFormat="1" ht="18" customHeight="1" thickBot="1" x14ac:dyDescent="0.3">
      <c r="A33" s="991" t="s">
        <v>107</v>
      </c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3"/>
      <c r="P33" s="106"/>
      <c r="Q33" s="106"/>
      <c r="V33" s="257"/>
      <c r="W33" s="257"/>
      <c r="X33" s="257"/>
      <c r="Y33" s="257"/>
    </row>
    <row r="34" spans="1:25" s="1" customFormat="1" ht="18" customHeight="1" x14ac:dyDescent="0.25">
      <c r="A34" s="998" t="s">
        <v>102</v>
      </c>
      <c r="B34" s="1000" t="s">
        <v>103</v>
      </c>
      <c r="C34" s="220" t="s">
        <v>104</v>
      </c>
      <c r="D34" s="1002" t="s">
        <v>149</v>
      </c>
      <c r="E34" s="1003"/>
      <c r="F34" s="1006" t="s">
        <v>105</v>
      </c>
      <c r="G34" s="1007"/>
      <c r="H34" s="1002" t="s">
        <v>149</v>
      </c>
      <c r="I34" s="1003"/>
      <c r="J34" s="1006" t="s">
        <v>105</v>
      </c>
      <c r="K34" s="1007"/>
      <c r="L34" s="1002" t="s">
        <v>149</v>
      </c>
      <c r="M34" s="1003"/>
      <c r="N34" s="1006" t="s">
        <v>105</v>
      </c>
      <c r="O34" s="1008"/>
      <c r="P34" s="106"/>
      <c r="Q34" s="106"/>
      <c r="V34" s="106"/>
      <c r="W34" s="106"/>
    </row>
    <row r="35" spans="1:25" s="1" customFormat="1" ht="18" customHeight="1" x14ac:dyDescent="0.25">
      <c r="A35" s="999"/>
      <c r="B35" s="1001"/>
      <c r="C35" s="88" t="s">
        <v>106</v>
      </c>
      <c r="D35" s="1004"/>
      <c r="E35" s="1005"/>
      <c r="F35" s="88" t="s">
        <v>5</v>
      </c>
      <c r="G35" s="88" t="s">
        <v>2</v>
      </c>
      <c r="H35" s="1004"/>
      <c r="I35" s="1005"/>
      <c r="J35" s="88" t="s">
        <v>5</v>
      </c>
      <c r="K35" s="88" t="s">
        <v>2</v>
      </c>
      <c r="L35" s="1004"/>
      <c r="M35" s="1005"/>
      <c r="N35" s="88" t="s">
        <v>5</v>
      </c>
      <c r="O35" s="89" t="s">
        <v>2</v>
      </c>
      <c r="P35" s="106"/>
      <c r="Q35" s="106"/>
      <c r="R35" s="106"/>
      <c r="S35" s="106"/>
      <c r="T35" s="106"/>
      <c r="U35" s="106"/>
      <c r="V35" s="106"/>
      <c r="W35" s="106"/>
    </row>
    <row r="36" spans="1:25" s="1" customFormat="1" ht="18" customHeight="1" x14ac:dyDescent="0.25">
      <c r="A36" s="209">
        <v>0</v>
      </c>
      <c r="B36" s="210" t="str">
        <f>IF(A36="","","11:00:00")</f>
        <v>11:00:00</v>
      </c>
      <c r="C36" s="57">
        <v>0</v>
      </c>
      <c r="D36" s="1009">
        <f>+FORMATO!O40</f>
        <v>0</v>
      </c>
      <c r="E36" s="1010"/>
      <c r="F36" s="211">
        <f>IF(D36="","",D36*0.001*2.54*10)</f>
        <v>0</v>
      </c>
      <c r="G36" s="212" t="e">
        <f>IF(F36="","",F36/$W$4*100)</f>
        <v>#N/A</v>
      </c>
      <c r="H36" s="1009">
        <f>+FORMATO!P40</f>
        <v>0</v>
      </c>
      <c r="I36" s="1010"/>
      <c r="J36" s="211">
        <f>IF(H36="","",H36*0.001*2.54*10)</f>
        <v>0</v>
      </c>
      <c r="K36" s="212" t="e">
        <f>IF(J36="","",J36/$W$4*100)</f>
        <v>#N/A</v>
      </c>
      <c r="L36" s="1009">
        <f>+FORMATO!Q40</f>
        <v>0</v>
      </c>
      <c r="M36" s="1010"/>
      <c r="N36" s="211">
        <f>IF(L36="","",L36*0.001*2.54*10)</f>
        <v>0</v>
      </c>
      <c r="O36" s="213" t="e">
        <f>IF(N36="","",N36/$W$4*100)</f>
        <v>#N/A</v>
      </c>
      <c r="P36" s="106"/>
      <c r="Q36" s="106"/>
      <c r="R36" s="106"/>
      <c r="S36" s="106"/>
      <c r="T36" s="106"/>
      <c r="U36" s="106"/>
      <c r="V36" s="106"/>
      <c r="W36" s="106"/>
    </row>
    <row r="37" spans="1:25" s="1" customFormat="1" ht="18" customHeight="1" x14ac:dyDescent="0.25">
      <c r="A37" s="209">
        <f>IF(A36="","",1+A36)</f>
        <v>1</v>
      </c>
      <c r="B37" s="210" t="str">
        <f>B36</f>
        <v>11:00:00</v>
      </c>
      <c r="C37" s="232">
        <v>24</v>
      </c>
      <c r="D37" s="1009">
        <f>+FORMATO!O41</f>
        <v>0</v>
      </c>
      <c r="E37" s="1010"/>
      <c r="F37" s="211">
        <f>IF(D37="","",D37*0.001*2.54*10)</f>
        <v>0</v>
      </c>
      <c r="G37" s="212" t="e">
        <f>IF(F37="","",F37/$W$4*100)</f>
        <v>#N/A</v>
      </c>
      <c r="H37" s="1009">
        <f>+FORMATO!P41</f>
        <v>0</v>
      </c>
      <c r="I37" s="1010"/>
      <c r="J37" s="211">
        <f>IF(H37="","",H37*0.001*2.54*10)</f>
        <v>0</v>
      </c>
      <c r="K37" s="212" t="e">
        <f>IF(J37="","",J37/$W$4*100)</f>
        <v>#N/A</v>
      </c>
      <c r="L37" s="1009">
        <f>+FORMATO!Q41</f>
        <v>0</v>
      </c>
      <c r="M37" s="1010"/>
      <c r="N37" s="211">
        <f>IF(L37="","",L37*0.001*2.54*10)</f>
        <v>0</v>
      </c>
      <c r="O37" s="213" t="e">
        <f>IF(N37="","",N37/$W$4*100)</f>
        <v>#N/A</v>
      </c>
      <c r="P37" s="106"/>
      <c r="Q37" s="106"/>
      <c r="R37" s="260"/>
      <c r="S37" s="106"/>
      <c r="T37" s="123"/>
      <c r="U37" s="123"/>
      <c r="V37" s="106"/>
      <c r="W37" s="106"/>
    </row>
    <row r="38" spans="1:25" s="1" customFormat="1" ht="18" customHeight="1" x14ac:dyDescent="0.25">
      <c r="A38" s="209">
        <f>IF(A37="","",1+A37)</f>
        <v>2</v>
      </c>
      <c r="B38" s="210" t="str">
        <f>B37</f>
        <v>11:00:00</v>
      </c>
      <c r="C38" s="57">
        <v>48</v>
      </c>
      <c r="D38" s="1009">
        <f>+FORMATO!O42</f>
        <v>0</v>
      </c>
      <c r="E38" s="1010"/>
      <c r="F38" s="211">
        <f>IF(D38="","",D38*0.001*2.54*10)</f>
        <v>0</v>
      </c>
      <c r="G38" s="212" t="e">
        <f>IF(F38="","",F38/$W$4*100)</f>
        <v>#N/A</v>
      </c>
      <c r="H38" s="1009">
        <f>+FORMATO!P42</f>
        <v>0</v>
      </c>
      <c r="I38" s="1010"/>
      <c r="J38" s="211">
        <f>IF(H38="","",H38*0.001*2.54*10)</f>
        <v>0</v>
      </c>
      <c r="K38" s="212" t="e">
        <f>IF(J38="","",J38/$W$4*100)</f>
        <v>#N/A</v>
      </c>
      <c r="L38" s="1009">
        <f>+FORMATO!Q42</f>
        <v>0</v>
      </c>
      <c r="M38" s="1010"/>
      <c r="N38" s="211">
        <f>IF(L38="","",L38*0.001*2.54*10)</f>
        <v>0</v>
      </c>
      <c r="O38" s="213" t="e">
        <f>IF(N38="","",N38/$W$4*100)</f>
        <v>#N/A</v>
      </c>
      <c r="P38" s="106"/>
      <c r="Q38" s="106"/>
      <c r="R38" s="106"/>
      <c r="S38" s="106"/>
      <c r="T38" s="106"/>
      <c r="U38" s="106"/>
      <c r="V38" s="106"/>
      <c r="W38" s="106"/>
    </row>
    <row r="39" spans="1:25" s="1" customFormat="1" ht="18" customHeight="1" x14ac:dyDescent="0.25">
      <c r="A39" s="209">
        <f>IF(A38="","",1+A38)</f>
        <v>3</v>
      </c>
      <c r="B39" s="210" t="str">
        <f>B38</f>
        <v>11:00:00</v>
      </c>
      <c r="C39" s="57">
        <v>72</v>
      </c>
      <c r="D39" s="1009">
        <f>+FORMATO!O43</f>
        <v>0</v>
      </c>
      <c r="E39" s="1010"/>
      <c r="F39" s="211">
        <f>IF(D39="","",D39*0.001*2.54*10)</f>
        <v>0</v>
      </c>
      <c r="G39" s="212" t="e">
        <f>IF(F39="","",F39/$W$4*100)</f>
        <v>#N/A</v>
      </c>
      <c r="H39" s="1009">
        <f>+FORMATO!P43</f>
        <v>0</v>
      </c>
      <c r="I39" s="1010"/>
      <c r="J39" s="211">
        <f>IF(H39="","",H39*0.001*2.54*10)</f>
        <v>0</v>
      </c>
      <c r="K39" s="212" t="e">
        <f>IF(J39="","",J39/$W$4*100)</f>
        <v>#N/A</v>
      </c>
      <c r="L39" s="1009">
        <f>+FORMATO!Q43</f>
        <v>0</v>
      </c>
      <c r="M39" s="1010"/>
      <c r="N39" s="211">
        <f>IF(L39="","",L39*0.001*2.54*10)</f>
        <v>0</v>
      </c>
      <c r="O39" s="213" t="e">
        <f>IF(N39="","",N39/$W$4*100)</f>
        <v>#N/A</v>
      </c>
      <c r="P39" s="106"/>
      <c r="Q39" s="106"/>
      <c r="R39" s="106"/>
      <c r="S39" s="106"/>
      <c r="T39" s="106"/>
      <c r="U39" s="106"/>
      <c r="V39" s="106"/>
      <c r="W39" s="106"/>
    </row>
    <row r="40" spans="1:25" s="1" customFormat="1" ht="18" customHeight="1" thickBot="1" x14ac:dyDescent="0.3">
      <c r="A40" s="214">
        <f>IF(A39="","",1+A39)</f>
        <v>4</v>
      </c>
      <c r="B40" s="215" t="str">
        <f>B39</f>
        <v>11:00:00</v>
      </c>
      <c r="C40" s="216">
        <v>96</v>
      </c>
      <c r="D40" s="1009">
        <f>+FORMATO!O44</f>
        <v>0</v>
      </c>
      <c r="E40" s="1010"/>
      <c r="F40" s="217">
        <f>IF(D40="","",D40*0.001*2.54*10)</f>
        <v>0</v>
      </c>
      <c r="G40" s="218" t="e">
        <f>IF(F40="","",F40/$W$4*100)</f>
        <v>#N/A</v>
      </c>
      <c r="H40" s="1009">
        <f>+FORMATO!P44</f>
        <v>0</v>
      </c>
      <c r="I40" s="1010"/>
      <c r="J40" s="217">
        <f>IF(H40="","",H40*0.001*2.54*10)</f>
        <v>0</v>
      </c>
      <c r="K40" s="218" t="e">
        <f>IF(J40="","",J40/$W$4*100)</f>
        <v>#N/A</v>
      </c>
      <c r="L40" s="1009">
        <f>+FORMATO!Q44</f>
        <v>0</v>
      </c>
      <c r="M40" s="1010"/>
      <c r="N40" s="217">
        <f>IF(L40="","",L40*0.001*2.54*10)</f>
        <v>0</v>
      </c>
      <c r="O40" s="219" t="e">
        <f>IF(N40="","",N40/$W$4*100)</f>
        <v>#N/A</v>
      </c>
      <c r="P40" s="106"/>
      <c r="Q40" s="106"/>
      <c r="R40" s="106"/>
      <c r="S40" s="106"/>
      <c r="T40" s="106"/>
      <c r="U40" s="106"/>
      <c r="V40" s="106"/>
      <c r="W40" s="106"/>
    </row>
    <row r="41" spans="1:25" s="1" customFormat="1" ht="18" customHeight="1" thickBot="1" x14ac:dyDescent="0.3">
      <c r="A41" s="991" t="s">
        <v>12</v>
      </c>
      <c r="B41" s="992"/>
      <c r="C41" s="992"/>
      <c r="D41" s="992"/>
      <c r="E41" s="992"/>
      <c r="F41" s="992"/>
      <c r="G41" s="992"/>
      <c r="H41" s="992"/>
      <c r="I41" s="992"/>
      <c r="J41" s="992"/>
      <c r="K41" s="992"/>
      <c r="L41" s="992"/>
      <c r="M41" s="992"/>
      <c r="N41" s="992"/>
      <c r="O41" s="993"/>
      <c r="P41" s="106"/>
      <c r="Q41" s="106"/>
      <c r="R41" s="106"/>
      <c r="S41" s="106"/>
      <c r="T41" s="106"/>
      <c r="U41" s="106"/>
      <c r="V41" s="106"/>
      <c r="W41" s="106"/>
    </row>
    <row r="42" spans="1:25" s="1" customFormat="1" ht="20.25" customHeight="1" x14ac:dyDescent="0.25">
      <c r="A42" s="1011" t="s">
        <v>1</v>
      </c>
      <c r="B42" s="1012"/>
      <c r="C42" s="261" t="s">
        <v>48</v>
      </c>
      <c r="D42" s="1013">
        <f>+D15</f>
        <v>56</v>
      </c>
      <c r="E42" s="1014"/>
      <c r="F42" s="1014"/>
      <c r="G42" s="1015"/>
      <c r="H42" s="1013">
        <f>+H15</f>
        <v>25</v>
      </c>
      <c r="I42" s="1014"/>
      <c r="J42" s="1014"/>
      <c r="K42" s="1015"/>
      <c r="L42" s="1013">
        <f>+L15</f>
        <v>10</v>
      </c>
      <c r="M42" s="1014"/>
      <c r="N42" s="1014"/>
      <c r="O42" s="1015"/>
      <c r="P42" s="106"/>
      <c r="V42" s="106"/>
      <c r="W42" s="106"/>
    </row>
    <row r="43" spans="1:25" s="1" customFormat="1" ht="34.5" customHeight="1" x14ac:dyDescent="0.25">
      <c r="A43" s="262" t="s">
        <v>47</v>
      </c>
      <c r="B43" s="234" t="s">
        <v>11</v>
      </c>
      <c r="C43" s="235" t="s">
        <v>49</v>
      </c>
      <c r="D43" s="263" t="s">
        <v>50</v>
      </c>
      <c r="E43" s="253" t="s">
        <v>52</v>
      </c>
      <c r="F43" s="253" t="s">
        <v>53</v>
      </c>
      <c r="G43" s="264" t="s">
        <v>54</v>
      </c>
      <c r="H43" s="239" t="s">
        <v>50</v>
      </c>
      <c r="I43" s="253" t="s">
        <v>52</v>
      </c>
      <c r="J43" s="253" t="s">
        <v>53</v>
      </c>
      <c r="K43" s="238" t="s">
        <v>54</v>
      </c>
      <c r="L43" s="263" t="s">
        <v>50</v>
      </c>
      <c r="M43" s="253" t="s">
        <v>52</v>
      </c>
      <c r="N43" s="253" t="s">
        <v>53</v>
      </c>
      <c r="O43" s="264" t="s">
        <v>54</v>
      </c>
      <c r="P43" s="106"/>
      <c r="V43" s="106"/>
      <c r="W43" s="106"/>
    </row>
    <row r="44" spans="1:25" s="1" customFormat="1" ht="18" customHeight="1" x14ac:dyDescent="0.25">
      <c r="A44" s="164">
        <v>0</v>
      </c>
      <c r="B44" s="265">
        <v>0</v>
      </c>
      <c r="D44" s="719">
        <f>+FORMATO!E40</f>
        <v>0</v>
      </c>
      <c r="E44" s="644">
        <f>+D44</f>
        <v>0</v>
      </c>
      <c r="F44" s="165">
        <v>0</v>
      </c>
      <c r="G44" s="266">
        <v>0</v>
      </c>
      <c r="H44" s="588">
        <f>+FORMATO!G40</f>
        <v>0</v>
      </c>
      <c r="I44" s="644">
        <f>+H44</f>
        <v>0</v>
      </c>
      <c r="J44" s="165">
        <v>0</v>
      </c>
      <c r="K44" s="267">
        <v>0</v>
      </c>
      <c r="L44" s="587">
        <f>+FORMATO!I40</f>
        <v>0</v>
      </c>
      <c r="M44" s="644">
        <f>+L44</f>
        <v>0</v>
      </c>
      <c r="N44" s="165">
        <v>0</v>
      </c>
      <c r="O44" s="266">
        <v>0</v>
      </c>
      <c r="P44" s="106"/>
      <c r="Q44" s="642" t="s">
        <v>99</v>
      </c>
      <c r="R44" s="643">
        <v>1.0713969999999999</v>
      </c>
      <c r="T44" s="106"/>
      <c r="U44" s="106"/>
      <c r="V44" s="332"/>
      <c r="W44" s="106"/>
    </row>
    <row r="45" spans="1:25" s="1" customFormat="1" ht="18" customHeight="1" x14ac:dyDescent="0.25">
      <c r="A45" s="164">
        <v>2.5000000000000001E-2</v>
      </c>
      <c r="B45" s="265">
        <v>0.64</v>
      </c>
      <c r="C45" s="268"/>
      <c r="D45" s="719">
        <f>+FORMATO!E41</f>
        <v>0</v>
      </c>
      <c r="E45" s="644">
        <f>+$R$44+D45*$R$45+D45*$R$46+D45*$R$47</f>
        <v>1.0713969999999999</v>
      </c>
      <c r="F45" s="165">
        <f>IF(D45="","",E45/$D$9)</f>
        <v>5.5440848555083203E-2</v>
      </c>
      <c r="G45" s="266">
        <f>IF(D45="","",F45*14.223343334285)</f>
        <v>0.78855422374304684</v>
      </c>
      <c r="H45" s="588">
        <f>+FORMATO!G41</f>
        <v>0</v>
      </c>
      <c r="I45" s="644">
        <f>+$R$44+H45*$R$45+H45*$R$46+H45*$R$47</f>
        <v>1.0713969999999999</v>
      </c>
      <c r="J45" s="165">
        <f t="shared" ref="J45:J55" si="0">IF(H45="","",I45/$D$9)</f>
        <v>5.5440848555083203E-2</v>
      </c>
      <c r="K45" s="267">
        <f>IF(H45="","",J45*14.223343334285)</f>
        <v>0.78855422374304684</v>
      </c>
      <c r="L45" s="587">
        <f>+FORMATO!I41</f>
        <v>0</v>
      </c>
      <c r="M45" s="644">
        <f>+$R$44+L45*$R$45+L45*$R$46+L45*$R$47</f>
        <v>1.0713969999999999</v>
      </c>
      <c r="N45" s="165">
        <f t="shared" ref="N45:N55" si="1">IF(L45="","",M45/$D$9)</f>
        <v>5.5440848555083203E-2</v>
      </c>
      <c r="O45" s="266">
        <f>IF(L45="","",N45*14.223343334285)</f>
        <v>0.78855422374304684</v>
      </c>
      <c r="P45" s="106"/>
      <c r="Q45" s="642" t="s">
        <v>100</v>
      </c>
      <c r="R45" s="643">
        <v>0.98255239999999999</v>
      </c>
      <c r="T45" s="106"/>
      <c r="U45" s="106"/>
      <c r="V45" s="332"/>
      <c r="W45" s="106"/>
    </row>
    <row r="46" spans="1:25" ht="18" customHeight="1" x14ac:dyDescent="0.25">
      <c r="A46" s="164">
        <v>0.05</v>
      </c>
      <c r="B46" s="265">
        <v>1.3</v>
      </c>
      <c r="C46" s="268"/>
      <c r="D46" s="719">
        <f>+FORMATO!E42</f>
        <v>0</v>
      </c>
      <c r="E46" s="644">
        <f>+$R$44+D46*$R$45+D46*$R$46+D46*$R$47</f>
        <v>1.0713969999999999</v>
      </c>
      <c r="F46" s="165">
        <f t="shared" ref="F46:F55" si="2">IF(D46="","",E46/$D$9)</f>
        <v>5.5440848555083203E-2</v>
      </c>
      <c r="G46" s="266">
        <f t="shared" ref="G46:G55" si="3">IF(D46="","",F46*14.223343334285)</f>
        <v>0.78855422374304684</v>
      </c>
      <c r="H46" s="588">
        <f>+FORMATO!G42</f>
        <v>0</v>
      </c>
      <c r="I46" s="644">
        <f t="shared" ref="I46:I55" si="4">+$R$44+H46*$R$45+H46*$R$46+H46*$R$47</f>
        <v>1.0713969999999999</v>
      </c>
      <c r="J46" s="165">
        <f t="shared" si="0"/>
        <v>5.5440848555083203E-2</v>
      </c>
      <c r="K46" s="267">
        <f t="shared" ref="K46:K55" si="5">IF(H46="","",J46*14.223343334285)</f>
        <v>0.78855422374304684</v>
      </c>
      <c r="L46" s="587">
        <f>+FORMATO!I42</f>
        <v>0</v>
      </c>
      <c r="M46" s="644">
        <f>+$R$44+L46*$R$45+L46*$R$46+L46*$R$47</f>
        <v>1.0713969999999999</v>
      </c>
      <c r="N46" s="165">
        <f t="shared" si="1"/>
        <v>5.5440848555083203E-2</v>
      </c>
      <c r="O46" s="266">
        <f t="shared" ref="O46:O55" si="6">IF(L46="","",N46*14.223343334285)</f>
        <v>0.78855422374304684</v>
      </c>
      <c r="Q46" s="642" t="s">
        <v>101</v>
      </c>
      <c r="R46" s="643">
        <v>4.0755250000000003E-6</v>
      </c>
      <c r="S46" s="1"/>
      <c r="V46" s="332"/>
    </row>
    <row r="47" spans="1:25" ht="18" customHeight="1" x14ac:dyDescent="0.25">
      <c r="A47" s="164">
        <v>7.4999999999999997E-2</v>
      </c>
      <c r="B47" s="265">
        <v>1.9</v>
      </c>
      <c r="C47" s="268"/>
      <c r="D47" s="719">
        <f>+FORMATO!E43</f>
        <v>0</v>
      </c>
      <c r="E47" s="644">
        <f>+$R$44+D47*$R$45+D47*$R$46+D47*$R$47</f>
        <v>1.0713969999999999</v>
      </c>
      <c r="F47" s="165">
        <f t="shared" si="2"/>
        <v>5.5440848555083203E-2</v>
      </c>
      <c r="G47" s="266">
        <f>IF(D47="","",F47*14.223343334285)</f>
        <v>0.78855422374304684</v>
      </c>
      <c r="H47" s="588">
        <f>+FORMATO!G43</f>
        <v>0</v>
      </c>
      <c r="I47" s="644">
        <f t="shared" si="4"/>
        <v>1.0713969999999999</v>
      </c>
      <c r="J47" s="165">
        <f t="shared" si="0"/>
        <v>5.5440848555083203E-2</v>
      </c>
      <c r="K47" s="267">
        <f t="shared" si="5"/>
        <v>0.78855422374304684</v>
      </c>
      <c r="L47" s="587">
        <f>+FORMATO!I43</f>
        <v>0</v>
      </c>
      <c r="M47" s="644">
        <f>+$R$44+L47*$R$45+L47*$R$46+L47*$R$47</f>
        <v>1.0713969999999999</v>
      </c>
      <c r="N47" s="165">
        <f t="shared" si="1"/>
        <v>5.5440848555083203E-2</v>
      </c>
      <c r="O47" s="266">
        <f t="shared" si="6"/>
        <v>0.78855422374304684</v>
      </c>
      <c r="Q47" s="642" t="s">
        <v>283</v>
      </c>
      <c r="R47" s="643">
        <v>-4.3049859999999998E-10</v>
      </c>
      <c r="S47" s="1"/>
      <c r="V47" s="332"/>
    </row>
    <row r="48" spans="1:25" ht="18" customHeight="1" x14ac:dyDescent="0.25">
      <c r="A48" s="269">
        <v>0.1</v>
      </c>
      <c r="B48" s="270">
        <v>2.5</v>
      </c>
      <c r="C48" s="271">
        <v>1000</v>
      </c>
      <c r="D48" s="719">
        <f>+FORMATO!E44</f>
        <v>0</v>
      </c>
      <c r="E48" s="272">
        <f>+$R$44+D48*$R$45+D48*$R$46+D48*$R$47</f>
        <v>1.0713969999999999</v>
      </c>
      <c r="F48" s="272">
        <f>IF(D48="","",E48/$D$9)</f>
        <v>5.5440848555083203E-2</v>
      </c>
      <c r="G48" s="273">
        <f>IF(D48="","",F48*14.223343334285)</f>
        <v>0.78855422374304684</v>
      </c>
      <c r="H48" s="588">
        <f>+FORMATO!G44</f>
        <v>0</v>
      </c>
      <c r="I48" s="659">
        <f>+$R$44+H48*$R$45+H48*$R$46+H48*$R$47</f>
        <v>1.0713969999999999</v>
      </c>
      <c r="J48" s="272">
        <f t="shared" si="0"/>
        <v>5.5440848555083203E-2</v>
      </c>
      <c r="K48" s="274">
        <f t="shared" si="5"/>
        <v>0.78855422374304684</v>
      </c>
      <c r="L48" s="587">
        <f>+FORMATO!I44</f>
        <v>0</v>
      </c>
      <c r="M48" s="272">
        <f>+$R$44+L48*$R$45+L48*$R$46+L48*$R$47</f>
        <v>1.0713969999999999</v>
      </c>
      <c r="N48" s="272">
        <f>IF(L48="","",M48/$D$9)</f>
        <v>5.5440848555083203E-2</v>
      </c>
      <c r="O48" s="273">
        <f t="shared" si="6"/>
        <v>0.78855422374304684</v>
      </c>
      <c r="Q48" s="332"/>
      <c r="S48" s="1"/>
      <c r="V48" s="332"/>
    </row>
    <row r="49" spans="1:22" ht="18" customHeight="1" x14ac:dyDescent="0.25">
      <c r="A49" s="164">
        <v>0.125</v>
      </c>
      <c r="B49" s="265">
        <v>3.18</v>
      </c>
      <c r="C49" s="268"/>
      <c r="D49" s="719">
        <f>+FORMATO!E45</f>
        <v>0</v>
      </c>
      <c r="E49" s="644">
        <f t="shared" ref="E49:E55" si="7">+$R$44+D49*$R$45+D49*$R$46+D49*$R$47</f>
        <v>1.0713969999999999</v>
      </c>
      <c r="F49" s="165">
        <f t="shared" si="2"/>
        <v>5.5440848555083203E-2</v>
      </c>
      <c r="G49" s="266">
        <f t="shared" si="3"/>
        <v>0.78855422374304684</v>
      </c>
      <c r="H49" s="588">
        <f>+FORMATO!G45</f>
        <v>0</v>
      </c>
      <c r="I49" s="644">
        <f t="shared" si="4"/>
        <v>1.0713969999999999</v>
      </c>
      <c r="J49" s="165">
        <f t="shared" si="0"/>
        <v>5.5440848555083203E-2</v>
      </c>
      <c r="K49" s="267">
        <f t="shared" si="5"/>
        <v>0.78855422374304684</v>
      </c>
      <c r="L49" s="587">
        <f>+FORMATO!I45</f>
        <v>0</v>
      </c>
      <c r="M49" s="644">
        <f t="shared" ref="M49:M55" si="8">+$R$44+L49*$R$45+L49*$R$46+L49*$R$47</f>
        <v>1.0713969999999999</v>
      </c>
      <c r="N49" s="165">
        <f t="shared" si="1"/>
        <v>5.5440848555083203E-2</v>
      </c>
      <c r="O49" s="266">
        <f t="shared" si="6"/>
        <v>0.78855422374304684</v>
      </c>
      <c r="Q49" s="332"/>
      <c r="S49" s="1"/>
      <c r="V49" s="332"/>
    </row>
    <row r="50" spans="1:22" ht="18" customHeight="1" x14ac:dyDescent="0.25">
      <c r="A50" s="164">
        <v>0.15</v>
      </c>
      <c r="B50" s="265">
        <v>3.8</v>
      </c>
      <c r="C50" s="268"/>
      <c r="D50" s="719">
        <f>+FORMATO!E46</f>
        <v>0</v>
      </c>
      <c r="E50" s="644">
        <f>+$R$44+D50*$R$45+D50*$R$46+D50*$R$47</f>
        <v>1.0713969999999999</v>
      </c>
      <c r="F50" s="165">
        <f t="shared" si="2"/>
        <v>5.5440848555083203E-2</v>
      </c>
      <c r="G50" s="266">
        <f t="shared" si="3"/>
        <v>0.78855422374304684</v>
      </c>
      <c r="H50" s="588">
        <f>+FORMATO!G46</f>
        <v>0</v>
      </c>
      <c r="I50" s="644">
        <f>+$R$44+H50*$R$45+H50*$R$46+H50*$R$47</f>
        <v>1.0713969999999999</v>
      </c>
      <c r="J50" s="165">
        <f t="shared" si="0"/>
        <v>5.5440848555083203E-2</v>
      </c>
      <c r="K50" s="267">
        <f t="shared" si="5"/>
        <v>0.78855422374304684</v>
      </c>
      <c r="L50" s="587">
        <f>+FORMATO!I46</f>
        <v>0</v>
      </c>
      <c r="M50" s="644">
        <f t="shared" si="8"/>
        <v>1.0713969999999999</v>
      </c>
      <c r="N50" s="165">
        <f t="shared" si="1"/>
        <v>5.5440848555083203E-2</v>
      </c>
      <c r="O50" s="266">
        <f t="shared" si="6"/>
        <v>0.78855422374304684</v>
      </c>
      <c r="Q50" s="332"/>
      <c r="S50" s="1"/>
      <c r="V50" s="332"/>
    </row>
    <row r="51" spans="1:22" ht="18" customHeight="1" x14ac:dyDescent="0.25">
      <c r="A51" s="164">
        <v>0.17499999999999999</v>
      </c>
      <c r="B51" s="265">
        <v>4.45</v>
      </c>
      <c r="C51" s="268"/>
      <c r="D51" s="719">
        <f>+FORMATO!E47</f>
        <v>0</v>
      </c>
      <c r="E51" s="644">
        <f t="shared" si="7"/>
        <v>1.0713969999999999</v>
      </c>
      <c r="F51" s="165">
        <f t="shared" si="2"/>
        <v>5.5440848555083203E-2</v>
      </c>
      <c r="G51" s="266">
        <f t="shared" si="3"/>
        <v>0.78855422374304684</v>
      </c>
      <c r="H51" s="588">
        <f>+FORMATO!G47</f>
        <v>0</v>
      </c>
      <c r="I51" s="644">
        <f t="shared" si="4"/>
        <v>1.0713969999999999</v>
      </c>
      <c r="J51" s="165">
        <f t="shared" si="0"/>
        <v>5.5440848555083203E-2</v>
      </c>
      <c r="K51" s="267">
        <f t="shared" si="5"/>
        <v>0.78855422374304684</v>
      </c>
      <c r="L51" s="587">
        <f>+FORMATO!I47</f>
        <v>0</v>
      </c>
      <c r="M51" s="644">
        <f t="shared" si="8"/>
        <v>1.0713969999999999</v>
      </c>
      <c r="N51" s="165">
        <f t="shared" si="1"/>
        <v>5.5440848555083203E-2</v>
      </c>
      <c r="O51" s="266">
        <f t="shared" si="6"/>
        <v>0.78855422374304684</v>
      </c>
      <c r="Q51" s="332"/>
      <c r="S51" s="1"/>
      <c r="V51" s="332"/>
    </row>
    <row r="52" spans="1:22" ht="18" customHeight="1" x14ac:dyDescent="0.25">
      <c r="A52" s="269">
        <v>0.2</v>
      </c>
      <c r="B52" s="270">
        <v>5.0999999999999996</v>
      </c>
      <c r="C52" s="271">
        <v>1500</v>
      </c>
      <c r="D52" s="719">
        <f>+FORMATO!E48</f>
        <v>0</v>
      </c>
      <c r="E52" s="272">
        <f t="shared" si="7"/>
        <v>1.0713969999999999</v>
      </c>
      <c r="F52" s="272">
        <f t="shared" si="2"/>
        <v>5.5440848555083203E-2</v>
      </c>
      <c r="G52" s="273">
        <f t="shared" si="3"/>
        <v>0.78855422374304684</v>
      </c>
      <c r="H52" s="588">
        <f>+FORMATO!G48</f>
        <v>0</v>
      </c>
      <c r="I52" s="659">
        <f t="shared" si="4"/>
        <v>1.0713969999999999</v>
      </c>
      <c r="J52" s="272">
        <f t="shared" si="0"/>
        <v>5.5440848555083203E-2</v>
      </c>
      <c r="K52" s="274">
        <f t="shared" si="5"/>
        <v>0.78855422374304684</v>
      </c>
      <c r="L52" s="587">
        <f>+FORMATO!I48</f>
        <v>0</v>
      </c>
      <c r="M52" s="272">
        <f t="shared" si="8"/>
        <v>1.0713969999999999</v>
      </c>
      <c r="N52" s="272">
        <f t="shared" si="1"/>
        <v>5.5440848555083203E-2</v>
      </c>
      <c r="O52" s="273">
        <f t="shared" si="6"/>
        <v>0.78855422374304684</v>
      </c>
      <c r="Q52" s="332"/>
      <c r="S52" s="1"/>
      <c r="V52" s="332"/>
    </row>
    <row r="53" spans="1:22" ht="18" customHeight="1" x14ac:dyDescent="0.25">
      <c r="A53" s="164">
        <v>0.3</v>
      </c>
      <c r="B53" s="265">
        <v>7.6</v>
      </c>
      <c r="C53" s="268"/>
      <c r="D53" s="719">
        <f>+FORMATO!E49</f>
        <v>0</v>
      </c>
      <c r="E53" s="644">
        <f t="shared" si="7"/>
        <v>1.0713969999999999</v>
      </c>
      <c r="F53" s="165">
        <f t="shared" si="2"/>
        <v>5.5440848555083203E-2</v>
      </c>
      <c r="G53" s="266">
        <f t="shared" si="3"/>
        <v>0.78855422374304684</v>
      </c>
      <c r="H53" s="588">
        <f>+FORMATO!G49</f>
        <v>0</v>
      </c>
      <c r="I53" s="644">
        <f t="shared" si="4"/>
        <v>1.0713969999999999</v>
      </c>
      <c r="J53" s="165">
        <f t="shared" si="0"/>
        <v>5.5440848555083203E-2</v>
      </c>
      <c r="K53" s="267">
        <f t="shared" si="5"/>
        <v>0.78855422374304684</v>
      </c>
      <c r="L53" s="587">
        <f>+FORMATO!I49</f>
        <v>0</v>
      </c>
      <c r="M53" s="644">
        <f t="shared" si="8"/>
        <v>1.0713969999999999</v>
      </c>
      <c r="N53" s="165">
        <f t="shared" si="1"/>
        <v>5.5440848555083203E-2</v>
      </c>
      <c r="O53" s="266">
        <f t="shared" si="6"/>
        <v>0.78855422374304684</v>
      </c>
      <c r="Q53" s="332"/>
      <c r="S53" s="1"/>
      <c r="V53" s="332"/>
    </row>
    <row r="54" spans="1:22" ht="18" customHeight="1" x14ac:dyDescent="0.25">
      <c r="A54" s="164">
        <v>0.4</v>
      </c>
      <c r="B54" s="265">
        <v>10</v>
      </c>
      <c r="C54" s="268"/>
      <c r="D54" s="719">
        <f>+FORMATO!E50</f>
        <v>0</v>
      </c>
      <c r="E54" s="644">
        <f t="shared" si="7"/>
        <v>1.0713969999999999</v>
      </c>
      <c r="F54" s="165">
        <f>IF(D54="","",E54/$D$9)</f>
        <v>5.5440848555083203E-2</v>
      </c>
      <c r="G54" s="266">
        <f>IF(D54="","",F54*14.223343334285)</f>
        <v>0.78855422374304684</v>
      </c>
      <c r="H54" s="588">
        <f>+FORMATO!G50</f>
        <v>0</v>
      </c>
      <c r="I54" s="644">
        <f t="shared" si="4"/>
        <v>1.0713969999999999</v>
      </c>
      <c r="J54" s="165">
        <f>IF(H54="","",I54/$D$9)</f>
        <v>5.5440848555083203E-2</v>
      </c>
      <c r="K54" s="267">
        <f>IF(H54="","",J54*14.223343334285)</f>
        <v>0.78855422374304684</v>
      </c>
      <c r="L54" s="587">
        <f>+FORMATO!I50</f>
        <v>0</v>
      </c>
      <c r="M54" s="644">
        <f t="shared" si="8"/>
        <v>1.0713969999999999</v>
      </c>
      <c r="N54" s="165">
        <f>IF(L54="","",M54/$D$9)</f>
        <v>5.5440848555083203E-2</v>
      </c>
      <c r="O54" s="266">
        <f>IF(L54="","",N54*14.223343334285)</f>
        <v>0.78855422374304684</v>
      </c>
      <c r="Q54" s="332"/>
      <c r="S54" s="1"/>
      <c r="V54" s="332"/>
    </row>
    <row r="55" spans="1:22" ht="18" customHeight="1" thickBot="1" x14ac:dyDescent="0.3">
      <c r="A55" s="275">
        <v>0.5</v>
      </c>
      <c r="B55" s="276">
        <v>13</v>
      </c>
      <c r="C55" s="277"/>
      <c r="D55" s="719">
        <f>+FORMATO!E51</f>
        <v>0</v>
      </c>
      <c r="E55" s="644">
        <f t="shared" si="7"/>
        <v>1.0713969999999999</v>
      </c>
      <c r="F55" s="278">
        <f t="shared" si="2"/>
        <v>5.5440848555083203E-2</v>
      </c>
      <c r="G55" s="279">
        <f t="shared" si="3"/>
        <v>0.78855422374304684</v>
      </c>
      <c r="H55" s="588">
        <f>+FORMATO!G51</f>
        <v>0</v>
      </c>
      <c r="I55" s="644">
        <f t="shared" si="4"/>
        <v>1.0713969999999999</v>
      </c>
      <c r="J55" s="278">
        <f t="shared" si="0"/>
        <v>5.5440848555083203E-2</v>
      </c>
      <c r="K55" s="280">
        <f t="shared" si="5"/>
        <v>0.78855422374304684</v>
      </c>
      <c r="L55" s="587">
        <f>+FORMATO!I51</f>
        <v>0</v>
      </c>
      <c r="M55" s="644">
        <f t="shared" si="8"/>
        <v>1.0713969999999999</v>
      </c>
      <c r="N55" s="278">
        <f t="shared" si="1"/>
        <v>5.5440848555083203E-2</v>
      </c>
      <c r="O55" s="279">
        <f t="shared" si="6"/>
        <v>0.78855422374304684</v>
      </c>
      <c r="Q55" s="332"/>
      <c r="S55" s="1"/>
      <c r="V55" s="332"/>
    </row>
    <row r="56" spans="1:22" ht="15.75" customHeight="1" x14ac:dyDescent="0.25">
      <c r="F56" s="14"/>
      <c r="G56" s="14"/>
      <c r="H56" s="14"/>
      <c r="K56" s="1"/>
      <c r="Q56" s="1"/>
      <c r="R56" s="1"/>
      <c r="S56" s="1"/>
    </row>
    <row r="57" spans="1:22" ht="15.75" customHeight="1" x14ac:dyDescent="0.25">
      <c r="F57" s="14"/>
      <c r="G57" s="14"/>
      <c r="H57" s="14"/>
      <c r="K57" s="1"/>
    </row>
    <row r="58" spans="1:22" ht="15.75" customHeight="1" x14ac:dyDescent="0.25">
      <c r="C58" s="281"/>
      <c r="D58" s="283"/>
      <c r="E58" s="281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48"/>
      <c r="Q58" s="48"/>
    </row>
    <row r="59" spans="1:22" ht="15.75" customHeight="1" x14ac:dyDescent="0.25">
      <c r="C59" s="281"/>
      <c r="D59" s="284"/>
      <c r="E59" s="281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48"/>
      <c r="Q59" s="48"/>
    </row>
    <row r="60" spans="1:22" ht="15.75" customHeight="1" x14ac:dyDescent="0.25">
      <c r="C60" s="281"/>
      <c r="D60" s="285"/>
      <c r="E60" s="281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48"/>
      <c r="Q60" s="48"/>
    </row>
    <row r="61" spans="1:22" ht="15.75" customHeight="1" x14ac:dyDescent="0.25">
      <c r="A61" s="286"/>
      <c r="B61" s="286"/>
      <c r="C61" s="281"/>
      <c r="D61" s="285"/>
      <c r="E61" s="281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48"/>
      <c r="Q61" s="48"/>
    </row>
    <row r="62" spans="1:22" ht="15.6" customHeight="1" x14ac:dyDescent="0.25">
      <c r="C62" s="281"/>
      <c r="D62" s="285"/>
      <c r="E62" s="281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48"/>
      <c r="Q62" s="48"/>
    </row>
    <row r="63" spans="1:22" ht="19.2" customHeight="1" x14ac:dyDescent="0.25">
      <c r="C63" s="281"/>
      <c r="D63" s="285"/>
      <c r="E63" s="281"/>
      <c r="F63" s="285"/>
      <c r="G63" s="281"/>
      <c r="H63" s="285"/>
      <c r="J63" s="48"/>
      <c r="K63" s="48"/>
      <c r="M63" s="48"/>
      <c r="N63" s="48"/>
      <c r="P63" s="48"/>
      <c r="Q63" s="48"/>
    </row>
    <row r="64" spans="1:22" ht="19.2" customHeight="1" x14ac:dyDescent="0.25">
      <c r="C64" s="281"/>
      <c r="D64" s="285"/>
      <c r="E64" s="281"/>
      <c r="F64" s="285"/>
      <c r="G64" s="281"/>
      <c r="H64" s="285"/>
      <c r="J64" s="47"/>
      <c r="K64" s="48"/>
      <c r="L64" s="49"/>
      <c r="M64" s="47"/>
      <c r="N64" s="48"/>
      <c r="O64" s="49"/>
      <c r="P64" s="47"/>
      <c r="Q64" s="48"/>
    </row>
    <row r="65" spans="3:17" ht="19.2" customHeight="1" x14ac:dyDescent="0.25">
      <c r="C65" s="287"/>
      <c r="D65" s="282"/>
      <c r="E65" s="287"/>
      <c r="F65" s="282"/>
      <c r="G65" s="287"/>
      <c r="H65" s="282"/>
      <c r="Q65" s="48"/>
    </row>
    <row r="66" spans="3:17" ht="19.2" customHeight="1" x14ac:dyDescent="0.25">
      <c r="C66" s="287"/>
      <c r="D66" s="282"/>
      <c r="E66" s="287"/>
      <c r="F66" s="282"/>
      <c r="G66" s="287"/>
      <c r="H66" s="282"/>
      <c r="Q66" s="48"/>
    </row>
    <row r="67" spans="3:17" ht="19.2" customHeight="1" x14ac:dyDescent="0.25">
      <c r="C67" s="287"/>
      <c r="D67" s="282"/>
      <c r="E67" s="287"/>
      <c r="F67" s="282"/>
      <c r="G67" s="287"/>
      <c r="H67" s="282"/>
    </row>
    <row r="68" spans="3:17" ht="15.6" customHeight="1" x14ac:dyDescent="0.25">
      <c r="C68" s="281"/>
      <c r="D68" s="285"/>
      <c r="E68" s="281"/>
      <c r="F68" s="285"/>
      <c r="G68" s="281"/>
      <c r="H68" s="285"/>
    </row>
    <row r="69" spans="3:17" ht="15.6" customHeight="1" x14ac:dyDescent="0.25">
      <c r="C69" s="281"/>
      <c r="D69" s="285"/>
      <c r="E69" s="281"/>
      <c r="F69" s="285"/>
      <c r="G69" s="281"/>
      <c r="H69" s="285"/>
    </row>
    <row r="70" spans="3:17" ht="15.6" customHeight="1" x14ac:dyDescent="0.25">
      <c r="C70" s="281"/>
      <c r="D70" s="285"/>
      <c r="E70" s="281"/>
      <c r="F70" s="285"/>
      <c r="G70" s="281"/>
      <c r="H70" s="285"/>
    </row>
    <row r="71" spans="3:17" ht="15.6" customHeight="1" x14ac:dyDescent="0.25">
      <c r="C71" s="288"/>
      <c r="E71" s="289"/>
    </row>
    <row r="72" spans="3:17" ht="15.6" customHeight="1" x14ac:dyDescent="0.25">
      <c r="C72" s="288"/>
      <c r="D72" s="288"/>
    </row>
    <row r="73" spans="3:17" ht="15.6" customHeight="1" x14ac:dyDescent="0.25"/>
    <row r="74" spans="3:17" ht="15.6" customHeight="1" x14ac:dyDescent="0.25"/>
  </sheetData>
  <mergeCells count="73">
    <mergeCell ref="A42:B42"/>
    <mergeCell ref="D42:G42"/>
    <mergeCell ref="H42:K42"/>
    <mergeCell ref="L42:O42"/>
    <mergeCell ref="A41:O41"/>
    <mergeCell ref="D36:E36"/>
    <mergeCell ref="H36:I36"/>
    <mergeCell ref="L36:M36"/>
    <mergeCell ref="H40:I40"/>
    <mergeCell ref="D37:E37"/>
    <mergeCell ref="H37:I37"/>
    <mergeCell ref="L37:M37"/>
    <mergeCell ref="D38:E38"/>
    <mergeCell ref="H38:I38"/>
    <mergeCell ref="L38:M38"/>
    <mergeCell ref="D39:E39"/>
    <mergeCell ref="H39:I39"/>
    <mergeCell ref="L39:M39"/>
    <mergeCell ref="L40:M40"/>
    <mergeCell ref="D40:E40"/>
    <mergeCell ref="A32:B32"/>
    <mergeCell ref="A33:O33"/>
    <mergeCell ref="A34:A35"/>
    <mergeCell ref="B34:B35"/>
    <mergeCell ref="D34:E35"/>
    <mergeCell ref="F34:G34"/>
    <mergeCell ref="H34:I35"/>
    <mergeCell ref="J34:K34"/>
    <mergeCell ref="L34:M35"/>
    <mergeCell ref="N34:O34"/>
    <mergeCell ref="F26:G26"/>
    <mergeCell ref="H26:I26"/>
    <mergeCell ref="J26:K26"/>
    <mergeCell ref="A24:B24"/>
    <mergeCell ref="L26:M26"/>
    <mergeCell ref="A25:O25"/>
    <mergeCell ref="N26:O26"/>
    <mergeCell ref="A26:B26"/>
    <mergeCell ref="D26:E26"/>
    <mergeCell ref="A22:B22"/>
    <mergeCell ref="A23:B23"/>
    <mergeCell ref="D16:E16"/>
    <mergeCell ref="F16:G16"/>
    <mergeCell ref="H16:I16"/>
    <mergeCell ref="D17:G17"/>
    <mergeCell ref="H17:K17"/>
    <mergeCell ref="A18:B18"/>
    <mergeCell ref="A19:B19"/>
    <mergeCell ref="A20:B20"/>
    <mergeCell ref="A21:B21"/>
    <mergeCell ref="D8:E8"/>
    <mergeCell ref="L16:M16"/>
    <mergeCell ref="N16:O16"/>
    <mergeCell ref="D9:E9"/>
    <mergeCell ref="D10:E10"/>
    <mergeCell ref="D11:E11"/>
    <mergeCell ref="A14:O14"/>
    <mergeCell ref="A15:C15"/>
    <mergeCell ref="D15:G15"/>
    <mergeCell ref="H15:K15"/>
    <mergeCell ref="J16:K16"/>
    <mergeCell ref="A2:C2"/>
    <mergeCell ref="D2:E2"/>
    <mergeCell ref="D3:E3"/>
    <mergeCell ref="L7:M7"/>
    <mergeCell ref="D4:E4"/>
    <mergeCell ref="D5:E5"/>
    <mergeCell ref="D6:E6"/>
    <mergeCell ref="Q2:U2"/>
    <mergeCell ref="L17:O17"/>
    <mergeCell ref="L2:N2"/>
    <mergeCell ref="W2:Y2"/>
    <mergeCell ref="L15:O15"/>
  </mergeCells>
  <dataValidations count="5">
    <dataValidation type="list" allowBlank="1" showInputMessage="1" showErrorMessage="1" sqref="D6:E6" xr:uid="{40083A47-5155-4790-AE40-40167966A311}">
      <formula1>"-, Saturado, Sin saturar"</formula1>
    </dataValidation>
    <dataValidation type="list" allowBlank="1" showInputMessage="1" showErrorMessage="1" sqref="D4:E4" xr:uid="{2A1E5C9D-A7E1-4B5A-90A5-34955A6EFC7B}">
      <formula1>"-, ASTM D1557, ASTM D698"</formula1>
    </dataValidation>
    <dataValidation type="list" allowBlank="1" showInputMessage="1" showErrorMessage="1" sqref="D5:E5" xr:uid="{A24A0421-2A25-4DF2-954F-58A0088AAA8F}">
      <formula1>"-, A, B, C"</formula1>
    </dataValidation>
    <dataValidation type="list" allowBlank="1" showInputMessage="1" showErrorMessage="1" sqref="D2:E2" xr:uid="{3A2105E7-FBDD-4874-BF6C-0A3A9B9F89F8}">
      <formula1>"-, I.CH.A., D.I.Z."</formula1>
    </dataValidation>
    <dataValidation type="list" allowBlank="1" showInputMessage="1" showErrorMessage="1" sqref="D3:E3" xr:uid="{DFFBEE28-A123-4AFD-850D-BE6D763833AC}">
      <formula1>"-,SI,NO"</formula1>
    </dataValidation>
  </dataValidations>
  <printOptions horizontalCentered="1"/>
  <pageMargins left="0" right="0" top="0.78740157480314965" bottom="0" header="0" footer="0"/>
  <pageSetup paperSize="9" scale="50" orientation="portrait" r:id="rId1"/>
  <headerFooter scaleWithDoc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C06-416A-48E0-8410-3C07DCCBC5A0}">
  <dimension ref="A1:AL1025"/>
  <sheetViews>
    <sheetView zoomScale="90" zoomScaleNormal="90" workbookViewId="0">
      <selection activeCell="N5" sqref="N5"/>
    </sheetView>
  </sheetViews>
  <sheetFormatPr baseColWidth="10" defaultColWidth="12.5546875" defaultRowHeight="13.2" x14ac:dyDescent="0.25"/>
  <cols>
    <col min="1" max="1" width="3.6640625" style="509" customWidth="1"/>
    <col min="2" max="2" width="22.33203125" style="509" customWidth="1"/>
    <col min="3" max="4" width="10" style="509" customWidth="1"/>
    <col min="5" max="5" width="13.5546875" style="509" customWidth="1"/>
    <col min="6" max="6" width="11.5546875" style="509" customWidth="1"/>
    <col min="7" max="7" width="13.5546875" style="509" customWidth="1"/>
    <col min="8" max="8" width="13.6640625" style="509" customWidth="1"/>
    <col min="9" max="9" width="11.5546875" style="509" customWidth="1"/>
    <col min="10" max="10" width="10" style="509" customWidth="1"/>
    <col min="11" max="11" width="28.33203125" customWidth="1"/>
    <col min="12" max="12" width="15.88671875" customWidth="1"/>
    <col min="13" max="13" width="11.109375" customWidth="1"/>
    <col min="14" max="14" width="14.88671875" customWidth="1"/>
    <col min="15" max="15" width="13" customWidth="1"/>
    <col min="16" max="16" width="13.6640625" customWidth="1"/>
    <col min="17" max="17" width="14.44140625" customWidth="1"/>
    <col min="18" max="18" width="13.33203125" customWidth="1"/>
    <col min="19" max="19" width="11.44140625" customWidth="1"/>
    <col min="20" max="20" width="12" customWidth="1"/>
    <col min="21" max="21" width="34.33203125" customWidth="1"/>
    <col min="22" max="22" width="8.5546875" customWidth="1"/>
    <col min="23" max="23" width="12.33203125" customWidth="1"/>
    <col min="24" max="24" width="13.6640625" customWidth="1"/>
    <col min="25" max="25" width="14.88671875" customWidth="1"/>
    <col min="26" max="26" width="14.5546875" customWidth="1"/>
    <col min="27" max="27" width="14.33203125" customWidth="1"/>
    <col min="28" max="28" width="14.88671875" customWidth="1"/>
    <col min="29" max="29" width="16" customWidth="1"/>
    <col min="30" max="30" width="12.88671875" customWidth="1"/>
    <col min="31" max="31" width="16.5546875" customWidth="1"/>
    <col min="32" max="32" width="11.6640625" customWidth="1"/>
    <col min="33" max="33" width="15.33203125" customWidth="1"/>
    <col min="34" max="34" width="12.44140625" customWidth="1"/>
    <col min="35" max="35" width="16.44140625" customWidth="1"/>
    <col min="36" max="36" width="12.88671875" customWidth="1"/>
    <col min="37" max="37" width="12.44140625" customWidth="1"/>
    <col min="38" max="38" width="12" customWidth="1"/>
  </cols>
  <sheetData>
    <row r="1" spans="1:38" s="373" customFormat="1" ht="12.75" customHeight="1" x14ac:dyDescent="0.25">
      <c r="A1" s="509"/>
      <c r="B1" s="636"/>
      <c r="C1" s="637"/>
      <c r="D1" s="1019" t="s">
        <v>191</v>
      </c>
      <c r="E1" s="1020"/>
      <c r="F1" s="1020"/>
      <c r="G1" s="1020"/>
      <c r="H1" s="1020"/>
      <c r="I1" s="1020"/>
      <c r="J1" s="1021"/>
      <c r="K1" s="339" t="s">
        <v>192</v>
      </c>
      <c r="L1" s="796" t="s">
        <v>193</v>
      </c>
      <c r="V1" s="633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</row>
    <row r="2" spans="1:38" s="373" customFormat="1" ht="12.75" customHeight="1" x14ac:dyDescent="0.25">
      <c r="A2" s="509"/>
      <c r="B2" s="638"/>
      <c r="C2" s="639"/>
      <c r="D2" s="1019"/>
      <c r="E2" s="1020"/>
      <c r="F2" s="1020"/>
      <c r="G2" s="1020"/>
      <c r="H2" s="1020"/>
      <c r="I2" s="1020"/>
      <c r="J2" s="1021"/>
      <c r="K2" s="339" t="s">
        <v>194</v>
      </c>
      <c r="L2" s="797">
        <v>3</v>
      </c>
      <c r="V2" s="634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</row>
    <row r="3" spans="1:38" s="373" customFormat="1" ht="12.75" customHeight="1" x14ac:dyDescent="0.25">
      <c r="A3" s="509"/>
      <c r="B3" s="638"/>
      <c r="C3" s="639"/>
      <c r="D3" s="1019"/>
      <c r="E3" s="1020"/>
      <c r="F3" s="1020"/>
      <c r="G3" s="1020"/>
      <c r="H3" s="1020"/>
      <c r="I3" s="1020"/>
      <c r="J3" s="1021"/>
      <c r="K3" s="339" t="s">
        <v>195</v>
      </c>
      <c r="L3" s="798">
        <v>46146</v>
      </c>
      <c r="V3" s="635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</row>
    <row r="4" spans="1:38" s="373" customFormat="1" ht="12.75" customHeight="1" x14ac:dyDescent="0.25">
      <c r="A4" s="509"/>
      <c r="B4" s="640"/>
      <c r="C4" s="641"/>
      <c r="D4" s="1022"/>
      <c r="E4" s="1023"/>
      <c r="F4" s="1023"/>
      <c r="G4" s="1023"/>
      <c r="H4" s="1023"/>
      <c r="I4" s="1023"/>
      <c r="J4" s="1024"/>
      <c r="K4" s="339" t="s">
        <v>196</v>
      </c>
      <c r="L4" s="796" t="s">
        <v>197</v>
      </c>
      <c r="V4" s="633"/>
      <c r="W4" s="340"/>
      <c r="X4" s="340"/>
      <c r="Y4" s="340"/>
      <c r="Z4" s="340"/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</row>
    <row r="5" spans="1:38" s="373" customFormat="1" ht="3.6" customHeight="1" x14ac:dyDescent="0.25">
      <c r="A5" s="509"/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0"/>
    </row>
    <row r="6" spans="1:38" s="373" customFormat="1" ht="28.5" customHeight="1" x14ac:dyDescent="0.25">
      <c r="A6" s="509"/>
      <c r="B6" s="341" t="s">
        <v>198</v>
      </c>
      <c r="C6" s="697" t="s">
        <v>146</v>
      </c>
      <c r="D6" s="698"/>
      <c r="E6" s="699"/>
      <c r="F6" s="699"/>
      <c r="G6" s="699"/>
      <c r="H6" s="699"/>
      <c r="I6" s="699"/>
      <c r="J6" s="699"/>
      <c r="K6" s="699"/>
      <c r="L6" s="700"/>
      <c r="V6" s="351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</row>
    <row r="7" spans="1:38" s="373" customFormat="1" ht="18" customHeight="1" x14ac:dyDescent="0.25">
      <c r="A7" s="509"/>
      <c r="B7" s="341" t="s">
        <v>199</v>
      </c>
      <c r="C7" s="701" t="s">
        <v>145</v>
      </c>
      <c r="D7" s="509"/>
      <c r="E7" s="702"/>
      <c r="F7" s="702"/>
      <c r="G7" s="702"/>
      <c r="H7" s="340"/>
      <c r="I7" s="340"/>
      <c r="J7" s="340"/>
      <c r="K7" s="340"/>
      <c r="L7" s="703"/>
      <c r="V7" s="340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0"/>
    </row>
    <row r="8" spans="1:38" s="373" customFormat="1" ht="18" customHeight="1" x14ac:dyDescent="0.25">
      <c r="A8" s="509"/>
      <c r="B8" s="341" t="s">
        <v>200</v>
      </c>
      <c r="C8" s="697" t="s">
        <v>451</v>
      </c>
      <c r="D8" s="698"/>
      <c r="E8" s="704"/>
      <c r="F8" s="704"/>
      <c r="G8" s="704"/>
      <c r="H8" s="705"/>
      <c r="I8" s="705"/>
      <c r="J8" s="705"/>
      <c r="K8" s="705"/>
      <c r="L8" s="706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0"/>
    </row>
    <row r="9" spans="1:38" s="373" customFormat="1" ht="18" customHeight="1" x14ac:dyDescent="0.25">
      <c r="A9" s="509"/>
      <c r="B9" s="342" t="s">
        <v>443</v>
      </c>
      <c r="C9" s="697" t="s">
        <v>301</v>
      </c>
      <c r="D9" s="698"/>
      <c r="E9" s="704"/>
      <c r="F9" s="704"/>
      <c r="G9" s="704"/>
      <c r="H9" s="705"/>
      <c r="I9" s="705"/>
      <c r="J9" s="705"/>
      <c r="K9" s="705"/>
      <c r="L9" s="706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</row>
    <row r="10" spans="1:38" s="373" customFormat="1" ht="12.75" customHeight="1" x14ac:dyDescent="0.25">
      <c r="A10" s="509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</row>
    <row r="11" spans="1:38" s="373" customFormat="1" ht="15" customHeight="1" x14ac:dyDescent="0.25">
      <c r="A11" s="509"/>
      <c r="B11" s="343" t="s">
        <v>444</v>
      </c>
      <c r="C11" s="343"/>
      <c r="D11" s="344"/>
      <c r="E11" s="344"/>
      <c r="F11" s="344"/>
      <c r="G11" s="344"/>
      <c r="H11" s="344"/>
      <c r="I11" s="344"/>
      <c r="J11" s="344"/>
      <c r="K11" s="340"/>
      <c r="L11" s="343" t="s">
        <v>444</v>
      </c>
      <c r="M11" s="343"/>
      <c r="N11" s="344"/>
      <c r="O11" s="344"/>
      <c r="P11" s="344"/>
      <c r="Q11" s="344"/>
      <c r="R11" s="344"/>
      <c r="S11" s="344"/>
      <c r="T11" s="344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</row>
    <row r="12" spans="1:38" s="373" customFormat="1" ht="7.5" customHeight="1" x14ac:dyDescent="0.25">
      <c r="A12" s="509"/>
      <c r="B12" s="343"/>
      <c r="C12" s="343"/>
      <c r="D12" s="344"/>
      <c r="E12" s="344"/>
      <c r="F12" s="344"/>
      <c r="G12" s="344"/>
      <c r="H12" s="344"/>
      <c r="I12" s="344"/>
      <c r="J12" s="344"/>
      <c r="K12" s="340"/>
      <c r="L12" s="343"/>
      <c r="M12" s="343"/>
      <c r="N12" s="344"/>
      <c r="O12" s="344"/>
      <c r="P12" s="344"/>
      <c r="Q12" s="344"/>
      <c r="R12" s="344"/>
      <c r="S12" s="344"/>
      <c r="T12" s="344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  <c r="AJ12" s="340"/>
      <c r="AK12" s="340"/>
      <c r="AL12" s="340"/>
    </row>
    <row r="13" spans="1:38" s="373" customFormat="1" ht="15" customHeight="1" x14ac:dyDescent="0.25">
      <c r="A13" s="509"/>
      <c r="B13" s="345" t="s">
        <v>201</v>
      </c>
      <c r="C13" s="345"/>
      <c r="D13" s="344"/>
      <c r="E13" s="345" t="s">
        <v>202</v>
      </c>
      <c r="H13" s="343" t="s">
        <v>203</v>
      </c>
      <c r="J13" s="344"/>
      <c r="K13" s="340"/>
      <c r="L13" s="345" t="s">
        <v>201</v>
      </c>
      <c r="M13" s="345"/>
      <c r="N13" s="344"/>
      <c r="O13" s="344"/>
      <c r="Q13" s="345" t="s">
        <v>202</v>
      </c>
      <c r="S13" s="343" t="s">
        <v>203</v>
      </c>
      <c r="T13" s="344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</row>
    <row r="14" spans="1:38" s="373" customFormat="1" ht="15.6" customHeight="1" x14ac:dyDescent="0.25">
      <c r="A14" s="509"/>
      <c r="B14" s="346" t="s">
        <v>338</v>
      </c>
      <c r="C14" s="346"/>
      <c r="D14" s="344"/>
      <c r="E14" s="344"/>
      <c r="F14" s="344"/>
      <c r="G14" s="344"/>
      <c r="H14" s="344"/>
      <c r="I14" s="344"/>
      <c r="J14" s="344"/>
      <c r="K14" s="340"/>
      <c r="L14" s="346" t="s">
        <v>303</v>
      </c>
      <c r="M14" s="346"/>
      <c r="N14" s="344"/>
      <c r="O14" s="344"/>
      <c r="P14" s="344"/>
      <c r="Q14" s="344"/>
      <c r="R14" s="344"/>
      <c r="S14" s="344"/>
      <c r="T14" s="344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40"/>
      <c r="AK14" s="340"/>
      <c r="AL14" s="340"/>
    </row>
    <row r="15" spans="1:38" s="373" customFormat="1" ht="15" customHeight="1" x14ac:dyDescent="0.25">
      <c r="A15" s="509"/>
      <c r="B15" s="346" t="s">
        <v>339</v>
      </c>
      <c r="C15" s="346"/>
      <c r="D15" s="344"/>
      <c r="E15" s="344"/>
      <c r="F15" s="344"/>
      <c r="G15" s="344"/>
      <c r="H15" s="344"/>
      <c r="I15" s="344"/>
      <c r="J15" s="344"/>
      <c r="K15" s="340"/>
      <c r="L15" s="346" t="s">
        <v>304</v>
      </c>
      <c r="M15" s="346"/>
      <c r="N15" s="344"/>
      <c r="O15" s="344"/>
      <c r="P15" s="344"/>
      <c r="Q15" s="344"/>
      <c r="R15" s="344"/>
      <c r="S15" s="344"/>
      <c r="T15" s="344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</row>
    <row r="16" spans="1:38" s="373" customFormat="1" ht="15" customHeight="1" x14ac:dyDescent="0.25">
      <c r="A16" s="509"/>
      <c r="B16" s="346"/>
      <c r="C16" s="346"/>
      <c r="D16" s="344"/>
      <c r="F16" s="344"/>
      <c r="H16" s="344"/>
      <c r="I16" s="344"/>
      <c r="J16" s="344"/>
      <c r="K16" s="340"/>
      <c r="L16" s="346" t="s">
        <v>305</v>
      </c>
      <c r="M16" s="346"/>
      <c r="N16" s="344"/>
      <c r="P16" s="344"/>
      <c r="R16" s="344"/>
      <c r="S16" s="344"/>
      <c r="T16" s="344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</row>
    <row r="17" spans="1:38" s="373" customFormat="1" ht="15" customHeight="1" x14ac:dyDescent="0.25">
      <c r="A17" s="509"/>
      <c r="B17" s="345" t="s">
        <v>204</v>
      </c>
      <c r="C17" s="346"/>
      <c r="D17" s="340"/>
      <c r="F17" s="344"/>
      <c r="G17" s="344"/>
      <c r="H17" s="344"/>
      <c r="I17" s="344"/>
      <c r="J17" s="344"/>
      <c r="K17" s="340"/>
      <c r="L17" s="346" t="s">
        <v>306</v>
      </c>
      <c r="M17" s="346"/>
      <c r="N17" s="340"/>
      <c r="P17" s="344"/>
      <c r="Q17" s="344"/>
      <c r="R17" s="344"/>
      <c r="S17" s="344"/>
      <c r="T17" s="344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</row>
    <row r="18" spans="1:38" s="373" customFormat="1" ht="15" customHeight="1" x14ac:dyDescent="0.25">
      <c r="A18" s="509"/>
      <c r="B18" s="344"/>
      <c r="C18" s="344"/>
      <c r="D18" s="344"/>
      <c r="E18" s="344"/>
      <c r="F18" s="344"/>
      <c r="G18" s="344"/>
      <c r="H18" s="344"/>
      <c r="I18" s="344"/>
      <c r="J18" s="344"/>
      <c r="K18" s="340"/>
      <c r="L18" s="344" t="s">
        <v>307</v>
      </c>
      <c r="M18" s="344"/>
      <c r="N18" s="344"/>
      <c r="O18" s="344"/>
      <c r="P18" s="344"/>
      <c r="Q18" s="344"/>
      <c r="R18" s="344"/>
      <c r="S18" s="344"/>
      <c r="T18" s="344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</row>
    <row r="19" spans="1:38" s="373" customFormat="1" ht="15" customHeight="1" x14ac:dyDescent="0.25">
      <c r="A19" s="509"/>
      <c r="B19" s="346" t="s">
        <v>340</v>
      </c>
      <c r="C19" s="344"/>
      <c r="D19" s="344"/>
      <c r="E19" s="344"/>
      <c r="F19" s="344"/>
      <c r="H19" s="344"/>
      <c r="I19" s="344"/>
      <c r="J19" s="344"/>
      <c r="K19" s="340"/>
      <c r="L19" s="344" t="s">
        <v>308</v>
      </c>
      <c r="M19" s="344"/>
      <c r="N19" s="344"/>
      <c r="O19" s="344"/>
      <c r="P19" s="344"/>
      <c r="R19" s="344"/>
      <c r="S19" s="344"/>
      <c r="T19" s="344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</row>
    <row r="20" spans="1:38" s="373" customFormat="1" ht="7.2" customHeight="1" x14ac:dyDescent="0.25">
      <c r="A20" s="509"/>
      <c r="B20" s="344"/>
      <c r="C20" s="344"/>
      <c r="D20" s="344"/>
      <c r="E20" s="344"/>
      <c r="F20" s="344"/>
      <c r="G20" s="344"/>
      <c r="H20" s="344"/>
      <c r="I20" s="344"/>
      <c r="J20" s="344"/>
      <c r="K20" s="340"/>
      <c r="L20" s="344"/>
      <c r="M20" s="344"/>
      <c r="N20" s="344"/>
      <c r="O20" s="344"/>
      <c r="P20" s="344"/>
      <c r="Q20" s="344"/>
      <c r="R20" s="344"/>
      <c r="S20" s="344"/>
      <c r="T20" s="344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0"/>
      <c r="AK20" s="340"/>
      <c r="AL20" s="340"/>
    </row>
    <row r="21" spans="1:38" s="373" customFormat="1" ht="15" customHeight="1" x14ac:dyDescent="0.25">
      <c r="A21" s="509"/>
      <c r="C21" s="345"/>
      <c r="D21" s="344"/>
      <c r="E21" s="344"/>
      <c r="F21" s="344"/>
      <c r="G21" s="344"/>
      <c r="H21" s="344"/>
      <c r="I21" s="344"/>
      <c r="J21" s="344"/>
      <c r="K21" s="340"/>
      <c r="L21" s="345" t="s">
        <v>204</v>
      </c>
      <c r="M21" s="345"/>
      <c r="N21" s="344"/>
      <c r="O21" s="344"/>
      <c r="P21" s="344"/>
      <c r="Q21" s="344"/>
      <c r="R21" s="344"/>
      <c r="S21" s="344"/>
      <c r="T21" s="344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</row>
    <row r="22" spans="1:38" s="373" customFormat="1" ht="8.4" customHeight="1" x14ac:dyDescent="0.25">
      <c r="A22" s="509"/>
      <c r="C22" s="344"/>
      <c r="D22" s="344"/>
      <c r="E22" s="344"/>
      <c r="F22" s="344"/>
      <c r="G22" s="344"/>
      <c r="H22" s="344"/>
      <c r="I22" s="344"/>
      <c r="J22" s="344"/>
      <c r="K22" s="340"/>
      <c r="L22" s="344"/>
      <c r="M22" s="344"/>
      <c r="N22" s="344"/>
      <c r="O22" s="344"/>
      <c r="P22" s="344"/>
      <c r="Q22" s="344"/>
      <c r="R22" s="344"/>
      <c r="S22" s="344"/>
      <c r="T22" s="344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0"/>
      <c r="AK22" s="340"/>
      <c r="AL22" s="340"/>
    </row>
    <row r="23" spans="1:38" s="373" customFormat="1" ht="15" customHeight="1" x14ac:dyDescent="0.25">
      <c r="A23" s="509"/>
      <c r="C23" s="346"/>
      <c r="D23" s="344"/>
      <c r="E23" s="344"/>
      <c r="F23" s="344"/>
      <c r="G23" s="344"/>
      <c r="H23" s="344"/>
      <c r="I23" s="344"/>
      <c r="J23" s="344"/>
      <c r="K23" s="340"/>
      <c r="L23" s="346" t="s">
        <v>205</v>
      </c>
      <c r="M23" s="346"/>
      <c r="N23" s="344"/>
      <c r="O23" s="344"/>
      <c r="P23" s="344"/>
      <c r="Q23" s="344"/>
      <c r="R23" s="344"/>
      <c r="S23" s="344"/>
      <c r="T23" s="344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</row>
    <row r="24" spans="1:38" ht="3.6" customHeight="1" x14ac:dyDescent="0.25">
      <c r="K24" s="344"/>
      <c r="L24" s="344"/>
      <c r="M24" s="344"/>
      <c r="N24" s="344"/>
      <c r="O24" s="344"/>
      <c r="P24" s="344"/>
      <c r="Q24" s="344"/>
      <c r="R24" s="344"/>
      <c r="S24" s="344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</row>
    <row r="25" spans="1:38" ht="21" customHeight="1" x14ac:dyDescent="0.25">
      <c r="B25" s="347" t="s">
        <v>268</v>
      </c>
      <c r="K25" s="347" t="s">
        <v>268</v>
      </c>
      <c r="L25" s="347"/>
      <c r="M25" s="348"/>
      <c r="N25" s="348"/>
      <c r="O25" s="349"/>
      <c r="P25" s="348"/>
      <c r="Q25" s="348"/>
      <c r="R25" s="348"/>
      <c r="S25" s="348"/>
      <c r="T25" s="350"/>
      <c r="U25" s="350"/>
      <c r="V25" s="35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  <c r="AK25" s="340"/>
      <c r="AL25" s="340"/>
    </row>
    <row r="26" spans="1:38" ht="6.6" customHeight="1" x14ac:dyDescent="0.25"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73"/>
      <c r="V26" s="373"/>
      <c r="W26" s="373"/>
      <c r="X26" s="373"/>
      <c r="Y26" s="373"/>
      <c r="Z26" s="373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  <c r="AK26" s="340"/>
      <c r="AL26" s="340"/>
    </row>
    <row r="27" spans="1:38" ht="27.6" customHeight="1" x14ac:dyDescent="0.25">
      <c r="B27" s="607" t="s">
        <v>206</v>
      </c>
      <c r="C27" s="608" t="s">
        <v>207</v>
      </c>
      <c r="D27" s="607" t="s">
        <v>208</v>
      </c>
      <c r="E27" s="608" t="s">
        <v>209</v>
      </c>
      <c r="F27" s="608" t="s">
        <v>210</v>
      </c>
      <c r="G27" s="608" t="s">
        <v>239</v>
      </c>
      <c r="H27" s="608" t="s">
        <v>211</v>
      </c>
      <c r="I27" s="608" t="s">
        <v>240</v>
      </c>
      <c r="K27" s="498" t="s">
        <v>206</v>
      </c>
      <c r="L27" s="499" t="s">
        <v>207</v>
      </c>
      <c r="M27" s="498" t="s">
        <v>208</v>
      </c>
      <c r="N27" s="499" t="s">
        <v>209</v>
      </c>
      <c r="O27" s="499" t="s">
        <v>210</v>
      </c>
      <c r="P27" s="499" t="s">
        <v>239</v>
      </c>
      <c r="Q27" s="499" t="s">
        <v>211</v>
      </c>
      <c r="R27" s="499" t="s">
        <v>240</v>
      </c>
      <c r="T27" s="351"/>
      <c r="U27" s="373"/>
      <c r="V27" s="373"/>
      <c r="W27" s="373"/>
      <c r="X27" s="373"/>
      <c r="Y27" s="373"/>
      <c r="Z27" s="373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  <c r="AK27" s="340"/>
      <c r="AL27" s="340"/>
    </row>
    <row r="28" spans="1:38" ht="18.600000000000001" customHeight="1" x14ac:dyDescent="0.25">
      <c r="B28" s="615" t="s">
        <v>259</v>
      </c>
      <c r="C28" s="606" t="s">
        <v>2</v>
      </c>
      <c r="D28" s="657">
        <f>+D29/D32*14.223343334285*100/1000</f>
        <v>8.3166518663380498E-2</v>
      </c>
      <c r="E28" s="562"/>
      <c r="F28" s="450"/>
      <c r="G28" s="450"/>
      <c r="H28" s="450"/>
      <c r="I28" s="450"/>
      <c r="K28" s="619" t="s">
        <v>138</v>
      </c>
      <c r="L28" s="457" t="s">
        <v>2</v>
      </c>
      <c r="M28" s="658" t="e">
        <f>+(M33-M30)*(M31-M29)/(M32-M30)+M29</f>
        <v>#N/A</v>
      </c>
      <c r="N28" s="631"/>
      <c r="O28" s="631"/>
      <c r="P28" s="631"/>
      <c r="Q28" s="631"/>
      <c r="R28" s="631"/>
      <c r="T28" s="351"/>
      <c r="U28" s="373"/>
      <c r="V28" s="373"/>
      <c r="W28" s="373"/>
      <c r="X28" s="373"/>
      <c r="Y28" s="373"/>
      <c r="Z28" s="373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</row>
    <row r="29" spans="1:38" ht="18.600000000000001" customHeight="1" x14ac:dyDescent="0.25">
      <c r="B29" s="616" t="s">
        <v>310</v>
      </c>
      <c r="C29" s="499" t="s">
        <v>313</v>
      </c>
      <c r="D29" s="505">
        <f>+'INFORME-2'!$V$55*D32*0.393701^2*0.453592</f>
        <v>1.129971229796175</v>
      </c>
      <c r="E29" s="550"/>
      <c r="F29" s="552"/>
      <c r="G29" s="604">
        <f>SQRT((G30*G30+G31*G31))</f>
        <v>4.9418355248927561</v>
      </c>
      <c r="H29" s="560">
        <f>1/D32*14.223343334285*100/1000</f>
        <v>7.3600562979273504E-2</v>
      </c>
      <c r="I29" s="605">
        <f>+H29*G29</f>
        <v>0.36372187678308043</v>
      </c>
      <c r="J29" s="487" t="s">
        <v>99</v>
      </c>
      <c r="K29" s="620" t="s">
        <v>259</v>
      </c>
      <c r="L29" s="499" t="s">
        <v>2</v>
      </c>
      <c r="M29" s="505">
        <f>+M50</f>
        <v>8.3166518663380498E-2</v>
      </c>
      <c r="N29" s="505"/>
      <c r="O29" s="552"/>
      <c r="P29" s="553">
        <f>+R55</f>
        <v>0.36372187726446403</v>
      </c>
      <c r="Q29" s="560" t="e">
        <f>+(M30-M33)/(M32-M30)+1</f>
        <v>#N/A</v>
      </c>
      <c r="R29" s="560" t="e">
        <f t="shared" ref="R29:R34" si="0">+P29*Q29</f>
        <v>#N/A</v>
      </c>
      <c r="T29" s="351"/>
      <c r="U29" s="373"/>
      <c r="V29" s="373"/>
      <c r="W29" s="373"/>
      <c r="X29" s="373"/>
      <c r="Y29" s="373"/>
      <c r="Z29" s="373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0"/>
      <c r="AL29" s="340"/>
    </row>
    <row r="30" spans="1:38" ht="18.600000000000001" customHeight="1" x14ac:dyDescent="0.25">
      <c r="B30" s="617" t="s">
        <v>215</v>
      </c>
      <c r="C30" s="457" t="s">
        <v>313</v>
      </c>
      <c r="D30" s="562"/>
      <c r="E30" s="593">
        <f>+$D$58</f>
        <v>-9.8835024200449766</v>
      </c>
      <c r="F30" s="416" t="s">
        <v>320</v>
      </c>
      <c r="G30" s="618">
        <f>+E30/2</f>
        <v>-4.9417512100224883</v>
      </c>
      <c r="H30" s="450"/>
      <c r="I30" s="450"/>
      <c r="J30" s="487" t="s">
        <v>100</v>
      </c>
      <c r="K30" s="620" t="s">
        <v>292</v>
      </c>
      <c r="L30" s="551" t="s">
        <v>286</v>
      </c>
      <c r="M30" s="553" t="e">
        <f>+M70</f>
        <v>#N/A</v>
      </c>
      <c r="N30" s="550"/>
      <c r="O30" s="552"/>
      <c r="P30" s="554" t="e">
        <f>+R78</f>
        <v>#DIV/0!</v>
      </c>
      <c r="Q30" s="560" t="e">
        <f>(+(M31-M29)*(M33-M32)/(M32-M30)^2)*(-1)</f>
        <v>#N/A</v>
      </c>
      <c r="R30" s="560" t="e">
        <f t="shared" si="0"/>
        <v>#DIV/0!</v>
      </c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</row>
    <row r="31" spans="1:38" ht="18.600000000000001" customHeight="1" x14ac:dyDescent="0.25">
      <c r="B31" s="589" t="s">
        <v>217</v>
      </c>
      <c r="C31" s="457" t="s">
        <v>313</v>
      </c>
      <c r="D31" s="562"/>
      <c r="E31" s="590">
        <v>0.1</v>
      </c>
      <c r="F31" s="520" t="s">
        <v>218</v>
      </c>
      <c r="G31" s="517">
        <f>+E31/SQRT(3)/2</f>
        <v>2.8867513459481291E-2</v>
      </c>
      <c r="H31" s="450"/>
      <c r="I31" s="450"/>
      <c r="J31" s="487" t="s">
        <v>101</v>
      </c>
      <c r="K31" s="620" t="s">
        <v>162</v>
      </c>
      <c r="L31" s="499" t="s">
        <v>2</v>
      </c>
      <c r="M31" s="505">
        <f>+W50</f>
        <v>8.3166518663380498E-2</v>
      </c>
      <c r="N31" s="505"/>
      <c r="O31" s="552"/>
      <c r="P31" s="553">
        <f>+AB55</f>
        <v>2.1337173854584436E-3</v>
      </c>
      <c r="Q31" s="560" t="e">
        <f>+(M33-M30)/(M32-M30)*(-1)</f>
        <v>#N/A</v>
      </c>
      <c r="R31" s="560" t="e">
        <f t="shared" si="0"/>
        <v>#N/A</v>
      </c>
      <c r="T31" s="351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</row>
    <row r="32" spans="1:38" ht="18.600000000000001" customHeight="1" x14ac:dyDescent="0.25">
      <c r="B32" s="616" t="s">
        <v>311</v>
      </c>
      <c r="C32" s="499" t="s">
        <v>312</v>
      </c>
      <c r="D32" s="505">
        <f>+DATOS!$D$9</f>
        <v>19.325046927005715</v>
      </c>
      <c r="E32" s="550"/>
      <c r="F32" s="552"/>
      <c r="G32" s="560">
        <f>I54*0.01</f>
        <v>4.3482789308154739E-3</v>
      </c>
      <c r="H32" s="560">
        <f>14.223343334285*100/1000*D29/(D32^2)</f>
        <v>4.3035610199300359E-3</v>
      </c>
      <c r="I32" s="605">
        <f>+H32*G32</f>
        <v>1.8713083710440528E-5</v>
      </c>
      <c r="J32" s="487" t="s">
        <v>283</v>
      </c>
      <c r="K32" s="620" t="s">
        <v>293</v>
      </c>
      <c r="L32" s="551" t="s">
        <v>286</v>
      </c>
      <c r="M32" s="553" t="e">
        <f>+W70</f>
        <v>#N/A</v>
      </c>
      <c r="N32" s="550"/>
      <c r="O32" s="552"/>
      <c r="P32" s="554" t="e">
        <f>+AB72</f>
        <v>#DIV/0!</v>
      </c>
      <c r="Q32" s="560" t="e">
        <f>((M31-M29)*(M30-M33)/(M32-M30)^2)</f>
        <v>#N/A</v>
      </c>
      <c r="R32" s="560" t="e">
        <f>+P32*Q32</f>
        <v>#DIV/0!</v>
      </c>
      <c r="T32" s="351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  <c r="AK32" s="340"/>
      <c r="AL32" s="340"/>
    </row>
    <row r="33" spans="1:38" ht="18.600000000000001" customHeight="1" x14ac:dyDescent="0.25">
      <c r="B33" s="623" t="s">
        <v>246</v>
      </c>
      <c r="C33" s="421" t="s">
        <v>2</v>
      </c>
      <c r="D33" s="624">
        <f>+PRECISION!$C$6</f>
        <v>2.0257508895880236</v>
      </c>
      <c r="E33" s="405"/>
      <c r="F33" s="625" t="s">
        <v>219</v>
      </c>
      <c r="G33" s="626">
        <f>D33/SQRT(1)</f>
        <v>2.0257508895880236</v>
      </c>
      <c r="H33" s="627">
        <v>1</v>
      </c>
      <c r="I33" s="628">
        <f>+G33*H33</f>
        <v>2.0257508895880236</v>
      </c>
      <c r="J33" s="487" t="s">
        <v>269</v>
      </c>
      <c r="K33" s="621" t="s">
        <v>282</v>
      </c>
      <c r="L33" s="551" t="s">
        <v>286</v>
      </c>
      <c r="M33" s="553">
        <f>+DATOS!J2</f>
        <v>0</v>
      </c>
      <c r="N33" s="550"/>
      <c r="O33" s="552"/>
      <c r="P33" s="622">
        <v>0.02</v>
      </c>
      <c r="Q33" s="560" t="e">
        <f>+(M31-M29)/(M32-M30)</f>
        <v>#N/A</v>
      </c>
      <c r="R33" s="560" t="e">
        <f t="shared" si="0"/>
        <v>#N/A</v>
      </c>
      <c r="T33" s="351"/>
      <c r="AA33" s="340"/>
      <c r="AB33" s="340"/>
      <c r="AC33" s="340"/>
      <c r="AD33" s="340"/>
      <c r="AE33" s="340"/>
      <c r="AF33" s="340"/>
      <c r="AG33" s="340"/>
      <c r="AH33" s="340"/>
      <c r="AI33" s="340"/>
      <c r="AJ33" s="340"/>
      <c r="AK33" s="340"/>
      <c r="AL33" s="340"/>
    </row>
    <row r="34" spans="1:38" ht="18.600000000000001" customHeight="1" x14ac:dyDescent="0.25">
      <c r="A34" s="487"/>
      <c r="B34" s="500" t="s">
        <v>247</v>
      </c>
      <c r="C34" s="500"/>
      <c r="D34" s="500"/>
      <c r="E34" s="501"/>
      <c r="F34" s="500"/>
      <c r="G34" s="501"/>
      <c r="H34" s="612" t="s">
        <v>2</v>
      </c>
      <c r="I34" s="612">
        <f>+SQRT(I29^2+I32^2+I33^2)</f>
        <v>2.0581448614389259</v>
      </c>
      <c r="J34" s="487"/>
      <c r="K34" s="623" t="s">
        <v>246</v>
      </c>
      <c r="L34" s="421" t="s">
        <v>2</v>
      </c>
      <c r="M34" s="624">
        <f>+PRECISION!$C$6</f>
        <v>2.0257508895880236</v>
      </c>
      <c r="N34" s="405"/>
      <c r="O34" s="625" t="s">
        <v>219</v>
      </c>
      <c r="P34" s="626">
        <f>M34/SQRT(1)</f>
        <v>2.0257508895880236</v>
      </c>
      <c r="Q34" s="627">
        <v>1</v>
      </c>
      <c r="R34" s="628">
        <f t="shared" si="0"/>
        <v>2.0257508895880236</v>
      </c>
      <c r="T34" s="351"/>
      <c r="AA34" s="340"/>
      <c r="AB34" s="340"/>
      <c r="AC34" s="340"/>
      <c r="AD34" s="340"/>
      <c r="AE34" s="340"/>
      <c r="AF34" s="340"/>
      <c r="AG34" s="340"/>
      <c r="AH34" s="340"/>
      <c r="AI34" s="340"/>
      <c r="AJ34" s="340"/>
      <c r="AK34" s="340"/>
      <c r="AL34" s="340"/>
    </row>
    <row r="35" spans="1:38" ht="18.600000000000001" customHeight="1" x14ac:dyDescent="0.25">
      <c r="B35" s="500" t="s">
        <v>220</v>
      </c>
      <c r="C35" s="500"/>
      <c r="D35" s="613"/>
      <c r="E35" s="501"/>
      <c r="F35" s="613"/>
      <c r="G35" s="501"/>
      <c r="H35" s="612" t="s">
        <v>2</v>
      </c>
      <c r="I35" s="614">
        <f>I34*2</f>
        <v>4.1162897228778519</v>
      </c>
      <c r="K35" s="629" t="s">
        <v>247</v>
      </c>
      <c r="L35" s="629"/>
      <c r="M35" s="629"/>
      <c r="N35" s="629"/>
      <c r="O35" s="629"/>
      <c r="P35" s="501"/>
      <c r="Q35" s="542" t="s">
        <v>2</v>
      </c>
      <c r="R35" s="542" t="e">
        <f>+SQRT(R29^2+R32^2+R31^2+R30^2+R33^2+R34^2)</f>
        <v>#N/A</v>
      </c>
      <c r="T35" s="351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340"/>
      <c r="AL35" s="340"/>
    </row>
    <row r="36" spans="1:38" ht="29.4" customHeight="1" x14ac:dyDescent="0.25">
      <c r="K36" s="629" t="s">
        <v>220</v>
      </c>
      <c r="L36" s="629"/>
      <c r="M36" s="416"/>
      <c r="N36" s="416"/>
      <c r="O36" s="416"/>
      <c r="P36" s="501"/>
      <c r="Q36" s="542" t="s">
        <v>2</v>
      </c>
      <c r="R36" s="630" t="e">
        <f>R35*2</f>
        <v>#N/A</v>
      </c>
      <c r="T36" s="351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  <c r="AK36" s="340"/>
      <c r="AL36" s="340"/>
    </row>
    <row r="37" spans="1:38" ht="18.600000000000001" customHeight="1" x14ac:dyDescent="0.25">
      <c r="K37" s="599"/>
      <c r="L37" s="599"/>
      <c r="M37" s="600"/>
      <c r="N37" s="600"/>
      <c r="O37" s="600"/>
      <c r="P37" s="601"/>
      <c r="Q37" s="602"/>
      <c r="R37" s="603"/>
      <c r="T37" s="351"/>
      <c r="AA37" s="340"/>
      <c r="AB37" s="340"/>
      <c r="AC37" s="340"/>
      <c r="AD37" s="340"/>
      <c r="AE37" s="340"/>
      <c r="AF37" s="340"/>
      <c r="AG37" s="340"/>
      <c r="AH37" s="340"/>
      <c r="AI37" s="340"/>
      <c r="AJ37" s="340"/>
      <c r="AK37" s="340"/>
      <c r="AL37" s="340"/>
    </row>
    <row r="38" spans="1:38" ht="25.95" customHeight="1" x14ac:dyDescent="0.25">
      <c r="B38" s="607" t="s">
        <v>206</v>
      </c>
      <c r="C38" s="608" t="s">
        <v>207</v>
      </c>
      <c r="D38" s="607" t="s">
        <v>208</v>
      </c>
      <c r="E38" s="608" t="s">
        <v>209</v>
      </c>
      <c r="F38" s="608" t="s">
        <v>210</v>
      </c>
      <c r="G38" s="608" t="s">
        <v>239</v>
      </c>
      <c r="H38" s="608" t="s">
        <v>211</v>
      </c>
      <c r="I38" s="608" t="s">
        <v>240</v>
      </c>
      <c r="K38" s="498" t="s">
        <v>206</v>
      </c>
      <c r="L38" s="499" t="s">
        <v>207</v>
      </c>
      <c r="M38" s="498" t="s">
        <v>208</v>
      </c>
      <c r="N38" s="499" t="s">
        <v>209</v>
      </c>
      <c r="O38" s="499" t="s">
        <v>210</v>
      </c>
      <c r="P38" s="499" t="s">
        <v>239</v>
      </c>
      <c r="Q38" s="499" t="s">
        <v>211</v>
      </c>
      <c r="R38" s="499" t="s">
        <v>240</v>
      </c>
      <c r="T38" s="351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</row>
    <row r="39" spans="1:38" ht="18.600000000000001" customHeight="1" x14ac:dyDescent="0.25">
      <c r="B39" s="615" t="s">
        <v>321</v>
      </c>
      <c r="C39" s="606" t="s">
        <v>2</v>
      </c>
      <c r="D39" s="657">
        <f>+D40/D43*14.223343334285*100/1500</f>
        <v>5.389068276382105E-2</v>
      </c>
      <c r="E39" s="562"/>
      <c r="F39" s="450"/>
      <c r="G39" s="450"/>
      <c r="H39" s="450"/>
      <c r="I39" s="450"/>
      <c r="K39" s="619" t="s">
        <v>140</v>
      </c>
      <c r="L39" s="457" t="s">
        <v>2</v>
      </c>
      <c r="M39" s="658" t="e">
        <f>+(M44-M41)*(M42-M40)/(M43-M41)+M40</f>
        <v>#N/A</v>
      </c>
      <c r="N39" s="457"/>
      <c r="O39" s="457"/>
      <c r="P39" s="457"/>
      <c r="Q39" s="457"/>
      <c r="R39" s="457"/>
      <c r="T39" s="351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  <c r="AK39" s="340"/>
      <c r="AL39" s="340"/>
    </row>
    <row r="40" spans="1:38" ht="18.600000000000001" customHeight="1" x14ac:dyDescent="0.25">
      <c r="B40" s="616" t="s">
        <v>310</v>
      </c>
      <c r="C40" s="499" t="s">
        <v>313</v>
      </c>
      <c r="D40" s="505">
        <f>+'INFORME-2'!$V$56*D43*0.393701^2*0.453592</f>
        <v>1.0983071443148558</v>
      </c>
      <c r="E40" s="550"/>
      <c r="F40" s="552"/>
      <c r="G40" s="604">
        <f>SQRT((G41*G41+G42*G42))</f>
        <v>0.49754323270208189</v>
      </c>
      <c r="H40" s="560">
        <f>1/D43*14.223343334285*100/1000</f>
        <v>7.3600562979273504E-2</v>
      </c>
      <c r="I40" s="605">
        <f>+H40*G40</f>
        <v>3.6619462033400912E-2</v>
      </c>
      <c r="K40" s="620" t="s">
        <v>161</v>
      </c>
      <c r="L40" s="499" t="s">
        <v>2</v>
      </c>
      <c r="M40" s="505">
        <f>+M59</f>
        <v>5.389068276382105E-2</v>
      </c>
      <c r="N40" s="550"/>
      <c r="O40" s="552"/>
      <c r="P40" s="553">
        <f>+R64</f>
        <v>3.6619466550520452E-2</v>
      </c>
      <c r="Q40" s="560" t="e">
        <f>+(M41-M44)/(M43-M41)+1</f>
        <v>#N/A</v>
      </c>
      <c r="R40" s="560" t="e">
        <f t="shared" ref="R40:R45" si="1">+P40*Q40</f>
        <v>#N/A</v>
      </c>
      <c r="T40" s="351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</row>
    <row r="41" spans="1:38" ht="18.600000000000001" customHeight="1" x14ac:dyDescent="0.25">
      <c r="B41" s="617" t="s">
        <v>215</v>
      </c>
      <c r="C41" s="457" t="s">
        <v>313</v>
      </c>
      <c r="D41" s="562"/>
      <c r="E41" s="593">
        <f>+$D$59</f>
        <v>-0.99341015713411085</v>
      </c>
      <c r="F41" s="416" t="s">
        <v>320</v>
      </c>
      <c r="G41" s="618">
        <f>+E41/2</f>
        <v>-0.49670507856705542</v>
      </c>
      <c r="H41" s="450"/>
      <c r="I41" s="450"/>
      <c r="K41" s="620" t="s">
        <v>294</v>
      </c>
      <c r="L41" s="551" t="s">
        <v>286</v>
      </c>
      <c r="M41" s="553" t="e">
        <f>+M70</f>
        <v>#N/A</v>
      </c>
      <c r="N41" s="550"/>
      <c r="O41" s="552"/>
      <c r="P41" s="554" t="e">
        <f>+R72</f>
        <v>#DIV/0!</v>
      </c>
      <c r="Q41" s="560" t="e">
        <f>(+(M42-M40)*(M44-M43)/(M43-M41)^2)*(-1)</f>
        <v>#N/A</v>
      </c>
      <c r="R41" s="560" t="e">
        <f t="shared" si="1"/>
        <v>#DIV/0!</v>
      </c>
      <c r="T41" s="351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</row>
    <row r="42" spans="1:38" ht="18.600000000000001" customHeight="1" x14ac:dyDescent="0.25">
      <c r="B42" s="589" t="s">
        <v>217</v>
      </c>
      <c r="C42" s="457" t="s">
        <v>313</v>
      </c>
      <c r="D42" s="562"/>
      <c r="E42" s="590">
        <v>0.1</v>
      </c>
      <c r="F42" s="520" t="s">
        <v>218</v>
      </c>
      <c r="G42" s="517">
        <f>+E42/SQRT(3)/2</f>
        <v>2.8867513459481291E-2</v>
      </c>
      <c r="H42" s="450"/>
      <c r="I42" s="450"/>
      <c r="K42" s="620" t="s">
        <v>163</v>
      </c>
      <c r="L42" s="499" t="s">
        <v>2</v>
      </c>
      <c r="M42" s="553">
        <f>+W59</f>
        <v>5.389068276382105E-2</v>
      </c>
      <c r="N42" s="550"/>
      <c r="O42" s="552"/>
      <c r="P42" s="553" t="e">
        <f>+AB64</f>
        <v>#DIV/0!</v>
      </c>
      <c r="Q42" s="560" t="e">
        <f>+(M44-M41)/(M43-M41)*(-1)</f>
        <v>#N/A</v>
      </c>
      <c r="R42" s="560" t="e">
        <f t="shared" si="1"/>
        <v>#DIV/0!</v>
      </c>
      <c r="T42" s="351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</row>
    <row r="43" spans="1:38" ht="18.600000000000001" customHeight="1" x14ac:dyDescent="0.25">
      <c r="B43" s="616" t="s">
        <v>311</v>
      </c>
      <c r="C43" s="499" t="s">
        <v>312</v>
      </c>
      <c r="D43" s="505">
        <f>+DATOS!$D$9</f>
        <v>19.325046927005715</v>
      </c>
      <c r="E43" s="550"/>
      <c r="F43" s="552"/>
      <c r="G43" s="560">
        <f>I54*0.01</f>
        <v>4.3482789308154739E-3</v>
      </c>
      <c r="H43" s="560">
        <f>14.223343334285*100/1000*D40/(D43^2)</f>
        <v>4.1829665123745488E-3</v>
      </c>
      <c r="I43" s="605">
        <f>+H43*G43</f>
        <v>1.8188705154064933E-5</v>
      </c>
      <c r="K43" s="620" t="s">
        <v>293</v>
      </c>
      <c r="L43" s="551" t="s">
        <v>286</v>
      </c>
      <c r="M43" s="553" t="e">
        <f>+W70</f>
        <v>#N/A</v>
      </c>
      <c r="N43" s="550"/>
      <c r="O43" s="552"/>
      <c r="P43" s="554" t="e">
        <f>+AB72</f>
        <v>#DIV/0!</v>
      </c>
      <c r="Q43" s="560" t="e">
        <f>((M42-M40)*(M41-M44)/(M43-M41)^2)</f>
        <v>#N/A</v>
      </c>
      <c r="R43" s="560" t="e">
        <f t="shared" si="1"/>
        <v>#DIV/0!</v>
      </c>
      <c r="T43" s="351"/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  <c r="AK43" s="340"/>
      <c r="AL43" s="340"/>
    </row>
    <row r="44" spans="1:38" ht="18.600000000000001" customHeight="1" x14ac:dyDescent="0.25">
      <c r="B44" s="623" t="s">
        <v>246</v>
      </c>
      <c r="C44" s="421" t="s">
        <v>2</v>
      </c>
      <c r="D44" s="624">
        <f>+PRECISION!$C$6</f>
        <v>2.0257508895880236</v>
      </c>
      <c r="E44" s="405"/>
      <c r="F44" s="625" t="s">
        <v>219</v>
      </c>
      <c r="G44" s="626">
        <f>D44/SQRT(1)</f>
        <v>2.0257508895880236</v>
      </c>
      <c r="H44" s="627">
        <v>1</v>
      </c>
      <c r="I44" s="628">
        <f>+G44*H44</f>
        <v>2.0257508895880236</v>
      </c>
      <c r="K44" s="621" t="s">
        <v>282</v>
      </c>
      <c r="L44" s="551" t="s">
        <v>286</v>
      </c>
      <c r="M44" s="553">
        <f>+DATOS!J2</f>
        <v>0</v>
      </c>
      <c r="N44" s="550"/>
      <c r="O44" s="552"/>
      <c r="P44" s="622">
        <v>0.02</v>
      </c>
      <c r="Q44" s="560" t="e">
        <f>+(M42-M40)/(M43-M41)</f>
        <v>#N/A</v>
      </c>
      <c r="R44" s="560" t="e">
        <f t="shared" si="1"/>
        <v>#N/A</v>
      </c>
      <c r="T44" s="351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  <c r="AK44" s="340"/>
      <c r="AL44" s="340"/>
    </row>
    <row r="45" spans="1:38" ht="18.600000000000001" customHeight="1" x14ac:dyDescent="0.25">
      <c r="B45" s="500" t="s">
        <v>247</v>
      </c>
      <c r="C45" s="500"/>
      <c r="D45" s="500"/>
      <c r="E45" s="501"/>
      <c r="F45" s="500"/>
      <c r="G45" s="501"/>
      <c r="H45" s="612" t="s">
        <v>2</v>
      </c>
      <c r="I45" s="612">
        <f>+SQRT(I40^2+I43^2+I44^2)</f>
        <v>2.0260818473095092</v>
      </c>
      <c r="K45" s="623" t="s">
        <v>246</v>
      </c>
      <c r="L45" s="421" t="s">
        <v>2</v>
      </c>
      <c r="M45" s="624">
        <f>+PRECISION!$C$6</f>
        <v>2.0257508895880236</v>
      </c>
      <c r="N45" s="405"/>
      <c r="O45" s="625" t="s">
        <v>219</v>
      </c>
      <c r="P45" s="626">
        <f>M45/SQRT(1)</f>
        <v>2.0257508895880236</v>
      </c>
      <c r="Q45" s="627">
        <v>1</v>
      </c>
      <c r="R45" s="628">
        <f t="shared" si="1"/>
        <v>2.0257508895880236</v>
      </c>
      <c r="T45" s="351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</row>
    <row r="46" spans="1:38" ht="18.600000000000001" customHeight="1" x14ac:dyDescent="0.25">
      <c r="B46" s="500" t="s">
        <v>220</v>
      </c>
      <c r="C46" s="500"/>
      <c r="D46" s="613"/>
      <c r="E46" s="501"/>
      <c r="F46" s="613"/>
      <c r="G46" s="501"/>
      <c r="H46" s="612" t="s">
        <v>2</v>
      </c>
      <c r="I46" s="614">
        <f>I45*2</f>
        <v>4.0521636946190185</v>
      </c>
      <c r="K46" s="629" t="s">
        <v>247</v>
      </c>
      <c r="L46" s="629"/>
      <c r="M46" s="629"/>
      <c r="N46" s="629"/>
      <c r="O46" s="629"/>
      <c r="P46" s="501"/>
      <c r="Q46" s="542" t="s">
        <v>2</v>
      </c>
      <c r="R46" s="542" t="e">
        <f>+SQRT(R40^2+R43^2+R42^2+R41^2+R44^2+R45^2)</f>
        <v>#N/A</v>
      </c>
      <c r="T46" s="351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</row>
    <row r="47" spans="1:38" ht="18.600000000000001" customHeight="1" x14ac:dyDescent="0.25">
      <c r="K47" s="629" t="s">
        <v>220</v>
      </c>
      <c r="L47" s="629"/>
      <c r="M47" s="416"/>
      <c r="N47" s="416"/>
      <c r="O47" s="416"/>
      <c r="P47" s="501"/>
      <c r="Q47" s="542" t="s">
        <v>2</v>
      </c>
      <c r="R47" s="630" t="e">
        <f>R46*2</f>
        <v>#N/A</v>
      </c>
      <c r="T47" s="351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</row>
    <row r="48" spans="1:38" ht="21.75" customHeight="1" x14ac:dyDescent="0.25">
      <c r="B48" s="607" t="s">
        <v>206</v>
      </c>
      <c r="C48" s="608" t="s">
        <v>207</v>
      </c>
      <c r="D48" s="607" t="s">
        <v>208</v>
      </c>
      <c r="E48" s="608" t="s">
        <v>209</v>
      </c>
      <c r="F48" s="608" t="s">
        <v>210</v>
      </c>
      <c r="G48" s="608" t="s">
        <v>239</v>
      </c>
      <c r="H48" s="608" t="s">
        <v>211</v>
      </c>
      <c r="I48" s="608" t="s">
        <v>240</v>
      </c>
      <c r="K48" s="351"/>
      <c r="L48" s="351"/>
      <c r="M48" s="351"/>
      <c r="N48" s="351"/>
      <c r="O48" s="351"/>
      <c r="P48" s="351"/>
      <c r="Q48" s="351"/>
      <c r="R48" s="351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</row>
    <row r="49" spans="2:38" ht="25.95" customHeight="1" x14ac:dyDescent="0.25">
      <c r="B49" s="609" t="s">
        <v>316</v>
      </c>
      <c r="C49" s="450" t="s">
        <v>317</v>
      </c>
      <c r="D49" s="610">
        <f>3.14159*D50*D50/4</f>
        <v>1932.5030603836888</v>
      </c>
      <c r="E49" s="437"/>
      <c r="F49" s="437"/>
      <c r="G49" s="437"/>
      <c r="H49" s="437"/>
      <c r="I49" s="437"/>
      <c r="K49" s="607" t="s">
        <v>206</v>
      </c>
      <c r="L49" s="608" t="s">
        <v>207</v>
      </c>
      <c r="M49" s="607" t="s">
        <v>208</v>
      </c>
      <c r="N49" s="608" t="s">
        <v>209</v>
      </c>
      <c r="O49" s="608" t="s">
        <v>210</v>
      </c>
      <c r="P49" s="608" t="s">
        <v>239</v>
      </c>
      <c r="Q49" s="608" t="s">
        <v>211</v>
      </c>
      <c r="R49" s="608" t="s">
        <v>240</v>
      </c>
      <c r="U49" s="607" t="s">
        <v>206</v>
      </c>
      <c r="V49" s="608" t="s">
        <v>207</v>
      </c>
      <c r="W49" s="607" t="s">
        <v>208</v>
      </c>
      <c r="X49" s="608" t="s">
        <v>209</v>
      </c>
      <c r="Y49" s="608" t="s">
        <v>210</v>
      </c>
      <c r="Z49" s="608" t="s">
        <v>239</v>
      </c>
      <c r="AA49" s="608" t="s">
        <v>211</v>
      </c>
      <c r="AB49" s="608" t="s">
        <v>240</v>
      </c>
      <c r="AC49" s="340"/>
      <c r="AH49" s="340"/>
      <c r="AI49" s="340"/>
      <c r="AJ49" s="340"/>
      <c r="AK49" s="340"/>
      <c r="AL49" s="340"/>
    </row>
    <row r="50" spans="2:38" ht="21.75" customHeight="1" x14ac:dyDescent="0.25">
      <c r="B50" s="611" t="s">
        <v>255</v>
      </c>
      <c r="C50" s="521" t="s">
        <v>5</v>
      </c>
      <c r="D50" s="403">
        <f>+DATOS!$D$8</f>
        <v>49.603844559999999</v>
      </c>
      <c r="E50" s="441"/>
      <c r="F50" s="441"/>
      <c r="G50" s="407">
        <f>SQRT((G51*G51)+(G52*G52)+(G53*G53))</f>
        <v>5.5806212318460519E-3</v>
      </c>
      <c r="H50" s="597">
        <f>3.14159*D50/2</f>
        <v>77.917471015625196</v>
      </c>
      <c r="I50" s="598">
        <f>+G50*H50</f>
        <v>0.43482789308154735</v>
      </c>
      <c r="K50" s="615" t="s">
        <v>259</v>
      </c>
      <c r="L50" s="606" t="s">
        <v>2</v>
      </c>
      <c r="M50" s="562">
        <f>+M51/M54*14.223343334285*100/1000</f>
        <v>8.3166518663380498E-2</v>
      </c>
      <c r="N50" s="562"/>
      <c r="O50" s="450"/>
      <c r="P50" s="450"/>
      <c r="Q50" s="450"/>
      <c r="R50" s="450"/>
      <c r="U50" s="615" t="s">
        <v>162</v>
      </c>
      <c r="V50" s="606" t="s">
        <v>2</v>
      </c>
      <c r="W50" s="562">
        <f>+W51/W54*14.223343334285*100/1000</f>
        <v>8.3166518663380498E-2</v>
      </c>
      <c r="X50" s="562"/>
      <c r="Y50" s="450"/>
      <c r="Z50" s="450"/>
      <c r="AA50" s="538"/>
      <c r="AB50" s="538"/>
      <c r="AC50" s="340"/>
      <c r="AH50" s="340"/>
      <c r="AI50" s="340"/>
      <c r="AJ50" s="340"/>
      <c r="AK50" s="340"/>
      <c r="AL50" s="340"/>
    </row>
    <row r="51" spans="2:38" ht="21.75" customHeight="1" x14ac:dyDescent="0.25">
      <c r="B51" s="589" t="s">
        <v>273</v>
      </c>
      <c r="C51" s="221" t="s">
        <v>5</v>
      </c>
      <c r="D51" s="372"/>
      <c r="E51" s="514">
        <f>+C77</f>
        <v>2.4494897427826908E-3</v>
      </c>
      <c r="F51" s="412" t="s">
        <v>214</v>
      </c>
      <c r="G51" s="413">
        <f>+E51</f>
        <v>2.4494897427826908E-3</v>
      </c>
      <c r="H51" s="437"/>
      <c r="I51" s="437"/>
      <c r="K51" s="616" t="s">
        <v>310</v>
      </c>
      <c r="L51" s="499" t="s">
        <v>313</v>
      </c>
      <c r="M51" s="505">
        <f>+'INFORME-2'!$V$55*M54*0.393701^2*0.453592</f>
        <v>1.129971229796175</v>
      </c>
      <c r="N51" s="550"/>
      <c r="O51" s="552"/>
      <c r="P51" s="604">
        <f>SQRT((P52*P52+P53*P53))</f>
        <v>4.9418355248927561</v>
      </c>
      <c r="Q51" s="560">
        <f>1/M54*14.223343334285*100/1000</f>
        <v>7.3600562979273504E-2</v>
      </c>
      <c r="R51" s="605">
        <f>+Q51*P51</f>
        <v>0.36372187678308043</v>
      </c>
      <c r="U51" s="616" t="s">
        <v>310</v>
      </c>
      <c r="V51" s="499" t="s">
        <v>313</v>
      </c>
      <c r="W51" s="505">
        <f>+'INFORME-2'!Y55*W54*0.393701^2*0.453592</f>
        <v>1.129971229796175</v>
      </c>
      <c r="X51" s="550"/>
      <c r="Y51" s="552"/>
      <c r="Z51" s="604">
        <f>SQRT((Z52*Z52+Z53*Z53))</f>
        <v>2.8989388653631629E-2</v>
      </c>
      <c r="AA51" s="560">
        <f>1/W54*14.223343334285*100/1000</f>
        <v>7.3600562979273504E-2</v>
      </c>
      <c r="AB51" s="605">
        <f>+AA51*Z51</f>
        <v>2.1336353253322516E-3</v>
      </c>
      <c r="AC51" s="340"/>
      <c r="AH51" s="351"/>
      <c r="AI51" s="340"/>
      <c r="AJ51" s="340"/>
      <c r="AK51" s="340"/>
      <c r="AL51" s="340"/>
    </row>
    <row r="52" spans="2:38" ht="21.75" customHeight="1" x14ac:dyDescent="0.25">
      <c r="B52" s="589" t="s">
        <v>215</v>
      </c>
      <c r="C52" s="221" t="s">
        <v>5</v>
      </c>
      <c r="D52" s="515"/>
      <c r="E52" s="514">
        <v>8.2000000000000007E-3</v>
      </c>
      <c r="F52" s="516" t="s">
        <v>216</v>
      </c>
      <c r="G52" s="517">
        <f>+E52/2</f>
        <v>4.1000000000000003E-3</v>
      </c>
      <c r="H52" s="437"/>
      <c r="I52" s="437"/>
      <c r="K52" s="617" t="s">
        <v>215</v>
      </c>
      <c r="L52" s="457" t="s">
        <v>313</v>
      </c>
      <c r="M52" s="562"/>
      <c r="N52" s="593">
        <f>+$D$58</f>
        <v>-9.8835024200449766</v>
      </c>
      <c r="O52" s="416" t="s">
        <v>320</v>
      </c>
      <c r="P52" s="618">
        <f>+N52/2</f>
        <v>-4.9417512100224883</v>
      </c>
      <c r="Q52" s="450"/>
      <c r="R52" s="450"/>
      <c r="U52" s="617" t="s">
        <v>215</v>
      </c>
      <c r="V52" s="457" t="s">
        <v>313</v>
      </c>
      <c r="W52" s="562"/>
      <c r="X52" s="593">
        <f>+E58</f>
        <v>5.3108647800420225E-3</v>
      </c>
      <c r="Y52" s="416" t="s">
        <v>320</v>
      </c>
      <c r="Z52" s="618">
        <f>+X52/2</f>
        <v>2.6554323900210113E-3</v>
      </c>
      <c r="AA52" s="450"/>
      <c r="AB52" s="450"/>
      <c r="AC52" s="340"/>
      <c r="AH52" s="351"/>
      <c r="AI52" s="340"/>
      <c r="AJ52" s="340"/>
      <c r="AK52" s="340"/>
      <c r="AL52" s="340"/>
    </row>
    <row r="53" spans="2:38" ht="21.75" customHeight="1" x14ac:dyDescent="0.25">
      <c r="B53" s="589" t="s">
        <v>217</v>
      </c>
      <c r="C53" s="221" t="s">
        <v>5</v>
      </c>
      <c r="D53" s="515"/>
      <c r="E53" s="590">
        <v>0.01</v>
      </c>
      <c r="F53" s="520" t="s">
        <v>218</v>
      </c>
      <c r="G53" s="517">
        <f>+E53/SQRT(3)/2</f>
        <v>2.886751345948129E-3</v>
      </c>
      <c r="H53" s="437"/>
      <c r="I53" s="437"/>
      <c r="K53" s="589" t="s">
        <v>217</v>
      </c>
      <c r="L53" s="457" t="s">
        <v>313</v>
      </c>
      <c r="M53" s="562"/>
      <c r="N53" s="590">
        <v>0.1</v>
      </c>
      <c r="O53" s="520" t="s">
        <v>218</v>
      </c>
      <c r="P53" s="517">
        <f>+N53/SQRT(3)/2</f>
        <v>2.8867513459481291E-2</v>
      </c>
      <c r="Q53" s="450"/>
      <c r="R53" s="450"/>
      <c r="U53" s="589" t="s">
        <v>217</v>
      </c>
      <c r="V53" s="457" t="s">
        <v>313</v>
      </c>
      <c r="W53" s="562"/>
      <c r="X53" s="590">
        <v>0.1</v>
      </c>
      <c r="Y53" s="520" t="s">
        <v>218</v>
      </c>
      <c r="Z53" s="517">
        <f>+X53/SQRT(3)/2</f>
        <v>2.8867513459481291E-2</v>
      </c>
      <c r="AA53" s="450"/>
      <c r="AB53" s="450"/>
      <c r="AC53" s="340"/>
      <c r="AH53" s="351"/>
      <c r="AI53" s="340"/>
      <c r="AJ53" s="340"/>
      <c r="AK53" s="340"/>
      <c r="AL53" s="340"/>
    </row>
    <row r="54" spans="2:38" ht="21.75" customHeight="1" x14ac:dyDescent="0.25">
      <c r="B54" s="500" t="s">
        <v>247</v>
      </c>
      <c r="C54" s="500"/>
      <c r="D54" s="500"/>
      <c r="E54" s="501"/>
      <c r="F54" s="500"/>
      <c r="G54" s="501"/>
      <c r="H54" s="612" t="s">
        <v>317</v>
      </c>
      <c r="I54" s="612">
        <f>+SQRT(I50^2)</f>
        <v>0.43482789308154735</v>
      </c>
      <c r="K54" s="616" t="s">
        <v>311</v>
      </c>
      <c r="L54" s="499" t="s">
        <v>312</v>
      </c>
      <c r="M54" s="505">
        <f>+DATOS!$D$9</f>
        <v>19.325046927005715</v>
      </c>
      <c r="N54" s="550"/>
      <c r="O54" s="552"/>
      <c r="P54" s="560">
        <f>$R$117*0.01</f>
        <v>4.3482789308154739E-3</v>
      </c>
      <c r="Q54" s="560">
        <f>14.223343334285*100/1000*M51/(M54^2)</f>
        <v>4.3035610199300359E-3</v>
      </c>
      <c r="R54" s="605">
        <f>+Q54*P54</f>
        <v>1.8713083710440528E-5</v>
      </c>
      <c r="U54" s="616" t="s">
        <v>311</v>
      </c>
      <c r="V54" s="499" t="s">
        <v>312</v>
      </c>
      <c r="W54" s="505">
        <f>+DATOS!$D$9</f>
        <v>19.325046927005715</v>
      </c>
      <c r="X54" s="550"/>
      <c r="Y54" s="552"/>
      <c r="Z54" s="560">
        <f>+R117*0.01</f>
        <v>4.3482789308154739E-3</v>
      </c>
      <c r="AA54" s="560">
        <f>14.223343334285*100/1000*W51/(W54^2)</f>
        <v>4.3035610199300359E-3</v>
      </c>
      <c r="AB54" s="605">
        <f>+AA54*Z54</f>
        <v>1.8713083710440528E-5</v>
      </c>
      <c r="AC54" s="340"/>
      <c r="AH54" s="351"/>
      <c r="AI54" s="340"/>
      <c r="AJ54" s="340"/>
      <c r="AK54" s="340"/>
      <c r="AL54" s="340"/>
    </row>
    <row r="55" spans="2:38" ht="21.75" customHeight="1" x14ac:dyDescent="0.25">
      <c r="B55" s="500" t="s">
        <v>220</v>
      </c>
      <c r="C55" s="500"/>
      <c r="D55" s="613"/>
      <c r="E55" s="501"/>
      <c r="F55" s="613"/>
      <c r="G55" s="501"/>
      <c r="H55" s="612" t="s">
        <v>317</v>
      </c>
      <c r="I55" s="614">
        <f>I54*2</f>
        <v>0.86965578616309469</v>
      </c>
      <c r="K55" s="500" t="s">
        <v>247</v>
      </c>
      <c r="L55" s="500"/>
      <c r="M55" s="500"/>
      <c r="N55" s="501"/>
      <c r="O55" s="500"/>
      <c r="P55" s="501"/>
      <c r="Q55" s="612" t="s">
        <v>2</v>
      </c>
      <c r="R55" s="612">
        <f>+SQRT(R51^2+R54^2)</f>
        <v>0.36372187726446403</v>
      </c>
      <c r="U55" s="500" t="s">
        <v>247</v>
      </c>
      <c r="V55" s="500"/>
      <c r="W55" s="500"/>
      <c r="X55" s="501"/>
      <c r="Y55" s="500"/>
      <c r="Z55" s="501"/>
      <c r="AA55" s="612" t="s">
        <v>2</v>
      </c>
      <c r="AB55" s="612">
        <f>+SQRT(AB51^2+AB54^2)</f>
        <v>2.1337173854584436E-3</v>
      </c>
      <c r="AC55" s="340"/>
      <c r="AH55" s="351"/>
      <c r="AI55" s="340"/>
      <c r="AJ55" s="340"/>
      <c r="AK55" s="340"/>
      <c r="AL55" s="340"/>
    </row>
    <row r="56" spans="2:38" ht="21.75" customHeight="1" x14ac:dyDescent="0.25">
      <c r="K56" s="500" t="s">
        <v>220</v>
      </c>
      <c r="L56" s="500"/>
      <c r="M56" s="613"/>
      <c r="N56" s="501"/>
      <c r="O56" s="613"/>
      <c r="P56" s="501"/>
      <c r="Q56" s="612" t="s">
        <v>2</v>
      </c>
      <c r="R56" s="614">
        <f>R55*2</f>
        <v>0.72744375452892807</v>
      </c>
      <c r="U56" s="500" t="s">
        <v>220</v>
      </c>
      <c r="V56" s="500"/>
      <c r="W56" s="613"/>
      <c r="X56" s="501"/>
      <c r="Y56" s="613"/>
      <c r="Z56" s="501"/>
      <c r="AA56" s="612" t="s">
        <v>2</v>
      </c>
      <c r="AB56" s="614">
        <f>AB55*2</f>
        <v>4.2674347709168873E-3</v>
      </c>
      <c r="AC56" s="340"/>
      <c r="AH56" s="351"/>
      <c r="AI56" s="340"/>
      <c r="AJ56" s="340"/>
      <c r="AK56" s="340"/>
      <c r="AL56" s="340"/>
    </row>
    <row r="57" spans="2:38" ht="21.75" customHeight="1" x14ac:dyDescent="0.25">
      <c r="K57" s="351"/>
      <c r="L57" s="351"/>
      <c r="M57" s="351"/>
      <c r="N57" s="351"/>
      <c r="O57" s="351"/>
      <c r="P57" s="351"/>
      <c r="Q57" s="351" t="s">
        <v>318</v>
      </c>
      <c r="R57" s="351"/>
      <c r="Z57" s="340"/>
      <c r="AA57" s="340"/>
      <c r="AB57" s="340"/>
      <c r="AC57" s="340"/>
      <c r="AH57" s="340"/>
      <c r="AI57" s="340"/>
      <c r="AJ57" s="340"/>
      <c r="AK57" s="340"/>
      <c r="AL57" s="340"/>
    </row>
    <row r="58" spans="2:38" ht="27.6" customHeight="1" x14ac:dyDescent="0.25">
      <c r="B58" s="591" t="s">
        <v>315</v>
      </c>
      <c r="C58" s="591" t="s">
        <v>314</v>
      </c>
      <c r="D58" s="592">
        <f>+FORECAST(M51,C60:C61,B60:B61)</f>
        <v>-9.8835024200449766</v>
      </c>
      <c r="E58" s="592">
        <f>+FORECAST(W51,C59:C60,B59:B60)</f>
        <v>5.3108647800420225E-3</v>
      </c>
      <c r="F58" s="543">
        <v>0.1</v>
      </c>
      <c r="K58" s="607" t="s">
        <v>206</v>
      </c>
      <c r="L58" s="608" t="s">
        <v>207</v>
      </c>
      <c r="M58" s="607" t="s">
        <v>208</v>
      </c>
      <c r="N58" s="608" t="s">
        <v>209</v>
      </c>
      <c r="O58" s="608" t="s">
        <v>210</v>
      </c>
      <c r="P58" s="608" t="s">
        <v>239</v>
      </c>
      <c r="Q58" s="608" t="s">
        <v>211</v>
      </c>
      <c r="R58" s="608" t="s">
        <v>240</v>
      </c>
      <c r="S58" s="351"/>
      <c r="T58" s="351"/>
      <c r="U58" s="607" t="s">
        <v>206</v>
      </c>
      <c r="V58" s="608" t="s">
        <v>207</v>
      </c>
      <c r="W58" s="607" t="s">
        <v>208</v>
      </c>
      <c r="X58" s="608" t="s">
        <v>209</v>
      </c>
      <c r="Y58" s="608" t="s">
        <v>210</v>
      </c>
      <c r="Z58" s="608" t="s">
        <v>239</v>
      </c>
      <c r="AA58" s="608" t="s">
        <v>211</v>
      </c>
      <c r="AB58" s="608" t="s">
        <v>240</v>
      </c>
      <c r="AC58" s="340"/>
      <c r="AH58" s="340"/>
      <c r="AI58" s="340"/>
      <c r="AJ58" s="340"/>
      <c r="AK58" s="340"/>
      <c r="AL58" s="340"/>
    </row>
    <row r="59" spans="2:38" ht="21.75" customHeight="1" x14ac:dyDescent="0.25">
      <c r="B59" s="591">
        <v>0</v>
      </c>
      <c r="C59" s="591">
        <v>0</v>
      </c>
      <c r="D59" s="592">
        <f>+FORECAST(M60,C62:C63,B62:B63)</f>
        <v>-0.99341015713411085</v>
      </c>
      <c r="E59" s="592">
        <f>+FORECAST(W60,C61:C62,B61:B62)</f>
        <v>14.99780338571137</v>
      </c>
      <c r="F59" s="543">
        <v>0.2</v>
      </c>
      <c r="K59" s="615" t="s">
        <v>321</v>
      </c>
      <c r="L59" s="606" t="s">
        <v>2</v>
      </c>
      <c r="M59" s="562">
        <f>+M60/M63*14.223343334285*100/1500</f>
        <v>5.389068276382105E-2</v>
      </c>
      <c r="N59" s="562"/>
      <c r="O59" s="450"/>
      <c r="P59" s="450"/>
      <c r="Q59" s="450"/>
      <c r="R59" s="450"/>
      <c r="S59" s="351"/>
      <c r="T59" s="351"/>
      <c r="U59" s="615" t="s">
        <v>163</v>
      </c>
      <c r="V59" s="606" t="s">
        <v>2</v>
      </c>
      <c r="W59" s="562">
        <f>+W60/W63*14.223343334285*100/1500</f>
        <v>5.389068276382105E-2</v>
      </c>
      <c r="X59" s="562"/>
      <c r="Y59" s="450"/>
      <c r="Z59" s="450"/>
      <c r="AA59" s="538"/>
      <c r="AB59" s="538"/>
      <c r="AC59" s="340"/>
      <c r="AH59" s="340"/>
      <c r="AI59" s="340"/>
      <c r="AJ59" s="340"/>
      <c r="AK59" s="340"/>
      <c r="AL59" s="340"/>
    </row>
    <row r="60" spans="2:38" ht="21.75" customHeight="1" x14ac:dyDescent="0.25">
      <c r="B60" s="591">
        <v>1000</v>
      </c>
      <c r="C60" s="591">
        <v>4.7</v>
      </c>
      <c r="D60" s="425"/>
      <c r="E60" s="351"/>
      <c r="K60" s="616" t="s">
        <v>310</v>
      </c>
      <c r="L60" s="499" t="s">
        <v>313</v>
      </c>
      <c r="M60" s="505">
        <f>+'INFORME-2'!$V$56*M63*0.393701^2*0.453592</f>
        <v>1.0983071443148558</v>
      </c>
      <c r="N60" s="550"/>
      <c r="O60" s="552"/>
      <c r="P60" s="604">
        <f>SQRT((P61*P61+P62*P62))</f>
        <v>0.49754323270208189</v>
      </c>
      <c r="Q60" s="560">
        <f>1/M63*14.223343334285*100/1000</f>
        <v>7.3600562979273504E-2</v>
      </c>
      <c r="R60" s="605">
        <f>+Q60*P60</f>
        <v>3.6619462033400912E-2</v>
      </c>
      <c r="S60" s="351"/>
      <c r="T60" s="351"/>
      <c r="U60" s="616" t="s">
        <v>310</v>
      </c>
      <c r="V60" s="499" t="s">
        <v>313</v>
      </c>
      <c r="W60" s="505">
        <f>+'INFORME-2'!Y56*W63*0.393701^2*0.453592</f>
        <v>1.0983071443148558</v>
      </c>
      <c r="X60" s="550"/>
      <c r="Y60" s="552"/>
      <c r="Z60" s="604">
        <f>SQRT((Z61*Z61+Z62*Z62))</f>
        <v>7.49895725634219</v>
      </c>
      <c r="AA60" s="560">
        <f>1/W63*14.223343334285*100/1000</f>
        <v>7.3600562979273504E-2</v>
      </c>
      <c r="AB60" s="605">
        <f>+AA60*Z60</f>
        <v>0.55192747582429336</v>
      </c>
      <c r="AC60" s="340"/>
      <c r="AD60" s="340"/>
      <c r="AE60" s="340"/>
      <c r="AF60" s="340"/>
      <c r="AG60" s="340"/>
      <c r="AH60" s="340"/>
      <c r="AI60" s="340"/>
      <c r="AJ60" s="340"/>
      <c r="AK60" s="340"/>
      <c r="AL60" s="340"/>
    </row>
    <row r="61" spans="2:38" ht="21.75" customHeight="1" x14ac:dyDescent="0.25">
      <c r="B61" s="591">
        <v>1500</v>
      </c>
      <c r="C61" s="591">
        <v>12</v>
      </c>
      <c r="D61" s="425"/>
      <c r="E61" s="351"/>
      <c r="K61" s="617" t="s">
        <v>215</v>
      </c>
      <c r="L61" s="457" t="s">
        <v>313</v>
      </c>
      <c r="M61" s="562"/>
      <c r="N61" s="593">
        <f>+$D$59</f>
        <v>-0.99341015713411085</v>
      </c>
      <c r="O61" s="416" t="s">
        <v>320</v>
      </c>
      <c r="P61" s="618">
        <f>+N61/2</f>
        <v>-0.49670507856705542</v>
      </c>
      <c r="Q61" s="450"/>
      <c r="R61" s="450"/>
      <c r="S61" s="351"/>
      <c r="T61" s="351"/>
      <c r="U61" s="617" t="s">
        <v>215</v>
      </c>
      <c r="V61" s="457" t="s">
        <v>313</v>
      </c>
      <c r="W61" s="562"/>
      <c r="X61" s="593">
        <f>+E59</f>
        <v>14.99780338571137</v>
      </c>
      <c r="Y61" s="416" t="s">
        <v>320</v>
      </c>
      <c r="Z61" s="618">
        <f>+X61/2</f>
        <v>7.4989016928556849</v>
      </c>
      <c r="AA61" s="450"/>
      <c r="AB61" s="450"/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</row>
    <row r="62" spans="2:38" ht="21.75" customHeight="1" x14ac:dyDescent="0.25">
      <c r="B62" s="591">
        <v>2000</v>
      </c>
      <c r="C62" s="591">
        <v>11</v>
      </c>
      <c r="D62" s="425"/>
      <c r="E62" s="351"/>
      <c r="K62" s="589" t="s">
        <v>217</v>
      </c>
      <c r="L62" s="457" t="s">
        <v>313</v>
      </c>
      <c r="M62" s="562"/>
      <c r="N62" s="590">
        <v>0.1</v>
      </c>
      <c r="O62" s="520" t="s">
        <v>218</v>
      </c>
      <c r="P62" s="517">
        <f>+N62/SQRT(3)/2</f>
        <v>2.8867513459481291E-2</v>
      </c>
      <c r="Q62" s="450"/>
      <c r="R62" s="450"/>
      <c r="S62" s="351"/>
      <c r="T62" s="351"/>
      <c r="U62" s="589" t="s">
        <v>217</v>
      </c>
      <c r="V62" s="457" t="s">
        <v>313</v>
      </c>
      <c r="W62" s="562"/>
      <c r="X62" s="590">
        <v>0.1</v>
      </c>
      <c r="Y62" s="520" t="s">
        <v>218</v>
      </c>
      <c r="Z62" s="517">
        <f>+X62/SQRT(3)/2</f>
        <v>2.8867513459481291E-2</v>
      </c>
      <c r="AA62" s="450"/>
      <c r="AB62" s="45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</row>
    <row r="63" spans="2:38" ht="21.75" customHeight="1" x14ac:dyDescent="0.25">
      <c r="B63" s="591">
        <v>2500</v>
      </c>
      <c r="C63" s="591">
        <v>14</v>
      </c>
      <c r="D63" s="425"/>
      <c r="E63" s="351"/>
      <c r="K63" s="616" t="s">
        <v>311</v>
      </c>
      <c r="L63" s="499" t="s">
        <v>312</v>
      </c>
      <c r="M63" s="505">
        <f>+DATOS!$D$9</f>
        <v>19.325046927005715</v>
      </c>
      <c r="N63" s="550"/>
      <c r="O63" s="552"/>
      <c r="P63" s="560">
        <f>$R$117*0.01</f>
        <v>4.3482789308154739E-3</v>
      </c>
      <c r="Q63" s="560">
        <f>14.223343334285*100/1000*M60/(M63^2)</f>
        <v>4.1829665123745488E-3</v>
      </c>
      <c r="R63" s="594">
        <f>+Q63*P63</f>
        <v>1.8188705154064933E-5</v>
      </c>
      <c r="S63" s="351"/>
      <c r="T63" s="351"/>
      <c r="U63" s="616" t="s">
        <v>311</v>
      </c>
      <c r="V63" s="499" t="s">
        <v>312</v>
      </c>
      <c r="W63" s="505">
        <f>+DATOS!$D$9</f>
        <v>19.325046927005715</v>
      </c>
      <c r="X63" s="550"/>
      <c r="Y63" s="552"/>
      <c r="Z63" s="560" t="e">
        <f>+Q82*0.01</f>
        <v>#DIV/0!</v>
      </c>
      <c r="AA63" s="560">
        <f>14.223343334285*100/1000*W60/(W63^2)</f>
        <v>4.1829665123745488E-3</v>
      </c>
      <c r="AB63" s="605" t="e">
        <f>+AA63*Z63</f>
        <v>#DIV/0!</v>
      </c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</row>
    <row r="64" spans="2:38" ht="21.75" customHeight="1" x14ac:dyDescent="0.25">
      <c r="B64" s="591">
        <v>3000</v>
      </c>
      <c r="C64" s="591">
        <v>16</v>
      </c>
      <c r="D64" s="425"/>
      <c r="E64" s="351"/>
      <c r="K64" s="500" t="s">
        <v>247</v>
      </c>
      <c r="L64" s="500"/>
      <c r="M64" s="500"/>
      <c r="N64" s="501"/>
      <c r="O64" s="500"/>
      <c r="P64" s="501"/>
      <c r="Q64" s="612" t="s">
        <v>2</v>
      </c>
      <c r="R64" s="612">
        <f>+SQRT(R60^2+R63^2)</f>
        <v>3.6619466550520452E-2</v>
      </c>
      <c r="S64" s="351"/>
      <c r="T64" s="351"/>
      <c r="U64" s="500" t="s">
        <v>247</v>
      </c>
      <c r="V64" s="500"/>
      <c r="W64" s="500"/>
      <c r="X64" s="501"/>
      <c r="Y64" s="500"/>
      <c r="Z64" s="501"/>
      <c r="AA64" s="612" t="s">
        <v>2</v>
      </c>
      <c r="AB64" s="612" t="e">
        <f>+SQRT(AB60^2+AB63^2)</f>
        <v>#DIV/0!</v>
      </c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</row>
    <row r="65" spans="1:38" ht="21.75" customHeight="1" x14ac:dyDescent="0.25">
      <c r="B65" s="591">
        <v>3500</v>
      </c>
      <c r="C65" s="591">
        <v>15</v>
      </c>
      <c r="D65" s="425"/>
      <c r="E65" s="351"/>
      <c r="K65" s="500" t="s">
        <v>220</v>
      </c>
      <c r="L65" s="500"/>
      <c r="M65" s="613"/>
      <c r="N65" s="501"/>
      <c r="O65" s="613"/>
      <c r="P65" s="501"/>
      <c r="Q65" s="612" t="s">
        <v>2</v>
      </c>
      <c r="R65" s="614">
        <f>R64*2</f>
        <v>7.3238933101040904E-2</v>
      </c>
      <c r="S65" s="351"/>
      <c r="T65" s="351"/>
      <c r="U65" s="500" t="s">
        <v>220</v>
      </c>
      <c r="V65" s="500"/>
      <c r="W65" s="613"/>
      <c r="X65" s="501"/>
      <c r="Y65" s="613"/>
      <c r="Z65" s="501"/>
      <c r="AA65" s="612" t="s">
        <v>2</v>
      </c>
      <c r="AB65" s="614" t="e">
        <f>AB64*2</f>
        <v>#DIV/0!</v>
      </c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</row>
    <row r="66" spans="1:38" ht="21.75" customHeight="1" x14ac:dyDescent="0.25">
      <c r="B66" s="591">
        <v>4000</v>
      </c>
      <c r="C66" s="591">
        <v>17</v>
      </c>
      <c r="D66" s="425"/>
      <c r="E66" s="340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340"/>
      <c r="AL66" s="340"/>
    </row>
    <row r="67" spans="1:38" ht="21.75" customHeight="1" x14ac:dyDescent="0.25">
      <c r="B67" s="591">
        <v>4500</v>
      </c>
      <c r="C67" s="591">
        <v>21</v>
      </c>
      <c r="D67" s="425"/>
      <c r="E67" s="340"/>
      <c r="K67" s="1016" t="s">
        <v>55</v>
      </c>
      <c r="L67" s="1017"/>
      <c r="M67" s="1017"/>
      <c r="N67" s="1017"/>
      <c r="O67" s="1017"/>
      <c r="P67" s="1017"/>
      <c r="Q67" s="1017"/>
      <c r="R67" s="1018"/>
      <c r="S67" s="351"/>
      <c r="T67" s="351"/>
      <c r="U67" s="1016" t="s">
        <v>82</v>
      </c>
      <c r="V67" s="1017"/>
      <c r="W67" s="1017"/>
      <c r="X67" s="1017"/>
      <c r="Y67" s="1017"/>
      <c r="Z67" s="1017"/>
      <c r="AA67" s="1017"/>
      <c r="AB67" s="1018"/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</row>
    <row r="68" spans="1:38" ht="12.75" customHeight="1" x14ac:dyDescent="0.25">
      <c r="B68" s="591">
        <v>4995</v>
      </c>
      <c r="C68" s="591">
        <v>21</v>
      </c>
      <c r="D68" s="425"/>
      <c r="E68" s="340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</row>
    <row r="69" spans="1:38" ht="27" customHeight="1" x14ac:dyDescent="0.25">
      <c r="K69" s="498" t="s">
        <v>206</v>
      </c>
      <c r="L69" s="499" t="s">
        <v>207</v>
      </c>
      <c r="M69" s="498" t="s">
        <v>208</v>
      </c>
      <c r="N69" s="499" t="s">
        <v>209</v>
      </c>
      <c r="O69" s="499" t="s">
        <v>210</v>
      </c>
      <c r="P69" s="499" t="s">
        <v>239</v>
      </c>
      <c r="Q69" s="499" t="s">
        <v>211</v>
      </c>
      <c r="R69" s="499" t="s">
        <v>240</v>
      </c>
      <c r="T69" s="351"/>
      <c r="U69" s="498" t="s">
        <v>206</v>
      </c>
      <c r="V69" s="499" t="s">
        <v>207</v>
      </c>
      <c r="W69" s="498" t="s">
        <v>208</v>
      </c>
      <c r="X69" s="499" t="s">
        <v>209</v>
      </c>
      <c r="Y69" s="499" t="s">
        <v>210</v>
      </c>
      <c r="Z69" s="499" t="s">
        <v>239</v>
      </c>
      <c r="AA69" s="499" t="s">
        <v>211</v>
      </c>
      <c r="AB69" s="499" t="s">
        <v>240</v>
      </c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</row>
    <row r="70" spans="1:38" ht="21.6" customHeight="1" x14ac:dyDescent="0.25">
      <c r="B70" s="662" t="s">
        <v>319</v>
      </c>
      <c r="C70" s="540"/>
      <c r="K70" s="230" t="s">
        <v>46</v>
      </c>
      <c r="L70" s="548" t="s">
        <v>286</v>
      </c>
      <c r="M70" s="434" t="e">
        <f>+M71*9.806</f>
        <v>#N/A</v>
      </c>
      <c r="N70" s="501"/>
      <c r="O70" s="556"/>
      <c r="P70" s="450"/>
      <c r="Q70" s="450"/>
      <c r="R70" s="450"/>
      <c r="T70" s="351"/>
      <c r="U70" s="230" t="s">
        <v>46</v>
      </c>
      <c r="V70" s="548" t="s">
        <v>286</v>
      </c>
      <c r="W70" s="434" t="e">
        <f>+W71*9.806</f>
        <v>#N/A</v>
      </c>
      <c r="X70" s="501"/>
      <c r="Y70" s="556"/>
      <c r="Z70" s="450"/>
      <c r="AA70" s="450"/>
      <c r="AB70" s="45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</row>
    <row r="71" spans="1:38" ht="21.6" customHeight="1" x14ac:dyDescent="0.25">
      <c r="B71" s="535" t="s">
        <v>274</v>
      </c>
      <c r="C71" s="536" t="s">
        <v>275</v>
      </c>
      <c r="K71" s="508" t="s">
        <v>35</v>
      </c>
      <c r="L71" s="551" t="s">
        <v>280</v>
      </c>
      <c r="M71" s="557" t="e">
        <f>+M75</f>
        <v>#N/A</v>
      </c>
      <c r="N71" s="550"/>
      <c r="O71" s="558"/>
      <c r="P71" s="554" t="e">
        <f>+R78</f>
        <v>#DIV/0!</v>
      </c>
      <c r="Q71" s="552">
        <v>1</v>
      </c>
      <c r="R71" s="554" t="e">
        <f>+P71*Q71</f>
        <v>#DIV/0!</v>
      </c>
      <c r="T71" s="351"/>
      <c r="U71" s="508" t="s">
        <v>35</v>
      </c>
      <c r="V71" s="551" t="s">
        <v>280</v>
      </c>
      <c r="W71" s="557" t="e">
        <f>+W75</f>
        <v>#N/A</v>
      </c>
      <c r="X71" s="550"/>
      <c r="Y71" s="558"/>
      <c r="Z71" s="554" t="e">
        <f>+AB78</f>
        <v>#DIV/0!</v>
      </c>
      <c r="AA71" s="552">
        <v>1</v>
      </c>
      <c r="AB71" s="554" t="e">
        <f>+Z71*AA71</f>
        <v>#DIV/0!</v>
      </c>
      <c r="AD71" s="340"/>
      <c r="AE71" s="340"/>
      <c r="AF71" s="340"/>
      <c r="AG71" s="340"/>
      <c r="AH71" s="340"/>
      <c r="AI71" s="340"/>
      <c r="AJ71" s="340"/>
      <c r="AK71" s="340"/>
      <c r="AL71" s="340"/>
    </row>
    <row r="72" spans="1:38" ht="21.6" customHeight="1" x14ac:dyDescent="0.25">
      <c r="B72" s="451">
        <v>1</v>
      </c>
      <c r="C72" s="537">
        <f>+DATOS!AB4</f>
        <v>49.6</v>
      </c>
      <c r="K72" s="500" t="s">
        <v>247</v>
      </c>
      <c r="L72" s="501"/>
      <c r="M72" s="500"/>
      <c r="N72" s="500"/>
      <c r="O72" s="500"/>
      <c r="P72" s="501"/>
      <c r="Q72" s="548" t="s">
        <v>286</v>
      </c>
      <c r="R72" s="561" t="e">
        <f>+SQRT(R71*R71)</f>
        <v>#DIV/0!</v>
      </c>
      <c r="T72" s="351"/>
      <c r="U72" s="500" t="s">
        <v>247</v>
      </c>
      <c r="V72" s="501"/>
      <c r="W72" s="500"/>
      <c r="X72" s="500"/>
      <c r="Y72" s="500"/>
      <c r="Z72" s="501"/>
      <c r="AA72" s="548" t="s">
        <v>45</v>
      </c>
      <c r="AB72" s="561" t="e">
        <f>+SQRT(AB71*AB71)</f>
        <v>#DIV/0!</v>
      </c>
      <c r="AD72" s="340"/>
      <c r="AE72" s="340"/>
      <c r="AF72" s="340"/>
      <c r="AG72" s="340"/>
      <c r="AH72" s="340"/>
      <c r="AI72" s="340"/>
      <c r="AJ72" s="340"/>
      <c r="AK72" s="340"/>
      <c r="AL72" s="340"/>
    </row>
    <row r="73" spans="1:38" s="373" customFormat="1" ht="12.75" customHeight="1" x14ac:dyDescent="0.25">
      <c r="A73" s="509"/>
      <c r="B73" s="451">
        <v>2</v>
      </c>
      <c r="C73" s="537">
        <f>+DATOS!AB5</f>
        <v>49.61</v>
      </c>
      <c r="D73" s="509"/>
      <c r="E73" s="509"/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09"/>
      <c r="AB73" s="509"/>
      <c r="AD73" s="340"/>
      <c r="AE73" s="340"/>
      <c r="AF73" s="340"/>
      <c r="AG73" s="340"/>
      <c r="AH73" s="340"/>
      <c r="AI73" s="340"/>
      <c r="AJ73" s="340"/>
      <c r="AK73" s="340"/>
      <c r="AL73" s="340"/>
    </row>
    <row r="74" spans="1:38" ht="27" customHeight="1" x14ac:dyDescent="0.25">
      <c r="B74" s="451">
        <v>3</v>
      </c>
      <c r="C74" s="537">
        <f>+DATOS!AB6</f>
        <v>49.6</v>
      </c>
      <c r="K74" s="498" t="s">
        <v>206</v>
      </c>
      <c r="L74" s="499" t="s">
        <v>207</v>
      </c>
      <c r="M74" s="498" t="s">
        <v>208</v>
      </c>
      <c r="N74" s="499" t="s">
        <v>209</v>
      </c>
      <c r="O74" s="499" t="s">
        <v>210</v>
      </c>
      <c r="P74" s="499" t="s">
        <v>239</v>
      </c>
      <c r="Q74" s="499" t="s">
        <v>211</v>
      </c>
      <c r="R74" s="499" t="s">
        <v>240</v>
      </c>
      <c r="T74" s="351"/>
      <c r="U74" s="498" t="s">
        <v>206</v>
      </c>
      <c r="V74" s="499" t="s">
        <v>207</v>
      </c>
      <c r="W74" s="498" t="s">
        <v>208</v>
      </c>
      <c r="X74" s="499" t="s">
        <v>209</v>
      </c>
      <c r="Y74" s="499" t="s">
        <v>210</v>
      </c>
      <c r="Z74" s="499" t="s">
        <v>239</v>
      </c>
      <c r="AA74" s="499" t="s">
        <v>211</v>
      </c>
      <c r="AB74" s="499" t="s">
        <v>240</v>
      </c>
      <c r="AD74" s="340"/>
      <c r="AE74" s="340"/>
      <c r="AF74" s="340"/>
      <c r="AG74" s="340"/>
      <c r="AH74" s="340"/>
      <c r="AI74" s="340"/>
      <c r="AJ74" s="340"/>
      <c r="AK74" s="340"/>
      <c r="AL74" s="340"/>
    </row>
    <row r="75" spans="1:38" ht="21.75" customHeight="1" x14ac:dyDescent="0.25">
      <c r="B75" s="451">
        <v>4</v>
      </c>
      <c r="C75" s="537">
        <f>+DATOS!AB7</f>
        <v>49.6</v>
      </c>
      <c r="K75" s="230" t="s">
        <v>35</v>
      </c>
      <c r="L75" s="548" t="s">
        <v>280</v>
      </c>
      <c r="M75" s="443" t="e">
        <f>+M76/M77</f>
        <v>#N/A</v>
      </c>
      <c r="N75" s="501"/>
      <c r="O75" s="450"/>
      <c r="P75" s="450"/>
      <c r="Q75" s="450"/>
      <c r="R75" s="450"/>
      <c r="T75" s="351"/>
      <c r="U75" s="230" t="s">
        <v>35</v>
      </c>
      <c r="V75" s="548" t="s">
        <v>280</v>
      </c>
      <c r="W75" s="443" t="e">
        <f>+W76/W77</f>
        <v>#N/A</v>
      </c>
      <c r="X75" s="501"/>
      <c r="Y75" s="450"/>
      <c r="Z75" s="450"/>
      <c r="AA75" s="450"/>
      <c r="AB75" s="450"/>
      <c r="AD75" s="340"/>
      <c r="AE75" s="340"/>
      <c r="AF75" s="340"/>
      <c r="AG75" s="340"/>
      <c r="AH75" s="340"/>
      <c r="AI75" s="340"/>
      <c r="AJ75" s="340"/>
      <c r="AK75" s="340"/>
      <c r="AL75" s="340"/>
    </row>
    <row r="76" spans="1:38" ht="21.75" customHeight="1" x14ac:dyDescent="0.25">
      <c r="B76" s="451">
        <v>5</v>
      </c>
      <c r="C76" s="537">
        <f>+DATOS!AB8</f>
        <v>49.61</v>
      </c>
      <c r="K76" s="508" t="s">
        <v>44</v>
      </c>
      <c r="L76" s="551" t="s">
        <v>250</v>
      </c>
      <c r="M76" s="549" t="e">
        <f>+M81</f>
        <v>#N/A</v>
      </c>
      <c r="N76" s="550"/>
      <c r="O76" s="552"/>
      <c r="P76" s="553" t="e">
        <f>+R91</f>
        <v>#DIV/0!</v>
      </c>
      <c r="Q76" s="560" t="e">
        <f>1/M77</f>
        <v>#N/A</v>
      </c>
      <c r="R76" s="554" t="e">
        <f>+P76*Q76</f>
        <v>#DIV/0!</v>
      </c>
      <c r="T76" s="351"/>
      <c r="U76" s="508" t="s">
        <v>44</v>
      </c>
      <c r="V76" s="551" t="s">
        <v>250</v>
      </c>
      <c r="W76" s="549" t="e">
        <f>+W81</f>
        <v>#N/A</v>
      </c>
      <c r="X76" s="550"/>
      <c r="Y76" s="552"/>
      <c r="Z76" s="553" t="e">
        <f>+AB91</f>
        <v>#DIV/0!</v>
      </c>
      <c r="AA76" s="560" t="e">
        <f>1/W77</f>
        <v>#N/A</v>
      </c>
      <c r="AB76" s="554" t="e">
        <f>+Z76*AA76</f>
        <v>#DIV/0!</v>
      </c>
      <c r="AD76" s="340"/>
      <c r="AE76" s="340"/>
      <c r="AF76" s="340"/>
      <c r="AG76" s="340"/>
      <c r="AH76" s="340"/>
      <c r="AI76" s="340"/>
      <c r="AJ76" s="340"/>
      <c r="AK76" s="340"/>
      <c r="AL76" s="340"/>
    </row>
    <row r="77" spans="1:38" ht="21.75" customHeight="1" x14ac:dyDescent="0.25">
      <c r="B77" s="450">
        <f>+COUNT(B72:B76)</f>
        <v>5</v>
      </c>
      <c r="C77" s="595">
        <f>+STDEV(C72:C76)/SQRT(B77)</f>
        <v>2.4494897427826908E-3</v>
      </c>
      <c r="K77" s="508" t="s">
        <v>36</v>
      </c>
      <c r="L77" s="551" t="s">
        <v>281</v>
      </c>
      <c r="M77" s="555" t="e">
        <f>+M122/1000</f>
        <v>#N/A</v>
      </c>
      <c r="N77" s="550"/>
      <c r="O77" s="552"/>
      <c r="P77" s="553" t="e">
        <f>+R131/1000</f>
        <v>#N/A</v>
      </c>
      <c r="Q77" s="554" t="e">
        <f>+M76/M77/M77</f>
        <v>#N/A</v>
      </c>
      <c r="R77" s="554" t="e">
        <f>+P77*Q77</f>
        <v>#N/A</v>
      </c>
      <c r="T77" s="351"/>
      <c r="U77" s="508" t="s">
        <v>36</v>
      </c>
      <c r="V77" s="551" t="s">
        <v>281</v>
      </c>
      <c r="W77" s="555" t="e">
        <f>+W122/1000</f>
        <v>#N/A</v>
      </c>
      <c r="X77" s="550"/>
      <c r="Y77" s="552"/>
      <c r="Z77" s="553" t="e">
        <f>+AB131/1000</f>
        <v>#N/A</v>
      </c>
      <c r="AA77" s="554" t="e">
        <f>+W76/W77/W77</f>
        <v>#N/A</v>
      </c>
      <c r="AB77" s="554" t="e">
        <f>+Z77*AA77</f>
        <v>#N/A</v>
      </c>
      <c r="AD77" s="340"/>
      <c r="AE77" s="340"/>
      <c r="AF77" s="340"/>
      <c r="AG77" s="340"/>
      <c r="AH77" s="340"/>
      <c r="AI77" s="340"/>
      <c r="AJ77" s="340"/>
      <c r="AK77" s="340"/>
      <c r="AL77" s="340"/>
    </row>
    <row r="78" spans="1:38" ht="21.75" customHeight="1" x14ac:dyDescent="0.25">
      <c r="B78" s="449" t="s">
        <v>342</v>
      </c>
      <c r="C78" s="679">
        <f>+AVERAGE(C72:C76)</f>
        <v>49.603999999999999</v>
      </c>
      <c r="K78" s="500" t="s">
        <v>247</v>
      </c>
      <c r="L78" s="500"/>
      <c r="M78" s="500"/>
      <c r="N78" s="500"/>
      <c r="O78" s="500"/>
      <c r="P78" s="501"/>
      <c r="Q78" s="548" t="s">
        <v>280</v>
      </c>
      <c r="R78" s="561" t="e">
        <f>+SQRT(+R76*R76+R77*R77)</f>
        <v>#DIV/0!</v>
      </c>
      <c r="T78" s="351"/>
      <c r="U78" s="500" t="s">
        <v>247</v>
      </c>
      <c r="V78" s="501"/>
      <c r="W78" s="500"/>
      <c r="X78" s="500"/>
      <c r="Y78" s="500"/>
      <c r="Z78" s="501"/>
      <c r="AA78" s="548" t="s">
        <v>280</v>
      </c>
      <c r="AB78" s="561" t="e">
        <f>+SQRT(+AB76*AB76+AB77*AB77)</f>
        <v>#DIV/0!</v>
      </c>
      <c r="AD78" s="340"/>
      <c r="AE78" s="340"/>
      <c r="AF78" s="340"/>
      <c r="AG78" s="340"/>
      <c r="AH78" s="340"/>
      <c r="AI78" s="340"/>
      <c r="AJ78" s="340"/>
      <c r="AK78" s="340"/>
      <c r="AL78" s="340"/>
    </row>
    <row r="79" spans="1:38" ht="21.75" customHeight="1" x14ac:dyDescent="0.25">
      <c r="P79" s="351"/>
      <c r="Q79" s="351"/>
      <c r="R79" s="351"/>
      <c r="S79" s="351"/>
      <c r="T79" s="351"/>
      <c r="Z79" s="351"/>
      <c r="AA79" s="351"/>
      <c r="AB79" s="351"/>
      <c r="AC79" s="351"/>
      <c r="AD79" s="340"/>
      <c r="AE79" s="340"/>
      <c r="AF79" s="340"/>
      <c r="AG79" s="340"/>
      <c r="AH79" s="340"/>
      <c r="AI79" s="340"/>
      <c r="AJ79" s="340"/>
      <c r="AK79" s="340"/>
      <c r="AL79" s="340"/>
    </row>
    <row r="80" spans="1:38" ht="29.25" customHeight="1" x14ac:dyDescent="0.25">
      <c r="B80" s="449" t="s">
        <v>343</v>
      </c>
      <c r="C80" s="449" t="s">
        <v>344</v>
      </c>
      <c r="D80" s="490">
        <f>+FORECAST(C78,C81:C82,B81:B82)</f>
        <v>-1.5544000000000061E-4</v>
      </c>
      <c r="K80" s="498" t="s">
        <v>206</v>
      </c>
      <c r="L80" s="499" t="s">
        <v>207</v>
      </c>
      <c r="M80" s="498" t="s">
        <v>208</v>
      </c>
      <c r="N80" s="499" t="s">
        <v>209</v>
      </c>
      <c r="O80" s="499" t="s">
        <v>210</v>
      </c>
      <c r="P80" s="499" t="s">
        <v>239</v>
      </c>
      <c r="Q80" s="499" t="s">
        <v>211</v>
      </c>
      <c r="R80" s="499" t="s">
        <v>240</v>
      </c>
      <c r="T80" s="351"/>
      <c r="U80" s="498" t="s">
        <v>206</v>
      </c>
      <c r="V80" s="499" t="s">
        <v>207</v>
      </c>
      <c r="W80" s="498" t="s">
        <v>208</v>
      </c>
      <c r="X80" s="499" t="s">
        <v>209</v>
      </c>
      <c r="Y80" s="499" t="s">
        <v>210</v>
      </c>
      <c r="Z80" s="499" t="s">
        <v>239</v>
      </c>
      <c r="AA80" s="499" t="s">
        <v>211</v>
      </c>
      <c r="AB80" s="499" t="s">
        <v>240</v>
      </c>
      <c r="AD80" s="340"/>
      <c r="AE80" s="340"/>
      <c r="AF80" s="340"/>
      <c r="AG80" s="340"/>
      <c r="AH80" s="340"/>
      <c r="AI80" s="340"/>
      <c r="AJ80" s="340"/>
      <c r="AK80" s="340"/>
      <c r="AL80" s="340"/>
    </row>
    <row r="81" spans="1:38" ht="21.75" customHeight="1" x14ac:dyDescent="0.25">
      <c r="B81" s="591">
        <v>15</v>
      </c>
      <c r="C81" s="680">
        <v>-5.0000000000000001E-3</v>
      </c>
      <c r="K81" s="455" t="s">
        <v>44</v>
      </c>
      <c r="L81" s="449" t="s">
        <v>28</v>
      </c>
      <c r="M81" s="507" t="e">
        <f>+(M82-M86)/(1+(M90/100))</f>
        <v>#N/A</v>
      </c>
      <c r="N81" s="372"/>
      <c r="O81" s="437"/>
      <c r="P81" s="437"/>
      <c r="Q81" s="437"/>
      <c r="R81" s="437"/>
      <c r="T81" s="373"/>
      <c r="U81" s="455" t="s">
        <v>44</v>
      </c>
      <c r="V81" s="449" t="s">
        <v>28</v>
      </c>
      <c r="W81" s="507" t="e">
        <f>+(W82-W86)/(1+(W90/100))</f>
        <v>#N/A</v>
      </c>
      <c r="X81" s="372"/>
      <c r="Y81" s="437"/>
      <c r="Z81" s="437"/>
      <c r="AA81" s="437"/>
      <c r="AB81" s="437"/>
      <c r="AD81" s="340"/>
      <c r="AE81" s="340"/>
      <c r="AF81" s="340"/>
      <c r="AG81" s="340"/>
      <c r="AH81" s="340"/>
      <c r="AI81" s="340"/>
      <c r="AJ81" s="340"/>
      <c r="AK81" s="340"/>
      <c r="AL81" s="340"/>
    </row>
    <row r="82" spans="1:38" ht="21.75" customHeight="1" x14ac:dyDescent="0.25">
      <c r="A82" s="487" t="s">
        <v>99</v>
      </c>
      <c r="B82" s="591">
        <v>50</v>
      </c>
      <c r="C82" s="591">
        <v>-1E-4</v>
      </c>
      <c r="D82" s="425"/>
      <c r="E82" s="487"/>
      <c r="F82" s="487"/>
      <c r="G82" s="487"/>
      <c r="H82" s="487"/>
      <c r="I82" s="487"/>
      <c r="J82" s="487"/>
      <c r="K82" s="456" t="s">
        <v>43</v>
      </c>
      <c r="L82" s="405" t="s">
        <v>28</v>
      </c>
      <c r="M82" s="506">
        <f>+DATOS!E18</f>
        <v>0</v>
      </c>
      <c r="N82" s="404" t="s">
        <v>212</v>
      </c>
      <c r="O82" s="406" t="s">
        <v>212</v>
      </c>
      <c r="P82" s="407">
        <f>SQRT((P83*P83)+(P84*P84)+(P85*P85))</f>
        <v>1.0832051206181281</v>
      </c>
      <c r="Q82" s="406" t="e">
        <f>1/(1+(M90/100))</f>
        <v>#DIV/0!</v>
      </c>
      <c r="R82" s="406" t="e">
        <f>+Q82*P82</f>
        <v>#DIV/0!</v>
      </c>
      <c r="T82" s="373"/>
      <c r="U82" s="456" t="s">
        <v>43</v>
      </c>
      <c r="V82" s="405" t="s">
        <v>28</v>
      </c>
      <c r="W82" s="506">
        <f>+DATOS!I18</f>
        <v>0</v>
      </c>
      <c r="X82" s="404" t="s">
        <v>212</v>
      </c>
      <c r="Y82" s="406" t="s">
        <v>212</v>
      </c>
      <c r="Z82" s="407">
        <f>SQRT((Z83*Z83)+(Z84*Z84)+(Z85*Z85))</f>
        <v>1.0832051206181281</v>
      </c>
      <c r="AA82" s="406" t="e">
        <f>1/(1+(W90/100))</f>
        <v>#DIV/0!</v>
      </c>
      <c r="AB82" s="406" t="e">
        <f>+AA82*Z82</f>
        <v>#DIV/0!</v>
      </c>
      <c r="AD82" s="340"/>
      <c r="AE82" s="340"/>
      <c r="AF82" s="340"/>
      <c r="AG82" s="340"/>
      <c r="AH82" s="340"/>
      <c r="AI82" s="340"/>
      <c r="AJ82" s="340"/>
      <c r="AK82" s="340"/>
      <c r="AL82" s="340"/>
    </row>
    <row r="83" spans="1:38" ht="21.75" customHeight="1" x14ac:dyDescent="0.25">
      <c r="K83" s="502" t="s">
        <v>213</v>
      </c>
      <c r="L83" s="57" t="s">
        <v>28</v>
      </c>
      <c r="M83" s="67"/>
      <c r="N83" s="417">
        <f>+Balanza!E24</f>
        <v>0</v>
      </c>
      <c r="O83" s="412" t="s">
        <v>214</v>
      </c>
      <c r="P83" s="413">
        <f>+N83</f>
        <v>0</v>
      </c>
      <c r="Q83" s="414" t="s">
        <v>212</v>
      </c>
      <c r="R83" s="414" t="s">
        <v>212</v>
      </c>
      <c r="T83" s="373"/>
      <c r="U83" s="502" t="s">
        <v>213</v>
      </c>
      <c r="V83" s="57" t="s">
        <v>28</v>
      </c>
      <c r="W83" s="67"/>
      <c r="X83" s="417">
        <f>+Balanza!E27</f>
        <v>0</v>
      </c>
      <c r="Y83" s="412" t="s">
        <v>214</v>
      </c>
      <c r="Z83" s="413">
        <f>+X83</f>
        <v>0</v>
      </c>
      <c r="AA83" s="414" t="s">
        <v>212</v>
      </c>
      <c r="AB83" s="414" t="s">
        <v>212</v>
      </c>
      <c r="AD83" s="340"/>
      <c r="AE83" s="340"/>
      <c r="AF83" s="340"/>
      <c r="AG83" s="340"/>
      <c r="AH83" s="340"/>
      <c r="AI83" s="340"/>
      <c r="AJ83" s="340"/>
      <c r="AK83" s="340"/>
      <c r="AL83" s="340"/>
    </row>
    <row r="84" spans="1:38" ht="21.75" customHeight="1" x14ac:dyDescent="0.25">
      <c r="K84" s="502" t="s">
        <v>215</v>
      </c>
      <c r="L84" s="57" t="s">
        <v>28</v>
      </c>
      <c r="M84" s="67"/>
      <c r="N84" s="503">
        <f>2*(SQRT(Balanza!$C$8+Balanza!$D$8*(POWER(M82,2))))</f>
        <v>2.0880613017821101</v>
      </c>
      <c r="O84" s="416" t="s">
        <v>243</v>
      </c>
      <c r="P84" s="413">
        <f>+N84/2</f>
        <v>1.0440306508910551</v>
      </c>
      <c r="Q84" s="414" t="s">
        <v>212</v>
      </c>
      <c r="R84" s="414" t="s">
        <v>212</v>
      </c>
      <c r="T84" s="373"/>
      <c r="U84" s="502" t="s">
        <v>215</v>
      </c>
      <c r="V84" s="57" t="s">
        <v>28</v>
      </c>
      <c r="W84" s="67"/>
      <c r="X84" s="503">
        <f>2*(SQRT(Balanza!$C$8+Balanza!$D$8*(POWER(W82,2))))</f>
        <v>2.0880613017821101</v>
      </c>
      <c r="Y84" s="416" t="s">
        <v>243</v>
      </c>
      <c r="Z84" s="413">
        <f>+X84/2</f>
        <v>1.0440306508910551</v>
      </c>
      <c r="AA84" s="414" t="s">
        <v>212</v>
      </c>
      <c r="AB84" s="414" t="s">
        <v>212</v>
      </c>
      <c r="AD84" s="340"/>
      <c r="AE84" s="340"/>
      <c r="AF84" s="340"/>
      <c r="AG84" s="340"/>
      <c r="AH84" s="340"/>
      <c r="AI84" s="340"/>
      <c r="AJ84" s="340"/>
      <c r="AK84" s="340"/>
      <c r="AL84" s="340"/>
    </row>
    <row r="85" spans="1:38" ht="21.75" customHeight="1" x14ac:dyDescent="0.25">
      <c r="K85" s="502" t="s">
        <v>217</v>
      </c>
      <c r="L85" s="57" t="s">
        <v>28</v>
      </c>
      <c r="M85" s="67"/>
      <c r="N85" s="417">
        <f>+Balanza!$C$10</f>
        <v>1</v>
      </c>
      <c r="O85" s="418" t="s">
        <v>218</v>
      </c>
      <c r="P85" s="419">
        <f>N85/SQRT(3)/2</f>
        <v>0.28867513459481292</v>
      </c>
      <c r="Q85" s="414" t="s">
        <v>212</v>
      </c>
      <c r="R85" s="414" t="s">
        <v>212</v>
      </c>
      <c r="T85" s="373"/>
      <c r="U85" s="502" t="s">
        <v>217</v>
      </c>
      <c r="V85" s="57" t="s">
        <v>28</v>
      </c>
      <c r="W85" s="67"/>
      <c r="X85" s="417">
        <f>+Balanza!$C$10</f>
        <v>1</v>
      </c>
      <c r="Y85" s="418" t="s">
        <v>218</v>
      </c>
      <c r="Z85" s="419">
        <f>X85/SQRT(3)/2</f>
        <v>0.28867513459481292</v>
      </c>
      <c r="AA85" s="414" t="s">
        <v>212</v>
      </c>
      <c r="AB85" s="414" t="s">
        <v>212</v>
      </c>
      <c r="AD85" s="340"/>
      <c r="AE85" s="340"/>
      <c r="AF85" s="340"/>
      <c r="AG85" s="340"/>
      <c r="AH85" s="340"/>
      <c r="AI85" s="340"/>
      <c r="AJ85" s="340"/>
      <c r="AK85" s="340"/>
      <c r="AL85" s="340"/>
    </row>
    <row r="86" spans="1:38" ht="21.75" customHeight="1" x14ac:dyDescent="0.25">
      <c r="A86" s="487" t="s">
        <v>100</v>
      </c>
      <c r="B86" s="487"/>
      <c r="C86" s="487"/>
      <c r="D86" s="487"/>
      <c r="E86" s="487"/>
      <c r="F86" s="487"/>
      <c r="G86" s="487"/>
      <c r="H86" s="487"/>
      <c r="I86" s="487"/>
      <c r="J86" s="487"/>
      <c r="K86" s="456" t="s">
        <v>37</v>
      </c>
      <c r="L86" s="405" t="s">
        <v>28</v>
      </c>
      <c r="M86" s="506" t="e">
        <f>+DATOS!E19</f>
        <v>#N/A</v>
      </c>
      <c r="N86" s="404" t="s">
        <v>212</v>
      </c>
      <c r="O86" s="406" t="s">
        <v>212</v>
      </c>
      <c r="P86" s="407" t="e">
        <f>SQRT((P87*P87)+(P88*P88)+(P89*P89))</f>
        <v>#N/A</v>
      </c>
      <c r="Q86" s="406" t="e">
        <f>1/(1+(M90/100))</f>
        <v>#DIV/0!</v>
      </c>
      <c r="R86" s="406" t="e">
        <f>+Q86*P86</f>
        <v>#DIV/0!</v>
      </c>
      <c r="T86" s="373"/>
      <c r="U86" s="456" t="s">
        <v>37</v>
      </c>
      <c r="V86" s="405" t="s">
        <v>28</v>
      </c>
      <c r="W86" s="506" t="e">
        <f>+DATOS!I19</f>
        <v>#N/A</v>
      </c>
      <c r="X86" s="404" t="s">
        <v>212</v>
      </c>
      <c r="Y86" s="406" t="s">
        <v>212</v>
      </c>
      <c r="Z86" s="407" t="e">
        <f>SQRT((Z87*Z87)+(Z88*Z88)+(Z89*Z89))</f>
        <v>#N/A</v>
      </c>
      <c r="AA86" s="406" t="e">
        <f>1/(1+(W90/100))</f>
        <v>#DIV/0!</v>
      </c>
      <c r="AB86" s="406" t="e">
        <f>+AA86*Z86</f>
        <v>#DIV/0!</v>
      </c>
      <c r="AD86" s="340"/>
      <c r="AE86" s="340"/>
      <c r="AF86" s="340"/>
      <c r="AG86" s="340"/>
      <c r="AH86" s="340"/>
      <c r="AI86" s="340"/>
      <c r="AJ86" s="340"/>
      <c r="AK86" s="340"/>
      <c r="AL86" s="340"/>
    </row>
    <row r="87" spans="1:38" ht="21.75" customHeight="1" x14ac:dyDescent="0.25">
      <c r="K87" s="502" t="s">
        <v>213</v>
      </c>
      <c r="L87" s="57" t="s">
        <v>28</v>
      </c>
      <c r="M87" s="372"/>
      <c r="N87" s="411" t="e">
        <f>+Balanza!E25</f>
        <v>#N/A</v>
      </c>
      <c r="O87" s="412" t="s">
        <v>214</v>
      </c>
      <c r="P87" s="413" t="e">
        <f>+N87</f>
        <v>#N/A</v>
      </c>
      <c r="Q87" s="414" t="s">
        <v>212</v>
      </c>
      <c r="R87" s="414" t="s">
        <v>212</v>
      </c>
      <c r="T87" s="373"/>
      <c r="U87" s="502" t="s">
        <v>213</v>
      </c>
      <c r="V87" s="57" t="s">
        <v>28</v>
      </c>
      <c r="W87" s="372"/>
      <c r="X87" s="411" t="e">
        <f>+Balanza!E28</f>
        <v>#N/A</v>
      </c>
      <c r="Y87" s="412" t="s">
        <v>214</v>
      </c>
      <c r="Z87" s="413" t="e">
        <f>+X87</f>
        <v>#N/A</v>
      </c>
      <c r="AA87" s="414" t="s">
        <v>212</v>
      </c>
      <c r="AB87" s="414" t="s">
        <v>212</v>
      </c>
      <c r="AD87" s="340"/>
      <c r="AE87" s="340"/>
      <c r="AF87" s="340"/>
      <c r="AG87" s="340"/>
      <c r="AH87" s="340"/>
      <c r="AI87" s="340"/>
      <c r="AJ87" s="340"/>
      <c r="AK87" s="340"/>
      <c r="AL87" s="340"/>
    </row>
    <row r="88" spans="1:38" ht="21.75" customHeight="1" x14ac:dyDescent="0.25">
      <c r="K88" s="502" t="s">
        <v>215</v>
      </c>
      <c r="L88" s="57" t="s">
        <v>28</v>
      </c>
      <c r="M88" s="372"/>
      <c r="N88" s="503" t="e">
        <f>2*(SQRT(Balanza!$C$8+Balanza!$D$8*(POWER(M86,2))))</f>
        <v>#N/A</v>
      </c>
      <c r="O88" s="416" t="s">
        <v>243</v>
      </c>
      <c r="P88" s="413" t="e">
        <f>+N88/2</f>
        <v>#N/A</v>
      </c>
      <c r="Q88" s="414" t="s">
        <v>212</v>
      </c>
      <c r="R88" s="414" t="s">
        <v>212</v>
      </c>
      <c r="T88" s="373"/>
      <c r="U88" s="502" t="s">
        <v>215</v>
      </c>
      <c r="V88" s="57" t="s">
        <v>28</v>
      </c>
      <c r="W88" s="372"/>
      <c r="X88" s="503" t="e">
        <f>2*(SQRT(Balanza!$C$8+Balanza!$D$8*(POWER(W86,2))))</f>
        <v>#N/A</v>
      </c>
      <c r="Y88" s="416" t="s">
        <v>243</v>
      </c>
      <c r="Z88" s="413" t="e">
        <f>+X88/2</f>
        <v>#N/A</v>
      </c>
      <c r="AA88" s="414" t="s">
        <v>212</v>
      </c>
      <c r="AB88" s="414" t="s">
        <v>212</v>
      </c>
      <c r="AD88" s="340"/>
      <c r="AE88" s="340"/>
      <c r="AF88" s="340"/>
      <c r="AG88" s="340"/>
      <c r="AH88" s="340"/>
      <c r="AI88" s="340"/>
      <c r="AJ88" s="340"/>
      <c r="AK88" s="340"/>
      <c r="AL88" s="340"/>
    </row>
    <row r="89" spans="1:38" ht="21.75" customHeight="1" x14ac:dyDescent="0.25">
      <c r="K89" s="502" t="s">
        <v>217</v>
      </c>
      <c r="L89" s="57" t="s">
        <v>28</v>
      </c>
      <c r="M89" s="372"/>
      <c r="N89" s="417">
        <f>+Balanza!$C$10</f>
        <v>1</v>
      </c>
      <c r="O89" s="418" t="s">
        <v>218</v>
      </c>
      <c r="P89" s="419">
        <f>N89/SQRT(3)/2</f>
        <v>0.28867513459481292</v>
      </c>
      <c r="Q89" s="414" t="s">
        <v>212</v>
      </c>
      <c r="R89" s="414" t="s">
        <v>212</v>
      </c>
      <c r="T89" s="373"/>
      <c r="U89" s="502" t="s">
        <v>217</v>
      </c>
      <c r="V89" s="57" t="s">
        <v>28</v>
      </c>
      <c r="W89" s="372"/>
      <c r="X89" s="417">
        <f>+Balanza!$C$10</f>
        <v>1</v>
      </c>
      <c r="Y89" s="418" t="s">
        <v>218</v>
      </c>
      <c r="Z89" s="419">
        <f>X89/SQRT(3)/2</f>
        <v>0.28867513459481292</v>
      </c>
      <c r="AA89" s="414" t="s">
        <v>212</v>
      </c>
      <c r="AB89" s="414" t="s">
        <v>212</v>
      </c>
      <c r="AD89" s="340"/>
      <c r="AE89" s="340"/>
      <c r="AF89" s="340"/>
      <c r="AG89" s="340"/>
      <c r="AH89" s="340"/>
      <c r="AI89" s="340"/>
      <c r="AJ89" s="340"/>
      <c r="AK89" s="340"/>
      <c r="AL89" s="340"/>
    </row>
    <row r="90" spans="1:38" ht="21.75" customHeight="1" x14ac:dyDescent="0.25">
      <c r="A90" s="487" t="s">
        <v>101</v>
      </c>
      <c r="B90" s="487"/>
      <c r="C90" s="487"/>
      <c r="D90" s="487"/>
      <c r="E90" s="487"/>
      <c r="F90" s="487"/>
      <c r="G90" s="487"/>
      <c r="H90" s="487"/>
      <c r="I90" s="487"/>
      <c r="J90" s="487"/>
      <c r="K90" s="439" t="s">
        <v>249</v>
      </c>
      <c r="L90" s="440" t="s">
        <v>2</v>
      </c>
      <c r="M90" s="505" t="e">
        <f>+M95</f>
        <v>#DIV/0!</v>
      </c>
      <c r="N90" s="438"/>
      <c r="O90" s="441"/>
      <c r="P90" s="407" t="e">
        <f>+R109</f>
        <v>#DIV/0!</v>
      </c>
      <c r="Q90" s="406" t="e">
        <f>((M82-M86)/100)/((1+(M90/100))^2)</f>
        <v>#N/A</v>
      </c>
      <c r="R90" s="406" t="e">
        <f>+Q90*P90</f>
        <v>#N/A</v>
      </c>
      <c r="T90" s="373"/>
      <c r="U90" s="439" t="s">
        <v>249</v>
      </c>
      <c r="V90" s="440" t="s">
        <v>2</v>
      </c>
      <c r="W90" s="505" t="e">
        <f>+W95</f>
        <v>#DIV/0!</v>
      </c>
      <c r="X90" s="438"/>
      <c r="Y90" s="441"/>
      <c r="Z90" s="407" t="e">
        <f>+AB109</f>
        <v>#DIV/0!</v>
      </c>
      <c r="AA90" s="406" t="e">
        <f>((W82-W86)/100)/((1+(W90/100))^2)</f>
        <v>#N/A</v>
      </c>
      <c r="AB90" s="406" t="e">
        <f>+AA90*Z90</f>
        <v>#N/A</v>
      </c>
      <c r="AD90" s="340"/>
      <c r="AE90" s="340"/>
      <c r="AF90" s="340"/>
      <c r="AG90" s="340"/>
      <c r="AH90" s="340"/>
      <c r="AI90" s="340"/>
      <c r="AJ90" s="340"/>
      <c r="AK90" s="340"/>
      <c r="AL90" s="340"/>
    </row>
    <row r="91" spans="1:38" ht="21.75" customHeight="1" x14ac:dyDescent="0.25">
      <c r="K91" s="435" t="s">
        <v>247</v>
      </c>
      <c r="L91" s="434" t="s">
        <v>28</v>
      </c>
      <c r="M91" s="435"/>
      <c r="N91" s="435"/>
      <c r="O91" s="435"/>
      <c r="P91" s="372"/>
      <c r="Q91" s="436"/>
      <c r="R91" s="443" t="e">
        <f>SQRT((R82*R82)+(R86*R86)+(R90*R90))</f>
        <v>#DIV/0!</v>
      </c>
      <c r="T91" s="351"/>
      <c r="U91" s="435" t="s">
        <v>247</v>
      </c>
      <c r="V91" s="434" t="s">
        <v>28</v>
      </c>
      <c r="W91" s="435"/>
      <c r="X91" s="435"/>
      <c r="Y91" s="435"/>
      <c r="Z91" s="372"/>
      <c r="AA91" s="436"/>
      <c r="AB91" s="443" t="e">
        <f>SQRT((AB82*AB82)+(AB86*AB86)+(AB90*AB90))</f>
        <v>#DIV/0!</v>
      </c>
      <c r="AD91" s="340"/>
      <c r="AE91" s="340"/>
      <c r="AF91" s="340"/>
      <c r="AG91" s="340"/>
      <c r="AH91" s="340"/>
      <c r="AI91" s="340"/>
      <c r="AJ91" s="340"/>
      <c r="AK91" s="340"/>
      <c r="AL91" s="340"/>
    </row>
    <row r="92" spans="1:38" ht="12" customHeight="1" x14ac:dyDescent="0.25">
      <c r="K92" s="373"/>
      <c r="L92" s="373"/>
      <c r="M92" s="373"/>
      <c r="N92" s="373"/>
      <c r="P92" s="351"/>
      <c r="Q92" s="351"/>
      <c r="R92" s="351"/>
      <c r="S92" s="351"/>
      <c r="T92" s="351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  <c r="AE92" s="340"/>
      <c r="AF92" s="340"/>
      <c r="AG92" s="340"/>
      <c r="AH92" s="340"/>
      <c r="AI92" s="340"/>
      <c r="AJ92" s="340"/>
      <c r="AK92" s="340"/>
      <c r="AL92" s="340"/>
    </row>
    <row r="93" spans="1:38" ht="21.75" customHeight="1" thickBot="1" x14ac:dyDescent="0.3">
      <c r="K93" s="40" t="s">
        <v>248</v>
      </c>
      <c r="L93" s="40"/>
      <c r="M93" s="351"/>
      <c r="N93" s="351"/>
      <c r="O93" s="351"/>
      <c r="P93" s="351"/>
      <c r="Q93" s="351"/>
      <c r="R93" s="351"/>
      <c r="S93" s="351"/>
      <c r="T93" s="351"/>
      <c r="U93" s="40" t="s">
        <v>248</v>
      </c>
      <c r="V93" s="40"/>
      <c r="W93" s="351"/>
      <c r="X93" s="351"/>
      <c r="Y93" s="351"/>
      <c r="Z93" s="351"/>
      <c r="AA93" s="351"/>
      <c r="AB93" s="351"/>
      <c r="AC93" s="351"/>
      <c r="AD93" s="340"/>
      <c r="AE93" s="340"/>
      <c r="AF93" s="340"/>
      <c r="AG93" s="340"/>
      <c r="AH93" s="340"/>
      <c r="AI93" s="340"/>
      <c r="AJ93" s="340"/>
      <c r="AK93" s="340"/>
      <c r="AL93" s="340"/>
    </row>
    <row r="94" spans="1:38" ht="28.5" customHeight="1" thickBot="1" x14ac:dyDescent="0.3">
      <c r="K94" s="394" t="s">
        <v>206</v>
      </c>
      <c r="L94" s="396" t="s">
        <v>207</v>
      </c>
      <c r="M94" s="395" t="s">
        <v>208</v>
      </c>
      <c r="N94" s="396" t="s">
        <v>209</v>
      </c>
      <c r="O94" s="396" t="s">
        <v>210</v>
      </c>
      <c r="P94" s="396" t="s">
        <v>239</v>
      </c>
      <c r="Q94" s="396" t="s">
        <v>211</v>
      </c>
      <c r="R94" s="397" t="s">
        <v>240</v>
      </c>
      <c r="T94" s="351"/>
      <c r="U94" s="394" t="s">
        <v>206</v>
      </c>
      <c r="V94" s="396" t="s">
        <v>207</v>
      </c>
      <c r="W94" s="395" t="s">
        <v>208</v>
      </c>
      <c r="X94" s="396" t="s">
        <v>209</v>
      </c>
      <c r="Y94" s="396" t="s">
        <v>210</v>
      </c>
      <c r="Z94" s="396" t="s">
        <v>239</v>
      </c>
      <c r="AA94" s="396" t="s">
        <v>211</v>
      </c>
      <c r="AB94" s="397" t="s">
        <v>240</v>
      </c>
      <c r="AD94" s="340"/>
      <c r="AE94" s="340"/>
      <c r="AF94" s="340"/>
      <c r="AG94" s="340"/>
      <c r="AH94" s="340"/>
      <c r="AI94" s="340"/>
      <c r="AJ94" s="340"/>
      <c r="AK94" s="340"/>
      <c r="AL94" s="340"/>
    </row>
    <row r="95" spans="1:38" ht="21.75" customHeight="1" x14ac:dyDescent="0.25">
      <c r="K95" s="398" t="s">
        <v>241</v>
      </c>
      <c r="L95" s="400" t="s">
        <v>212</v>
      </c>
      <c r="M95" s="399" t="e">
        <f>+((M96-M100)/(M100-M104)*100)</f>
        <v>#DIV/0!</v>
      </c>
      <c r="N95" s="400" t="s">
        <v>212</v>
      </c>
      <c r="O95" s="400" t="s">
        <v>212</v>
      </c>
      <c r="P95" s="400" t="s">
        <v>212</v>
      </c>
      <c r="Q95" s="400" t="s">
        <v>212</v>
      </c>
      <c r="R95" s="401" t="s">
        <v>212</v>
      </c>
      <c r="T95" s="351"/>
      <c r="U95" s="398" t="s">
        <v>241</v>
      </c>
      <c r="V95" s="400" t="s">
        <v>212</v>
      </c>
      <c r="W95" s="399" t="e">
        <f>+((W96-W100)/(W100-W104)*100)</f>
        <v>#DIV/0!</v>
      </c>
      <c r="X95" s="400" t="s">
        <v>212</v>
      </c>
      <c r="Y95" s="400" t="s">
        <v>212</v>
      </c>
      <c r="Z95" s="400" t="s">
        <v>212</v>
      </c>
      <c r="AA95" s="400" t="s">
        <v>212</v>
      </c>
      <c r="AB95" s="401" t="s">
        <v>212</v>
      </c>
      <c r="AD95" s="340"/>
      <c r="AE95" s="340"/>
      <c r="AF95" s="340"/>
      <c r="AG95" s="340"/>
      <c r="AH95" s="340"/>
      <c r="AI95" s="340"/>
      <c r="AJ95" s="340"/>
      <c r="AK95" s="340"/>
      <c r="AL95" s="340"/>
    </row>
    <row r="96" spans="1:38" ht="21.75" customHeight="1" x14ac:dyDescent="0.25">
      <c r="K96" s="402" t="s">
        <v>242</v>
      </c>
      <c r="L96" s="405" t="s">
        <v>28</v>
      </c>
      <c r="M96" s="403">
        <f>+DATOS!E28</f>
        <v>0</v>
      </c>
      <c r="N96" s="404" t="s">
        <v>212</v>
      </c>
      <c r="O96" s="406" t="s">
        <v>212</v>
      </c>
      <c r="P96" s="407">
        <f>SQRT((P97*P97)+(P98*P98)+(P99*P99))</f>
        <v>7.0663521942607221E-2</v>
      </c>
      <c r="Q96" s="406" t="e">
        <f>100/(M100-M104)</f>
        <v>#DIV/0!</v>
      </c>
      <c r="R96" s="408" t="e">
        <f>+Q96*P96</f>
        <v>#DIV/0!</v>
      </c>
      <c r="T96" s="351"/>
      <c r="U96" s="402" t="s">
        <v>242</v>
      </c>
      <c r="V96" s="405" t="s">
        <v>28</v>
      </c>
      <c r="W96" s="496">
        <f>+DATOS!I28</f>
        <v>0</v>
      </c>
      <c r="X96" s="404" t="s">
        <v>212</v>
      </c>
      <c r="Y96" s="406" t="s">
        <v>212</v>
      </c>
      <c r="Z96" s="407">
        <f>SQRT((Z97*Z97)+(Z98*Z98)+(Z99*Z99))</f>
        <v>7.0663521942607221E-2</v>
      </c>
      <c r="AA96" s="406" t="e">
        <f>100/(W100-W104)</f>
        <v>#DIV/0!</v>
      </c>
      <c r="AB96" s="408" t="e">
        <f>+AA96*Z96</f>
        <v>#DIV/0!</v>
      </c>
      <c r="AD96" s="340"/>
      <c r="AE96" s="340"/>
      <c r="AF96" s="340"/>
      <c r="AG96" s="340"/>
      <c r="AH96" s="340"/>
      <c r="AI96" s="340"/>
      <c r="AJ96" s="340"/>
      <c r="AK96" s="340"/>
      <c r="AL96" s="340"/>
    </row>
    <row r="97" spans="11:38" ht="21.75" customHeight="1" x14ac:dyDescent="0.25">
      <c r="K97" s="409" t="s">
        <v>213</v>
      </c>
      <c r="L97" s="57" t="s">
        <v>28</v>
      </c>
      <c r="M97" s="410"/>
      <c r="N97" s="417">
        <f>+Balanza!P24</f>
        <v>0</v>
      </c>
      <c r="O97" s="412" t="s">
        <v>214</v>
      </c>
      <c r="P97" s="413">
        <f>+N97</f>
        <v>0</v>
      </c>
      <c r="Q97" s="414" t="s">
        <v>212</v>
      </c>
      <c r="R97" s="415" t="s">
        <v>212</v>
      </c>
      <c r="T97" s="351"/>
      <c r="U97" s="409" t="s">
        <v>213</v>
      </c>
      <c r="V97" s="57" t="s">
        <v>28</v>
      </c>
      <c r="W97" s="497"/>
      <c r="X97" s="417">
        <f>+Balanza!P28</f>
        <v>0</v>
      </c>
      <c r="Y97" s="412" t="s">
        <v>214</v>
      </c>
      <c r="Z97" s="413">
        <f>+X97</f>
        <v>0</v>
      </c>
      <c r="AA97" s="414" t="s">
        <v>212</v>
      </c>
      <c r="AB97" s="415" t="s">
        <v>212</v>
      </c>
      <c r="AD97" s="340"/>
      <c r="AE97" s="340"/>
      <c r="AF97" s="340"/>
      <c r="AG97" s="340"/>
      <c r="AH97" s="340"/>
      <c r="AI97" s="340"/>
      <c r="AJ97" s="340"/>
      <c r="AK97" s="340"/>
      <c r="AL97" s="340"/>
    </row>
    <row r="98" spans="11:38" ht="21.75" customHeight="1" x14ac:dyDescent="0.25">
      <c r="K98" s="409" t="s">
        <v>215</v>
      </c>
      <c r="L98" s="57" t="s">
        <v>28</v>
      </c>
      <c r="M98" s="410"/>
      <c r="N98" s="442">
        <f>2*(SQRT(Balanza!$M$8+Balanza!$N$8*(POWER(M96,2))))</f>
        <v>0.12899612397277679</v>
      </c>
      <c r="O98" s="416" t="s">
        <v>243</v>
      </c>
      <c r="P98" s="413">
        <f>+N98/2</f>
        <v>6.4498061986388397E-2</v>
      </c>
      <c r="Q98" s="414" t="s">
        <v>212</v>
      </c>
      <c r="R98" s="415" t="s">
        <v>212</v>
      </c>
      <c r="T98" s="351"/>
      <c r="U98" s="409" t="s">
        <v>215</v>
      </c>
      <c r="V98" s="57" t="s">
        <v>28</v>
      </c>
      <c r="W98" s="497"/>
      <c r="X98" s="442">
        <f>2*(SQRT(Balanza!$M$8+Balanza!$N$8*(POWER(W96,2))))</f>
        <v>0.12899612397277679</v>
      </c>
      <c r="Y98" s="416" t="s">
        <v>243</v>
      </c>
      <c r="Z98" s="413">
        <f>+X98/2</f>
        <v>6.4498061986388397E-2</v>
      </c>
      <c r="AA98" s="414" t="s">
        <v>212</v>
      </c>
      <c r="AB98" s="415" t="s">
        <v>212</v>
      </c>
      <c r="AD98" s="340"/>
      <c r="AE98" s="340"/>
      <c r="AF98" s="340"/>
      <c r="AG98" s="340"/>
      <c r="AH98" s="340"/>
      <c r="AI98" s="340"/>
      <c r="AJ98" s="340"/>
      <c r="AK98" s="340"/>
      <c r="AL98" s="340"/>
    </row>
    <row r="99" spans="11:38" ht="21.75" customHeight="1" x14ac:dyDescent="0.25">
      <c r="K99" s="409" t="s">
        <v>217</v>
      </c>
      <c r="L99" s="57" t="s">
        <v>28</v>
      </c>
      <c r="M99" s="410"/>
      <c r="N99" s="417">
        <f>+Balanza!$M$10</f>
        <v>0.1</v>
      </c>
      <c r="O99" s="418" t="s">
        <v>218</v>
      </c>
      <c r="P99" s="419">
        <f>N99/SQRT(3)/2</f>
        <v>2.8867513459481291E-2</v>
      </c>
      <c r="Q99" s="414" t="s">
        <v>212</v>
      </c>
      <c r="R99" s="415" t="s">
        <v>212</v>
      </c>
      <c r="T99" s="351"/>
      <c r="U99" s="409" t="s">
        <v>217</v>
      </c>
      <c r="V99" s="57" t="s">
        <v>28</v>
      </c>
      <c r="W99" s="497"/>
      <c r="X99" s="417">
        <f>+Balanza!$M$10</f>
        <v>0.1</v>
      </c>
      <c r="Y99" s="418" t="s">
        <v>218</v>
      </c>
      <c r="Z99" s="419">
        <f>X99/SQRT(3)/2</f>
        <v>2.8867513459481291E-2</v>
      </c>
      <c r="AA99" s="414" t="s">
        <v>212</v>
      </c>
      <c r="AB99" s="415" t="s">
        <v>212</v>
      </c>
      <c r="AD99" s="340"/>
      <c r="AE99" s="340"/>
      <c r="AF99" s="340"/>
      <c r="AG99" s="340"/>
      <c r="AH99" s="340"/>
      <c r="AI99" s="340"/>
      <c r="AJ99" s="340"/>
      <c r="AK99" s="340"/>
      <c r="AL99" s="340"/>
    </row>
    <row r="100" spans="11:38" ht="21.75" customHeight="1" x14ac:dyDescent="0.25">
      <c r="K100" s="402" t="s">
        <v>244</v>
      </c>
      <c r="L100" s="421" t="s">
        <v>28</v>
      </c>
      <c r="M100" s="403">
        <f>+DATOS!E29</f>
        <v>0</v>
      </c>
      <c r="N100" s="420"/>
      <c r="O100" s="404" t="s">
        <v>212</v>
      </c>
      <c r="P100" s="407">
        <f>SQRT((P101*P101)+(P102*P102)+(P103*P103))</f>
        <v>7.0663521942607221E-2</v>
      </c>
      <c r="Q100" s="405" t="e">
        <f>((M96-M104)*100)/(POWER((M100-M104),2))</f>
        <v>#DIV/0!</v>
      </c>
      <c r="R100" s="422" t="e">
        <f>+Q100*P100</f>
        <v>#DIV/0!</v>
      </c>
      <c r="T100" s="351"/>
      <c r="U100" s="402" t="s">
        <v>244</v>
      </c>
      <c r="V100" s="421" t="s">
        <v>28</v>
      </c>
      <c r="W100" s="496">
        <f>+DATOS!I30</f>
        <v>0</v>
      </c>
      <c r="X100" s="420"/>
      <c r="Y100" s="404" t="s">
        <v>212</v>
      </c>
      <c r="Z100" s="407">
        <f>SQRT((Z101*Z101)+(Z102*Z102)+(Z103*Z103))</f>
        <v>7.0663521942607221E-2</v>
      </c>
      <c r="AA100" s="405" t="e">
        <f>((W96-W104)*100)/(POWER((W100-W104),2))</f>
        <v>#DIV/0!</v>
      </c>
      <c r="AB100" s="422" t="e">
        <f>+AA100*Z100</f>
        <v>#DIV/0!</v>
      </c>
      <c r="AD100" s="340"/>
      <c r="AE100" s="340"/>
      <c r="AF100" s="340"/>
      <c r="AG100" s="340"/>
      <c r="AH100" s="340"/>
      <c r="AI100" s="340"/>
      <c r="AJ100" s="340"/>
      <c r="AK100" s="340"/>
      <c r="AL100" s="340"/>
    </row>
    <row r="101" spans="11:38" ht="21.75" customHeight="1" x14ac:dyDescent="0.25">
      <c r="K101" s="409" t="s">
        <v>213</v>
      </c>
      <c r="L101" s="57" t="s">
        <v>28</v>
      </c>
      <c r="M101" s="410"/>
      <c r="N101" s="411">
        <f>+Balanza!P25</f>
        <v>0</v>
      </c>
      <c r="O101" s="412" t="s">
        <v>214</v>
      </c>
      <c r="P101" s="413">
        <f>+N101</f>
        <v>0</v>
      </c>
      <c r="Q101" s="414" t="s">
        <v>212</v>
      </c>
      <c r="R101" s="415" t="s">
        <v>212</v>
      </c>
      <c r="T101" s="351"/>
      <c r="U101" s="409" t="s">
        <v>213</v>
      </c>
      <c r="V101" s="57" t="s">
        <v>28</v>
      </c>
      <c r="W101" s="497"/>
      <c r="X101" s="411">
        <f>+Balanza!P29</f>
        <v>0</v>
      </c>
      <c r="Y101" s="412" t="s">
        <v>214</v>
      </c>
      <c r="Z101" s="413">
        <f>+X101</f>
        <v>0</v>
      </c>
      <c r="AA101" s="414" t="s">
        <v>212</v>
      </c>
      <c r="AB101" s="415" t="s">
        <v>212</v>
      </c>
      <c r="AD101" s="340"/>
      <c r="AE101" s="340"/>
      <c r="AF101" s="340"/>
      <c r="AG101" s="340"/>
      <c r="AH101" s="340"/>
      <c r="AI101" s="340"/>
      <c r="AJ101" s="340"/>
      <c r="AK101" s="340"/>
      <c r="AL101" s="340"/>
    </row>
    <row r="102" spans="11:38" ht="21.75" customHeight="1" x14ac:dyDescent="0.25">
      <c r="K102" s="409" t="s">
        <v>215</v>
      </c>
      <c r="L102" s="57" t="s">
        <v>28</v>
      </c>
      <c r="M102" s="410"/>
      <c r="N102" s="442">
        <f>2*(SQRT(Balanza!$M$8+Balanza!$N$8*(POWER(M100,2))))</f>
        <v>0.12899612397277679</v>
      </c>
      <c r="O102" s="416" t="s">
        <v>243</v>
      </c>
      <c r="P102" s="413">
        <f>+N102/2</f>
        <v>6.4498061986388397E-2</v>
      </c>
      <c r="Q102" s="414" t="s">
        <v>212</v>
      </c>
      <c r="R102" s="415" t="s">
        <v>212</v>
      </c>
      <c r="T102" s="351"/>
      <c r="U102" s="409" t="s">
        <v>215</v>
      </c>
      <c r="V102" s="57" t="s">
        <v>28</v>
      </c>
      <c r="W102" s="497"/>
      <c r="X102" s="442">
        <f>2*(SQRT(Balanza!$M$8+Balanza!$N$8*(POWER(W100,2))))</f>
        <v>0.12899612397277679</v>
      </c>
      <c r="Y102" s="416" t="s">
        <v>243</v>
      </c>
      <c r="Z102" s="413">
        <f>+X102/2</f>
        <v>6.4498061986388397E-2</v>
      </c>
      <c r="AA102" s="414" t="s">
        <v>212</v>
      </c>
      <c r="AB102" s="415" t="s">
        <v>212</v>
      </c>
      <c r="AD102" s="340"/>
      <c r="AE102" s="340"/>
      <c r="AF102" s="340"/>
      <c r="AG102" s="340"/>
      <c r="AH102" s="340"/>
      <c r="AI102" s="340"/>
      <c r="AJ102" s="340"/>
      <c r="AK102" s="340"/>
      <c r="AL102" s="340"/>
    </row>
    <row r="103" spans="11:38" ht="21.75" customHeight="1" x14ac:dyDescent="0.25">
      <c r="K103" s="409" t="s">
        <v>217</v>
      </c>
      <c r="L103" s="57" t="s">
        <v>28</v>
      </c>
      <c r="M103" s="410"/>
      <c r="N103" s="417">
        <f>+Balanza!$M$10</f>
        <v>0.1</v>
      </c>
      <c r="O103" s="418" t="s">
        <v>218</v>
      </c>
      <c r="P103" s="419">
        <f>N103/SQRT(3)/2</f>
        <v>2.8867513459481291E-2</v>
      </c>
      <c r="Q103" s="414" t="s">
        <v>212</v>
      </c>
      <c r="R103" s="415" t="s">
        <v>212</v>
      </c>
      <c r="T103" s="351"/>
      <c r="U103" s="409" t="s">
        <v>217</v>
      </c>
      <c r="V103" s="57" t="s">
        <v>28</v>
      </c>
      <c r="W103" s="497"/>
      <c r="X103" s="417">
        <f>+Balanza!$M$10</f>
        <v>0.1</v>
      </c>
      <c r="Y103" s="418" t="s">
        <v>218</v>
      </c>
      <c r="Z103" s="419">
        <f>X103/SQRT(3)/2</f>
        <v>2.8867513459481291E-2</v>
      </c>
      <c r="AA103" s="414" t="s">
        <v>212</v>
      </c>
      <c r="AB103" s="415" t="s">
        <v>212</v>
      </c>
      <c r="AD103" s="340"/>
      <c r="AE103" s="340"/>
      <c r="AF103" s="340"/>
      <c r="AG103" s="340"/>
      <c r="AH103" s="340"/>
      <c r="AI103" s="340"/>
      <c r="AJ103" s="340"/>
      <c r="AK103" s="340"/>
      <c r="AL103" s="340"/>
    </row>
    <row r="104" spans="11:38" ht="21.75" customHeight="1" x14ac:dyDescent="0.25">
      <c r="K104" s="402" t="s">
        <v>245</v>
      </c>
      <c r="L104" s="421" t="s">
        <v>28</v>
      </c>
      <c r="M104" s="403">
        <f>+DATOS!E27</f>
        <v>0</v>
      </c>
      <c r="N104" s="420"/>
      <c r="O104" s="404" t="s">
        <v>212</v>
      </c>
      <c r="P104" s="407">
        <f>SQRT((P105*P105)+(P106*P106)+(P107*P107))</f>
        <v>7.0663521942607221E-2</v>
      </c>
      <c r="Q104" s="423" t="e">
        <f>((M96-M100)*100)/(POWER((M100-M104),2))</f>
        <v>#DIV/0!</v>
      </c>
      <c r="R104" s="424" t="e">
        <f>+Q104*P104</f>
        <v>#DIV/0!</v>
      </c>
      <c r="T104" s="351"/>
      <c r="U104" s="402" t="s">
        <v>245</v>
      </c>
      <c r="V104" s="421" t="s">
        <v>28</v>
      </c>
      <c r="W104" s="496">
        <f>+DATOS!I27</f>
        <v>0</v>
      </c>
      <c r="X104" s="420"/>
      <c r="Y104" s="404" t="s">
        <v>212</v>
      </c>
      <c r="Z104" s="407">
        <f>SQRT((Z105*Z105)+(Z106*Z106)+(Z107*Z107))</f>
        <v>7.0663521942607221E-2</v>
      </c>
      <c r="AA104" s="423" t="e">
        <f>((W96-W100)*100)/(POWER((W100-W104),2))</f>
        <v>#DIV/0!</v>
      </c>
      <c r="AB104" s="424" t="e">
        <f>+AA104*Z104</f>
        <v>#DIV/0!</v>
      </c>
      <c r="AD104" s="340"/>
      <c r="AE104" s="340"/>
      <c r="AF104" s="340"/>
      <c r="AG104" s="340"/>
      <c r="AH104" s="340"/>
      <c r="AI104" s="340"/>
      <c r="AJ104" s="340"/>
      <c r="AK104" s="340"/>
      <c r="AL104" s="340"/>
    </row>
    <row r="105" spans="11:38" ht="21.75" customHeight="1" x14ac:dyDescent="0.25">
      <c r="K105" s="409" t="s">
        <v>213</v>
      </c>
      <c r="L105" s="57" t="s">
        <v>28</v>
      </c>
      <c r="M105" s="410"/>
      <c r="N105" s="411">
        <f>+Balanza!P26</f>
        <v>0</v>
      </c>
      <c r="O105" s="412" t="s">
        <v>214</v>
      </c>
      <c r="P105" s="413">
        <f>+N105</f>
        <v>0</v>
      </c>
      <c r="Q105" s="414" t="s">
        <v>212</v>
      </c>
      <c r="R105" s="415" t="s">
        <v>212</v>
      </c>
      <c r="T105" s="351"/>
      <c r="U105" s="409" t="s">
        <v>213</v>
      </c>
      <c r="V105" s="57" t="s">
        <v>28</v>
      </c>
      <c r="W105" s="410"/>
      <c r="X105" s="411">
        <f>+Balanza!P30</f>
        <v>0</v>
      </c>
      <c r="Y105" s="412" t="s">
        <v>214</v>
      </c>
      <c r="Z105" s="413">
        <f>+X105</f>
        <v>0</v>
      </c>
      <c r="AA105" s="414" t="s">
        <v>212</v>
      </c>
      <c r="AB105" s="415" t="s">
        <v>212</v>
      </c>
      <c r="AD105" s="340"/>
      <c r="AE105" s="340"/>
      <c r="AF105" s="340"/>
      <c r="AG105" s="340"/>
      <c r="AH105" s="340"/>
      <c r="AI105" s="340"/>
      <c r="AJ105" s="340"/>
      <c r="AK105" s="340"/>
      <c r="AL105" s="340"/>
    </row>
    <row r="106" spans="11:38" ht="21.75" customHeight="1" x14ac:dyDescent="0.25">
      <c r="K106" s="409" t="s">
        <v>215</v>
      </c>
      <c r="L106" s="57" t="s">
        <v>28</v>
      </c>
      <c r="M106" s="410"/>
      <c r="N106" s="442">
        <f>2*(SQRT(Balanza!$M$8+Balanza!$N$8*(POWER(M104,2))))</f>
        <v>0.12899612397277679</v>
      </c>
      <c r="O106" s="416" t="s">
        <v>243</v>
      </c>
      <c r="P106" s="413">
        <f>+N106/2</f>
        <v>6.4498061986388397E-2</v>
      </c>
      <c r="Q106" s="414" t="s">
        <v>212</v>
      </c>
      <c r="R106" s="415" t="s">
        <v>212</v>
      </c>
      <c r="T106" s="351"/>
      <c r="U106" s="409" t="s">
        <v>215</v>
      </c>
      <c r="V106" s="57" t="s">
        <v>28</v>
      </c>
      <c r="W106" s="410"/>
      <c r="X106" s="442">
        <f>2*(SQRT(Balanza!$M$8+Balanza!$N$8*(POWER(W104,2))))</f>
        <v>0.12899612397277679</v>
      </c>
      <c r="Y106" s="416" t="s">
        <v>243</v>
      </c>
      <c r="Z106" s="413">
        <f>+X106/2</f>
        <v>6.4498061986388397E-2</v>
      </c>
      <c r="AA106" s="414" t="s">
        <v>212</v>
      </c>
      <c r="AB106" s="415" t="s">
        <v>212</v>
      </c>
      <c r="AD106" s="340"/>
      <c r="AE106" s="340"/>
      <c r="AF106" s="340"/>
      <c r="AG106" s="340"/>
      <c r="AH106" s="340"/>
      <c r="AI106" s="340"/>
      <c r="AJ106" s="340"/>
      <c r="AK106" s="340"/>
      <c r="AL106" s="340"/>
    </row>
    <row r="107" spans="11:38" ht="21.75" customHeight="1" x14ac:dyDescent="0.25">
      <c r="K107" s="409" t="s">
        <v>217</v>
      </c>
      <c r="L107" s="57" t="s">
        <v>28</v>
      </c>
      <c r="M107" s="410"/>
      <c r="N107" s="417">
        <f>+Balanza!$M$10</f>
        <v>0.1</v>
      </c>
      <c r="O107" s="418" t="s">
        <v>218</v>
      </c>
      <c r="P107" s="419">
        <f>N107/SQRT(3)/2</f>
        <v>2.8867513459481291E-2</v>
      </c>
      <c r="Q107" s="414" t="s">
        <v>212</v>
      </c>
      <c r="R107" s="415" t="s">
        <v>212</v>
      </c>
      <c r="T107" s="351"/>
      <c r="U107" s="409" t="s">
        <v>217</v>
      </c>
      <c r="V107" s="57" t="s">
        <v>28</v>
      </c>
      <c r="W107" s="410"/>
      <c r="X107" s="417">
        <f>+Balanza!$M$10</f>
        <v>0.1</v>
      </c>
      <c r="Y107" s="418" t="s">
        <v>218</v>
      </c>
      <c r="Z107" s="419">
        <f>X107/SQRT(3)/2</f>
        <v>2.8867513459481291E-2</v>
      </c>
      <c r="AA107" s="414" t="s">
        <v>212</v>
      </c>
      <c r="AB107" s="415" t="s">
        <v>212</v>
      </c>
      <c r="AD107" s="340"/>
      <c r="AE107" s="340"/>
      <c r="AF107" s="340"/>
      <c r="AG107" s="340"/>
      <c r="AH107" s="340"/>
      <c r="AI107" s="340"/>
      <c r="AJ107" s="340"/>
      <c r="AK107" s="340"/>
      <c r="AL107" s="340"/>
    </row>
    <row r="108" spans="11:38" ht="21.75" customHeight="1" x14ac:dyDescent="0.25">
      <c r="K108" s="426" t="s">
        <v>246</v>
      </c>
      <c r="L108" s="429" t="s">
        <v>2</v>
      </c>
      <c r="M108" s="427">
        <f>+PRECISION!$J$6</f>
        <v>0.11030261405182915</v>
      </c>
      <c r="N108" s="428"/>
      <c r="O108" s="430" t="s">
        <v>219</v>
      </c>
      <c r="P108" s="431">
        <f>M108/SQRT(1)</f>
        <v>0.11030261405182915</v>
      </c>
      <c r="Q108" s="432">
        <v>1</v>
      </c>
      <c r="R108" s="433">
        <f>+P108*Q108</f>
        <v>0.11030261405182915</v>
      </c>
      <c r="T108" s="351"/>
      <c r="U108" s="426" t="s">
        <v>246</v>
      </c>
      <c r="V108" s="429" t="s">
        <v>2</v>
      </c>
      <c r="W108" s="427">
        <f>+PRECISION!$J$6</f>
        <v>0.11030261405182915</v>
      </c>
      <c r="X108" s="428"/>
      <c r="Y108" s="430" t="s">
        <v>219</v>
      </c>
      <c r="Z108" s="431">
        <f>W108/SQRT(1)</f>
        <v>0.11030261405182915</v>
      </c>
      <c r="AA108" s="432">
        <v>1</v>
      </c>
      <c r="AB108" s="433">
        <f>+Z108*AA108</f>
        <v>0.11030261405182915</v>
      </c>
      <c r="AD108" s="340"/>
      <c r="AE108" s="340"/>
      <c r="AF108" s="340"/>
      <c r="AG108" s="340"/>
      <c r="AH108" s="340"/>
      <c r="AI108" s="340"/>
      <c r="AJ108" s="340"/>
      <c r="AK108" s="340"/>
      <c r="AL108" s="340"/>
    </row>
    <row r="109" spans="11:38" ht="21.75" customHeight="1" thickBot="1" x14ac:dyDescent="0.3">
      <c r="K109" s="632" t="s">
        <v>247</v>
      </c>
      <c r="L109" s="491" t="s">
        <v>2</v>
      </c>
      <c r="M109" s="492"/>
      <c r="N109" s="492"/>
      <c r="O109" s="492"/>
      <c r="P109" s="493"/>
      <c r="Q109" s="494"/>
      <c r="R109" s="495" t="e">
        <f>SQRT((R96*R96)+(R100*R100)+(R104*R104)+(R108*R108))</f>
        <v>#DIV/0!</v>
      </c>
      <c r="T109" s="351"/>
      <c r="U109" s="632" t="s">
        <v>247</v>
      </c>
      <c r="V109" s="491" t="s">
        <v>2</v>
      </c>
      <c r="W109" s="492"/>
      <c r="X109" s="492"/>
      <c r="Y109" s="492"/>
      <c r="Z109" s="493"/>
      <c r="AA109" s="494"/>
      <c r="AB109" s="495" t="e">
        <f>SQRT((AB96*AB96)+(AB100*AB100)+(AB104*AB104)+(AB108*AB108))</f>
        <v>#DIV/0!</v>
      </c>
      <c r="AD109" s="340"/>
      <c r="AE109" s="340"/>
      <c r="AF109" s="340"/>
      <c r="AG109" s="340"/>
      <c r="AH109" s="340"/>
      <c r="AI109" s="340"/>
      <c r="AJ109" s="340"/>
      <c r="AK109" s="340"/>
      <c r="AL109" s="340"/>
    </row>
    <row r="110" spans="11:38" ht="12.75" customHeight="1" x14ac:dyDescent="0.25"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</row>
    <row r="111" spans="11:38" ht="30" customHeight="1" x14ac:dyDescent="0.25">
      <c r="K111" s="607" t="s">
        <v>206</v>
      </c>
      <c r="L111" s="608" t="s">
        <v>207</v>
      </c>
      <c r="M111" s="607" t="s">
        <v>208</v>
      </c>
      <c r="N111" s="608" t="s">
        <v>209</v>
      </c>
      <c r="O111" s="608" t="s">
        <v>210</v>
      </c>
      <c r="P111" s="608" t="s">
        <v>239</v>
      </c>
      <c r="Q111" s="608" t="s">
        <v>211</v>
      </c>
      <c r="R111" s="608" t="s">
        <v>240</v>
      </c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/>
      <c r="AK111" s="340"/>
      <c r="AL111" s="340"/>
    </row>
    <row r="112" spans="11:38" ht="19.2" customHeight="1" x14ac:dyDescent="0.25">
      <c r="K112" s="609" t="s">
        <v>316</v>
      </c>
      <c r="L112" s="450" t="s">
        <v>317</v>
      </c>
      <c r="M112" s="610">
        <f>3.14159*M113*M113/4</f>
        <v>1932.5030603836888</v>
      </c>
      <c r="N112" s="437"/>
      <c r="O112" s="437"/>
      <c r="P112" s="437"/>
      <c r="Q112" s="437"/>
      <c r="R112" s="437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</row>
    <row r="113" spans="11:38" ht="19.2" customHeight="1" x14ac:dyDescent="0.25">
      <c r="K113" s="611" t="s">
        <v>255</v>
      </c>
      <c r="L113" s="521" t="s">
        <v>5</v>
      </c>
      <c r="M113" s="403">
        <f>+DATOS!$D$8</f>
        <v>49.603844559999999</v>
      </c>
      <c r="N113" s="441"/>
      <c r="O113" s="441"/>
      <c r="P113" s="407">
        <f>SQRT((P114*P114)+(P115*P115)+(P116*P116))</f>
        <v>5.5806212318460519E-3</v>
      </c>
      <c r="Q113" s="597">
        <f>3.14159*M113/2</f>
        <v>77.917471015625196</v>
      </c>
      <c r="R113" s="598">
        <f>+P113*Q113</f>
        <v>0.43482789308154735</v>
      </c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  <c r="AE113" s="340"/>
      <c r="AF113" s="340"/>
      <c r="AG113" s="340"/>
      <c r="AH113" s="340"/>
      <c r="AI113" s="340"/>
      <c r="AJ113" s="340"/>
      <c r="AK113" s="340"/>
      <c r="AL113" s="340"/>
    </row>
    <row r="114" spans="11:38" ht="19.2" customHeight="1" x14ac:dyDescent="0.25">
      <c r="K114" s="589" t="s">
        <v>273</v>
      </c>
      <c r="L114" s="221" t="s">
        <v>5</v>
      </c>
      <c r="M114" s="372"/>
      <c r="N114" s="514">
        <f>+C77</f>
        <v>2.4494897427826908E-3</v>
      </c>
      <c r="O114" s="412" t="s">
        <v>214</v>
      </c>
      <c r="P114" s="413">
        <f>+N114</f>
        <v>2.4494897427826908E-3</v>
      </c>
      <c r="Q114" s="437"/>
      <c r="R114" s="437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  <c r="AE114" s="340"/>
      <c r="AF114" s="340"/>
      <c r="AG114" s="340"/>
      <c r="AH114" s="340"/>
      <c r="AI114" s="340"/>
      <c r="AJ114" s="340"/>
      <c r="AK114" s="340"/>
      <c r="AL114" s="340"/>
    </row>
    <row r="115" spans="11:38" ht="19.2" customHeight="1" x14ac:dyDescent="0.25">
      <c r="K115" s="589" t="s">
        <v>215</v>
      </c>
      <c r="L115" s="221" t="s">
        <v>5</v>
      </c>
      <c r="M115" s="515"/>
      <c r="N115" s="514">
        <v>8.2000000000000007E-3</v>
      </c>
      <c r="O115" s="516" t="s">
        <v>216</v>
      </c>
      <c r="P115" s="517">
        <f>+N115/2</f>
        <v>4.1000000000000003E-3</v>
      </c>
      <c r="Q115" s="437"/>
      <c r="R115" s="437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40"/>
      <c r="AG115" s="340"/>
      <c r="AH115" s="340"/>
      <c r="AI115" s="340"/>
      <c r="AJ115" s="340"/>
      <c r="AK115" s="340"/>
      <c r="AL115" s="340"/>
    </row>
    <row r="116" spans="11:38" ht="19.2" customHeight="1" x14ac:dyDescent="0.25">
      <c r="K116" s="589" t="s">
        <v>217</v>
      </c>
      <c r="L116" s="221" t="s">
        <v>5</v>
      </c>
      <c r="M116" s="515"/>
      <c r="N116" s="590">
        <v>0.01</v>
      </c>
      <c r="O116" s="520" t="s">
        <v>218</v>
      </c>
      <c r="P116" s="517">
        <f>+N116/SQRT(3)/2</f>
        <v>2.886751345948129E-3</v>
      </c>
      <c r="Q116" s="437"/>
      <c r="R116" s="437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  <c r="AE116" s="340"/>
      <c r="AF116" s="340"/>
      <c r="AG116" s="340"/>
      <c r="AH116" s="340"/>
      <c r="AI116" s="340"/>
      <c r="AJ116" s="340"/>
      <c r="AK116" s="340"/>
      <c r="AL116" s="340"/>
    </row>
    <row r="117" spans="11:38" ht="19.2" customHeight="1" x14ac:dyDescent="0.25">
      <c r="K117" s="500" t="s">
        <v>247</v>
      </c>
      <c r="L117" s="500"/>
      <c r="M117" s="500"/>
      <c r="N117" s="501"/>
      <c r="O117" s="500"/>
      <c r="P117" s="501"/>
      <c r="Q117" s="612" t="s">
        <v>317</v>
      </c>
      <c r="R117" s="612">
        <f>+SQRT(R113^2)</f>
        <v>0.43482789308154735</v>
      </c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  <c r="AE117" s="340"/>
      <c r="AF117" s="340"/>
      <c r="AG117" s="340"/>
      <c r="AH117" s="340"/>
      <c r="AI117" s="340"/>
      <c r="AJ117" s="340"/>
      <c r="AK117" s="340"/>
      <c r="AL117" s="340"/>
    </row>
    <row r="118" spans="11:38" ht="19.2" customHeight="1" x14ac:dyDescent="0.25">
      <c r="K118" s="500" t="s">
        <v>220</v>
      </c>
      <c r="L118" s="500"/>
      <c r="M118" s="613"/>
      <c r="N118" s="501"/>
      <c r="O118" s="613"/>
      <c r="P118" s="501"/>
      <c r="Q118" s="612" t="s">
        <v>317</v>
      </c>
      <c r="R118" s="614">
        <f>R117*2</f>
        <v>0.86965578616309469</v>
      </c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  <c r="AE118" s="340"/>
      <c r="AF118" s="340"/>
      <c r="AG118" s="340"/>
      <c r="AH118" s="340"/>
      <c r="AI118" s="340"/>
      <c r="AJ118" s="340"/>
      <c r="AK118" s="340"/>
      <c r="AL118" s="340"/>
    </row>
    <row r="119" spans="11:38" ht="12.75" customHeight="1" x14ac:dyDescent="0.25"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  <c r="AE119" s="340"/>
      <c r="AF119" s="340"/>
      <c r="AG119" s="340"/>
      <c r="AH119" s="340"/>
      <c r="AI119" s="340"/>
      <c r="AJ119" s="340"/>
      <c r="AK119" s="340"/>
      <c r="AL119" s="340"/>
    </row>
    <row r="120" spans="11:38" ht="12.75" customHeight="1" thickBot="1" x14ac:dyDescent="0.3">
      <c r="K120" s="444" t="s">
        <v>251</v>
      </c>
      <c r="L120" s="444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1"/>
      <c r="AE120" s="351"/>
      <c r="AF120" s="351"/>
      <c r="AG120" s="351"/>
      <c r="AH120" s="351"/>
      <c r="AI120" s="351"/>
      <c r="AJ120" s="351"/>
      <c r="AK120" s="351"/>
      <c r="AL120" s="340"/>
    </row>
    <row r="121" spans="11:38" ht="36" customHeight="1" thickBot="1" x14ac:dyDescent="0.3">
      <c r="K121" s="445" t="s">
        <v>206</v>
      </c>
      <c r="L121" s="446" t="s">
        <v>207</v>
      </c>
      <c r="M121" s="445" t="s">
        <v>208</v>
      </c>
      <c r="N121" s="447" t="s">
        <v>209</v>
      </c>
      <c r="O121" s="447" t="s">
        <v>210</v>
      </c>
      <c r="P121" s="447" t="s">
        <v>239</v>
      </c>
      <c r="Q121" s="447" t="s">
        <v>211</v>
      </c>
      <c r="R121" s="448" t="s">
        <v>240</v>
      </c>
      <c r="T121" s="351"/>
      <c r="U121" s="445" t="s">
        <v>206</v>
      </c>
      <c r="V121" s="446" t="s">
        <v>207</v>
      </c>
      <c r="W121" s="445" t="s">
        <v>208</v>
      </c>
      <c r="X121" s="447" t="s">
        <v>209</v>
      </c>
      <c r="Y121" s="447" t="s">
        <v>210</v>
      </c>
      <c r="Z121" s="447" t="s">
        <v>239</v>
      </c>
      <c r="AA121" s="447" t="s">
        <v>211</v>
      </c>
      <c r="AB121" s="448" t="s">
        <v>240</v>
      </c>
      <c r="AD121" s="351"/>
      <c r="AE121" s="351"/>
      <c r="AF121" s="351"/>
      <c r="AG121" s="351"/>
      <c r="AH121" s="351"/>
      <c r="AI121" s="351"/>
      <c r="AJ121" s="351"/>
      <c r="AK121" s="351"/>
      <c r="AL121" s="340"/>
    </row>
    <row r="122" spans="11:38" ht="14.4" customHeight="1" x14ac:dyDescent="0.25">
      <c r="K122" s="530" t="s">
        <v>252</v>
      </c>
      <c r="L122" s="531" t="s">
        <v>253</v>
      </c>
      <c r="M122" s="532" t="e">
        <f>3.14159*M123*M123*M127/4</f>
        <v>#N/A</v>
      </c>
      <c r="N122" s="533" t="s">
        <v>212</v>
      </c>
      <c r="O122" s="533" t="s">
        <v>212</v>
      </c>
      <c r="P122" s="533" t="s">
        <v>212</v>
      </c>
      <c r="Q122" s="533" t="s">
        <v>212</v>
      </c>
      <c r="R122" s="534" t="s">
        <v>212</v>
      </c>
      <c r="T122" s="351"/>
      <c r="U122" s="530" t="s">
        <v>252</v>
      </c>
      <c r="V122" s="531" t="s">
        <v>253</v>
      </c>
      <c r="W122" s="532" t="e">
        <f>3.14159*W123*W123*W127/4</f>
        <v>#N/A</v>
      </c>
      <c r="X122" s="533" t="s">
        <v>212</v>
      </c>
      <c r="Y122" s="533" t="s">
        <v>212</v>
      </c>
      <c r="Z122" s="533" t="s">
        <v>212</v>
      </c>
      <c r="AA122" s="533" t="s">
        <v>212</v>
      </c>
      <c r="AB122" s="534" t="s">
        <v>212</v>
      </c>
      <c r="AD122" s="373"/>
      <c r="AE122" s="373"/>
      <c r="AF122" s="373"/>
      <c r="AG122" s="373"/>
      <c r="AH122" s="373"/>
      <c r="AI122" s="373"/>
      <c r="AJ122" s="373"/>
      <c r="AK122" s="373"/>
      <c r="AL122" s="340"/>
    </row>
    <row r="123" spans="11:38" ht="14.4" customHeight="1" x14ac:dyDescent="0.25">
      <c r="K123" s="528" t="s">
        <v>255</v>
      </c>
      <c r="L123" s="521" t="s">
        <v>5</v>
      </c>
      <c r="M123" s="403" t="e">
        <f>+LOOKUP(L134,K137:K148,L137:L148)</f>
        <v>#N/A</v>
      </c>
      <c r="N123" s="522"/>
      <c r="O123" s="523" t="s">
        <v>212</v>
      </c>
      <c r="P123" s="407">
        <f>SQRT((P124*P124)+(P125*P125)+(P126*P126))</f>
        <v>5.1791247651831419E-3</v>
      </c>
      <c r="Q123" s="524" t="e">
        <f>3.14159*M127*M123/2</f>
        <v>#N/A</v>
      </c>
      <c r="R123" s="529" t="e">
        <f>+Q123*P123</f>
        <v>#N/A</v>
      </c>
      <c r="T123" s="351"/>
      <c r="U123" s="528" t="s">
        <v>255</v>
      </c>
      <c r="V123" s="521" t="s">
        <v>5</v>
      </c>
      <c r="W123" s="403" t="e">
        <f>+LOOKUP(W134,K137:K148,L137:L148)</f>
        <v>#N/A</v>
      </c>
      <c r="X123" s="522"/>
      <c r="Y123" s="523" t="s">
        <v>212</v>
      </c>
      <c r="Z123" s="407">
        <f>SQRT((Z124*Z124)+(Z125*Z125)+(Z126*Z126))</f>
        <v>5.1791247651831419E-3</v>
      </c>
      <c r="AA123" s="524" t="e">
        <f>3.14159*W127*W123/2</f>
        <v>#N/A</v>
      </c>
      <c r="AB123" s="559" t="e">
        <f>+AA123*Z123</f>
        <v>#N/A</v>
      </c>
      <c r="AD123" s="373"/>
      <c r="AE123" s="373"/>
      <c r="AF123" s="373"/>
      <c r="AG123" s="373"/>
      <c r="AH123" s="373"/>
      <c r="AI123" s="373"/>
      <c r="AJ123" s="373"/>
      <c r="AK123" s="373"/>
      <c r="AL123" s="340"/>
    </row>
    <row r="124" spans="11:38" ht="14.4" customHeight="1" x14ac:dyDescent="0.25">
      <c r="K124" s="526" t="s">
        <v>273</v>
      </c>
      <c r="L124" s="221" t="s">
        <v>5</v>
      </c>
      <c r="M124" s="372"/>
      <c r="N124" s="514">
        <f>+Q146</f>
        <v>0</v>
      </c>
      <c r="O124" s="412" t="s">
        <v>214</v>
      </c>
      <c r="P124" s="413">
        <f>+N124</f>
        <v>0</v>
      </c>
      <c r="Q124" s="414" t="s">
        <v>212</v>
      </c>
      <c r="R124" s="415" t="s">
        <v>212</v>
      </c>
      <c r="T124" s="351"/>
      <c r="U124" s="526" t="s">
        <v>273</v>
      </c>
      <c r="V124" s="221" t="s">
        <v>5</v>
      </c>
      <c r="W124" s="372"/>
      <c r="X124" s="514">
        <f>+Q168</f>
        <v>0</v>
      </c>
      <c r="Y124" s="412" t="s">
        <v>214</v>
      </c>
      <c r="Z124" s="413">
        <f>+X124</f>
        <v>0</v>
      </c>
      <c r="AA124" s="414" t="s">
        <v>212</v>
      </c>
      <c r="AB124" s="415" t="s">
        <v>212</v>
      </c>
      <c r="AD124" s="373"/>
      <c r="AE124" s="373"/>
      <c r="AF124" s="373"/>
      <c r="AG124" s="373"/>
      <c r="AH124" s="373"/>
      <c r="AI124" s="373"/>
      <c r="AJ124" s="373"/>
      <c r="AK124" s="373"/>
      <c r="AL124" s="340"/>
    </row>
    <row r="125" spans="11:38" ht="14.4" customHeight="1" x14ac:dyDescent="0.25">
      <c r="K125" s="526" t="s">
        <v>215</v>
      </c>
      <c r="L125" s="221" t="s">
        <v>5</v>
      </c>
      <c r="M125" s="515"/>
      <c r="N125" s="514">
        <v>8.6E-3</v>
      </c>
      <c r="O125" s="516" t="s">
        <v>216</v>
      </c>
      <c r="P125" s="517">
        <f>+N125/2</f>
        <v>4.3E-3</v>
      </c>
      <c r="Q125" s="518" t="s">
        <v>212</v>
      </c>
      <c r="R125" s="527" t="s">
        <v>212</v>
      </c>
      <c r="T125" s="351"/>
      <c r="U125" s="526" t="s">
        <v>215</v>
      </c>
      <c r="V125" s="221" t="s">
        <v>5</v>
      </c>
      <c r="W125" s="515"/>
      <c r="X125" s="514">
        <v>8.6E-3</v>
      </c>
      <c r="Y125" s="516" t="s">
        <v>216</v>
      </c>
      <c r="Z125" s="517">
        <f>+X125/2</f>
        <v>4.3E-3</v>
      </c>
      <c r="AA125" s="518" t="s">
        <v>212</v>
      </c>
      <c r="AB125" s="527" t="s">
        <v>212</v>
      </c>
      <c r="AD125" s="373"/>
      <c r="AE125" s="373"/>
      <c r="AF125" s="373"/>
      <c r="AG125" s="373"/>
      <c r="AH125" s="373"/>
      <c r="AI125" s="373"/>
      <c r="AJ125" s="373"/>
      <c r="AK125" s="373"/>
      <c r="AL125" s="340"/>
    </row>
    <row r="126" spans="11:38" ht="14.4" customHeight="1" x14ac:dyDescent="0.25">
      <c r="K126" s="526" t="s">
        <v>217</v>
      </c>
      <c r="L126" s="221" t="s">
        <v>5</v>
      </c>
      <c r="M126" s="515"/>
      <c r="N126" s="519">
        <v>0.01</v>
      </c>
      <c r="O126" s="520" t="s">
        <v>218</v>
      </c>
      <c r="P126" s="517">
        <f>+N126/SQRT(3)/2</f>
        <v>2.886751345948129E-3</v>
      </c>
      <c r="Q126" s="518" t="s">
        <v>212</v>
      </c>
      <c r="R126" s="527" t="s">
        <v>212</v>
      </c>
      <c r="T126" s="351"/>
      <c r="U126" s="526" t="s">
        <v>217</v>
      </c>
      <c r="V126" s="221" t="s">
        <v>5</v>
      </c>
      <c r="W126" s="515"/>
      <c r="X126" s="519">
        <v>0.01</v>
      </c>
      <c r="Y126" s="520" t="s">
        <v>218</v>
      </c>
      <c r="Z126" s="517">
        <f>+X126/SQRT(3)/2</f>
        <v>2.886751345948129E-3</v>
      </c>
      <c r="AA126" s="518" t="s">
        <v>212</v>
      </c>
      <c r="AB126" s="527" t="s">
        <v>212</v>
      </c>
      <c r="AD126" s="373"/>
      <c r="AE126" s="373"/>
      <c r="AF126" s="373"/>
      <c r="AG126" s="373"/>
      <c r="AH126" s="373"/>
      <c r="AI126" s="373"/>
      <c r="AJ126" s="373"/>
      <c r="AK126" s="373"/>
      <c r="AL126" s="340"/>
    </row>
    <row r="127" spans="11:38" ht="14.4" customHeight="1" x14ac:dyDescent="0.25">
      <c r="K127" s="525" t="s">
        <v>254</v>
      </c>
      <c r="L127" s="521" t="s">
        <v>5</v>
      </c>
      <c r="M127" s="403" t="e">
        <f>+LOOKUP(L134,K137:K148,M137:M148)</f>
        <v>#N/A</v>
      </c>
      <c r="N127" s="404" t="s">
        <v>212</v>
      </c>
      <c r="O127" s="406" t="s">
        <v>212</v>
      </c>
      <c r="P127" s="407">
        <f>SQRT((P128*P128)+(P129*P129)+(P130*P130))</f>
        <v>5.3884908214947656E-3</v>
      </c>
      <c r="Q127" s="406" t="e">
        <f>3.14159*POWER(M123,2)/4</f>
        <v>#N/A</v>
      </c>
      <c r="R127" s="408" t="e">
        <f>+Q127*P127</f>
        <v>#N/A</v>
      </c>
      <c r="T127" s="351"/>
      <c r="U127" s="525" t="s">
        <v>254</v>
      </c>
      <c r="V127" s="521" t="s">
        <v>5</v>
      </c>
      <c r="W127" s="403" t="e">
        <f>+LOOKUP(W134,K137:K148,M137:M148)</f>
        <v>#N/A</v>
      </c>
      <c r="X127" s="404" t="s">
        <v>212</v>
      </c>
      <c r="Y127" s="406" t="s">
        <v>212</v>
      </c>
      <c r="Z127" s="407">
        <f>SQRT((Z128*Z128)+(Z129*Z129)+(Z130*Z130))</f>
        <v>5.3884908214947656E-3</v>
      </c>
      <c r="AA127" s="406" t="e">
        <f>3.14159*POWER(W123,2)/4</f>
        <v>#N/A</v>
      </c>
      <c r="AB127" s="408" t="e">
        <f>+AA127*Z127</f>
        <v>#N/A</v>
      </c>
      <c r="AD127" s="373"/>
      <c r="AE127" s="373"/>
      <c r="AF127" s="373"/>
      <c r="AG127" s="373"/>
      <c r="AH127" s="373"/>
      <c r="AI127" s="373"/>
      <c r="AJ127" s="373"/>
      <c r="AK127" s="373"/>
      <c r="AL127" s="340"/>
    </row>
    <row r="128" spans="11:38" ht="14.4" customHeight="1" x14ac:dyDescent="0.25">
      <c r="K128" s="526" t="s">
        <v>273</v>
      </c>
      <c r="L128" s="221" t="s">
        <v>5</v>
      </c>
      <c r="M128" s="372"/>
      <c r="N128" s="514">
        <f>+S146</f>
        <v>0</v>
      </c>
      <c r="O128" s="412" t="s">
        <v>214</v>
      </c>
      <c r="P128" s="413">
        <f>+N128</f>
        <v>0</v>
      </c>
      <c r="Q128" s="414" t="s">
        <v>212</v>
      </c>
      <c r="R128" s="415" t="s">
        <v>212</v>
      </c>
      <c r="T128" s="351"/>
      <c r="U128" s="526" t="s">
        <v>273</v>
      </c>
      <c r="V128" s="221" t="s">
        <v>5</v>
      </c>
      <c r="W128" s="372"/>
      <c r="X128" s="514">
        <f>+S168</f>
        <v>0</v>
      </c>
      <c r="Y128" s="412" t="s">
        <v>214</v>
      </c>
      <c r="Z128" s="413">
        <f>+X128</f>
        <v>0</v>
      </c>
      <c r="AA128" s="414" t="s">
        <v>212</v>
      </c>
      <c r="AB128" s="415" t="s">
        <v>212</v>
      </c>
      <c r="AD128" s="373"/>
      <c r="AE128" s="373"/>
      <c r="AF128" s="373"/>
      <c r="AG128" s="373"/>
      <c r="AH128" s="373"/>
      <c r="AI128" s="373"/>
      <c r="AJ128" s="373"/>
      <c r="AK128" s="373"/>
      <c r="AL128" s="340"/>
    </row>
    <row r="129" spans="1:38" ht="14.4" customHeight="1" x14ac:dyDescent="0.25">
      <c r="K129" s="526" t="s">
        <v>215</v>
      </c>
      <c r="L129" s="221" t="s">
        <v>5</v>
      </c>
      <c r="M129" s="515"/>
      <c r="N129" s="514">
        <v>9.1000000000000004E-3</v>
      </c>
      <c r="O129" s="516" t="s">
        <v>216</v>
      </c>
      <c r="P129" s="517">
        <f>+N129/2</f>
        <v>4.5500000000000002E-3</v>
      </c>
      <c r="Q129" s="518" t="s">
        <v>212</v>
      </c>
      <c r="R129" s="527" t="s">
        <v>212</v>
      </c>
      <c r="T129" s="351"/>
      <c r="U129" s="526" t="s">
        <v>215</v>
      </c>
      <c r="V129" s="221" t="s">
        <v>5</v>
      </c>
      <c r="W129" s="515"/>
      <c r="X129" s="514">
        <v>9.1000000000000004E-3</v>
      </c>
      <c r="Y129" s="516" t="s">
        <v>216</v>
      </c>
      <c r="Z129" s="517">
        <f>+X129/2</f>
        <v>4.5500000000000002E-3</v>
      </c>
      <c r="AA129" s="518" t="s">
        <v>212</v>
      </c>
      <c r="AB129" s="527" t="s">
        <v>212</v>
      </c>
      <c r="AD129" s="373"/>
      <c r="AE129" s="373"/>
      <c r="AF129" s="373"/>
      <c r="AG129" s="373"/>
      <c r="AH129" s="373"/>
      <c r="AI129" s="373"/>
      <c r="AJ129" s="373"/>
      <c r="AK129" s="373"/>
      <c r="AL129" s="340"/>
    </row>
    <row r="130" spans="1:38" ht="14.4" customHeight="1" x14ac:dyDescent="0.25">
      <c r="K130" s="526" t="s">
        <v>217</v>
      </c>
      <c r="L130" s="221" t="s">
        <v>5</v>
      </c>
      <c r="M130" s="515"/>
      <c r="N130" s="519">
        <v>0.01</v>
      </c>
      <c r="O130" s="520" t="s">
        <v>218</v>
      </c>
      <c r="P130" s="517">
        <f>+N130/SQRT(3)/2</f>
        <v>2.886751345948129E-3</v>
      </c>
      <c r="Q130" s="518" t="s">
        <v>212</v>
      </c>
      <c r="R130" s="527" t="s">
        <v>212</v>
      </c>
      <c r="T130" s="351"/>
      <c r="U130" s="526" t="s">
        <v>217</v>
      </c>
      <c r="V130" s="221" t="s">
        <v>5</v>
      </c>
      <c r="W130" s="515"/>
      <c r="X130" s="519">
        <v>0.01</v>
      </c>
      <c r="Y130" s="520" t="s">
        <v>218</v>
      </c>
      <c r="Z130" s="517">
        <f>+X130/SQRT(3)/2</f>
        <v>2.886751345948129E-3</v>
      </c>
      <c r="AA130" s="518" t="s">
        <v>212</v>
      </c>
      <c r="AB130" s="527" t="s">
        <v>212</v>
      </c>
      <c r="AD130" s="373"/>
      <c r="AE130" s="373"/>
      <c r="AF130" s="373"/>
      <c r="AG130" s="373"/>
      <c r="AH130" s="373"/>
      <c r="AI130" s="373"/>
      <c r="AJ130" s="373"/>
      <c r="AK130" s="373"/>
      <c r="AL130" s="340"/>
    </row>
    <row r="131" spans="1:38" ht="14.4" customHeight="1" x14ac:dyDescent="0.25">
      <c r="K131" s="511" t="s">
        <v>247</v>
      </c>
      <c r="L131" s="512"/>
      <c r="M131" s="512"/>
      <c r="N131" s="513"/>
      <c r="O131" s="512"/>
      <c r="P131" s="513"/>
      <c r="Q131" s="544" t="s">
        <v>253</v>
      </c>
      <c r="R131" s="546" t="e">
        <f>+SQRT(R123^2+R127^2)</f>
        <v>#N/A</v>
      </c>
      <c r="T131" s="340"/>
      <c r="U131" s="511" t="s">
        <v>247</v>
      </c>
      <c r="V131" s="512"/>
      <c r="W131" s="512"/>
      <c r="X131" s="513"/>
      <c r="Y131" s="512"/>
      <c r="Z131" s="513"/>
      <c r="AA131" s="544" t="s">
        <v>253</v>
      </c>
      <c r="AB131" s="546" t="e">
        <f>+SQRT(AB123^2+AB127^2)</f>
        <v>#N/A</v>
      </c>
      <c r="AD131" s="373"/>
      <c r="AE131" s="373"/>
      <c r="AF131" s="340"/>
      <c r="AG131" s="340"/>
      <c r="AH131" s="340"/>
      <c r="AI131" s="340"/>
      <c r="AJ131" s="340"/>
      <c r="AK131" s="340"/>
      <c r="AL131" s="340"/>
    </row>
    <row r="132" spans="1:38" ht="14.4" customHeight="1" thickBot="1" x14ac:dyDescent="0.3">
      <c r="K132" s="452" t="s">
        <v>220</v>
      </c>
      <c r="L132" s="453"/>
      <c r="M132" s="453"/>
      <c r="N132" s="454"/>
      <c r="O132" s="453"/>
      <c r="P132" s="454"/>
      <c r="Q132" s="545" t="s">
        <v>253</v>
      </c>
      <c r="R132" s="547" t="e">
        <f>R131*2</f>
        <v>#N/A</v>
      </c>
      <c r="T132" s="340"/>
      <c r="U132" s="452" t="s">
        <v>220</v>
      </c>
      <c r="V132" s="453"/>
      <c r="W132" s="453"/>
      <c r="X132" s="454"/>
      <c r="Y132" s="453"/>
      <c r="Z132" s="454"/>
      <c r="AA132" s="545" t="s">
        <v>253</v>
      </c>
      <c r="AB132" s="547" t="e">
        <f>AB131*2</f>
        <v>#N/A</v>
      </c>
      <c r="AD132" s="373"/>
      <c r="AE132" s="373"/>
      <c r="AF132" s="340"/>
      <c r="AG132" s="340"/>
      <c r="AH132" s="340"/>
      <c r="AI132" s="340"/>
      <c r="AJ132" s="340"/>
      <c r="AK132" s="340"/>
      <c r="AL132" s="340"/>
    </row>
    <row r="133" spans="1:38" ht="12.75" customHeight="1" x14ac:dyDescent="0.25"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73"/>
      <c r="Y133" s="373"/>
      <c r="Z133" s="373"/>
      <c r="AA133" s="373"/>
      <c r="AB133" s="373"/>
      <c r="AC133" s="373"/>
      <c r="AD133" s="373"/>
      <c r="AE133" s="373"/>
      <c r="AF133" s="340"/>
      <c r="AG133" s="340"/>
      <c r="AH133" s="340"/>
      <c r="AI133" s="340"/>
      <c r="AJ133" s="340"/>
      <c r="AK133" s="340"/>
      <c r="AL133" s="340"/>
    </row>
    <row r="134" spans="1:38" s="373" customFormat="1" ht="14.4" customHeight="1" x14ac:dyDescent="0.25">
      <c r="A134" s="509"/>
      <c r="B134" s="509"/>
      <c r="C134" s="509"/>
      <c r="D134" s="509"/>
      <c r="E134" s="509"/>
      <c r="F134" s="509"/>
      <c r="G134" s="509"/>
      <c r="H134" s="509"/>
      <c r="I134" s="509"/>
      <c r="J134" s="509"/>
      <c r="K134" s="539" t="s">
        <v>272</v>
      </c>
      <c r="L134" s="573">
        <f>+DATOS!D17</f>
        <v>0</v>
      </c>
      <c r="M134" s="340"/>
      <c r="O134" s="340"/>
      <c r="P134" s="340"/>
      <c r="Q134" s="340"/>
      <c r="R134" s="340"/>
      <c r="S134" s="340"/>
      <c r="T134" s="340"/>
      <c r="U134" s="539" t="s">
        <v>272</v>
      </c>
      <c r="V134" s="539"/>
      <c r="W134" s="573" t="str">
        <f>+DATOS!H17</f>
        <v>+FORMATO!H24</v>
      </c>
      <c r="AF134" s="340"/>
      <c r="AG134" s="340"/>
      <c r="AH134" s="340"/>
      <c r="AI134" s="340"/>
      <c r="AJ134" s="340"/>
      <c r="AK134" s="340"/>
      <c r="AL134" s="340"/>
    </row>
    <row r="135" spans="1:38" s="373" customFormat="1" ht="14.4" customHeight="1" x14ac:dyDescent="0.25">
      <c r="A135" s="509"/>
      <c r="B135" s="509"/>
      <c r="C135" s="509"/>
      <c r="D135" s="509"/>
      <c r="E135" s="509"/>
      <c r="F135" s="509"/>
      <c r="G135" s="509"/>
      <c r="H135" s="509"/>
      <c r="I135" s="509"/>
      <c r="J135" s="509"/>
      <c r="M135" s="340"/>
      <c r="O135" s="340"/>
      <c r="P135" s="340"/>
      <c r="Q135" s="340"/>
      <c r="R135" s="340"/>
      <c r="S135" s="340"/>
      <c r="T135" s="340"/>
      <c r="U135" s="340"/>
      <c r="V135" s="340"/>
      <c r="W135" s="340"/>
      <c r="AF135" s="340"/>
      <c r="AG135" s="340"/>
      <c r="AH135" s="340"/>
      <c r="AI135" s="340"/>
      <c r="AJ135" s="340"/>
      <c r="AK135" s="340"/>
      <c r="AL135" s="340"/>
    </row>
    <row r="136" spans="1:38" s="373" customFormat="1" ht="14.4" customHeight="1" x14ac:dyDescent="0.25">
      <c r="A136" s="509"/>
      <c r="B136" s="509"/>
      <c r="C136" s="509"/>
      <c r="D136" s="509"/>
      <c r="E136" s="509"/>
      <c r="F136" s="509"/>
      <c r="G136" s="509"/>
      <c r="H136" s="509"/>
      <c r="I136" s="509"/>
      <c r="J136" s="509"/>
      <c r="K136" s="539" t="s">
        <v>272</v>
      </c>
      <c r="L136" s="539" t="s">
        <v>279</v>
      </c>
      <c r="M136" s="539" t="s">
        <v>278</v>
      </c>
      <c r="P136" s="669"/>
      <c r="Q136" s="669"/>
      <c r="R136" s="670"/>
      <c r="S136" s="671"/>
      <c r="AF136" s="340"/>
      <c r="AG136" s="340"/>
      <c r="AH136" s="340"/>
      <c r="AI136" s="340"/>
      <c r="AJ136" s="340"/>
      <c r="AK136" s="340"/>
      <c r="AL136" s="340"/>
    </row>
    <row r="137" spans="1:38" s="373" customFormat="1" ht="14.4" customHeight="1" x14ac:dyDescent="0.25">
      <c r="A137" s="509"/>
      <c r="B137" s="509"/>
      <c r="C137" s="509"/>
      <c r="D137" s="509"/>
      <c r="E137" s="509"/>
      <c r="F137" s="509"/>
      <c r="G137" s="509"/>
      <c r="H137" s="509"/>
      <c r="I137" s="509"/>
      <c r="J137" s="509"/>
      <c r="K137" s="450" t="str">
        <f>+DATOS!Q4</f>
        <v>INS-173</v>
      </c>
      <c r="L137" s="510">
        <f>+DATOS!U4</f>
        <v>152.29500000000002</v>
      </c>
      <c r="M137" s="510">
        <f>+DATOS!T4</f>
        <v>116.50000000000001</v>
      </c>
      <c r="P137" s="130"/>
      <c r="Q137" s="130"/>
      <c r="R137" s="130"/>
      <c r="S137" s="130"/>
      <c r="T137" s="130"/>
      <c r="AF137" s="340"/>
      <c r="AG137" s="340"/>
      <c r="AH137" s="340"/>
      <c r="AI137" s="340"/>
      <c r="AJ137" s="340"/>
      <c r="AK137" s="340"/>
      <c r="AL137" s="340"/>
    </row>
    <row r="138" spans="1:38" s="373" customFormat="1" ht="14.4" customHeight="1" x14ac:dyDescent="0.25">
      <c r="A138" s="509"/>
      <c r="B138" s="509"/>
      <c r="C138" s="509"/>
      <c r="D138" s="509"/>
      <c r="E138" s="509"/>
      <c r="F138" s="509"/>
      <c r="G138" s="509"/>
      <c r="H138" s="509"/>
      <c r="I138" s="509"/>
      <c r="J138" s="509"/>
      <c r="K138" s="450" t="str">
        <f>+DATOS!Q5</f>
        <v>INS-174</v>
      </c>
      <c r="L138" s="510">
        <f>+DATOS!U5</f>
        <v>152.29500000000002</v>
      </c>
      <c r="M138" s="510">
        <f>+DATOS!T5</f>
        <v>116.35000000000001</v>
      </c>
      <c r="P138" s="672"/>
      <c r="Q138" s="673"/>
      <c r="R138" s="672"/>
      <c r="S138" s="672"/>
      <c r="T138" s="602"/>
      <c r="AA138" s="351"/>
      <c r="AB138" s="351"/>
      <c r="AC138" s="351"/>
      <c r="AD138" s="351"/>
      <c r="AE138" s="340"/>
      <c r="AF138" s="340"/>
      <c r="AG138" s="340"/>
      <c r="AH138" s="340"/>
      <c r="AI138" s="340"/>
      <c r="AJ138" s="340"/>
      <c r="AK138" s="340"/>
      <c r="AL138" s="340"/>
    </row>
    <row r="139" spans="1:38" s="373" customFormat="1" ht="14.4" customHeight="1" x14ac:dyDescent="0.25">
      <c r="A139" s="509"/>
      <c r="B139" s="509"/>
      <c r="C139" s="509"/>
      <c r="D139" s="509"/>
      <c r="E139" s="509"/>
      <c r="F139" s="509"/>
      <c r="G139" s="509"/>
      <c r="H139" s="509"/>
      <c r="I139" s="509"/>
      <c r="J139" s="509"/>
      <c r="K139" s="450" t="str">
        <f>+DATOS!Q6</f>
        <v>INS-175</v>
      </c>
      <c r="L139" s="510">
        <f>+DATOS!U6</f>
        <v>152.185</v>
      </c>
      <c r="M139" s="510">
        <f>+DATOS!T6</f>
        <v>116.61999999999999</v>
      </c>
      <c r="P139" s="672"/>
      <c r="Q139" s="673"/>
      <c r="R139" s="672"/>
      <c r="S139" s="672"/>
      <c r="T139" s="602"/>
      <c r="AA139" s="351"/>
      <c r="AB139" s="351"/>
      <c r="AC139" s="351"/>
      <c r="AD139" s="351"/>
      <c r="AE139" s="340"/>
      <c r="AF139" s="340"/>
      <c r="AG139" s="340"/>
      <c r="AH139" s="340"/>
      <c r="AI139" s="340"/>
      <c r="AJ139" s="340"/>
      <c r="AK139" s="340"/>
      <c r="AL139" s="340"/>
    </row>
    <row r="140" spans="1:38" s="373" customFormat="1" ht="14.4" customHeight="1" x14ac:dyDescent="0.25">
      <c r="A140" s="509"/>
      <c r="B140" s="509"/>
      <c r="C140" s="509"/>
      <c r="D140" s="509"/>
      <c r="E140" s="509"/>
      <c r="F140" s="509"/>
      <c r="G140" s="509"/>
      <c r="H140" s="509"/>
      <c r="I140" s="509"/>
      <c r="J140" s="509"/>
      <c r="K140" s="458">
        <v>1</v>
      </c>
      <c r="L140" s="510">
        <f>+DATOS!U7</f>
        <v>152.33000000000001</v>
      </c>
      <c r="M140" s="510">
        <f>+DATOS!T7</f>
        <v>116.27</v>
      </c>
      <c r="P140" s="672"/>
      <c r="Q140" s="673"/>
      <c r="R140" s="672"/>
      <c r="S140" s="674"/>
      <c r="T140" s="602"/>
      <c r="AA140" s="351"/>
      <c r="AB140" s="351"/>
      <c r="AC140" s="351"/>
      <c r="AD140" s="351"/>
      <c r="AE140" s="340"/>
      <c r="AF140" s="340"/>
      <c r="AG140" s="340"/>
      <c r="AH140" s="340"/>
      <c r="AI140" s="340"/>
      <c r="AJ140" s="340"/>
      <c r="AK140" s="340"/>
      <c r="AL140" s="340"/>
    </row>
    <row r="141" spans="1:38" s="373" customFormat="1" ht="14.4" customHeight="1" x14ac:dyDescent="0.25">
      <c r="A141" s="509"/>
      <c r="B141" s="509"/>
      <c r="C141" s="509"/>
      <c r="D141" s="509"/>
      <c r="E141" s="509"/>
      <c r="F141" s="509"/>
      <c r="G141" s="509"/>
      <c r="H141" s="509"/>
      <c r="I141" s="509"/>
      <c r="J141" s="509"/>
      <c r="K141" s="458">
        <v>2</v>
      </c>
      <c r="L141" s="510">
        <f>+DATOS!U8</f>
        <v>152.53</v>
      </c>
      <c r="M141" s="510">
        <f>+DATOS!T8</f>
        <v>116.23</v>
      </c>
      <c r="P141" s="672"/>
      <c r="Q141" s="673"/>
      <c r="R141" s="672"/>
      <c r="S141" s="674"/>
      <c r="T141" s="602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</row>
    <row r="142" spans="1:38" s="373" customFormat="1" ht="14.4" customHeight="1" x14ac:dyDescent="0.25">
      <c r="A142" s="509"/>
      <c r="B142" s="509"/>
      <c r="C142" s="509"/>
      <c r="D142" s="509"/>
      <c r="E142" s="509"/>
      <c r="F142" s="509"/>
      <c r="G142" s="509"/>
      <c r="H142" s="509"/>
      <c r="I142" s="509"/>
      <c r="J142" s="509"/>
      <c r="K142" s="666">
        <v>3</v>
      </c>
      <c r="L142" s="510">
        <f>+DATOS!U9</f>
        <v>152.19</v>
      </c>
      <c r="M142" s="510">
        <f>+DATOS!T9</f>
        <v>116.12</v>
      </c>
      <c r="P142" s="672"/>
      <c r="Q142" s="673"/>
      <c r="R142" s="672"/>
      <c r="S142" s="674"/>
      <c r="T142" s="509"/>
      <c r="AA142" s="340"/>
      <c r="AB142" s="340"/>
      <c r="AC142" s="340"/>
      <c r="AD142" s="340"/>
      <c r="AE142" s="340"/>
      <c r="AF142" s="340"/>
      <c r="AG142" s="340"/>
      <c r="AH142" s="340"/>
      <c r="AI142" s="340"/>
      <c r="AJ142" s="340"/>
      <c r="AK142" s="340"/>
      <c r="AL142" s="340"/>
    </row>
    <row r="143" spans="1:38" s="373" customFormat="1" ht="14.4" customHeight="1" x14ac:dyDescent="0.25">
      <c r="A143" s="509"/>
      <c r="B143" s="509"/>
      <c r="C143" s="509"/>
      <c r="D143" s="509"/>
      <c r="E143" s="509"/>
      <c r="F143" s="509"/>
      <c r="G143" s="509"/>
      <c r="H143" s="509"/>
      <c r="I143" s="509"/>
      <c r="J143" s="509"/>
      <c r="K143" s="458">
        <v>4</v>
      </c>
      <c r="L143" s="510">
        <f>+DATOS!U10</f>
        <v>152.4</v>
      </c>
      <c r="M143" s="510">
        <f>+DATOS!T10</f>
        <v>116.33</v>
      </c>
      <c r="P143" s="672"/>
      <c r="Q143" s="673"/>
      <c r="R143" s="672"/>
      <c r="S143" s="672"/>
      <c r="T143" s="509"/>
      <c r="AA143" s="340"/>
      <c r="AB143" s="340"/>
      <c r="AC143" s="340"/>
      <c r="AD143" s="340"/>
      <c r="AE143" s="340"/>
      <c r="AF143" s="340"/>
      <c r="AG143" s="340"/>
      <c r="AH143" s="340"/>
      <c r="AI143" s="340"/>
      <c r="AJ143" s="340"/>
      <c r="AK143" s="340"/>
      <c r="AL143" s="340"/>
    </row>
    <row r="144" spans="1:38" s="373" customFormat="1" ht="14.4" customHeight="1" x14ac:dyDescent="0.25">
      <c r="A144" s="509"/>
      <c r="B144" s="509"/>
      <c r="C144" s="509"/>
      <c r="D144" s="509"/>
      <c r="E144" s="509"/>
      <c r="F144" s="509"/>
      <c r="G144" s="509"/>
      <c r="H144" s="509"/>
      <c r="I144" s="509"/>
      <c r="J144" s="509"/>
      <c r="K144" s="458">
        <v>5</v>
      </c>
      <c r="L144" s="510">
        <f>+DATOS!U11</f>
        <v>152.25</v>
      </c>
      <c r="M144" s="510">
        <f>+DATOS!T11</f>
        <v>116.31</v>
      </c>
      <c r="P144" s="672"/>
      <c r="Q144" s="673"/>
      <c r="R144" s="672"/>
      <c r="S144" s="126"/>
      <c r="T144" s="509"/>
      <c r="AA144" s="340"/>
      <c r="AB144" s="340"/>
      <c r="AC144" s="340"/>
      <c r="AD144" s="340"/>
      <c r="AE144" s="340"/>
      <c r="AF144" s="340"/>
      <c r="AG144" s="340"/>
      <c r="AH144" s="340"/>
      <c r="AI144" s="340"/>
      <c r="AJ144" s="340"/>
      <c r="AK144" s="340"/>
      <c r="AL144" s="340"/>
    </row>
    <row r="145" spans="1:38" s="373" customFormat="1" ht="14.4" customHeight="1" x14ac:dyDescent="0.25">
      <c r="A145" s="509"/>
      <c r="B145" s="509"/>
      <c r="C145" s="509"/>
      <c r="D145" s="509"/>
      <c r="E145" s="509"/>
      <c r="F145" s="509"/>
      <c r="G145" s="509"/>
      <c r="H145" s="509"/>
      <c r="I145" s="509"/>
      <c r="J145" s="509"/>
      <c r="K145" s="666">
        <v>6</v>
      </c>
      <c r="L145" s="510">
        <f>+DATOS!U12</f>
        <v>152.4</v>
      </c>
      <c r="M145" s="510">
        <f>+DATOS!T12</f>
        <v>116.29</v>
      </c>
      <c r="P145" s="672"/>
      <c r="Q145" s="673"/>
      <c r="R145" s="672"/>
      <c r="S145" s="126"/>
      <c r="T145" s="509"/>
      <c r="AA145" s="340"/>
      <c r="AB145" s="340"/>
      <c r="AC145" s="340"/>
      <c r="AD145" s="340"/>
      <c r="AE145" s="340"/>
      <c r="AF145" s="340"/>
      <c r="AG145" s="340"/>
      <c r="AH145" s="340"/>
      <c r="AI145" s="340"/>
      <c r="AJ145" s="340"/>
      <c r="AK145" s="340"/>
      <c r="AL145" s="340"/>
    </row>
    <row r="146" spans="1:38" s="373" customFormat="1" ht="14.4" customHeight="1" x14ac:dyDescent="0.25">
      <c r="A146" s="509"/>
      <c r="B146" s="509"/>
      <c r="C146" s="509"/>
      <c r="D146" s="509"/>
      <c r="E146" s="509"/>
      <c r="F146" s="509"/>
      <c r="G146" s="509"/>
      <c r="H146" s="509"/>
      <c r="I146" s="509"/>
      <c r="J146" s="509"/>
      <c r="K146" s="458">
        <v>7</v>
      </c>
      <c r="L146" s="510">
        <f>+DATOS!U13</f>
        <v>152.4</v>
      </c>
      <c r="M146" s="510">
        <f>+DATOS!T13</f>
        <v>116.39</v>
      </c>
      <c r="P146" s="163"/>
      <c r="Q146" s="675"/>
      <c r="R146" s="163"/>
      <c r="S146" s="675"/>
      <c r="T146" s="509"/>
      <c r="U146" s="340"/>
      <c r="V146" s="340"/>
      <c r="W146" s="340"/>
      <c r="X146" s="340"/>
      <c r="Y146" s="340"/>
      <c r="Z146" s="340"/>
      <c r="AA146" s="340"/>
      <c r="AB146" s="340"/>
      <c r="AC146" s="340"/>
      <c r="AD146" s="340"/>
      <c r="AE146" s="340"/>
      <c r="AF146" s="340"/>
      <c r="AG146" s="340"/>
      <c r="AH146" s="340"/>
      <c r="AI146" s="340"/>
      <c r="AJ146" s="340"/>
      <c r="AK146" s="340"/>
      <c r="AL146" s="340"/>
    </row>
    <row r="147" spans="1:38" s="373" customFormat="1" ht="14.4" customHeight="1" x14ac:dyDescent="0.25">
      <c r="A147" s="509"/>
      <c r="B147" s="509"/>
      <c r="C147" s="509"/>
      <c r="D147" s="509"/>
      <c r="E147" s="509"/>
      <c r="F147" s="509"/>
      <c r="G147" s="509"/>
      <c r="H147" s="509"/>
      <c r="I147" s="509"/>
      <c r="J147" s="509"/>
      <c r="K147" s="667">
        <v>8</v>
      </c>
      <c r="L147" s="510">
        <f>+DATOS!U14</f>
        <v>152.41</v>
      </c>
      <c r="M147" s="510">
        <f>+DATOS!T14</f>
        <v>116.15</v>
      </c>
      <c r="P147" s="163"/>
      <c r="Q147" s="602"/>
      <c r="R147" s="163"/>
      <c r="S147" s="602"/>
      <c r="T147" s="602"/>
      <c r="U147" s="340"/>
      <c r="V147" s="340"/>
      <c r="W147" s="340"/>
      <c r="X147" s="340"/>
      <c r="Y147" s="340"/>
      <c r="Z147" s="340"/>
      <c r="AA147" s="340"/>
      <c r="AB147" s="340"/>
      <c r="AC147" s="340"/>
      <c r="AD147" s="340"/>
      <c r="AE147" s="340"/>
      <c r="AF147" s="340"/>
      <c r="AG147" s="340"/>
      <c r="AH147" s="340"/>
      <c r="AI147" s="340"/>
      <c r="AJ147" s="340"/>
      <c r="AK147" s="340"/>
      <c r="AL147" s="340"/>
    </row>
    <row r="148" spans="1:38" s="373" customFormat="1" ht="14.4" customHeight="1" x14ac:dyDescent="0.25">
      <c r="A148" s="509"/>
      <c r="B148" s="509"/>
      <c r="C148" s="509"/>
      <c r="D148" s="509"/>
      <c r="E148" s="509"/>
      <c r="F148" s="509"/>
      <c r="G148" s="509"/>
      <c r="H148" s="509"/>
      <c r="I148" s="509"/>
      <c r="J148" s="509"/>
      <c r="K148" s="667">
        <v>9</v>
      </c>
      <c r="L148" s="510">
        <f>+DATOS!U15</f>
        <v>152.37</v>
      </c>
      <c r="M148" s="510">
        <f>+DATOS!T15</f>
        <v>116.22</v>
      </c>
      <c r="P148" s="676"/>
      <c r="Q148" s="676"/>
      <c r="R148" s="676"/>
      <c r="S148" s="676"/>
      <c r="U148" s="340"/>
      <c r="V148" s="340"/>
      <c r="W148" s="340"/>
      <c r="X148" s="340"/>
      <c r="Y148" s="340"/>
      <c r="Z148" s="340"/>
      <c r="AA148" s="340"/>
      <c r="AB148" s="340"/>
      <c r="AC148" s="340"/>
      <c r="AD148" s="340"/>
      <c r="AE148" s="340"/>
      <c r="AF148" s="340"/>
      <c r="AG148" s="340"/>
      <c r="AH148" s="340"/>
      <c r="AI148" s="340"/>
      <c r="AJ148" s="340"/>
      <c r="AK148" s="340"/>
      <c r="AL148" s="340"/>
    </row>
    <row r="149" spans="1:38" s="373" customFormat="1" ht="14.4" customHeight="1" x14ac:dyDescent="0.25">
      <c r="A149" s="509"/>
      <c r="B149" s="509"/>
      <c r="C149" s="509"/>
      <c r="D149" s="509"/>
      <c r="E149" s="509"/>
      <c r="F149" s="509"/>
      <c r="G149" s="509"/>
      <c r="H149" s="509"/>
      <c r="I149" s="509"/>
      <c r="J149" s="509"/>
      <c r="K149" s="539" t="s">
        <v>271</v>
      </c>
      <c r="L149" s="539" t="s">
        <v>277</v>
      </c>
      <c r="M149" s="539" t="s">
        <v>276</v>
      </c>
      <c r="P149" s="677"/>
      <c r="Q149" s="676"/>
      <c r="R149" s="676"/>
      <c r="S149" s="676"/>
      <c r="U149" s="340"/>
      <c r="V149" s="340"/>
      <c r="W149" s="340"/>
      <c r="X149" s="340"/>
      <c r="Y149" s="340"/>
      <c r="Z149" s="340"/>
      <c r="AA149" s="340"/>
      <c r="AB149" s="340"/>
      <c r="AC149" s="340"/>
      <c r="AD149" s="340"/>
      <c r="AE149" s="340"/>
      <c r="AF149" s="340"/>
      <c r="AG149" s="340"/>
      <c r="AH149" s="340"/>
      <c r="AI149" s="340"/>
      <c r="AJ149" s="340"/>
      <c r="AK149" s="340"/>
      <c r="AL149" s="340"/>
    </row>
    <row r="150" spans="1:38" s="373" customFormat="1" ht="14.4" customHeight="1" x14ac:dyDescent="0.25">
      <c r="A150" s="509"/>
      <c r="B150" s="509"/>
      <c r="C150" s="509"/>
      <c r="D150" s="509"/>
      <c r="E150" s="509"/>
      <c r="F150" s="509"/>
      <c r="G150" s="509"/>
      <c r="H150" s="509"/>
      <c r="I150" s="509"/>
      <c r="J150" s="509"/>
      <c r="K150" s="450" t="s">
        <v>270</v>
      </c>
      <c r="L150" s="510">
        <v>150.80000000000001</v>
      </c>
      <c r="M150" s="451">
        <v>61.43</v>
      </c>
      <c r="P150" s="130"/>
      <c r="Q150" s="130"/>
      <c r="R150" s="130"/>
      <c r="S150" s="130"/>
      <c r="T150" s="340"/>
      <c r="U150" s="541"/>
      <c r="V150" s="541"/>
      <c r="W150" s="340"/>
      <c r="X150" s="340"/>
      <c r="Y150" s="340"/>
      <c r="Z150" s="340"/>
      <c r="AA150" s="340"/>
      <c r="AB150" s="340"/>
      <c r="AC150" s="340"/>
      <c r="AD150" s="340"/>
      <c r="AE150" s="340"/>
      <c r="AF150" s="340"/>
      <c r="AG150" s="340"/>
      <c r="AH150" s="340"/>
      <c r="AI150" s="340"/>
      <c r="AJ150" s="340"/>
      <c r="AK150" s="340"/>
      <c r="AL150" s="340"/>
    </row>
    <row r="151" spans="1:38" s="373" customFormat="1" ht="14.4" customHeight="1" x14ac:dyDescent="0.25">
      <c r="A151" s="509"/>
      <c r="B151" s="509"/>
      <c r="C151" s="509"/>
      <c r="D151" s="509"/>
      <c r="E151" s="509"/>
      <c r="F151" s="509"/>
      <c r="G151" s="509"/>
      <c r="H151" s="509"/>
      <c r="I151" s="509"/>
      <c r="J151" s="509"/>
      <c r="K151" s="340"/>
      <c r="L151" s="340"/>
      <c r="P151" s="672"/>
      <c r="Q151" s="674"/>
      <c r="R151" s="672"/>
      <c r="S151" s="674"/>
      <c r="T151" s="541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  <c r="AE151" s="340"/>
      <c r="AF151" s="340"/>
      <c r="AG151" s="340"/>
      <c r="AH151" s="340"/>
      <c r="AI151" s="340"/>
      <c r="AJ151" s="340"/>
      <c r="AK151" s="340"/>
      <c r="AL151" s="340"/>
    </row>
    <row r="152" spans="1:38" s="373" customFormat="1" ht="14.4" customHeight="1" x14ac:dyDescent="0.25">
      <c r="A152" s="509"/>
      <c r="B152" s="509"/>
      <c r="C152" s="509"/>
      <c r="D152" s="509"/>
      <c r="E152" s="509"/>
      <c r="F152" s="509"/>
      <c r="G152" s="509"/>
      <c r="H152" s="509"/>
      <c r="I152" s="509"/>
      <c r="J152" s="509"/>
      <c r="K152" s="340"/>
      <c r="L152" s="340"/>
      <c r="P152" s="672"/>
      <c r="Q152" s="674"/>
      <c r="R152" s="672"/>
      <c r="S152" s="674"/>
      <c r="T152" s="541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  <c r="AE152" s="340"/>
      <c r="AF152" s="340"/>
      <c r="AG152" s="340"/>
      <c r="AH152" s="340"/>
      <c r="AI152" s="340"/>
      <c r="AJ152" s="340"/>
      <c r="AK152" s="340"/>
      <c r="AL152" s="340"/>
    </row>
    <row r="153" spans="1:38" s="373" customFormat="1" ht="14.4" customHeight="1" x14ac:dyDescent="0.25">
      <c r="A153" s="509"/>
      <c r="B153" s="509"/>
      <c r="C153" s="509"/>
      <c r="D153" s="509"/>
      <c r="E153" s="509"/>
      <c r="F153" s="509"/>
      <c r="G153" s="509"/>
      <c r="H153" s="509"/>
      <c r="I153" s="509"/>
      <c r="J153" s="509"/>
      <c r="K153" s="340"/>
      <c r="L153" s="340"/>
      <c r="P153" s="672"/>
      <c r="Q153" s="674"/>
      <c r="R153" s="672"/>
      <c r="S153" s="674"/>
      <c r="T153" s="541"/>
      <c r="U153" s="340"/>
      <c r="V153" s="340"/>
      <c r="W153" s="340"/>
      <c r="X153" s="340"/>
      <c r="Y153" s="340"/>
      <c r="Z153" s="340"/>
      <c r="AA153" s="340"/>
      <c r="AB153" s="340"/>
      <c r="AC153" s="340"/>
      <c r="AD153" s="340"/>
      <c r="AE153" s="340"/>
      <c r="AF153" s="340"/>
      <c r="AG153" s="340"/>
      <c r="AH153" s="340"/>
      <c r="AI153" s="340"/>
      <c r="AJ153" s="340"/>
      <c r="AK153" s="340"/>
      <c r="AL153" s="340"/>
    </row>
    <row r="154" spans="1:38" s="373" customFormat="1" ht="14.4" customHeight="1" x14ac:dyDescent="0.25">
      <c r="A154" s="509"/>
      <c r="B154" s="799" t="s">
        <v>445</v>
      </c>
      <c r="C154" s="1025" t="s">
        <v>446</v>
      </c>
      <c r="D154" s="1026"/>
      <c r="E154" s="509"/>
      <c r="F154" s="1029" t="s">
        <v>447</v>
      </c>
      <c r="G154" s="1029"/>
      <c r="H154" s="1030" t="s">
        <v>448</v>
      </c>
      <c r="I154" s="1031"/>
      <c r="J154" s="509"/>
      <c r="K154" s="340"/>
      <c r="L154" s="340"/>
      <c r="P154" s="672"/>
      <c r="Q154" s="674"/>
      <c r="R154" s="672"/>
      <c r="S154" s="674"/>
      <c r="T154" s="541"/>
      <c r="U154" s="340"/>
      <c r="V154" s="340"/>
      <c r="W154" s="340"/>
      <c r="X154" s="340"/>
      <c r="Y154" s="340"/>
      <c r="Z154" s="340"/>
      <c r="AA154" s="340"/>
      <c r="AB154" s="340"/>
      <c r="AC154" s="340"/>
      <c r="AD154" s="340"/>
      <c r="AE154" s="340"/>
      <c r="AF154" s="340"/>
      <c r="AG154" s="340"/>
      <c r="AH154" s="340"/>
      <c r="AI154" s="340"/>
      <c r="AJ154" s="340"/>
      <c r="AK154" s="340"/>
      <c r="AL154" s="340"/>
    </row>
    <row r="155" spans="1:38" s="373" customFormat="1" ht="14.4" customHeight="1" x14ac:dyDescent="0.25">
      <c r="A155" s="509"/>
      <c r="B155" s="471"/>
      <c r="C155" s="471"/>
      <c r="D155" s="471"/>
      <c r="E155" s="509"/>
      <c r="F155" s="471"/>
      <c r="G155" s="471"/>
      <c r="H155" s="471"/>
      <c r="I155" s="471"/>
      <c r="J155" s="509"/>
      <c r="K155" s="340"/>
      <c r="L155" s="340"/>
      <c r="P155" s="163"/>
      <c r="Q155" s="675"/>
      <c r="R155" s="163"/>
      <c r="S155" s="675"/>
      <c r="T155" s="541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40"/>
      <c r="AE155" s="340"/>
      <c r="AF155" s="340"/>
      <c r="AG155" s="340"/>
      <c r="AH155" s="340"/>
      <c r="AI155" s="340"/>
      <c r="AJ155" s="340"/>
      <c r="AK155" s="340"/>
      <c r="AL155" s="340"/>
    </row>
    <row r="156" spans="1:38" s="373" customFormat="1" ht="14.4" customHeight="1" x14ac:dyDescent="0.25">
      <c r="A156" s="509"/>
      <c r="B156" s="800" t="s">
        <v>449</v>
      </c>
      <c r="C156" s="1027"/>
      <c r="D156" s="1028"/>
      <c r="E156" s="509"/>
      <c r="F156" s="1032" t="s">
        <v>450</v>
      </c>
      <c r="G156" s="1032"/>
      <c r="H156" s="1027"/>
      <c r="I156" s="1028"/>
      <c r="J156" s="509"/>
      <c r="M156" s="340"/>
      <c r="N156" s="340"/>
      <c r="O156" s="340"/>
      <c r="P156" s="340"/>
      <c r="Q156" s="602"/>
      <c r="R156" s="340"/>
      <c r="S156" s="602"/>
      <c r="T156" s="340"/>
      <c r="U156" s="340"/>
      <c r="V156" s="340"/>
      <c r="W156" s="340"/>
      <c r="X156" s="340"/>
      <c r="Y156" s="340"/>
      <c r="Z156" s="340"/>
      <c r="AA156" s="340"/>
      <c r="AB156" s="340"/>
      <c r="AC156" s="340"/>
      <c r="AD156" s="340"/>
      <c r="AE156" s="340"/>
      <c r="AF156" s="340"/>
      <c r="AG156" s="340"/>
      <c r="AH156" s="340"/>
      <c r="AI156" s="340"/>
      <c r="AJ156" s="340"/>
      <c r="AK156" s="340"/>
      <c r="AL156" s="340"/>
    </row>
    <row r="157" spans="1:38" s="373" customFormat="1" ht="14.4" customHeight="1" x14ac:dyDescent="0.25">
      <c r="A157" s="509"/>
      <c r="B157" s="509"/>
      <c r="C157" s="509"/>
      <c r="D157" s="509"/>
      <c r="E157" s="509"/>
      <c r="F157" s="509"/>
      <c r="G157" s="509"/>
      <c r="H157" s="509"/>
      <c r="I157" s="509"/>
      <c r="J157" s="509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  <c r="AC157" s="340"/>
      <c r="AD157" s="340"/>
      <c r="AE157" s="340"/>
      <c r="AF157" s="340"/>
      <c r="AG157" s="340"/>
      <c r="AH157" s="340"/>
      <c r="AI157" s="340"/>
      <c r="AJ157" s="340"/>
      <c r="AK157" s="340"/>
      <c r="AL157" s="340"/>
    </row>
    <row r="158" spans="1:38" s="373" customFormat="1" ht="14.4" customHeight="1" x14ac:dyDescent="0.25">
      <c r="A158" s="509"/>
      <c r="B158" s="509"/>
      <c r="C158" s="509"/>
      <c r="D158" s="509"/>
      <c r="E158" s="509"/>
      <c r="F158" s="509"/>
      <c r="G158" s="509"/>
      <c r="H158" s="509"/>
      <c r="I158" s="509"/>
      <c r="J158" s="509"/>
      <c r="M158" s="340"/>
      <c r="N158" s="340"/>
      <c r="O158" s="340"/>
      <c r="P158" s="669"/>
      <c r="Q158" s="669"/>
      <c r="R158" s="670"/>
      <c r="S158" s="671"/>
      <c r="T158" s="340"/>
      <c r="U158" s="340"/>
      <c r="V158" s="340"/>
      <c r="W158" s="340"/>
      <c r="X158" s="340"/>
      <c r="Y158" s="340"/>
      <c r="Z158" s="340"/>
      <c r="AA158" s="340"/>
      <c r="AB158" s="340"/>
      <c r="AC158" s="340"/>
      <c r="AD158" s="340"/>
      <c r="AE158" s="340"/>
      <c r="AF158" s="340"/>
      <c r="AG158" s="340"/>
      <c r="AH158" s="340"/>
      <c r="AI158" s="340"/>
      <c r="AJ158" s="340"/>
      <c r="AK158" s="340"/>
      <c r="AL158" s="340"/>
    </row>
    <row r="159" spans="1:38" s="373" customFormat="1" ht="14.4" customHeight="1" x14ac:dyDescent="0.25">
      <c r="A159" s="509"/>
      <c r="B159" s="509"/>
      <c r="C159" s="509"/>
      <c r="D159" s="509"/>
      <c r="E159" s="509"/>
      <c r="F159" s="509"/>
      <c r="G159" s="509"/>
      <c r="H159" s="509"/>
      <c r="I159" s="509"/>
      <c r="J159" s="509"/>
      <c r="M159" s="340"/>
      <c r="N159" s="340"/>
      <c r="O159" s="340"/>
      <c r="P159" s="130"/>
      <c r="Q159" s="130"/>
      <c r="R159" s="130"/>
      <c r="S159" s="130"/>
      <c r="T159" s="13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  <c r="AE159" s="340"/>
      <c r="AF159" s="340"/>
      <c r="AG159" s="340"/>
      <c r="AH159" s="340"/>
      <c r="AI159" s="340"/>
      <c r="AJ159" s="340"/>
      <c r="AK159" s="340"/>
      <c r="AL159" s="340"/>
    </row>
    <row r="160" spans="1:38" s="373" customFormat="1" ht="14.4" customHeight="1" x14ac:dyDescent="0.25">
      <c r="A160" s="509"/>
      <c r="B160" s="509"/>
      <c r="C160" s="509"/>
      <c r="D160" s="509"/>
      <c r="E160" s="509"/>
      <c r="F160" s="509"/>
      <c r="G160" s="509"/>
      <c r="H160" s="509"/>
      <c r="I160" s="509"/>
      <c r="J160" s="509"/>
      <c r="M160" s="340"/>
      <c r="N160" s="340"/>
      <c r="O160" s="340"/>
      <c r="P160" s="672"/>
      <c r="Q160" s="673"/>
      <c r="R160" s="672"/>
      <c r="S160" s="672"/>
      <c r="T160" s="602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  <c r="AE160" s="340"/>
      <c r="AF160" s="340"/>
      <c r="AG160" s="340"/>
      <c r="AH160" s="340"/>
      <c r="AI160" s="340"/>
      <c r="AJ160" s="340"/>
      <c r="AK160" s="340"/>
      <c r="AL160" s="340"/>
    </row>
    <row r="161" spans="1:38" s="373" customFormat="1" ht="14.4" customHeight="1" x14ac:dyDescent="0.25">
      <c r="A161" s="509"/>
      <c r="B161" s="509"/>
      <c r="C161" s="509"/>
      <c r="D161" s="509"/>
      <c r="E161" s="509"/>
      <c r="F161" s="509"/>
      <c r="G161" s="509"/>
      <c r="H161" s="509"/>
      <c r="I161" s="509"/>
      <c r="J161" s="509"/>
      <c r="M161" s="340"/>
      <c r="N161" s="340"/>
      <c r="O161" s="340"/>
      <c r="P161" s="672"/>
      <c r="Q161" s="673"/>
      <c r="R161" s="672"/>
      <c r="S161" s="674"/>
      <c r="T161" s="602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  <c r="AE161" s="340"/>
      <c r="AF161" s="340"/>
      <c r="AG161" s="340"/>
      <c r="AH161" s="340"/>
      <c r="AI161" s="340"/>
      <c r="AJ161" s="340"/>
      <c r="AK161" s="340"/>
      <c r="AL161" s="340"/>
    </row>
    <row r="162" spans="1:38" s="373" customFormat="1" ht="14.4" customHeight="1" x14ac:dyDescent="0.25">
      <c r="A162" s="509"/>
      <c r="B162" s="509"/>
      <c r="C162" s="509"/>
      <c r="D162" s="509"/>
      <c r="E162" s="509"/>
      <c r="F162" s="509"/>
      <c r="G162" s="509"/>
      <c r="H162" s="509"/>
      <c r="I162" s="509"/>
      <c r="J162" s="509"/>
      <c r="M162" s="340"/>
      <c r="N162" s="340"/>
      <c r="O162" s="340"/>
      <c r="P162" s="672"/>
      <c r="Q162" s="673"/>
      <c r="R162" s="672"/>
      <c r="S162" s="674"/>
      <c r="T162" s="602"/>
      <c r="U162" s="340"/>
      <c r="V162" s="340"/>
      <c r="W162" s="340"/>
      <c r="X162" s="340"/>
      <c r="Y162" s="340"/>
      <c r="Z162" s="340"/>
      <c r="AA162" s="340"/>
      <c r="AB162" s="340"/>
      <c r="AC162" s="340"/>
      <c r="AD162" s="340"/>
      <c r="AE162" s="340"/>
      <c r="AF162" s="340"/>
      <c r="AG162" s="340"/>
      <c r="AH162" s="340"/>
      <c r="AI162" s="340"/>
      <c r="AJ162" s="340"/>
      <c r="AK162" s="340"/>
      <c r="AL162" s="340"/>
    </row>
    <row r="163" spans="1:38" s="373" customFormat="1" ht="14.4" customHeight="1" x14ac:dyDescent="0.25">
      <c r="A163" s="509"/>
      <c r="B163" s="509"/>
      <c r="C163" s="509"/>
      <c r="D163" s="509"/>
      <c r="E163" s="509"/>
      <c r="F163" s="509"/>
      <c r="G163" s="509"/>
      <c r="H163" s="509"/>
      <c r="I163" s="509"/>
      <c r="J163" s="509"/>
      <c r="M163" s="340"/>
      <c r="N163" s="596"/>
      <c r="O163" s="340"/>
      <c r="P163" s="672"/>
      <c r="Q163" s="673"/>
      <c r="R163" s="672"/>
      <c r="S163" s="674"/>
      <c r="T163" s="602"/>
      <c r="U163" s="340"/>
      <c r="V163" s="340"/>
      <c r="W163" s="340"/>
      <c r="X163" s="340"/>
      <c r="Y163" s="340"/>
      <c r="Z163" s="340"/>
      <c r="AA163" s="340"/>
      <c r="AB163" s="340"/>
      <c r="AC163" s="340"/>
      <c r="AD163" s="340"/>
      <c r="AE163" s="340"/>
      <c r="AF163" s="340"/>
      <c r="AG163" s="340"/>
      <c r="AH163" s="340"/>
      <c r="AI163" s="340"/>
      <c r="AJ163" s="340"/>
      <c r="AK163" s="340"/>
      <c r="AL163" s="340"/>
    </row>
    <row r="164" spans="1:38" s="373" customFormat="1" ht="14.4" customHeight="1" x14ac:dyDescent="0.25">
      <c r="A164" s="509"/>
      <c r="B164" s="509"/>
      <c r="C164" s="509"/>
      <c r="D164" s="509"/>
      <c r="E164" s="509"/>
      <c r="F164" s="509"/>
      <c r="G164" s="509"/>
      <c r="H164" s="509"/>
      <c r="I164" s="509"/>
      <c r="J164" s="509"/>
      <c r="K164" s="509"/>
      <c r="L164" s="509"/>
      <c r="M164" s="340"/>
      <c r="N164" s="340"/>
      <c r="O164" s="340"/>
      <c r="P164" s="672"/>
      <c r="Q164" s="673"/>
      <c r="R164" s="672"/>
      <c r="S164" s="674"/>
      <c r="T164" s="509"/>
      <c r="U164" s="340"/>
      <c r="V164" s="340"/>
      <c r="W164" s="340"/>
      <c r="X164" s="340"/>
      <c r="Y164" s="340"/>
      <c r="Z164" s="340"/>
      <c r="AA164" s="340"/>
      <c r="AB164" s="340"/>
      <c r="AC164" s="340"/>
      <c r="AD164" s="340"/>
      <c r="AE164" s="340"/>
      <c r="AF164" s="340"/>
      <c r="AG164" s="340"/>
      <c r="AH164" s="340"/>
      <c r="AI164" s="340"/>
      <c r="AJ164" s="340"/>
      <c r="AK164" s="340"/>
      <c r="AL164" s="340"/>
    </row>
    <row r="165" spans="1:38" s="373" customFormat="1" ht="14.4" customHeight="1" x14ac:dyDescent="0.25">
      <c r="A165" s="509"/>
      <c r="B165" s="509"/>
      <c r="C165" s="509"/>
      <c r="D165" s="509"/>
      <c r="E165" s="509"/>
      <c r="F165" s="509"/>
      <c r="G165" s="509"/>
      <c r="H165" s="509"/>
      <c r="I165" s="509"/>
      <c r="J165" s="509"/>
      <c r="K165" s="509"/>
      <c r="L165" s="509"/>
      <c r="M165" s="340"/>
      <c r="N165" s="340"/>
      <c r="O165" s="340"/>
      <c r="P165" s="672"/>
      <c r="Q165" s="673"/>
      <c r="R165" s="672"/>
      <c r="S165" s="672"/>
      <c r="T165" s="509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  <c r="AE165" s="340"/>
      <c r="AF165" s="340"/>
      <c r="AG165" s="340"/>
      <c r="AH165" s="340"/>
      <c r="AI165" s="340"/>
      <c r="AJ165" s="340"/>
      <c r="AK165" s="340"/>
      <c r="AL165" s="340"/>
    </row>
    <row r="166" spans="1:38" s="373" customFormat="1" ht="14.4" customHeight="1" x14ac:dyDescent="0.25">
      <c r="A166" s="509"/>
      <c r="B166" s="509"/>
      <c r="C166" s="509"/>
      <c r="D166" s="509"/>
      <c r="E166" s="509"/>
      <c r="F166" s="509"/>
      <c r="G166" s="509"/>
      <c r="H166" s="509"/>
      <c r="I166" s="509"/>
      <c r="J166" s="509"/>
      <c r="M166" s="340"/>
      <c r="N166" s="340"/>
      <c r="O166" s="340"/>
      <c r="P166" s="672"/>
      <c r="Q166" s="673"/>
      <c r="R166" s="672"/>
      <c r="S166" s="126"/>
      <c r="T166" s="509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  <c r="AE166" s="340"/>
      <c r="AF166" s="340"/>
      <c r="AG166" s="340"/>
      <c r="AH166" s="340"/>
      <c r="AI166" s="340"/>
      <c r="AJ166" s="340"/>
      <c r="AK166" s="340"/>
      <c r="AL166" s="340"/>
    </row>
    <row r="167" spans="1:38" s="373" customFormat="1" ht="14.4" customHeight="1" x14ac:dyDescent="0.25">
      <c r="A167" s="509"/>
      <c r="B167" s="509"/>
      <c r="C167" s="509"/>
      <c r="D167" s="509"/>
      <c r="E167" s="509"/>
      <c r="F167" s="509"/>
      <c r="G167" s="509"/>
      <c r="H167" s="509"/>
      <c r="I167" s="509"/>
      <c r="J167" s="509"/>
      <c r="K167" s="340"/>
      <c r="L167" s="340"/>
      <c r="M167" s="340"/>
      <c r="N167" s="340"/>
      <c r="O167" s="340"/>
      <c r="P167" s="672"/>
      <c r="Q167" s="673"/>
      <c r="R167" s="672"/>
      <c r="S167" s="126"/>
      <c r="T167" s="509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  <c r="AE167" s="340"/>
      <c r="AF167" s="340"/>
      <c r="AG167" s="340"/>
      <c r="AH167" s="340"/>
      <c r="AI167" s="340"/>
      <c r="AJ167" s="340"/>
      <c r="AK167" s="340"/>
      <c r="AL167" s="340"/>
    </row>
    <row r="168" spans="1:38" s="373" customFormat="1" ht="14.4" customHeight="1" x14ac:dyDescent="0.25">
      <c r="A168" s="509"/>
      <c r="B168" s="509"/>
      <c r="C168" s="509"/>
      <c r="D168" s="509"/>
      <c r="E168" s="509"/>
      <c r="F168" s="509"/>
      <c r="G168" s="509"/>
      <c r="H168" s="509"/>
      <c r="I168" s="509"/>
      <c r="J168" s="509"/>
      <c r="K168" s="340"/>
      <c r="L168" s="340"/>
      <c r="M168" s="340"/>
      <c r="N168" s="340"/>
      <c r="O168" s="340"/>
      <c r="P168" s="163"/>
      <c r="Q168" s="675"/>
      <c r="R168" s="163"/>
      <c r="S168" s="675"/>
      <c r="T168" s="509"/>
      <c r="U168" s="340"/>
      <c r="V168" s="340"/>
      <c r="W168" s="340"/>
      <c r="X168" s="340"/>
      <c r="Y168" s="340"/>
      <c r="Z168" s="340"/>
      <c r="AA168" s="340"/>
      <c r="AB168" s="340"/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</row>
    <row r="169" spans="1:38" s="373" customFormat="1" ht="14.4" customHeight="1" x14ac:dyDescent="0.25">
      <c r="A169" s="509"/>
      <c r="B169" s="509"/>
      <c r="C169" s="509"/>
      <c r="D169" s="509"/>
      <c r="E169" s="509"/>
      <c r="F169" s="509"/>
      <c r="G169" s="509"/>
      <c r="H169" s="509"/>
      <c r="I169" s="509"/>
      <c r="J169" s="509"/>
      <c r="K169" s="340"/>
      <c r="L169" s="340"/>
      <c r="M169" s="340"/>
      <c r="N169" s="340"/>
      <c r="O169" s="340"/>
      <c r="P169" s="163"/>
      <c r="Q169" s="602"/>
      <c r="R169" s="163"/>
      <c r="S169" s="602"/>
      <c r="T169" s="602"/>
      <c r="U169" s="340"/>
      <c r="V169" s="340"/>
      <c r="W169" s="340"/>
      <c r="X169" s="340"/>
      <c r="Y169" s="340"/>
      <c r="Z169" s="340"/>
      <c r="AA169" s="340"/>
      <c r="AB169" s="340"/>
      <c r="AC169" s="340"/>
      <c r="AD169" s="340"/>
      <c r="AE169" s="340"/>
      <c r="AF169" s="340"/>
      <c r="AG169" s="340"/>
      <c r="AH169" s="340"/>
      <c r="AI169" s="340"/>
      <c r="AJ169" s="340"/>
      <c r="AK169" s="340"/>
      <c r="AL169" s="340"/>
    </row>
    <row r="170" spans="1:38" s="373" customFormat="1" ht="14.4" customHeight="1" x14ac:dyDescent="0.25">
      <c r="A170" s="509"/>
      <c r="B170" s="509"/>
      <c r="C170" s="509"/>
      <c r="D170" s="509"/>
      <c r="E170" s="509"/>
      <c r="F170" s="509"/>
      <c r="G170" s="509"/>
      <c r="H170" s="509"/>
      <c r="I170" s="509"/>
      <c r="J170" s="509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  <c r="AE170" s="340"/>
      <c r="AF170" s="340"/>
      <c r="AG170" s="340"/>
      <c r="AH170" s="340"/>
      <c r="AI170" s="340"/>
      <c r="AJ170" s="340"/>
      <c r="AK170" s="340"/>
      <c r="AL170" s="340"/>
    </row>
    <row r="171" spans="1:38" s="373" customFormat="1" ht="14.4" customHeight="1" x14ac:dyDescent="0.25">
      <c r="A171" s="509"/>
      <c r="B171" s="509"/>
      <c r="C171" s="509"/>
      <c r="D171" s="509"/>
      <c r="E171" s="509"/>
      <c r="F171" s="509"/>
      <c r="G171" s="509"/>
      <c r="H171" s="509"/>
      <c r="I171" s="509"/>
      <c r="J171" s="509"/>
      <c r="K171" s="340"/>
      <c r="L171" s="340"/>
      <c r="M171" s="340"/>
      <c r="N171" s="340"/>
      <c r="O171" s="340"/>
      <c r="P171" s="669"/>
      <c r="Q171" s="669"/>
      <c r="R171" s="670"/>
      <c r="S171" s="671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  <c r="AE171" s="340"/>
      <c r="AF171" s="340"/>
      <c r="AG171" s="340"/>
      <c r="AH171" s="340"/>
      <c r="AI171" s="340"/>
      <c r="AJ171" s="340"/>
      <c r="AK171" s="340"/>
      <c r="AL171" s="340"/>
    </row>
    <row r="172" spans="1:38" s="373" customFormat="1" ht="14.4" customHeight="1" x14ac:dyDescent="0.25">
      <c r="A172" s="509"/>
      <c r="B172" s="509"/>
      <c r="C172" s="509"/>
      <c r="D172" s="509"/>
      <c r="E172" s="509"/>
      <c r="F172" s="509"/>
      <c r="G172" s="509"/>
      <c r="H172" s="509"/>
      <c r="I172" s="509"/>
      <c r="J172" s="509"/>
      <c r="K172" s="340"/>
      <c r="L172" s="340"/>
      <c r="M172" s="340"/>
      <c r="N172" s="340"/>
      <c r="O172" s="340"/>
      <c r="P172" s="130"/>
      <c r="Q172" s="130"/>
      <c r="R172" s="130"/>
      <c r="S172" s="130"/>
      <c r="T172" s="130"/>
      <c r="U172" s="340"/>
      <c r="V172" s="340"/>
      <c r="W172" s="340"/>
      <c r="X172" s="340"/>
      <c r="Y172" s="340"/>
      <c r="Z172" s="340"/>
      <c r="AA172" s="340"/>
      <c r="AB172" s="340"/>
      <c r="AC172" s="340"/>
      <c r="AD172" s="340"/>
      <c r="AE172" s="340"/>
      <c r="AF172" s="340"/>
      <c r="AG172" s="340"/>
      <c r="AH172" s="340"/>
      <c r="AI172" s="340"/>
      <c r="AJ172" s="340"/>
      <c r="AK172" s="340"/>
      <c r="AL172" s="340"/>
    </row>
    <row r="173" spans="1:38" s="373" customFormat="1" ht="14.4" customHeight="1" x14ac:dyDescent="0.25">
      <c r="A173" s="509"/>
      <c r="B173" s="509"/>
      <c r="C173" s="509"/>
      <c r="D173" s="509"/>
      <c r="E173" s="509"/>
      <c r="F173" s="509"/>
      <c r="G173" s="509"/>
      <c r="H173" s="509"/>
      <c r="I173" s="509"/>
      <c r="J173" s="509"/>
      <c r="K173" s="340"/>
      <c r="L173" s="340"/>
      <c r="M173" s="340"/>
      <c r="N173" s="340"/>
      <c r="O173" s="340"/>
      <c r="P173" s="672"/>
      <c r="Q173" s="673"/>
      <c r="R173" s="672"/>
      <c r="S173" s="672"/>
      <c r="T173" s="602"/>
      <c r="U173" s="340"/>
      <c r="V173" s="340"/>
      <c r="W173" s="340"/>
      <c r="X173" s="340"/>
      <c r="Y173" s="340"/>
      <c r="Z173" s="340"/>
      <c r="AA173" s="340"/>
      <c r="AB173" s="340"/>
      <c r="AC173" s="340"/>
      <c r="AD173" s="340"/>
      <c r="AE173" s="340"/>
      <c r="AF173" s="340"/>
      <c r="AG173" s="340"/>
      <c r="AH173" s="340"/>
      <c r="AI173" s="340"/>
      <c r="AJ173" s="340"/>
      <c r="AK173" s="340"/>
      <c r="AL173" s="340"/>
    </row>
    <row r="174" spans="1:38" s="373" customFormat="1" ht="14.4" customHeight="1" x14ac:dyDescent="0.25">
      <c r="A174" s="509"/>
      <c r="B174" s="509"/>
      <c r="C174" s="509"/>
      <c r="D174" s="509"/>
      <c r="E174" s="509"/>
      <c r="F174" s="509"/>
      <c r="G174" s="509"/>
      <c r="H174" s="509"/>
      <c r="I174" s="509"/>
      <c r="J174" s="509"/>
      <c r="K174" s="340"/>
      <c r="L174" s="340"/>
      <c r="M174" s="340"/>
      <c r="N174" s="340"/>
      <c r="O174" s="340"/>
      <c r="P174" s="672"/>
      <c r="Q174" s="673"/>
      <c r="R174" s="672"/>
      <c r="S174" s="672"/>
      <c r="T174" s="602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  <c r="AE174" s="340"/>
      <c r="AF174" s="340"/>
      <c r="AG174" s="340"/>
      <c r="AH174" s="340"/>
      <c r="AI174" s="340"/>
      <c r="AJ174" s="340"/>
      <c r="AK174" s="340"/>
      <c r="AL174" s="340"/>
    </row>
    <row r="175" spans="1:38" s="373" customFormat="1" ht="14.4" customHeight="1" x14ac:dyDescent="0.25">
      <c r="A175" s="509"/>
      <c r="B175" s="509"/>
      <c r="C175" s="509"/>
      <c r="D175" s="509"/>
      <c r="E175" s="509"/>
      <c r="F175" s="509"/>
      <c r="G175" s="509"/>
      <c r="H175" s="509"/>
      <c r="I175" s="509"/>
      <c r="J175" s="509"/>
      <c r="K175" s="340"/>
      <c r="L175" s="340"/>
      <c r="M175" s="340"/>
      <c r="N175" s="340"/>
      <c r="O175" s="340"/>
      <c r="P175" s="672"/>
      <c r="Q175" s="673"/>
      <c r="R175" s="672"/>
      <c r="S175" s="674"/>
      <c r="T175" s="602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  <c r="AE175" s="340"/>
      <c r="AF175" s="340"/>
      <c r="AG175" s="340"/>
      <c r="AH175" s="340"/>
      <c r="AI175" s="340"/>
      <c r="AJ175" s="340"/>
      <c r="AK175" s="340"/>
      <c r="AL175" s="340"/>
    </row>
    <row r="176" spans="1:38" s="373" customFormat="1" ht="14.4" customHeight="1" x14ac:dyDescent="0.25">
      <c r="A176" s="509"/>
      <c r="B176" s="509"/>
      <c r="C176" s="509"/>
      <c r="D176" s="509"/>
      <c r="E176" s="509"/>
      <c r="F176" s="509"/>
      <c r="G176" s="509"/>
      <c r="H176" s="509"/>
      <c r="I176" s="509"/>
      <c r="J176" s="509"/>
      <c r="K176" s="340"/>
      <c r="L176" s="340"/>
      <c r="M176" s="340"/>
      <c r="N176" s="340"/>
      <c r="O176" s="340"/>
      <c r="P176" s="672"/>
      <c r="Q176" s="673"/>
      <c r="R176" s="672"/>
      <c r="S176" s="674"/>
      <c r="T176" s="602"/>
      <c r="U176" s="340"/>
      <c r="V176" s="340"/>
      <c r="W176" s="340"/>
      <c r="X176" s="340"/>
      <c r="Y176" s="340"/>
      <c r="Z176" s="340"/>
      <c r="AA176" s="340"/>
      <c r="AB176" s="340"/>
      <c r="AC176" s="340"/>
      <c r="AD176" s="340"/>
      <c r="AE176" s="340"/>
      <c r="AF176" s="340"/>
      <c r="AG176" s="340"/>
      <c r="AH176" s="340"/>
      <c r="AI176" s="340"/>
      <c r="AJ176" s="340"/>
      <c r="AK176" s="340"/>
      <c r="AL176" s="340"/>
    </row>
    <row r="177" spans="1:38" s="373" customFormat="1" ht="14.4" customHeight="1" x14ac:dyDescent="0.25">
      <c r="A177" s="509"/>
      <c r="B177" s="509"/>
      <c r="C177" s="509"/>
      <c r="D177" s="509"/>
      <c r="E177" s="509"/>
      <c r="F177" s="509"/>
      <c r="G177" s="509"/>
      <c r="H177" s="509"/>
      <c r="I177" s="509"/>
      <c r="J177" s="509"/>
      <c r="K177" s="340"/>
      <c r="L177" s="340"/>
      <c r="M177" s="340"/>
      <c r="N177" s="340"/>
      <c r="O177" s="340"/>
      <c r="P177" s="672"/>
      <c r="Q177" s="673"/>
      <c r="R177" s="672"/>
      <c r="S177" s="674"/>
      <c r="T177" s="509"/>
      <c r="U177" s="340"/>
      <c r="V177" s="340"/>
      <c r="W177" s="340"/>
      <c r="X177" s="340"/>
      <c r="Y177" s="340"/>
      <c r="Z177" s="340"/>
      <c r="AA177" s="340"/>
      <c r="AB177" s="340"/>
      <c r="AC177" s="340"/>
      <c r="AD177" s="340"/>
      <c r="AE177" s="340"/>
      <c r="AF177" s="340"/>
      <c r="AG177" s="340"/>
      <c r="AH177" s="340"/>
      <c r="AI177" s="340"/>
      <c r="AJ177" s="340"/>
      <c r="AK177" s="340"/>
      <c r="AL177" s="340"/>
    </row>
    <row r="178" spans="1:38" s="373" customFormat="1" ht="14.4" customHeight="1" x14ac:dyDescent="0.25">
      <c r="A178" s="509"/>
      <c r="B178" s="509"/>
      <c r="C178" s="509"/>
      <c r="D178" s="509"/>
      <c r="E178" s="509"/>
      <c r="F178" s="509"/>
      <c r="G178" s="509"/>
      <c r="H178" s="509"/>
      <c r="I178" s="509"/>
      <c r="J178" s="509"/>
      <c r="K178" s="340"/>
      <c r="L178" s="340"/>
      <c r="M178" s="340"/>
      <c r="N178" s="340"/>
      <c r="O178" s="340"/>
      <c r="P178" s="672"/>
      <c r="Q178" s="673"/>
      <c r="R178" s="672"/>
      <c r="S178" s="672"/>
      <c r="T178" s="509"/>
      <c r="U178" s="340"/>
      <c r="V178" s="340"/>
      <c r="W178" s="340"/>
      <c r="X178" s="340"/>
      <c r="Y178" s="340"/>
      <c r="Z178" s="340"/>
      <c r="AA178" s="340"/>
      <c r="AB178" s="340"/>
      <c r="AC178" s="340"/>
      <c r="AD178" s="340"/>
      <c r="AE178" s="340"/>
      <c r="AF178" s="340"/>
      <c r="AG178" s="340"/>
      <c r="AH178" s="340"/>
      <c r="AI178" s="340"/>
      <c r="AJ178" s="340"/>
      <c r="AK178" s="340"/>
      <c r="AL178" s="340"/>
    </row>
    <row r="179" spans="1:38" s="373" customFormat="1" ht="12.75" customHeight="1" x14ac:dyDescent="0.25">
      <c r="A179" s="509"/>
      <c r="B179" s="509"/>
      <c r="C179" s="509"/>
      <c r="D179" s="509"/>
      <c r="E179" s="509"/>
      <c r="F179" s="509"/>
      <c r="G179" s="509"/>
      <c r="H179" s="509"/>
      <c r="I179" s="509"/>
      <c r="J179" s="509"/>
      <c r="K179" s="340"/>
      <c r="L179" s="340"/>
      <c r="M179" s="340"/>
      <c r="N179" s="340"/>
      <c r="O179" s="340"/>
      <c r="P179" s="672"/>
      <c r="Q179" s="673"/>
      <c r="R179" s="672"/>
      <c r="S179" s="126"/>
      <c r="T179" s="509"/>
      <c r="U179" s="340"/>
      <c r="V179" s="340"/>
      <c r="W179" s="340"/>
      <c r="X179" s="340"/>
      <c r="Y179" s="340"/>
      <c r="Z179" s="340"/>
      <c r="AA179" s="340"/>
      <c r="AB179" s="340"/>
      <c r="AC179" s="340"/>
      <c r="AD179" s="340"/>
      <c r="AE179" s="340"/>
      <c r="AF179" s="340"/>
      <c r="AG179" s="340"/>
      <c r="AH179" s="340"/>
      <c r="AI179" s="340"/>
      <c r="AJ179" s="340"/>
      <c r="AK179" s="340"/>
      <c r="AL179" s="340"/>
    </row>
    <row r="180" spans="1:38" s="373" customFormat="1" ht="12.75" customHeight="1" x14ac:dyDescent="0.25">
      <c r="A180" s="509"/>
      <c r="B180" s="509"/>
      <c r="C180" s="509"/>
      <c r="D180" s="509"/>
      <c r="E180" s="509"/>
      <c r="F180" s="509"/>
      <c r="G180" s="509"/>
      <c r="H180" s="509"/>
      <c r="I180" s="509"/>
      <c r="J180" s="509"/>
      <c r="K180" s="340"/>
      <c r="L180" s="340"/>
      <c r="M180" s="340"/>
      <c r="N180" s="340"/>
      <c r="O180" s="340"/>
      <c r="P180" s="672"/>
      <c r="Q180" s="673"/>
      <c r="R180" s="672"/>
      <c r="S180" s="126"/>
      <c r="T180" s="509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  <c r="AE180" s="340"/>
      <c r="AF180" s="340"/>
      <c r="AG180" s="340"/>
      <c r="AH180" s="340"/>
      <c r="AI180" s="340"/>
      <c r="AJ180" s="340"/>
      <c r="AK180" s="340"/>
      <c r="AL180" s="340"/>
    </row>
    <row r="181" spans="1:38" ht="12.75" customHeight="1" x14ac:dyDescent="0.25">
      <c r="K181" s="340"/>
      <c r="L181" s="340"/>
      <c r="M181" s="340"/>
      <c r="N181" s="340"/>
      <c r="O181" s="340"/>
      <c r="P181" s="163"/>
      <c r="Q181" s="675"/>
      <c r="R181" s="163"/>
      <c r="S181" s="675"/>
      <c r="T181" s="509"/>
      <c r="U181" s="340"/>
      <c r="V181" s="340"/>
      <c r="W181" s="340"/>
      <c r="X181" s="340"/>
      <c r="Y181" s="340"/>
      <c r="Z181" s="340"/>
      <c r="AA181" s="340"/>
      <c r="AB181" s="340"/>
      <c r="AC181" s="340"/>
      <c r="AD181" s="340"/>
      <c r="AE181" s="340"/>
      <c r="AF181" s="340"/>
      <c r="AG181" s="340"/>
      <c r="AH181" s="340"/>
      <c r="AI181" s="340"/>
      <c r="AJ181" s="340"/>
      <c r="AK181" s="340"/>
      <c r="AL181" s="340"/>
    </row>
    <row r="182" spans="1:38" ht="12.75" customHeight="1" x14ac:dyDescent="0.25">
      <c r="K182" s="340"/>
      <c r="L182" s="340"/>
      <c r="M182" s="340"/>
      <c r="N182" s="340"/>
      <c r="O182" s="340"/>
      <c r="P182" s="163"/>
      <c r="Q182" s="602"/>
      <c r="R182" s="163"/>
      <c r="S182" s="602"/>
      <c r="T182" s="602"/>
      <c r="U182" s="340"/>
      <c r="V182" s="340"/>
      <c r="W182" s="340"/>
      <c r="X182" s="340"/>
      <c r="Y182" s="340"/>
      <c r="Z182" s="340"/>
      <c r="AA182" s="340"/>
      <c r="AB182" s="340"/>
      <c r="AC182" s="340"/>
      <c r="AD182" s="340"/>
      <c r="AE182" s="340"/>
      <c r="AF182" s="340"/>
      <c r="AG182" s="340"/>
      <c r="AH182" s="340"/>
      <c r="AI182" s="340"/>
      <c r="AJ182" s="340"/>
      <c r="AK182" s="340"/>
      <c r="AL182" s="340"/>
    </row>
    <row r="183" spans="1:38" ht="12.75" customHeight="1" x14ac:dyDescent="0.25"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  <c r="AC183" s="340"/>
      <c r="AD183" s="340"/>
      <c r="AE183" s="340"/>
      <c r="AF183" s="340"/>
      <c r="AG183" s="340"/>
      <c r="AH183" s="340"/>
      <c r="AI183" s="340"/>
      <c r="AJ183" s="340"/>
      <c r="AK183" s="340"/>
      <c r="AL183" s="340"/>
    </row>
    <row r="184" spans="1:38" ht="12.75" customHeight="1" x14ac:dyDescent="0.25"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  <c r="AC184" s="340"/>
      <c r="AD184" s="340"/>
      <c r="AE184" s="340"/>
      <c r="AF184" s="340"/>
      <c r="AG184" s="340"/>
      <c r="AH184" s="340"/>
      <c r="AI184" s="340"/>
      <c r="AJ184" s="340"/>
      <c r="AK184" s="340"/>
      <c r="AL184" s="340"/>
    </row>
    <row r="185" spans="1:38" ht="12.75" customHeight="1" x14ac:dyDescent="0.25"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  <c r="AC185" s="340"/>
      <c r="AD185" s="340"/>
      <c r="AE185" s="340"/>
      <c r="AF185" s="340"/>
      <c r="AG185" s="340"/>
      <c r="AH185" s="340"/>
      <c r="AI185" s="340"/>
      <c r="AJ185" s="340"/>
      <c r="AK185" s="340"/>
      <c r="AL185" s="340"/>
    </row>
    <row r="186" spans="1:38" ht="12.75" customHeight="1" x14ac:dyDescent="0.25"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  <c r="AC186" s="340"/>
      <c r="AD186" s="340"/>
      <c r="AE186" s="340"/>
      <c r="AF186" s="340"/>
      <c r="AG186" s="340"/>
      <c r="AH186" s="340"/>
      <c r="AI186" s="340"/>
      <c r="AJ186" s="340"/>
      <c r="AK186" s="340"/>
      <c r="AL186" s="340"/>
    </row>
    <row r="187" spans="1:38" ht="12.75" customHeight="1" x14ac:dyDescent="0.25"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  <c r="AE187" s="340"/>
      <c r="AF187" s="340"/>
      <c r="AG187" s="340"/>
      <c r="AH187" s="340"/>
      <c r="AI187" s="340"/>
      <c r="AJ187" s="340"/>
      <c r="AK187" s="340"/>
      <c r="AL187" s="340"/>
    </row>
    <row r="188" spans="1:38" ht="12.75" customHeight="1" x14ac:dyDescent="0.25"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  <c r="AC188" s="340"/>
      <c r="AD188" s="340"/>
      <c r="AE188" s="340"/>
      <c r="AF188" s="340"/>
      <c r="AG188" s="340"/>
      <c r="AH188" s="340"/>
      <c r="AI188" s="340"/>
      <c r="AJ188" s="340"/>
      <c r="AK188" s="340"/>
      <c r="AL188" s="340"/>
    </row>
    <row r="189" spans="1:38" ht="12.75" customHeight="1" x14ac:dyDescent="0.25"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  <c r="AE189" s="340"/>
      <c r="AF189" s="340"/>
      <c r="AG189" s="340"/>
      <c r="AH189" s="340"/>
      <c r="AI189" s="340"/>
      <c r="AJ189" s="340"/>
      <c r="AK189" s="340"/>
      <c r="AL189" s="340"/>
    </row>
    <row r="190" spans="1:38" ht="12.75" customHeight="1" x14ac:dyDescent="0.25"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  <c r="AE190" s="340"/>
      <c r="AF190" s="340"/>
      <c r="AG190" s="340"/>
      <c r="AH190" s="340"/>
      <c r="AI190" s="340"/>
      <c r="AJ190" s="340"/>
      <c r="AK190" s="340"/>
      <c r="AL190" s="340"/>
    </row>
    <row r="191" spans="1:38" ht="12.75" customHeight="1" x14ac:dyDescent="0.25"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  <c r="AC191" s="340"/>
      <c r="AD191" s="340"/>
      <c r="AE191" s="340"/>
      <c r="AF191" s="340"/>
      <c r="AG191" s="340"/>
      <c r="AH191" s="340"/>
      <c r="AI191" s="340"/>
      <c r="AJ191" s="340"/>
      <c r="AK191" s="340"/>
      <c r="AL191" s="340"/>
    </row>
    <row r="192" spans="1:38" ht="12.75" customHeight="1" x14ac:dyDescent="0.25"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  <c r="AC192" s="340"/>
      <c r="AD192" s="340"/>
      <c r="AE192" s="340"/>
      <c r="AF192" s="340"/>
      <c r="AG192" s="340"/>
      <c r="AH192" s="340"/>
      <c r="AI192" s="340"/>
      <c r="AJ192" s="340"/>
      <c r="AK192" s="340"/>
      <c r="AL192" s="340"/>
    </row>
    <row r="193" spans="11:38" ht="12.75" customHeight="1" x14ac:dyDescent="0.25"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  <c r="AC193" s="340"/>
      <c r="AD193" s="340"/>
      <c r="AE193" s="340"/>
      <c r="AF193" s="340"/>
      <c r="AG193" s="340"/>
      <c r="AH193" s="340"/>
      <c r="AI193" s="340"/>
      <c r="AJ193" s="340"/>
      <c r="AK193" s="340"/>
      <c r="AL193" s="340"/>
    </row>
    <row r="194" spans="11:38" ht="12.75" customHeight="1" x14ac:dyDescent="0.25"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  <c r="AC194" s="340"/>
      <c r="AD194" s="340"/>
      <c r="AE194" s="340"/>
      <c r="AF194" s="340"/>
      <c r="AG194" s="340"/>
      <c r="AH194" s="340"/>
      <c r="AI194" s="340"/>
      <c r="AJ194" s="340"/>
      <c r="AK194" s="340"/>
      <c r="AL194" s="340"/>
    </row>
    <row r="195" spans="11:38" ht="12.75" customHeight="1" x14ac:dyDescent="0.25"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  <c r="AC195" s="340"/>
      <c r="AD195" s="340"/>
      <c r="AE195" s="340"/>
      <c r="AF195" s="340"/>
      <c r="AG195" s="340"/>
      <c r="AH195" s="340"/>
      <c r="AI195" s="340"/>
      <c r="AJ195" s="340"/>
      <c r="AK195" s="340"/>
      <c r="AL195" s="340"/>
    </row>
    <row r="196" spans="11:38" ht="12.75" customHeight="1" x14ac:dyDescent="0.25"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  <c r="AE196" s="340"/>
      <c r="AF196" s="340"/>
      <c r="AG196" s="340"/>
      <c r="AH196" s="340"/>
      <c r="AI196" s="340"/>
      <c r="AJ196" s="340"/>
      <c r="AK196" s="340"/>
      <c r="AL196" s="340"/>
    </row>
    <row r="197" spans="11:38" ht="12.75" customHeight="1" x14ac:dyDescent="0.25"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  <c r="AC197" s="340"/>
      <c r="AD197" s="340"/>
      <c r="AE197" s="340"/>
      <c r="AF197" s="340"/>
      <c r="AG197" s="340"/>
      <c r="AH197" s="340"/>
      <c r="AI197" s="340"/>
      <c r="AJ197" s="340"/>
      <c r="AK197" s="340"/>
      <c r="AL197" s="340"/>
    </row>
    <row r="198" spans="11:38" ht="12.75" customHeight="1" x14ac:dyDescent="0.25"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  <c r="AC198" s="340"/>
      <c r="AD198" s="340"/>
      <c r="AE198" s="340"/>
      <c r="AF198" s="340"/>
      <c r="AG198" s="340"/>
      <c r="AH198" s="340"/>
      <c r="AI198" s="340"/>
      <c r="AJ198" s="340"/>
      <c r="AK198" s="340"/>
      <c r="AL198" s="340"/>
    </row>
    <row r="199" spans="11:38" ht="12.75" customHeight="1" x14ac:dyDescent="0.25"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  <c r="AE199" s="340"/>
      <c r="AF199" s="340"/>
      <c r="AG199" s="340"/>
      <c r="AH199" s="340"/>
      <c r="AI199" s="340"/>
      <c r="AJ199" s="340"/>
      <c r="AK199" s="340"/>
      <c r="AL199" s="340"/>
    </row>
    <row r="200" spans="11:38" ht="12.75" customHeight="1" x14ac:dyDescent="0.25"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  <c r="AC200" s="340"/>
      <c r="AD200" s="340"/>
      <c r="AE200" s="340"/>
      <c r="AF200" s="340"/>
      <c r="AG200" s="340"/>
      <c r="AH200" s="340"/>
      <c r="AI200" s="340"/>
      <c r="AJ200" s="340"/>
      <c r="AK200" s="340"/>
      <c r="AL200" s="340"/>
    </row>
    <row r="201" spans="11:38" ht="12.75" customHeight="1" x14ac:dyDescent="0.25"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  <c r="AC201" s="340"/>
      <c r="AD201" s="340"/>
      <c r="AE201" s="340"/>
      <c r="AF201" s="340"/>
      <c r="AG201" s="340"/>
      <c r="AH201" s="340"/>
      <c r="AI201" s="340"/>
      <c r="AJ201" s="340"/>
      <c r="AK201" s="340"/>
      <c r="AL201" s="340"/>
    </row>
    <row r="202" spans="11:38" ht="12.75" customHeight="1" x14ac:dyDescent="0.25"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  <c r="AC202" s="340"/>
      <c r="AD202" s="340"/>
      <c r="AE202" s="340"/>
      <c r="AF202" s="340"/>
      <c r="AG202" s="340"/>
      <c r="AH202" s="340"/>
      <c r="AI202" s="340"/>
      <c r="AJ202" s="340"/>
      <c r="AK202" s="340"/>
      <c r="AL202" s="340"/>
    </row>
    <row r="203" spans="11:38" ht="12.75" customHeight="1" x14ac:dyDescent="0.25"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  <c r="AC203" s="340"/>
      <c r="AD203" s="340"/>
      <c r="AE203" s="340"/>
      <c r="AF203" s="340"/>
      <c r="AG203" s="340"/>
      <c r="AH203" s="340"/>
      <c r="AI203" s="340"/>
      <c r="AJ203" s="340"/>
      <c r="AK203" s="340"/>
      <c r="AL203" s="340"/>
    </row>
    <row r="204" spans="11:38" ht="12.75" customHeight="1" x14ac:dyDescent="0.25"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  <c r="AC204" s="340"/>
      <c r="AD204" s="340"/>
      <c r="AE204" s="340"/>
      <c r="AF204" s="340"/>
      <c r="AG204" s="340"/>
      <c r="AH204" s="340"/>
      <c r="AI204" s="340"/>
      <c r="AJ204" s="340"/>
      <c r="AK204" s="340"/>
      <c r="AL204" s="340"/>
    </row>
    <row r="205" spans="11:38" ht="12.75" customHeight="1" x14ac:dyDescent="0.25"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  <c r="AC205" s="340"/>
      <c r="AD205" s="340"/>
      <c r="AE205" s="340"/>
      <c r="AF205" s="340"/>
      <c r="AG205" s="340"/>
      <c r="AH205" s="340"/>
      <c r="AI205" s="340"/>
      <c r="AJ205" s="340"/>
      <c r="AK205" s="340"/>
      <c r="AL205" s="340"/>
    </row>
    <row r="206" spans="11:38" ht="12.75" customHeight="1" x14ac:dyDescent="0.25"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  <c r="AC206" s="340"/>
      <c r="AD206" s="340"/>
      <c r="AE206" s="340"/>
      <c r="AF206" s="340"/>
      <c r="AG206" s="340"/>
      <c r="AH206" s="340"/>
      <c r="AI206" s="340"/>
      <c r="AJ206" s="340"/>
      <c r="AK206" s="340"/>
      <c r="AL206" s="340"/>
    </row>
    <row r="207" spans="11:38" ht="12.75" customHeight="1" x14ac:dyDescent="0.25"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  <c r="AE207" s="340"/>
      <c r="AF207" s="340"/>
      <c r="AG207" s="340"/>
      <c r="AH207" s="340"/>
      <c r="AI207" s="340"/>
      <c r="AJ207" s="340"/>
      <c r="AK207" s="340"/>
      <c r="AL207" s="340"/>
    </row>
    <row r="208" spans="11:38" ht="12.75" customHeight="1" x14ac:dyDescent="0.25"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  <c r="AC208" s="340"/>
      <c r="AD208" s="340"/>
      <c r="AE208" s="340"/>
      <c r="AF208" s="340"/>
      <c r="AG208" s="340"/>
      <c r="AH208" s="340"/>
      <c r="AI208" s="340"/>
      <c r="AJ208" s="340"/>
      <c r="AK208" s="340"/>
      <c r="AL208" s="340"/>
    </row>
    <row r="209" spans="11:38" ht="12.75" customHeight="1" x14ac:dyDescent="0.25"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  <c r="AC209" s="340"/>
      <c r="AD209" s="340"/>
      <c r="AE209" s="340"/>
      <c r="AF209" s="340"/>
      <c r="AG209" s="340"/>
      <c r="AH209" s="340"/>
      <c r="AI209" s="340"/>
      <c r="AJ209" s="340"/>
      <c r="AK209" s="340"/>
      <c r="AL209" s="340"/>
    </row>
    <row r="210" spans="11:38" ht="12.75" customHeight="1" x14ac:dyDescent="0.25"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  <c r="AC210" s="340"/>
      <c r="AD210" s="340"/>
      <c r="AE210" s="340"/>
      <c r="AF210" s="340"/>
      <c r="AG210" s="340"/>
      <c r="AH210" s="340"/>
      <c r="AI210" s="340"/>
      <c r="AJ210" s="340"/>
      <c r="AK210" s="340"/>
      <c r="AL210" s="340"/>
    </row>
    <row r="211" spans="11:38" ht="12.75" customHeight="1" x14ac:dyDescent="0.25"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  <c r="AC211" s="340"/>
      <c r="AD211" s="340"/>
      <c r="AE211" s="340"/>
      <c r="AF211" s="340"/>
      <c r="AG211" s="340"/>
      <c r="AH211" s="340"/>
      <c r="AI211" s="340"/>
      <c r="AJ211" s="340"/>
      <c r="AK211" s="340"/>
      <c r="AL211" s="340"/>
    </row>
    <row r="212" spans="11:38" ht="12.75" customHeight="1" x14ac:dyDescent="0.25"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  <c r="AC212" s="340"/>
      <c r="AD212" s="340"/>
      <c r="AE212" s="340"/>
      <c r="AF212" s="340"/>
      <c r="AG212" s="340"/>
      <c r="AH212" s="340"/>
      <c r="AI212" s="340"/>
      <c r="AJ212" s="340"/>
      <c r="AK212" s="340"/>
      <c r="AL212" s="340"/>
    </row>
    <row r="213" spans="11:38" ht="12.75" customHeight="1" x14ac:dyDescent="0.25"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  <c r="AE213" s="340"/>
      <c r="AF213" s="340"/>
      <c r="AG213" s="340"/>
      <c r="AH213" s="340"/>
      <c r="AI213" s="340"/>
      <c r="AJ213" s="340"/>
      <c r="AK213" s="340"/>
      <c r="AL213" s="340"/>
    </row>
    <row r="214" spans="11:38" ht="12.75" customHeight="1" x14ac:dyDescent="0.25"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  <c r="AC214" s="340"/>
      <c r="AD214" s="340"/>
      <c r="AE214" s="340"/>
      <c r="AF214" s="340"/>
      <c r="AG214" s="340"/>
      <c r="AH214" s="340"/>
      <c r="AI214" s="340"/>
      <c r="AJ214" s="340"/>
      <c r="AK214" s="340"/>
      <c r="AL214" s="340"/>
    </row>
    <row r="215" spans="11:38" ht="12.75" customHeight="1" x14ac:dyDescent="0.25"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  <c r="AC215" s="340"/>
      <c r="AD215" s="340"/>
      <c r="AE215" s="340"/>
      <c r="AF215" s="340"/>
      <c r="AG215" s="340"/>
      <c r="AH215" s="340"/>
      <c r="AI215" s="340"/>
      <c r="AJ215" s="340"/>
      <c r="AK215" s="340"/>
      <c r="AL215" s="340"/>
    </row>
    <row r="216" spans="11:38" ht="12.75" customHeight="1" x14ac:dyDescent="0.25"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  <c r="AC216" s="340"/>
      <c r="AD216" s="340"/>
      <c r="AE216" s="340"/>
      <c r="AF216" s="340"/>
      <c r="AG216" s="340"/>
      <c r="AH216" s="340"/>
      <c r="AI216" s="340"/>
      <c r="AJ216" s="340"/>
      <c r="AK216" s="340"/>
      <c r="AL216" s="340"/>
    </row>
    <row r="217" spans="11:38" ht="12.75" customHeight="1" x14ac:dyDescent="0.25"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  <c r="AC217" s="340"/>
      <c r="AD217" s="340"/>
      <c r="AE217" s="340"/>
      <c r="AF217" s="340"/>
      <c r="AG217" s="340"/>
      <c r="AH217" s="340"/>
      <c r="AI217" s="340"/>
      <c r="AJ217" s="340"/>
      <c r="AK217" s="340"/>
      <c r="AL217" s="340"/>
    </row>
    <row r="218" spans="11:38" ht="12.75" customHeight="1" x14ac:dyDescent="0.25"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  <c r="AC218" s="340"/>
      <c r="AD218" s="340"/>
      <c r="AE218" s="340"/>
      <c r="AF218" s="340"/>
      <c r="AG218" s="340"/>
      <c r="AH218" s="340"/>
      <c r="AI218" s="340"/>
      <c r="AJ218" s="340"/>
      <c r="AK218" s="340"/>
      <c r="AL218" s="340"/>
    </row>
    <row r="219" spans="11:38" ht="12.75" customHeight="1" x14ac:dyDescent="0.25"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  <c r="AC219" s="340"/>
      <c r="AD219" s="340"/>
      <c r="AE219" s="340"/>
      <c r="AF219" s="340"/>
      <c r="AG219" s="340"/>
      <c r="AH219" s="340"/>
      <c r="AI219" s="340"/>
      <c r="AJ219" s="340"/>
      <c r="AK219" s="340"/>
      <c r="AL219" s="340"/>
    </row>
    <row r="220" spans="11:38" ht="12.75" customHeight="1" x14ac:dyDescent="0.25"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  <c r="AC220" s="340"/>
      <c r="AD220" s="340"/>
      <c r="AE220" s="340"/>
      <c r="AF220" s="340"/>
      <c r="AG220" s="340"/>
      <c r="AH220" s="340"/>
      <c r="AI220" s="340"/>
      <c r="AJ220" s="340"/>
      <c r="AK220" s="340"/>
      <c r="AL220" s="340"/>
    </row>
    <row r="221" spans="11:38" ht="12.75" customHeight="1" x14ac:dyDescent="0.25"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  <c r="AC221" s="340"/>
      <c r="AD221" s="340"/>
      <c r="AE221" s="340"/>
      <c r="AF221" s="340"/>
      <c r="AG221" s="340"/>
      <c r="AH221" s="340"/>
      <c r="AI221" s="340"/>
      <c r="AJ221" s="340"/>
      <c r="AK221" s="340"/>
      <c r="AL221" s="340"/>
    </row>
    <row r="222" spans="11:38" ht="12.75" customHeight="1" x14ac:dyDescent="0.25"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  <c r="AC222" s="340"/>
      <c r="AD222" s="340"/>
      <c r="AE222" s="340"/>
      <c r="AF222" s="340"/>
      <c r="AG222" s="340"/>
      <c r="AH222" s="340"/>
      <c r="AI222" s="340"/>
      <c r="AJ222" s="340"/>
      <c r="AK222" s="340"/>
      <c r="AL222" s="340"/>
    </row>
    <row r="223" spans="11:38" ht="12.75" customHeight="1" x14ac:dyDescent="0.25"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  <c r="AC223" s="340"/>
      <c r="AD223" s="340"/>
      <c r="AE223" s="340"/>
      <c r="AF223" s="340"/>
      <c r="AG223" s="340"/>
      <c r="AH223" s="340"/>
      <c r="AI223" s="340"/>
      <c r="AJ223" s="340"/>
      <c r="AK223" s="340"/>
      <c r="AL223" s="340"/>
    </row>
    <row r="224" spans="11:38" ht="12.75" customHeight="1" x14ac:dyDescent="0.25"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  <c r="AC224" s="340"/>
      <c r="AD224" s="340"/>
      <c r="AE224" s="340"/>
      <c r="AF224" s="340"/>
      <c r="AG224" s="340"/>
      <c r="AH224" s="340"/>
      <c r="AI224" s="340"/>
      <c r="AJ224" s="340"/>
      <c r="AK224" s="340"/>
      <c r="AL224" s="340"/>
    </row>
    <row r="225" spans="11:38" ht="12.75" customHeight="1" x14ac:dyDescent="0.25"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  <c r="AC225" s="340"/>
      <c r="AD225" s="340"/>
      <c r="AE225" s="340"/>
      <c r="AF225" s="340"/>
      <c r="AG225" s="340"/>
      <c r="AH225" s="340"/>
      <c r="AI225" s="340"/>
      <c r="AJ225" s="340"/>
      <c r="AK225" s="340"/>
      <c r="AL225" s="340"/>
    </row>
    <row r="226" spans="11:38" ht="12.75" customHeight="1" x14ac:dyDescent="0.25"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0"/>
      <c r="AD226" s="340"/>
      <c r="AE226" s="340"/>
      <c r="AF226" s="340"/>
      <c r="AG226" s="340"/>
      <c r="AH226" s="340"/>
      <c r="AI226" s="340"/>
      <c r="AJ226" s="340"/>
      <c r="AK226" s="340"/>
      <c r="AL226" s="340"/>
    </row>
    <row r="227" spans="11:38" ht="12.75" customHeight="1" x14ac:dyDescent="0.25"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  <c r="AC227" s="340"/>
      <c r="AD227" s="340"/>
      <c r="AE227" s="340"/>
      <c r="AF227" s="340"/>
      <c r="AG227" s="340"/>
      <c r="AH227" s="340"/>
      <c r="AI227" s="340"/>
      <c r="AJ227" s="340"/>
      <c r="AK227" s="340"/>
      <c r="AL227" s="340"/>
    </row>
    <row r="228" spans="11:38" ht="12.75" customHeight="1" x14ac:dyDescent="0.25"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  <c r="AC228" s="340"/>
      <c r="AD228" s="340"/>
      <c r="AE228" s="340"/>
      <c r="AF228" s="340"/>
      <c r="AG228" s="340"/>
      <c r="AH228" s="340"/>
      <c r="AI228" s="340"/>
      <c r="AJ228" s="340"/>
      <c r="AK228" s="340"/>
      <c r="AL228" s="340"/>
    </row>
    <row r="229" spans="11:38" ht="12.75" customHeight="1" x14ac:dyDescent="0.25"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  <c r="AC229" s="340"/>
      <c r="AD229" s="340"/>
      <c r="AE229" s="340"/>
      <c r="AF229" s="340"/>
      <c r="AG229" s="340"/>
      <c r="AH229" s="340"/>
      <c r="AI229" s="340"/>
      <c r="AJ229" s="340"/>
      <c r="AK229" s="340"/>
      <c r="AL229" s="340"/>
    </row>
    <row r="230" spans="11:38" ht="12.75" customHeight="1" x14ac:dyDescent="0.25"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  <c r="AC230" s="340"/>
      <c r="AD230" s="340"/>
      <c r="AE230" s="340"/>
      <c r="AF230" s="340"/>
      <c r="AG230" s="340"/>
      <c r="AH230" s="340"/>
      <c r="AI230" s="340"/>
      <c r="AJ230" s="340"/>
      <c r="AK230" s="340"/>
      <c r="AL230" s="340"/>
    </row>
    <row r="231" spans="11:38" ht="12.75" customHeight="1" x14ac:dyDescent="0.25"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  <c r="AC231" s="340"/>
      <c r="AD231" s="340"/>
      <c r="AE231" s="340"/>
      <c r="AF231" s="340"/>
      <c r="AG231" s="340"/>
      <c r="AH231" s="340"/>
      <c r="AI231" s="340"/>
      <c r="AJ231" s="340"/>
      <c r="AK231" s="340"/>
      <c r="AL231" s="340"/>
    </row>
    <row r="232" spans="11:38" ht="12.75" customHeight="1" x14ac:dyDescent="0.25"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  <c r="AC232" s="340"/>
      <c r="AD232" s="340"/>
      <c r="AE232" s="340"/>
      <c r="AF232" s="340"/>
      <c r="AG232" s="340"/>
      <c r="AH232" s="340"/>
      <c r="AI232" s="340"/>
      <c r="AJ232" s="340"/>
      <c r="AK232" s="340"/>
      <c r="AL232" s="340"/>
    </row>
    <row r="233" spans="11:38" ht="12.75" customHeight="1" x14ac:dyDescent="0.25"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  <c r="AC233" s="340"/>
      <c r="AD233" s="340"/>
      <c r="AE233" s="340"/>
      <c r="AF233" s="340"/>
      <c r="AG233" s="340"/>
      <c r="AH233" s="340"/>
      <c r="AI233" s="340"/>
      <c r="AJ233" s="340"/>
      <c r="AK233" s="340"/>
      <c r="AL233" s="340"/>
    </row>
    <row r="234" spans="11:38" ht="12.75" customHeight="1" x14ac:dyDescent="0.25"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  <c r="AC234" s="340"/>
      <c r="AD234" s="340"/>
      <c r="AE234" s="340"/>
      <c r="AF234" s="340"/>
      <c r="AG234" s="340"/>
      <c r="AH234" s="340"/>
      <c r="AI234" s="340"/>
      <c r="AJ234" s="340"/>
      <c r="AK234" s="340"/>
      <c r="AL234" s="340"/>
    </row>
    <row r="235" spans="11:38" ht="12.75" customHeight="1" x14ac:dyDescent="0.25"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  <c r="AE235" s="340"/>
      <c r="AF235" s="340"/>
      <c r="AG235" s="340"/>
      <c r="AH235" s="340"/>
      <c r="AI235" s="340"/>
      <c r="AJ235" s="340"/>
      <c r="AK235" s="340"/>
      <c r="AL235" s="340"/>
    </row>
    <row r="236" spans="11:38" ht="12.75" customHeight="1" x14ac:dyDescent="0.25"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  <c r="AC236" s="340"/>
      <c r="AD236" s="340"/>
      <c r="AE236" s="340"/>
      <c r="AF236" s="340"/>
      <c r="AG236" s="340"/>
      <c r="AH236" s="340"/>
      <c r="AI236" s="340"/>
      <c r="AJ236" s="340"/>
      <c r="AK236" s="340"/>
      <c r="AL236" s="340"/>
    </row>
    <row r="237" spans="11:38" ht="12.75" customHeight="1" x14ac:dyDescent="0.25"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  <c r="AC237" s="340"/>
      <c r="AD237" s="340"/>
      <c r="AE237" s="340"/>
      <c r="AF237" s="340"/>
      <c r="AG237" s="340"/>
      <c r="AH237" s="340"/>
      <c r="AI237" s="340"/>
      <c r="AJ237" s="340"/>
      <c r="AK237" s="340"/>
      <c r="AL237" s="340"/>
    </row>
    <row r="238" spans="11:38" ht="12.75" customHeight="1" x14ac:dyDescent="0.25"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  <c r="AC238" s="340"/>
      <c r="AD238" s="340"/>
      <c r="AE238" s="340"/>
      <c r="AF238" s="340"/>
      <c r="AG238" s="340"/>
      <c r="AH238" s="340"/>
      <c r="AI238" s="340"/>
      <c r="AJ238" s="340"/>
      <c r="AK238" s="340"/>
      <c r="AL238" s="340"/>
    </row>
    <row r="239" spans="11:38" ht="12.75" customHeight="1" x14ac:dyDescent="0.25"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  <c r="AC239" s="340"/>
      <c r="AD239" s="340"/>
      <c r="AE239" s="340"/>
      <c r="AF239" s="340"/>
      <c r="AG239" s="340"/>
      <c r="AH239" s="340"/>
      <c r="AI239" s="340"/>
      <c r="AJ239" s="340"/>
      <c r="AK239" s="340"/>
      <c r="AL239" s="340"/>
    </row>
    <row r="240" spans="11:38" ht="12.75" customHeight="1" x14ac:dyDescent="0.25"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  <c r="AC240" s="340"/>
      <c r="AD240" s="340"/>
      <c r="AE240" s="340"/>
      <c r="AF240" s="340"/>
      <c r="AG240" s="340"/>
      <c r="AH240" s="340"/>
      <c r="AI240" s="340"/>
      <c r="AJ240" s="340"/>
      <c r="AK240" s="340"/>
      <c r="AL240" s="340"/>
    </row>
    <row r="241" spans="11:38" ht="12.75" customHeight="1" x14ac:dyDescent="0.25"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  <c r="AC241" s="340"/>
      <c r="AD241" s="340"/>
      <c r="AE241" s="340"/>
      <c r="AF241" s="340"/>
      <c r="AG241" s="340"/>
      <c r="AH241" s="340"/>
      <c r="AI241" s="340"/>
      <c r="AJ241" s="340"/>
      <c r="AK241" s="340"/>
      <c r="AL241" s="340"/>
    </row>
    <row r="242" spans="11:38" ht="12.75" customHeight="1" x14ac:dyDescent="0.25"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  <c r="AC242" s="340"/>
      <c r="AD242" s="340"/>
      <c r="AE242" s="340"/>
      <c r="AF242" s="340"/>
      <c r="AG242" s="340"/>
      <c r="AH242" s="340"/>
      <c r="AI242" s="340"/>
      <c r="AJ242" s="340"/>
      <c r="AK242" s="340"/>
      <c r="AL242" s="340"/>
    </row>
    <row r="243" spans="11:38" ht="12.75" customHeight="1" x14ac:dyDescent="0.25"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  <c r="AC243" s="340"/>
      <c r="AD243" s="340"/>
      <c r="AE243" s="340"/>
      <c r="AF243" s="340"/>
      <c r="AG243" s="340"/>
      <c r="AH243" s="340"/>
      <c r="AI243" s="340"/>
      <c r="AJ243" s="340"/>
      <c r="AK243" s="340"/>
      <c r="AL243" s="340"/>
    </row>
    <row r="244" spans="11:38" ht="12.75" customHeight="1" x14ac:dyDescent="0.25"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  <c r="AC244" s="340"/>
      <c r="AD244" s="340"/>
      <c r="AE244" s="340"/>
      <c r="AF244" s="340"/>
      <c r="AG244" s="340"/>
      <c r="AH244" s="340"/>
      <c r="AI244" s="340"/>
      <c r="AJ244" s="340"/>
      <c r="AK244" s="340"/>
      <c r="AL244" s="340"/>
    </row>
    <row r="245" spans="11:38" ht="12.75" customHeight="1" x14ac:dyDescent="0.25"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  <c r="AC245" s="340"/>
      <c r="AD245" s="340"/>
      <c r="AE245" s="340"/>
      <c r="AF245" s="340"/>
      <c r="AG245" s="340"/>
      <c r="AH245" s="340"/>
      <c r="AI245" s="340"/>
      <c r="AJ245" s="340"/>
      <c r="AK245" s="340"/>
      <c r="AL245" s="340"/>
    </row>
    <row r="246" spans="11:38" ht="12.75" customHeight="1" x14ac:dyDescent="0.25"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  <c r="AC246" s="340"/>
      <c r="AD246" s="340"/>
      <c r="AE246" s="340"/>
      <c r="AF246" s="340"/>
      <c r="AG246" s="340"/>
      <c r="AH246" s="340"/>
      <c r="AI246" s="340"/>
      <c r="AJ246" s="340"/>
      <c r="AK246" s="340"/>
      <c r="AL246" s="340"/>
    </row>
    <row r="247" spans="11:38" ht="12.75" customHeight="1" x14ac:dyDescent="0.25"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0"/>
      <c r="AD247" s="340"/>
      <c r="AE247" s="340"/>
      <c r="AF247" s="340"/>
      <c r="AG247" s="340"/>
      <c r="AH247" s="340"/>
      <c r="AI247" s="340"/>
      <c r="AJ247" s="340"/>
      <c r="AK247" s="340"/>
      <c r="AL247" s="340"/>
    </row>
    <row r="248" spans="11:38" ht="12.75" customHeight="1" x14ac:dyDescent="0.25"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  <c r="AC248" s="340"/>
      <c r="AD248" s="340"/>
      <c r="AE248" s="340"/>
      <c r="AF248" s="340"/>
      <c r="AG248" s="340"/>
      <c r="AH248" s="340"/>
      <c r="AI248" s="340"/>
      <c r="AJ248" s="340"/>
      <c r="AK248" s="340"/>
      <c r="AL248" s="340"/>
    </row>
    <row r="249" spans="11:38" ht="12.75" customHeight="1" x14ac:dyDescent="0.25"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  <c r="AC249" s="340"/>
      <c r="AD249" s="340"/>
      <c r="AE249" s="340"/>
      <c r="AF249" s="340"/>
      <c r="AG249" s="340"/>
      <c r="AH249" s="340"/>
      <c r="AI249" s="340"/>
      <c r="AJ249" s="340"/>
      <c r="AK249" s="340"/>
      <c r="AL249" s="340"/>
    </row>
    <row r="250" spans="11:38" ht="12.75" customHeight="1" x14ac:dyDescent="0.25"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  <c r="AE250" s="340"/>
      <c r="AF250" s="340"/>
      <c r="AG250" s="340"/>
      <c r="AH250" s="340"/>
      <c r="AI250" s="340"/>
      <c r="AJ250" s="340"/>
      <c r="AK250" s="340"/>
      <c r="AL250" s="340"/>
    </row>
    <row r="251" spans="11:38" ht="12.75" customHeight="1" x14ac:dyDescent="0.25"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0"/>
      <c r="AD251" s="340"/>
      <c r="AE251" s="340"/>
      <c r="AF251" s="340"/>
      <c r="AG251" s="340"/>
      <c r="AH251" s="340"/>
      <c r="AI251" s="340"/>
      <c r="AJ251" s="340"/>
      <c r="AK251" s="340"/>
      <c r="AL251" s="340"/>
    </row>
    <row r="252" spans="11:38" ht="12.75" customHeight="1" x14ac:dyDescent="0.25"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  <c r="AC252" s="340"/>
      <c r="AD252" s="340"/>
      <c r="AE252" s="340"/>
      <c r="AF252" s="340"/>
      <c r="AG252" s="340"/>
      <c r="AH252" s="340"/>
      <c r="AI252" s="340"/>
      <c r="AJ252" s="340"/>
      <c r="AK252" s="340"/>
      <c r="AL252" s="340"/>
    </row>
    <row r="253" spans="11:38" ht="12.75" customHeight="1" x14ac:dyDescent="0.25"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  <c r="AC253" s="340"/>
      <c r="AD253" s="340"/>
      <c r="AE253" s="340"/>
      <c r="AF253" s="340"/>
      <c r="AG253" s="340"/>
      <c r="AH253" s="340"/>
      <c r="AI253" s="340"/>
      <c r="AJ253" s="340"/>
      <c r="AK253" s="340"/>
      <c r="AL253" s="340"/>
    </row>
    <row r="254" spans="11:38" ht="12.75" customHeight="1" x14ac:dyDescent="0.25"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  <c r="AC254" s="340"/>
      <c r="AD254" s="340"/>
      <c r="AE254" s="340"/>
      <c r="AF254" s="340"/>
      <c r="AG254" s="340"/>
      <c r="AH254" s="340"/>
      <c r="AI254" s="340"/>
      <c r="AJ254" s="340"/>
      <c r="AK254" s="340"/>
      <c r="AL254" s="340"/>
    </row>
    <row r="255" spans="11:38" ht="12.75" customHeight="1" x14ac:dyDescent="0.25"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0"/>
      <c r="AD255" s="340"/>
      <c r="AE255" s="340"/>
      <c r="AF255" s="340"/>
      <c r="AG255" s="340"/>
      <c r="AH255" s="340"/>
      <c r="AI255" s="340"/>
      <c r="AJ255" s="340"/>
      <c r="AK255" s="340"/>
      <c r="AL255" s="340"/>
    </row>
    <row r="256" spans="11:38" ht="12.75" customHeight="1" x14ac:dyDescent="0.25"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  <c r="AC256" s="340"/>
      <c r="AD256" s="340"/>
      <c r="AE256" s="340"/>
      <c r="AF256" s="340"/>
      <c r="AG256" s="340"/>
      <c r="AH256" s="340"/>
      <c r="AI256" s="340"/>
      <c r="AJ256" s="340"/>
      <c r="AK256" s="340"/>
      <c r="AL256" s="340"/>
    </row>
    <row r="257" spans="11:38" ht="12.75" customHeight="1" x14ac:dyDescent="0.25"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  <c r="AC257" s="340"/>
      <c r="AD257" s="340"/>
      <c r="AE257" s="340"/>
      <c r="AF257" s="340"/>
      <c r="AG257" s="340"/>
      <c r="AH257" s="340"/>
      <c r="AI257" s="340"/>
      <c r="AJ257" s="340"/>
      <c r="AK257" s="340"/>
      <c r="AL257" s="340"/>
    </row>
    <row r="258" spans="11:38" ht="12.75" customHeight="1" x14ac:dyDescent="0.25"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  <c r="AC258" s="340"/>
      <c r="AD258" s="340"/>
      <c r="AE258" s="340"/>
      <c r="AF258" s="340"/>
      <c r="AG258" s="340"/>
      <c r="AH258" s="340"/>
      <c r="AI258" s="340"/>
      <c r="AJ258" s="340"/>
      <c r="AK258" s="340"/>
      <c r="AL258" s="340"/>
    </row>
    <row r="259" spans="11:38" ht="12.75" customHeight="1" x14ac:dyDescent="0.25"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  <c r="AC259" s="340"/>
      <c r="AD259" s="340"/>
      <c r="AE259" s="340"/>
      <c r="AF259" s="340"/>
      <c r="AG259" s="340"/>
      <c r="AH259" s="340"/>
      <c r="AI259" s="340"/>
      <c r="AJ259" s="340"/>
      <c r="AK259" s="340"/>
      <c r="AL259" s="340"/>
    </row>
    <row r="260" spans="11:38" ht="12.75" customHeight="1" x14ac:dyDescent="0.25"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  <c r="AC260" s="340"/>
      <c r="AD260" s="340"/>
      <c r="AE260" s="340"/>
      <c r="AF260" s="340"/>
      <c r="AG260" s="340"/>
      <c r="AH260" s="340"/>
      <c r="AI260" s="340"/>
      <c r="AJ260" s="340"/>
      <c r="AK260" s="340"/>
      <c r="AL260" s="340"/>
    </row>
    <row r="261" spans="11:38" ht="12.75" customHeight="1" x14ac:dyDescent="0.25"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  <c r="AC261" s="340"/>
      <c r="AD261" s="340"/>
      <c r="AE261" s="340"/>
      <c r="AF261" s="340"/>
      <c r="AG261" s="340"/>
      <c r="AH261" s="340"/>
      <c r="AI261" s="340"/>
      <c r="AJ261" s="340"/>
      <c r="AK261" s="340"/>
      <c r="AL261" s="340"/>
    </row>
    <row r="262" spans="11:38" ht="12.75" customHeight="1" x14ac:dyDescent="0.25"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  <c r="AC262" s="340"/>
      <c r="AD262" s="340"/>
      <c r="AE262" s="340"/>
      <c r="AF262" s="340"/>
      <c r="AG262" s="340"/>
      <c r="AH262" s="340"/>
      <c r="AI262" s="340"/>
      <c r="AJ262" s="340"/>
      <c r="AK262" s="340"/>
      <c r="AL262" s="340"/>
    </row>
    <row r="263" spans="11:38" ht="12.75" customHeight="1" x14ac:dyDescent="0.25"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  <c r="AC263" s="340"/>
      <c r="AD263" s="340"/>
      <c r="AE263" s="340"/>
      <c r="AF263" s="340"/>
      <c r="AG263" s="340"/>
      <c r="AH263" s="340"/>
      <c r="AI263" s="340"/>
      <c r="AJ263" s="340"/>
      <c r="AK263" s="340"/>
      <c r="AL263" s="340"/>
    </row>
    <row r="264" spans="11:38" ht="12.75" customHeight="1" x14ac:dyDescent="0.25"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  <c r="AC264" s="340"/>
      <c r="AD264" s="340"/>
      <c r="AE264" s="340"/>
      <c r="AF264" s="340"/>
      <c r="AG264" s="340"/>
      <c r="AH264" s="340"/>
      <c r="AI264" s="340"/>
      <c r="AJ264" s="340"/>
      <c r="AK264" s="340"/>
      <c r="AL264" s="340"/>
    </row>
    <row r="265" spans="11:38" ht="12.75" customHeight="1" x14ac:dyDescent="0.25"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  <c r="AC265" s="340"/>
      <c r="AD265" s="340"/>
      <c r="AE265" s="340"/>
      <c r="AF265" s="340"/>
      <c r="AG265" s="340"/>
      <c r="AH265" s="340"/>
      <c r="AI265" s="340"/>
      <c r="AJ265" s="340"/>
      <c r="AK265" s="340"/>
      <c r="AL265" s="340"/>
    </row>
    <row r="266" spans="11:38" ht="12.75" customHeight="1" x14ac:dyDescent="0.25"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  <c r="AC266" s="340"/>
      <c r="AD266" s="340"/>
      <c r="AE266" s="340"/>
      <c r="AF266" s="340"/>
      <c r="AG266" s="340"/>
      <c r="AH266" s="340"/>
      <c r="AI266" s="340"/>
      <c r="AJ266" s="340"/>
      <c r="AK266" s="340"/>
      <c r="AL266" s="340"/>
    </row>
    <row r="267" spans="11:38" ht="12.75" customHeight="1" x14ac:dyDescent="0.25"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  <c r="AC267" s="340"/>
      <c r="AD267" s="340"/>
      <c r="AE267" s="340"/>
      <c r="AF267" s="340"/>
      <c r="AG267" s="340"/>
      <c r="AH267" s="340"/>
      <c r="AI267" s="340"/>
      <c r="AJ267" s="340"/>
      <c r="AK267" s="340"/>
      <c r="AL267" s="340"/>
    </row>
    <row r="268" spans="11:38" ht="12.75" customHeight="1" x14ac:dyDescent="0.25"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  <c r="AC268" s="340"/>
      <c r="AD268" s="340"/>
      <c r="AE268" s="340"/>
      <c r="AF268" s="340"/>
      <c r="AG268" s="340"/>
      <c r="AH268" s="340"/>
      <c r="AI268" s="340"/>
      <c r="AJ268" s="340"/>
      <c r="AK268" s="340"/>
      <c r="AL268" s="340"/>
    </row>
    <row r="269" spans="11:38" ht="12.75" customHeight="1" x14ac:dyDescent="0.25"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  <c r="AC269" s="340"/>
      <c r="AD269" s="340"/>
      <c r="AE269" s="340"/>
      <c r="AF269" s="340"/>
      <c r="AG269" s="340"/>
      <c r="AH269" s="340"/>
      <c r="AI269" s="340"/>
      <c r="AJ269" s="340"/>
      <c r="AK269" s="340"/>
      <c r="AL269" s="340"/>
    </row>
    <row r="270" spans="11:38" ht="12.75" customHeight="1" x14ac:dyDescent="0.25"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  <c r="AE270" s="340"/>
      <c r="AF270" s="340"/>
      <c r="AG270" s="340"/>
      <c r="AH270" s="340"/>
      <c r="AI270" s="340"/>
      <c r="AJ270" s="340"/>
      <c r="AK270" s="340"/>
      <c r="AL270" s="340"/>
    </row>
    <row r="271" spans="11:38" ht="12.75" customHeight="1" x14ac:dyDescent="0.25"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  <c r="AC271" s="340"/>
      <c r="AD271" s="340"/>
      <c r="AE271" s="340"/>
      <c r="AF271" s="340"/>
      <c r="AG271" s="340"/>
      <c r="AH271" s="340"/>
      <c r="AI271" s="340"/>
      <c r="AJ271" s="340"/>
      <c r="AK271" s="340"/>
      <c r="AL271" s="340"/>
    </row>
    <row r="272" spans="11:38" ht="12.75" customHeight="1" x14ac:dyDescent="0.25"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  <c r="AE272" s="340"/>
      <c r="AF272" s="340"/>
      <c r="AG272" s="340"/>
      <c r="AH272" s="340"/>
      <c r="AI272" s="340"/>
      <c r="AJ272" s="340"/>
      <c r="AK272" s="340"/>
      <c r="AL272" s="340"/>
    </row>
    <row r="273" spans="11:38" ht="12.75" customHeight="1" x14ac:dyDescent="0.25"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  <c r="AC273" s="340"/>
      <c r="AD273" s="340"/>
      <c r="AE273" s="340"/>
      <c r="AF273" s="340"/>
      <c r="AG273" s="340"/>
      <c r="AH273" s="340"/>
      <c r="AI273" s="340"/>
      <c r="AJ273" s="340"/>
      <c r="AK273" s="340"/>
      <c r="AL273" s="340"/>
    </row>
    <row r="274" spans="11:38" ht="12.75" customHeight="1" x14ac:dyDescent="0.25"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  <c r="AC274" s="340"/>
      <c r="AD274" s="340"/>
      <c r="AE274" s="340"/>
      <c r="AF274" s="340"/>
      <c r="AG274" s="340"/>
      <c r="AH274" s="340"/>
      <c r="AI274" s="340"/>
      <c r="AJ274" s="340"/>
      <c r="AK274" s="340"/>
      <c r="AL274" s="340"/>
    </row>
    <row r="275" spans="11:38" ht="12.75" customHeight="1" x14ac:dyDescent="0.25"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  <c r="AC275" s="340"/>
      <c r="AD275" s="340"/>
      <c r="AE275" s="340"/>
      <c r="AF275" s="340"/>
      <c r="AG275" s="340"/>
      <c r="AH275" s="340"/>
      <c r="AI275" s="340"/>
      <c r="AJ275" s="340"/>
      <c r="AK275" s="340"/>
      <c r="AL275" s="340"/>
    </row>
    <row r="276" spans="11:38" ht="12.75" customHeight="1" x14ac:dyDescent="0.25"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  <c r="AC276" s="340"/>
      <c r="AD276" s="340"/>
      <c r="AE276" s="340"/>
      <c r="AF276" s="340"/>
      <c r="AG276" s="340"/>
      <c r="AH276" s="340"/>
      <c r="AI276" s="340"/>
      <c r="AJ276" s="340"/>
      <c r="AK276" s="340"/>
      <c r="AL276" s="340"/>
    </row>
    <row r="277" spans="11:38" ht="12.75" customHeight="1" x14ac:dyDescent="0.25"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  <c r="AC277" s="340"/>
      <c r="AD277" s="340"/>
      <c r="AE277" s="340"/>
      <c r="AF277" s="340"/>
      <c r="AG277" s="340"/>
      <c r="AH277" s="340"/>
      <c r="AI277" s="340"/>
      <c r="AJ277" s="340"/>
      <c r="AK277" s="340"/>
      <c r="AL277" s="340"/>
    </row>
    <row r="278" spans="11:38" ht="12.75" customHeight="1" x14ac:dyDescent="0.25"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  <c r="AC278" s="340"/>
      <c r="AD278" s="340"/>
      <c r="AE278" s="340"/>
      <c r="AF278" s="340"/>
      <c r="AG278" s="340"/>
      <c r="AH278" s="340"/>
      <c r="AI278" s="340"/>
      <c r="AJ278" s="340"/>
      <c r="AK278" s="340"/>
      <c r="AL278" s="340"/>
    </row>
    <row r="279" spans="11:38" ht="12.75" customHeight="1" x14ac:dyDescent="0.25"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0"/>
      <c r="AD279" s="340"/>
      <c r="AE279" s="340"/>
      <c r="AF279" s="340"/>
      <c r="AG279" s="340"/>
      <c r="AH279" s="340"/>
      <c r="AI279" s="340"/>
      <c r="AJ279" s="340"/>
      <c r="AK279" s="340"/>
      <c r="AL279" s="340"/>
    </row>
    <row r="280" spans="11:38" ht="12.75" customHeight="1" x14ac:dyDescent="0.25"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  <c r="AC280" s="340"/>
      <c r="AD280" s="340"/>
      <c r="AE280" s="340"/>
      <c r="AF280" s="340"/>
      <c r="AG280" s="340"/>
      <c r="AH280" s="340"/>
      <c r="AI280" s="340"/>
      <c r="AJ280" s="340"/>
      <c r="AK280" s="340"/>
      <c r="AL280" s="340"/>
    </row>
    <row r="281" spans="11:38" ht="12.75" customHeight="1" x14ac:dyDescent="0.25"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  <c r="AC281" s="340"/>
      <c r="AD281" s="340"/>
      <c r="AE281" s="340"/>
      <c r="AF281" s="340"/>
      <c r="AG281" s="340"/>
      <c r="AH281" s="340"/>
      <c r="AI281" s="340"/>
      <c r="AJ281" s="340"/>
      <c r="AK281" s="340"/>
      <c r="AL281" s="340"/>
    </row>
    <row r="282" spans="11:38" ht="12.75" customHeight="1" x14ac:dyDescent="0.25"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  <c r="AC282" s="340"/>
      <c r="AD282" s="340"/>
      <c r="AE282" s="340"/>
      <c r="AF282" s="340"/>
      <c r="AG282" s="340"/>
      <c r="AH282" s="340"/>
      <c r="AI282" s="340"/>
      <c r="AJ282" s="340"/>
      <c r="AK282" s="340"/>
      <c r="AL282" s="340"/>
    </row>
    <row r="283" spans="11:38" ht="12.75" customHeight="1" x14ac:dyDescent="0.25"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0"/>
      <c r="AD283" s="340"/>
      <c r="AE283" s="340"/>
      <c r="AF283" s="340"/>
      <c r="AG283" s="340"/>
      <c r="AH283" s="340"/>
      <c r="AI283" s="340"/>
      <c r="AJ283" s="340"/>
      <c r="AK283" s="340"/>
      <c r="AL283" s="340"/>
    </row>
    <row r="284" spans="11:38" ht="12.75" customHeight="1" x14ac:dyDescent="0.25"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  <c r="AC284" s="340"/>
      <c r="AD284" s="340"/>
      <c r="AE284" s="340"/>
      <c r="AF284" s="340"/>
      <c r="AG284" s="340"/>
      <c r="AH284" s="340"/>
      <c r="AI284" s="340"/>
      <c r="AJ284" s="340"/>
      <c r="AK284" s="340"/>
      <c r="AL284" s="340"/>
    </row>
    <row r="285" spans="11:38" ht="12.75" customHeight="1" x14ac:dyDescent="0.25"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  <c r="AE285" s="340"/>
      <c r="AF285" s="340"/>
      <c r="AG285" s="340"/>
      <c r="AH285" s="340"/>
      <c r="AI285" s="340"/>
      <c r="AJ285" s="340"/>
      <c r="AK285" s="340"/>
      <c r="AL285" s="340"/>
    </row>
    <row r="286" spans="11:38" ht="12.75" customHeight="1" x14ac:dyDescent="0.25"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  <c r="AC286" s="340"/>
      <c r="AD286" s="340"/>
      <c r="AE286" s="340"/>
      <c r="AF286" s="340"/>
      <c r="AG286" s="340"/>
      <c r="AH286" s="340"/>
      <c r="AI286" s="340"/>
      <c r="AJ286" s="340"/>
      <c r="AK286" s="340"/>
      <c r="AL286" s="340"/>
    </row>
    <row r="287" spans="11:38" ht="12.75" customHeight="1" x14ac:dyDescent="0.25"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0"/>
      <c r="AD287" s="340"/>
      <c r="AE287" s="340"/>
      <c r="AF287" s="340"/>
      <c r="AG287" s="340"/>
      <c r="AH287" s="340"/>
      <c r="AI287" s="340"/>
      <c r="AJ287" s="340"/>
      <c r="AK287" s="340"/>
      <c r="AL287" s="340"/>
    </row>
    <row r="288" spans="11:38" ht="12.75" customHeight="1" x14ac:dyDescent="0.25"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  <c r="AC288" s="340"/>
      <c r="AD288" s="340"/>
      <c r="AE288" s="340"/>
      <c r="AF288" s="340"/>
      <c r="AG288" s="340"/>
      <c r="AH288" s="340"/>
      <c r="AI288" s="340"/>
      <c r="AJ288" s="340"/>
      <c r="AK288" s="340"/>
      <c r="AL288" s="340"/>
    </row>
    <row r="289" spans="11:38" ht="12.75" customHeight="1" x14ac:dyDescent="0.25"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  <c r="AC289" s="340"/>
      <c r="AD289" s="340"/>
      <c r="AE289" s="340"/>
      <c r="AF289" s="340"/>
      <c r="AG289" s="340"/>
      <c r="AH289" s="340"/>
      <c r="AI289" s="340"/>
      <c r="AJ289" s="340"/>
      <c r="AK289" s="340"/>
      <c r="AL289" s="340"/>
    </row>
    <row r="290" spans="11:38" ht="12.75" customHeight="1" x14ac:dyDescent="0.25"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  <c r="AC290" s="340"/>
      <c r="AD290" s="340"/>
      <c r="AE290" s="340"/>
      <c r="AF290" s="340"/>
      <c r="AG290" s="340"/>
      <c r="AH290" s="340"/>
      <c r="AI290" s="340"/>
      <c r="AJ290" s="340"/>
      <c r="AK290" s="340"/>
      <c r="AL290" s="340"/>
    </row>
    <row r="291" spans="11:38" ht="12.75" customHeight="1" x14ac:dyDescent="0.25"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0"/>
      <c r="AD291" s="340"/>
      <c r="AE291" s="340"/>
      <c r="AF291" s="340"/>
      <c r="AG291" s="340"/>
      <c r="AH291" s="340"/>
      <c r="AI291" s="340"/>
      <c r="AJ291" s="340"/>
      <c r="AK291" s="340"/>
      <c r="AL291" s="340"/>
    </row>
    <row r="292" spans="11:38" ht="12.75" customHeight="1" x14ac:dyDescent="0.25"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  <c r="AC292" s="340"/>
      <c r="AD292" s="340"/>
      <c r="AE292" s="340"/>
      <c r="AF292" s="340"/>
      <c r="AG292" s="340"/>
      <c r="AH292" s="340"/>
      <c r="AI292" s="340"/>
      <c r="AJ292" s="340"/>
      <c r="AK292" s="340"/>
      <c r="AL292" s="340"/>
    </row>
    <row r="293" spans="11:38" ht="12.75" customHeight="1" x14ac:dyDescent="0.25"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  <c r="AC293" s="340"/>
      <c r="AD293" s="340"/>
      <c r="AE293" s="340"/>
      <c r="AF293" s="340"/>
      <c r="AG293" s="340"/>
      <c r="AH293" s="340"/>
      <c r="AI293" s="340"/>
      <c r="AJ293" s="340"/>
      <c r="AK293" s="340"/>
      <c r="AL293" s="340"/>
    </row>
    <row r="294" spans="11:38" ht="12.75" customHeight="1" x14ac:dyDescent="0.25"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  <c r="AC294" s="340"/>
      <c r="AD294" s="340"/>
      <c r="AE294" s="340"/>
      <c r="AF294" s="340"/>
      <c r="AG294" s="340"/>
      <c r="AH294" s="340"/>
      <c r="AI294" s="340"/>
      <c r="AJ294" s="340"/>
      <c r="AK294" s="340"/>
      <c r="AL294" s="340"/>
    </row>
    <row r="295" spans="11:38" ht="12.75" customHeight="1" x14ac:dyDescent="0.25"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0"/>
      <c r="AD295" s="340"/>
      <c r="AE295" s="340"/>
      <c r="AF295" s="340"/>
      <c r="AG295" s="340"/>
      <c r="AH295" s="340"/>
      <c r="AI295" s="340"/>
      <c r="AJ295" s="340"/>
      <c r="AK295" s="340"/>
      <c r="AL295" s="340"/>
    </row>
    <row r="296" spans="11:38" ht="12.75" customHeight="1" x14ac:dyDescent="0.25"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  <c r="AC296" s="340"/>
      <c r="AD296" s="340"/>
      <c r="AE296" s="340"/>
      <c r="AF296" s="340"/>
      <c r="AG296" s="340"/>
      <c r="AH296" s="340"/>
      <c r="AI296" s="340"/>
      <c r="AJ296" s="340"/>
      <c r="AK296" s="340"/>
      <c r="AL296" s="340"/>
    </row>
    <row r="297" spans="11:38" ht="12.75" customHeight="1" x14ac:dyDescent="0.25"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  <c r="AC297" s="340"/>
      <c r="AD297" s="340"/>
      <c r="AE297" s="340"/>
      <c r="AF297" s="340"/>
      <c r="AG297" s="340"/>
      <c r="AH297" s="340"/>
      <c r="AI297" s="340"/>
      <c r="AJ297" s="340"/>
      <c r="AK297" s="340"/>
      <c r="AL297" s="340"/>
    </row>
    <row r="298" spans="11:38" ht="12.75" customHeight="1" x14ac:dyDescent="0.25"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  <c r="AC298" s="340"/>
      <c r="AD298" s="340"/>
      <c r="AE298" s="340"/>
      <c r="AF298" s="340"/>
      <c r="AG298" s="340"/>
      <c r="AH298" s="340"/>
      <c r="AI298" s="340"/>
      <c r="AJ298" s="340"/>
      <c r="AK298" s="340"/>
      <c r="AL298" s="340"/>
    </row>
    <row r="299" spans="11:38" ht="12.75" customHeight="1" x14ac:dyDescent="0.25"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  <c r="AC299" s="340"/>
      <c r="AD299" s="340"/>
      <c r="AE299" s="340"/>
      <c r="AF299" s="340"/>
      <c r="AG299" s="340"/>
      <c r="AH299" s="340"/>
      <c r="AI299" s="340"/>
      <c r="AJ299" s="340"/>
      <c r="AK299" s="340"/>
      <c r="AL299" s="340"/>
    </row>
    <row r="300" spans="11:38" ht="12.75" customHeight="1" x14ac:dyDescent="0.25"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  <c r="AC300" s="340"/>
      <c r="AD300" s="340"/>
      <c r="AE300" s="340"/>
      <c r="AF300" s="340"/>
      <c r="AG300" s="340"/>
      <c r="AH300" s="340"/>
      <c r="AI300" s="340"/>
      <c r="AJ300" s="340"/>
      <c r="AK300" s="340"/>
      <c r="AL300" s="340"/>
    </row>
    <row r="301" spans="11:38" ht="12.75" customHeight="1" x14ac:dyDescent="0.25"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  <c r="AC301" s="340"/>
      <c r="AD301" s="340"/>
      <c r="AE301" s="340"/>
      <c r="AF301" s="340"/>
      <c r="AG301" s="340"/>
      <c r="AH301" s="340"/>
      <c r="AI301" s="340"/>
      <c r="AJ301" s="340"/>
      <c r="AK301" s="340"/>
      <c r="AL301" s="340"/>
    </row>
    <row r="302" spans="11:38" ht="12.75" customHeight="1" x14ac:dyDescent="0.25"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  <c r="AC302" s="340"/>
      <c r="AD302" s="340"/>
      <c r="AE302" s="340"/>
      <c r="AF302" s="340"/>
      <c r="AG302" s="340"/>
      <c r="AH302" s="340"/>
      <c r="AI302" s="340"/>
      <c r="AJ302" s="340"/>
      <c r="AK302" s="340"/>
      <c r="AL302" s="340"/>
    </row>
    <row r="303" spans="11:38" ht="12.75" customHeight="1" x14ac:dyDescent="0.25"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  <c r="AC303" s="340"/>
      <c r="AD303" s="340"/>
      <c r="AE303" s="340"/>
      <c r="AF303" s="340"/>
      <c r="AG303" s="340"/>
      <c r="AH303" s="340"/>
      <c r="AI303" s="340"/>
      <c r="AJ303" s="340"/>
      <c r="AK303" s="340"/>
      <c r="AL303" s="340"/>
    </row>
    <row r="304" spans="11:38" ht="12.75" customHeight="1" x14ac:dyDescent="0.25"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  <c r="AC304" s="340"/>
      <c r="AD304" s="340"/>
      <c r="AE304" s="340"/>
      <c r="AF304" s="340"/>
      <c r="AG304" s="340"/>
      <c r="AH304" s="340"/>
      <c r="AI304" s="340"/>
      <c r="AJ304" s="340"/>
      <c r="AK304" s="340"/>
      <c r="AL304" s="340"/>
    </row>
    <row r="305" spans="11:38" ht="12.75" customHeight="1" x14ac:dyDescent="0.25"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  <c r="AC305" s="340"/>
      <c r="AD305" s="340"/>
      <c r="AE305" s="340"/>
      <c r="AF305" s="340"/>
      <c r="AG305" s="340"/>
      <c r="AH305" s="340"/>
      <c r="AI305" s="340"/>
      <c r="AJ305" s="340"/>
      <c r="AK305" s="340"/>
      <c r="AL305" s="340"/>
    </row>
    <row r="306" spans="11:38" ht="12.75" customHeight="1" x14ac:dyDescent="0.25"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  <c r="AC306" s="340"/>
      <c r="AD306" s="340"/>
      <c r="AE306" s="340"/>
      <c r="AF306" s="340"/>
      <c r="AG306" s="340"/>
      <c r="AH306" s="340"/>
      <c r="AI306" s="340"/>
      <c r="AJ306" s="340"/>
      <c r="AK306" s="340"/>
      <c r="AL306" s="340"/>
    </row>
    <row r="307" spans="11:38" ht="12.75" customHeight="1" x14ac:dyDescent="0.25"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  <c r="AC307" s="340"/>
      <c r="AD307" s="340"/>
      <c r="AE307" s="340"/>
      <c r="AF307" s="340"/>
      <c r="AG307" s="340"/>
      <c r="AH307" s="340"/>
      <c r="AI307" s="340"/>
      <c r="AJ307" s="340"/>
      <c r="AK307" s="340"/>
      <c r="AL307" s="340"/>
    </row>
    <row r="308" spans="11:38" ht="12.75" customHeight="1" x14ac:dyDescent="0.25"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  <c r="AC308" s="340"/>
      <c r="AD308" s="340"/>
      <c r="AE308" s="340"/>
      <c r="AF308" s="340"/>
      <c r="AG308" s="340"/>
      <c r="AH308" s="340"/>
      <c r="AI308" s="340"/>
      <c r="AJ308" s="340"/>
      <c r="AK308" s="340"/>
      <c r="AL308" s="340"/>
    </row>
    <row r="309" spans="11:38" ht="12.75" customHeight="1" x14ac:dyDescent="0.25"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  <c r="AC309" s="340"/>
      <c r="AD309" s="340"/>
      <c r="AE309" s="340"/>
      <c r="AF309" s="340"/>
      <c r="AG309" s="340"/>
      <c r="AH309" s="340"/>
      <c r="AI309" s="340"/>
      <c r="AJ309" s="340"/>
      <c r="AK309" s="340"/>
      <c r="AL309" s="340"/>
    </row>
    <row r="310" spans="11:38" ht="12.75" customHeight="1" x14ac:dyDescent="0.25"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  <c r="AC310" s="340"/>
      <c r="AD310" s="340"/>
      <c r="AE310" s="340"/>
      <c r="AF310" s="340"/>
      <c r="AG310" s="340"/>
      <c r="AH310" s="340"/>
      <c r="AI310" s="340"/>
      <c r="AJ310" s="340"/>
      <c r="AK310" s="340"/>
      <c r="AL310" s="340"/>
    </row>
    <row r="311" spans="11:38" ht="12.75" customHeight="1" x14ac:dyDescent="0.25"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  <c r="AC311" s="340"/>
      <c r="AD311" s="340"/>
      <c r="AE311" s="340"/>
      <c r="AF311" s="340"/>
      <c r="AG311" s="340"/>
      <c r="AH311" s="340"/>
      <c r="AI311" s="340"/>
      <c r="AJ311" s="340"/>
      <c r="AK311" s="340"/>
      <c r="AL311" s="340"/>
    </row>
    <row r="312" spans="11:38" ht="12.75" customHeight="1" x14ac:dyDescent="0.25"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  <c r="AC312" s="340"/>
      <c r="AD312" s="340"/>
      <c r="AE312" s="340"/>
      <c r="AF312" s="340"/>
      <c r="AG312" s="340"/>
      <c r="AH312" s="340"/>
      <c r="AI312" s="340"/>
      <c r="AJ312" s="340"/>
      <c r="AK312" s="340"/>
      <c r="AL312" s="340"/>
    </row>
    <row r="313" spans="11:38" ht="12.75" customHeight="1" x14ac:dyDescent="0.25"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  <c r="AC313" s="340"/>
      <c r="AD313" s="340"/>
      <c r="AE313" s="340"/>
      <c r="AF313" s="340"/>
      <c r="AG313" s="340"/>
      <c r="AH313" s="340"/>
      <c r="AI313" s="340"/>
      <c r="AJ313" s="340"/>
      <c r="AK313" s="340"/>
      <c r="AL313" s="340"/>
    </row>
    <row r="314" spans="11:38" ht="12.75" customHeight="1" x14ac:dyDescent="0.25"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  <c r="AC314" s="340"/>
      <c r="AD314" s="340"/>
      <c r="AE314" s="340"/>
      <c r="AF314" s="340"/>
      <c r="AG314" s="340"/>
      <c r="AH314" s="340"/>
      <c r="AI314" s="340"/>
      <c r="AJ314" s="340"/>
      <c r="AK314" s="340"/>
      <c r="AL314" s="340"/>
    </row>
    <row r="315" spans="11:38" ht="12.75" customHeight="1" x14ac:dyDescent="0.25"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  <c r="AC315" s="340"/>
      <c r="AD315" s="340"/>
      <c r="AE315" s="340"/>
      <c r="AF315" s="340"/>
      <c r="AG315" s="340"/>
      <c r="AH315" s="340"/>
      <c r="AI315" s="340"/>
      <c r="AJ315" s="340"/>
      <c r="AK315" s="340"/>
      <c r="AL315" s="340"/>
    </row>
    <row r="316" spans="11:38" ht="12.75" customHeight="1" x14ac:dyDescent="0.25"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  <c r="AC316" s="340"/>
      <c r="AD316" s="340"/>
      <c r="AE316" s="340"/>
      <c r="AF316" s="340"/>
      <c r="AG316" s="340"/>
      <c r="AH316" s="340"/>
      <c r="AI316" s="340"/>
      <c r="AJ316" s="340"/>
      <c r="AK316" s="340"/>
      <c r="AL316" s="340"/>
    </row>
    <row r="317" spans="11:38" ht="12.75" customHeight="1" x14ac:dyDescent="0.25"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  <c r="AC317" s="340"/>
      <c r="AD317" s="340"/>
      <c r="AE317" s="340"/>
      <c r="AF317" s="340"/>
      <c r="AG317" s="340"/>
      <c r="AH317" s="340"/>
      <c r="AI317" s="340"/>
      <c r="AJ317" s="340"/>
      <c r="AK317" s="340"/>
      <c r="AL317" s="340"/>
    </row>
    <row r="318" spans="11:38" ht="12.75" customHeight="1" x14ac:dyDescent="0.25"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  <c r="AC318" s="340"/>
      <c r="AD318" s="340"/>
      <c r="AE318" s="340"/>
      <c r="AF318" s="340"/>
      <c r="AG318" s="340"/>
      <c r="AH318" s="340"/>
      <c r="AI318" s="340"/>
      <c r="AJ318" s="340"/>
      <c r="AK318" s="340"/>
      <c r="AL318" s="340"/>
    </row>
    <row r="319" spans="11:38" ht="12.75" customHeight="1" x14ac:dyDescent="0.25"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  <c r="AC319" s="340"/>
      <c r="AD319" s="340"/>
      <c r="AE319" s="340"/>
      <c r="AF319" s="340"/>
      <c r="AG319" s="340"/>
      <c r="AH319" s="340"/>
      <c r="AI319" s="340"/>
      <c r="AJ319" s="340"/>
      <c r="AK319" s="340"/>
      <c r="AL319" s="340"/>
    </row>
    <row r="320" spans="11:38" ht="12.75" customHeight="1" x14ac:dyDescent="0.25"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  <c r="AC320" s="340"/>
      <c r="AD320" s="340"/>
      <c r="AE320" s="340"/>
      <c r="AF320" s="340"/>
      <c r="AG320" s="340"/>
      <c r="AH320" s="340"/>
      <c r="AI320" s="340"/>
      <c r="AJ320" s="340"/>
      <c r="AK320" s="340"/>
      <c r="AL320" s="340"/>
    </row>
    <row r="321" spans="11:38" ht="12.75" customHeight="1" x14ac:dyDescent="0.25"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  <c r="AC321" s="340"/>
      <c r="AD321" s="340"/>
      <c r="AE321" s="340"/>
      <c r="AF321" s="340"/>
      <c r="AG321" s="340"/>
      <c r="AH321" s="340"/>
      <c r="AI321" s="340"/>
      <c r="AJ321" s="340"/>
      <c r="AK321" s="340"/>
      <c r="AL321" s="340"/>
    </row>
    <row r="322" spans="11:38" ht="12.75" customHeight="1" x14ac:dyDescent="0.25"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  <c r="AC322" s="340"/>
      <c r="AD322" s="340"/>
      <c r="AE322" s="340"/>
      <c r="AF322" s="340"/>
      <c r="AG322" s="340"/>
      <c r="AH322" s="340"/>
      <c r="AI322" s="340"/>
      <c r="AJ322" s="340"/>
      <c r="AK322" s="340"/>
      <c r="AL322" s="340"/>
    </row>
    <row r="323" spans="11:38" ht="12.75" customHeight="1" x14ac:dyDescent="0.25"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  <c r="AC323" s="340"/>
      <c r="AD323" s="340"/>
      <c r="AE323" s="340"/>
      <c r="AF323" s="340"/>
      <c r="AG323" s="340"/>
      <c r="AH323" s="340"/>
      <c r="AI323" s="340"/>
      <c r="AJ323" s="340"/>
      <c r="AK323" s="340"/>
      <c r="AL323" s="340"/>
    </row>
    <row r="324" spans="11:38" ht="12.75" customHeight="1" x14ac:dyDescent="0.25"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  <c r="AC324" s="340"/>
      <c r="AD324" s="340"/>
      <c r="AE324" s="340"/>
      <c r="AF324" s="340"/>
      <c r="AG324" s="340"/>
      <c r="AH324" s="340"/>
      <c r="AI324" s="340"/>
      <c r="AJ324" s="340"/>
      <c r="AK324" s="340"/>
      <c r="AL324" s="340"/>
    </row>
    <row r="325" spans="11:38" ht="12.75" customHeight="1" x14ac:dyDescent="0.25"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  <c r="AC325" s="340"/>
      <c r="AD325" s="340"/>
      <c r="AE325" s="340"/>
      <c r="AF325" s="340"/>
      <c r="AG325" s="340"/>
      <c r="AH325" s="340"/>
      <c r="AI325" s="340"/>
      <c r="AJ325" s="340"/>
      <c r="AK325" s="340"/>
      <c r="AL325" s="340"/>
    </row>
    <row r="326" spans="11:38" ht="12.75" customHeight="1" x14ac:dyDescent="0.25"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  <c r="AC326" s="340"/>
      <c r="AD326" s="340"/>
      <c r="AE326" s="340"/>
      <c r="AF326" s="340"/>
      <c r="AG326" s="340"/>
      <c r="AH326" s="340"/>
      <c r="AI326" s="340"/>
      <c r="AJ326" s="340"/>
      <c r="AK326" s="340"/>
      <c r="AL326" s="340"/>
    </row>
    <row r="327" spans="11:38" ht="12.75" customHeight="1" x14ac:dyDescent="0.25"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  <c r="AC327" s="340"/>
      <c r="AD327" s="340"/>
      <c r="AE327" s="340"/>
      <c r="AF327" s="340"/>
      <c r="AG327" s="340"/>
      <c r="AH327" s="340"/>
      <c r="AI327" s="340"/>
      <c r="AJ327" s="340"/>
      <c r="AK327" s="340"/>
      <c r="AL327" s="340"/>
    </row>
    <row r="328" spans="11:38" ht="12.75" customHeight="1" x14ac:dyDescent="0.25"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  <c r="AC328" s="340"/>
      <c r="AD328" s="340"/>
      <c r="AE328" s="340"/>
      <c r="AF328" s="340"/>
      <c r="AG328" s="340"/>
      <c r="AH328" s="340"/>
      <c r="AI328" s="340"/>
      <c r="AJ328" s="340"/>
      <c r="AK328" s="340"/>
      <c r="AL328" s="340"/>
    </row>
    <row r="329" spans="11:38" ht="12.75" customHeight="1" x14ac:dyDescent="0.25"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  <c r="AC329" s="340"/>
      <c r="AD329" s="340"/>
      <c r="AE329" s="340"/>
      <c r="AF329" s="340"/>
      <c r="AG329" s="340"/>
      <c r="AH329" s="340"/>
      <c r="AI329" s="340"/>
      <c r="AJ329" s="340"/>
      <c r="AK329" s="340"/>
      <c r="AL329" s="340"/>
    </row>
    <row r="330" spans="11:38" ht="12.75" customHeight="1" x14ac:dyDescent="0.25"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  <c r="AC330" s="340"/>
      <c r="AD330" s="340"/>
      <c r="AE330" s="340"/>
      <c r="AF330" s="340"/>
      <c r="AG330" s="340"/>
      <c r="AH330" s="340"/>
      <c r="AI330" s="340"/>
      <c r="AJ330" s="340"/>
      <c r="AK330" s="340"/>
      <c r="AL330" s="340"/>
    </row>
    <row r="331" spans="11:38" ht="12.75" customHeight="1" x14ac:dyDescent="0.25"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  <c r="AC331" s="340"/>
      <c r="AD331" s="340"/>
      <c r="AE331" s="340"/>
      <c r="AF331" s="340"/>
      <c r="AG331" s="340"/>
      <c r="AH331" s="340"/>
      <c r="AI331" s="340"/>
      <c r="AJ331" s="340"/>
      <c r="AK331" s="340"/>
      <c r="AL331" s="340"/>
    </row>
    <row r="332" spans="11:38" ht="12.75" customHeight="1" x14ac:dyDescent="0.25"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  <c r="AC332" s="340"/>
      <c r="AD332" s="340"/>
      <c r="AE332" s="340"/>
      <c r="AF332" s="340"/>
      <c r="AG332" s="340"/>
      <c r="AH332" s="340"/>
      <c r="AI332" s="340"/>
      <c r="AJ332" s="340"/>
      <c r="AK332" s="340"/>
      <c r="AL332" s="340"/>
    </row>
    <row r="333" spans="11:38" ht="12.75" customHeight="1" x14ac:dyDescent="0.25"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  <c r="AC333" s="340"/>
      <c r="AD333" s="340"/>
      <c r="AE333" s="340"/>
      <c r="AF333" s="340"/>
      <c r="AG333" s="340"/>
      <c r="AH333" s="340"/>
      <c r="AI333" s="340"/>
      <c r="AJ333" s="340"/>
      <c r="AK333" s="340"/>
      <c r="AL333" s="340"/>
    </row>
    <row r="334" spans="11:38" ht="12.75" customHeight="1" x14ac:dyDescent="0.25"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  <c r="AC334" s="340"/>
      <c r="AD334" s="340"/>
      <c r="AE334" s="340"/>
      <c r="AF334" s="340"/>
      <c r="AG334" s="340"/>
      <c r="AH334" s="340"/>
      <c r="AI334" s="340"/>
      <c r="AJ334" s="340"/>
      <c r="AK334" s="340"/>
      <c r="AL334" s="340"/>
    </row>
    <row r="335" spans="11:38" ht="12.75" customHeight="1" x14ac:dyDescent="0.25"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  <c r="AC335" s="340"/>
      <c r="AD335" s="340"/>
      <c r="AE335" s="340"/>
      <c r="AF335" s="340"/>
      <c r="AG335" s="340"/>
      <c r="AH335" s="340"/>
      <c r="AI335" s="340"/>
      <c r="AJ335" s="340"/>
      <c r="AK335" s="340"/>
      <c r="AL335" s="340"/>
    </row>
    <row r="336" spans="11:38" ht="12.75" customHeight="1" x14ac:dyDescent="0.25"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  <c r="AC336" s="340"/>
      <c r="AD336" s="340"/>
      <c r="AE336" s="340"/>
      <c r="AF336" s="340"/>
      <c r="AG336" s="340"/>
      <c r="AH336" s="340"/>
      <c r="AI336" s="340"/>
      <c r="AJ336" s="340"/>
      <c r="AK336" s="340"/>
      <c r="AL336" s="340"/>
    </row>
    <row r="337" spans="11:38" ht="12.75" customHeight="1" x14ac:dyDescent="0.25"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  <c r="AC337" s="340"/>
      <c r="AD337" s="340"/>
      <c r="AE337" s="340"/>
      <c r="AF337" s="340"/>
      <c r="AG337" s="340"/>
      <c r="AH337" s="340"/>
      <c r="AI337" s="340"/>
      <c r="AJ337" s="340"/>
      <c r="AK337" s="340"/>
      <c r="AL337" s="340"/>
    </row>
    <row r="338" spans="11:38" ht="12.75" customHeight="1" x14ac:dyDescent="0.25"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  <c r="AC338" s="340"/>
      <c r="AD338" s="340"/>
      <c r="AE338" s="340"/>
      <c r="AF338" s="340"/>
      <c r="AG338" s="340"/>
      <c r="AH338" s="340"/>
      <c r="AI338" s="340"/>
      <c r="AJ338" s="340"/>
      <c r="AK338" s="340"/>
      <c r="AL338" s="340"/>
    </row>
    <row r="339" spans="11:38" ht="12.75" customHeight="1" x14ac:dyDescent="0.25"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  <c r="AC339" s="340"/>
      <c r="AD339" s="340"/>
      <c r="AE339" s="340"/>
      <c r="AF339" s="340"/>
      <c r="AG339" s="340"/>
      <c r="AH339" s="340"/>
      <c r="AI339" s="340"/>
      <c r="AJ339" s="340"/>
      <c r="AK339" s="340"/>
      <c r="AL339" s="340"/>
    </row>
    <row r="340" spans="11:38" ht="12.75" customHeight="1" x14ac:dyDescent="0.25"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  <c r="AC340" s="340"/>
      <c r="AD340" s="340"/>
      <c r="AE340" s="340"/>
      <c r="AF340" s="340"/>
      <c r="AG340" s="340"/>
      <c r="AH340" s="340"/>
      <c r="AI340" s="340"/>
      <c r="AJ340" s="340"/>
      <c r="AK340" s="340"/>
      <c r="AL340" s="340"/>
    </row>
    <row r="341" spans="11:38" ht="12.75" customHeight="1" x14ac:dyDescent="0.25"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  <c r="AC341" s="340"/>
      <c r="AD341" s="340"/>
      <c r="AE341" s="340"/>
      <c r="AF341" s="340"/>
      <c r="AG341" s="340"/>
      <c r="AH341" s="340"/>
      <c r="AI341" s="340"/>
      <c r="AJ341" s="340"/>
      <c r="AK341" s="340"/>
      <c r="AL341" s="340"/>
    </row>
    <row r="342" spans="11:38" ht="12.75" customHeight="1" x14ac:dyDescent="0.25"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  <c r="AC342" s="340"/>
      <c r="AD342" s="340"/>
      <c r="AE342" s="340"/>
      <c r="AF342" s="340"/>
      <c r="AG342" s="340"/>
      <c r="AH342" s="340"/>
      <c r="AI342" s="340"/>
      <c r="AJ342" s="340"/>
      <c r="AK342" s="340"/>
      <c r="AL342" s="340"/>
    </row>
    <row r="343" spans="11:38" ht="12.75" customHeight="1" x14ac:dyDescent="0.25"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  <c r="AC343" s="340"/>
      <c r="AD343" s="340"/>
      <c r="AE343" s="340"/>
      <c r="AF343" s="340"/>
      <c r="AG343" s="340"/>
      <c r="AH343" s="340"/>
      <c r="AI343" s="340"/>
      <c r="AJ343" s="340"/>
      <c r="AK343" s="340"/>
      <c r="AL343" s="340"/>
    </row>
    <row r="344" spans="11:38" ht="12.75" customHeight="1" x14ac:dyDescent="0.25"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  <c r="AC344" s="340"/>
      <c r="AD344" s="340"/>
      <c r="AE344" s="340"/>
      <c r="AF344" s="340"/>
      <c r="AG344" s="340"/>
      <c r="AH344" s="340"/>
      <c r="AI344" s="340"/>
      <c r="AJ344" s="340"/>
      <c r="AK344" s="340"/>
      <c r="AL344" s="340"/>
    </row>
    <row r="345" spans="11:38" ht="12.75" customHeight="1" x14ac:dyDescent="0.25"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  <c r="AC345" s="340"/>
      <c r="AD345" s="340"/>
      <c r="AE345" s="340"/>
      <c r="AF345" s="340"/>
      <c r="AG345" s="340"/>
      <c r="AH345" s="340"/>
      <c r="AI345" s="340"/>
      <c r="AJ345" s="340"/>
      <c r="AK345" s="340"/>
      <c r="AL345" s="340"/>
    </row>
    <row r="346" spans="11:38" ht="12.75" customHeight="1" x14ac:dyDescent="0.25"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  <c r="AC346" s="340"/>
      <c r="AD346" s="340"/>
      <c r="AE346" s="340"/>
      <c r="AF346" s="340"/>
      <c r="AG346" s="340"/>
      <c r="AH346" s="340"/>
      <c r="AI346" s="340"/>
      <c r="AJ346" s="340"/>
      <c r="AK346" s="340"/>
      <c r="AL346" s="340"/>
    </row>
    <row r="347" spans="11:38" ht="12.75" customHeight="1" x14ac:dyDescent="0.25"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  <c r="AC347" s="340"/>
      <c r="AD347" s="340"/>
      <c r="AE347" s="340"/>
      <c r="AF347" s="340"/>
      <c r="AG347" s="340"/>
      <c r="AH347" s="340"/>
      <c r="AI347" s="340"/>
      <c r="AJ347" s="340"/>
      <c r="AK347" s="340"/>
      <c r="AL347" s="340"/>
    </row>
    <row r="348" spans="11:38" ht="12.75" customHeight="1" x14ac:dyDescent="0.25"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  <c r="AC348" s="340"/>
      <c r="AD348" s="340"/>
      <c r="AE348" s="340"/>
      <c r="AF348" s="340"/>
      <c r="AG348" s="340"/>
      <c r="AH348" s="340"/>
      <c r="AI348" s="340"/>
      <c r="AJ348" s="340"/>
      <c r="AK348" s="340"/>
      <c r="AL348" s="340"/>
    </row>
    <row r="349" spans="11:38" ht="12.75" customHeight="1" x14ac:dyDescent="0.25"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  <c r="AC349" s="340"/>
      <c r="AD349" s="340"/>
      <c r="AE349" s="340"/>
      <c r="AF349" s="340"/>
      <c r="AG349" s="340"/>
      <c r="AH349" s="340"/>
      <c r="AI349" s="340"/>
      <c r="AJ349" s="340"/>
      <c r="AK349" s="340"/>
      <c r="AL349" s="340"/>
    </row>
    <row r="350" spans="11:38" ht="12.75" customHeight="1" x14ac:dyDescent="0.25"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  <c r="AC350" s="340"/>
      <c r="AD350" s="340"/>
      <c r="AE350" s="340"/>
      <c r="AF350" s="340"/>
      <c r="AG350" s="340"/>
      <c r="AH350" s="340"/>
      <c r="AI350" s="340"/>
      <c r="AJ350" s="340"/>
      <c r="AK350" s="340"/>
      <c r="AL350" s="340"/>
    </row>
    <row r="351" spans="11:38" ht="12.75" customHeight="1" x14ac:dyDescent="0.25"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  <c r="AC351" s="340"/>
      <c r="AD351" s="340"/>
      <c r="AE351" s="340"/>
      <c r="AF351" s="340"/>
      <c r="AG351" s="340"/>
      <c r="AH351" s="340"/>
      <c r="AI351" s="340"/>
      <c r="AJ351" s="340"/>
      <c r="AK351" s="340"/>
      <c r="AL351" s="340"/>
    </row>
    <row r="352" spans="11:38" ht="12.75" customHeight="1" x14ac:dyDescent="0.25"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  <c r="AC352" s="340"/>
      <c r="AD352" s="340"/>
      <c r="AE352" s="340"/>
      <c r="AF352" s="340"/>
      <c r="AG352" s="340"/>
      <c r="AH352" s="340"/>
      <c r="AI352" s="340"/>
      <c r="AJ352" s="340"/>
      <c r="AK352" s="340"/>
      <c r="AL352" s="340"/>
    </row>
    <row r="353" spans="11:38" ht="12.75" customHeight="1" x14ac:dyDescent="0.25"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  <c r="AC353" s="340"/>
      <c r="AD353" s="340"/>
      <c r="AE353" s="340"/>
      <c r="AF353" s="340"/>
      <c r="AG353" s="340"/>
      <c r="AH353" s="340"/>
      <c r="AI353" s="340"/>
      <c r="AJ353" s="340"/>
      <c r="AK353" s="340"/>
      <c r="AL353" s="340"/>
    </row>
    <row r="354" spans="11:38" ht="12.75" customHeight="1" x14ac:dyDescent="0.25"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  <c r="AC354" s="340"/>
      <c r="AD354" s="340"/>
      <c r="AE354" s="340"/>
      <c r="AF354" s="340"/>
      <c r="AG354" s="340"/>
      <c r="AH354" s="340"/>
      <c r="AI354" s="340"/>
      <c r="AJ354" s="340"/>
      <c r="AK354" s="340"/>
      <c r="AL354" s="340"/>
    </row>
    <row r="355" spans="11:38" ht="12.75" customHeight="1" x14ac:dyDescent="0.25"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  <c r="AC355" s="340"/>
      <c r="AD355" s="340"/>
      <c r="AE355" s="340"/>
      <c r="AF355" s="340"/>
      <c r="AG355" s="340"/>
      <c r="AH355" s="340"/>
      <c r="AI355" s="340"/>
      <c r="AJ355" s="340"/>
      <c r="AK355" s="340"/>
      <c r="AL355" s="340"/>
    </row>
    <row r="356" spans="11:38" ht="12.75" customHeight="1" x14ac:dyDescent="0.25"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  <c r="AC356" s="340"/>
      <c r="AD356" s="340"/>
      <c r="AE356" s="340"/>
      <c r="AF356" s="340"/>
      <c r="AG356" s="340"/>
      <c r="AH356" s="340"/>
      <c r="AI356" s="340"/>
      <c r="AJ356" s="340"/>
      <c r="AK356" s="340"/>
      <c r="AL356" s="340"/>
    </row>
    <row r="357" spans="11:38" ht="12.75" customHeight="1" x14ac:dyDescent="0.25"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  <c r="AC357" s="340"/>
      <c r="AD357" s="340"/>
      <c r="AE357" s="340"/>
      <c r="AF357" s="340"/>
      <c r="AG357" s="340"/>
      <c r="AH357" s="340"/>
      <c r="AI357" s="340"/>
      <c r="AJ357" s="340"/>
      <c r="AK357" s="340"/>
      <c r="AL357" s="340"/>
    </row>
    <row r="358" spans="11:38" ht="12.75" customHeight="1" x14ac:dyDescent="0.25"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  <c r="AC358" s="340"/>
      <c r="AD358" s="340"/>
      <c r="AE358" s="340"/>
      <c r="AF358" s="340"/>
      <c r="AG358" s="340"/>
      <c r="AH358" s="340"/>
      <c r="AI358" s="340"/>
      <c r="AJ358" s="340"/>
      <c r="AK358" s="340"/>
      <c r="AL358" s="340"/>
    </row>
    <row r="359" spans="11:38" ht="12.75" customHeight="1" x14ac:dyDescent="0.25"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  <c r="AC359" s="340"/>
      <c r="AD359" s="340"/>
      <c r="AE359" s="340"/>
      <c r="AF359" s="340"/>
      <c r="AG359" s="340"/>
      <c r="AH359" s="340"/>
      <c r="AI359" s="340"/>
      <c r="AJ359" s="340"/>
      <c r="AK359" s="340"/>
      <c r="AL359" s="340"/>
    </row>
    <row r="360" spans="11:38" ht="12.75" customHeight="1" x14ac:dyDescent="0.25"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  <c r="AC360" s="340"/>
      <c r="AD360" s="340"/>
      <c r="AE360" s="340"/>
      <c r="AF360" s="340"/>
      <c r="AG360" s="340"/>
      <c r="AH360" s="340"/>
      <c r="AI360" s="340"/>
      <c r="AJ360" s="340"/>
      <c r="AK360" s="340"/>
      <c r="AL360" s="340"/>
    </row>
    <row r="361" spans="11:38" ht="12.75" customHeight="1" x14ac:dyDescent="0.25"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  <c r="AC361" s="340"/>
      <c r="AD361" s="340"/>
      <c r="AE361" s="340"/>
      <c r="AF361" s="340"/>
      <c r="AG361" s="340"/>
      <c r="AH361" s="340"/>
      <c r="AI361" s="340"/>
      <c r="AJ361" s="340"/>
      <c r="AK361" s="340"/>
      <c r="AL361" s="340"/>
    </row>
    <row r="362" spans="11:38" ht="12.75" customHeight="1" x14ac:dyDescent="0.25"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  <c r="AC362" s="340"/>
      <c r="AD362" s="340"/>
      <c r="AE362" s="340"/>
      <c r="AF362" s="340"/>
      <c r="AG362" s="340"/>
      <c r="AH362" s="340"/>
      <c r="AI362" s="340"/>
      <c r="AJ362" s="340"/>
      <c r="AK362" s="340"/>
      <c r="AL362" s="340"/>
    </row>
    <row r="363" spans="11:38" ht="12.75" customHeight="1" x14ac:dyDescent="0.25"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  <c r="AC363" s="340"/>
      <c r="AD363" s="340"/>
      <c r="AE363" s="340"/>
      <c r="AF363" s="340"/>
      <c r="AG363" s="340"/>
      <c r="AH363" s="340"/>
      <c r="AI363" s="340"/>
      <c r="AJ363" s="340"/>
      <c r="AK363" s="340"/>
      <c r="AL363" s="340"/>
    </row>
    <row r="364" spans="11:38" ht="12.75" customHeight="1" x14ac:dyDescent="0.25"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  <c r="AC364" s="340"/>
      <c r="AD364" s="340"/>
      <c r="AE364" s="340"/>
      <c r="AF364" s="340"/>
      <c r="AG364" s="340"/>
      <c r="AH364" s="340"/>
      <c r="AI364" s="340"/>
      <c r="AJ364" s="340"/>
      <c r="AK364" s="340"/>
      <c r="AL364" s="340"/>
    </row>
    <row r="365" spans="11:38" ht="12.75" customHeight="1" x14ac:dyDescent="0.25"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  <c r="AC365" s="340"/>
      <c r="AD365" s="340"/>
      <c r="AE365" s="340"/>
      <c r="AF365" s="340"/>
      <c r="AG365" s="340"/>
      <c r="AH365" s="340"/>
      <c r="AI365" s="340"/>
      <c r="AJ365" s="340"/>
      <c r="AK365" s="340"/>
      <c r="AL365" s="340"/>
    </row>
    <row r="366" spans="11:38" ht="12.75" customHeight="1" x14ac:dyDescent="0.25"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  <c r="AC366" s="340"/>
      <c r="AD366" s="340"/>
      <c r="AE366" s="340"/>
      <c r="AF366" s="340"/>
      <c r="AG366" s="340"/>
      <c r="AH366" s="340"/>
      <c r="AI366" s="340"/>
      <c r="AJ366" s="340"/>
      <c r="AK366" s="340"/>
      <c r="AL366" s="340"/>
    </row>
    <row r="367" spans="11:38" ht="12.75" customHeight="1" x14ac:dyDescent="0.25"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  <c r="AC367" s="340"/>
      <c r="AD367" s="340"/>
      <c r="AE367" s="340"/>
      <c r="AF367" s="340"/>
      <c r="AG367" s="340"/>
      <c r="AH367" s="340"/>
      <c r="AI367" s="340"/>
      <c r="AJ367" s="340"/>
      <c r="AK367" s="340"/>
      <c r="AL367" s="340"/>
    </row>
    <row r="368" spans="11:38" ht="12.75" customHeight="1" x14ac:dyDescent="0.25"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  <c r="AE368" s="340"/>
      <c r="AF368" s="340"/>
      <c r="AG368" s="340"/>
      <c r="AH368" s="340"/>
      <c r="AI368" s="340"/>
      <c r="AJ368" s="340"/>
      <c r="AK368" s="340"/>
      <c r="AL368" s="340"/>
    </row>
    <row r="369" spans="11:38" ht="12.75" customHeight="1" x14ac:dyDescent="0.25"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  <c r="AC369" s="340"/>
      <c r="AD369" s="340"/>
      <c r="AE369" s="340"/>
      <c r="AF369" s="340"/>
      <c r="AG369" s="340"/>
      <c r="AH369" s="340"/>
      <c r="AI369" s="340"/>
      <c r="AJ369" s="340"/>
      <c r="AK369" s="340"/>
      <c r="AL369" s="340"/>
    </row>
    <row r="370" spans="11:38" ht="12.75" customHeight="1" x14ac:dyDescent="0.25"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  <c r="AC370" s="340"/>
      <c r="AD370" s="340"/>
      <c r="AE370" s="340"/>
      <c r="AF370" s="340"/>
      <c r="AG370" s="340"/>
      <c r="AH370" s="340"/>
      <c r="AI370" s="340"/>
      <c r="AJ370" s="340"/>
      <c r="AK370" s="340"/>
      <c r="AL370" s="340"/>
    </row>
    <row r="371" spans="11:38" ht="12.75" customHeight="1" x14ac:dyDescent="0.25"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  <c r="AC371" s="340"/>
      <c r="AD371" s="340"/>
      <c r="AE371" s="340"/>
      <c r="AF371" s="340"/>
      <c r="AG371" s="340"/>
      <c r="AH371" s="340"/>
      <c r="AI371" s="340"/>
      <c r="AJ371" s="340"/>
      <c r="AK371" s="340"/>
      <c r="AL371" s="340"/>
    </row>
    <row r="372" spans="11:38" ht="12.75" customHeight="1" x14ac:dyDescent="0.25"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/>
      <c r="AE372" s="340"/>
      <c r="AF372" s="340"/>
      <c r="AG372" s="340"/>
      <c r="AH372" s="340"/>
      <c r="AI372" s="340"/>
      <c r="AJ372" s="340"/>
      <c r="AK372" s="340"/>
      <c r="AL372" s="340"/>
    </row>
    <row r="373" spans="11:38" ht="12.75" customHeight="1" x14ac:dyDescent="0.25"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  <c r="AC373" s="340"/>
      <c r="AD373" s="340"/>
      <c r="AE373" s="340"/>
      <c r="AF373" s="340"/>
      <c r="AG373" s="340"/>
      <c r="AH373" s="340"/>
      <c r="AI373" s="340"/>
      <c r="AJ373" s="340"/>
      <c r="AK373" s="340"/>
      <c r="AL373" s="340"/>
    </row>
    <row r="374" spans="11:38" ht="12.75" customHeight="1" x14ac:dyDescent="0.25"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  <c r="AE374" s="340"/>
      <c r="AF374" s="340"/>
      <c r="AG374" s="340"/>
      <c r="AH374" s="340"/>
      <c r="AI374" s="340"/>
      <c r="AJ374" s="340"/>
      <c r="AK374" s="340"/>
      <c r="AL374" s="340"/>
    </row>
    <row r="375" spans="11:38" ht="12.75" customHeight="1" x14ac:dyDescent="0.25"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/>
      <c r="AE375" s="340"/>
      <c r="AF375" s="340"/>
      <c r="AG375" s="340"/>
      <c r="AH375" s="340"/>
      <c r="AI375" s="340"/>
      <c r="AJ375" s="340"/>
      <c r="AK375" s="340"/>
      <c r="AL375" s="340"/>
    </row>
    <row r="376" spans="11:38" ht="12.75" customHeight="1" x14ac:dyDescent="0.25"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  <c r="AG376" s="340"/>
      <c r="AH376" s="340"/>
      <c r="AI376" s="340"/>
      <c r="AJ376" s="340"/>
      <c r="AK376" s="340"/>
      <c r="AL376" s="340"/>
    </row>
    <row r="377" spans="11:38" ht="12.75" customHeight="1" x14ac:dyDescent="0.25"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  <c r="AC377" s="340"/>
      <c r="AD377" s="340"/>
      <c r="AE377" s="340"/>
      <c r="AF377" s="340"/>
      <c r="AG377" s="340"/>
      <c r="AH377" s="340"/>
      <c r="AI377" s="340"/>
      <c r="AJ377" s="340"/>
      <c r="AK377" s="340"/>
      <c r="AL377" s="340"/>
    </row>
    <row r="378" spans="11:38" ht="12.75" customHeight="1" x14ac:dyDescent="0.25"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  <c r="AC378" s="340"/>
      <c r="AD378" s="340"/>
      <c r="AE378" s="340"/>
      <c r="AF378" s="340"/>
      <c r="AG378" s="340"/>
      <c r="AH378" s="340"/>
      <c r="AI378" s="340"/>
      <c r="AJ378" s="340"/>
      <c r="AK378" s="340"/>
      <c r="AL378" s="340"/>
    </row>
    <row r="379" spans="11:38" ht="12.75" customHeight="1" x14ac:dyDescent="0.25"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  <c r="AC379" s="340"/>
      <c r="AD379" s="340"/>
      <c r="AE379" s="340"/>
      <c r="AF379" s="340"/>
      <c r="AG379" s="340"/>
      <c r="AH379" s="340"/>
      <c r="AI379" s="340"/>
      <c r="AJ379" s="340"/>
      <c r="AK379" s="340"/>
      <c r="AL379" s="340"/>
    </row>
    <row r="380" spans="11:38" ht="12.75" customHeight="1" x14ac:dyDescent="0.25"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  <c r="AC380" s="340"/>
      <c r="AD380" s="340"/>
      <c r="AE380" s="340"/>
      <c r="AF380" s="340"/>
      <c r="AG380" s="340"/>
      <c r="AH380" s="340"/>
      <c r="AI380" s="340"/>
      <c r="AJ380" s="340"/>
      <c r="AK380" s="340"/>
      <c r="AL380" s="340"/>
    </row>
    <row r="381" spans="11:38" ht="12.75" customHeight="1" x14ac:dyDescent="0.25"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  <c r="AC381" s="340"/>
      <c r="AD381" s="340"/>
      <c r="AE381" s="340"/>
      <c r="AF381" s="340"/>
      <c r="AG381" s="340"/>
      <c r="AH381" s="340"/>
      <c r="AI381" s="340"/>
      <c r="AJ381" s="340"/>
      <c r="AK381" s="340"/>
      <c r="AL381" s="340"/>
    </row>
    <row r="382" spans="11:38" ht="12.75" customHeight="1" x14ac:dyDescent="0.25"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  <c r="AC382" s="340"/>
      <c r="AD382" s="340"/>
      <c r="AE382" s="340"/>
      <c r="AF382" s="340"/>
      <c r="AG382" s="340"/>
      <c r="AH382" s="340"/>
      <c r="AI382" s="340"/>
      <c r="AJ382" s="340"/>
      <c r="AK382" s="340"/>
      <c r="AL382" s="340"/>
    </row>
    <row r="383" spans="11:38" ht="12.75" customHeight="1" x14ac:dyDescent="0.25"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  <c r="AC383" s="340"/>
      <c r="AD383" s="340"/>
      <c r="AE383" s="340"/>
      <c r="AF383" s="340"/>
      <c r="AG383" s="340"/>
      <c r="AH383" s="340"/>
      <c r="AI383" s="340"/>
      <c r="AJ383" s="340"/>
      <c r="AK383" s="340"/>
      <c r="AL383" s="340"/>
    </row>
    <row r="384" spans="11:38" ht="12.75" customHeight="1" x14ac:dyDescent="0.25"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  <c r="AC384" s="340"/>
      <c r="AD384" s="340"/>
      <c r="AE384" s="340"/>
      <c r="AF384" s="340"/>
      <c r="AG384" s="340"/>
      <c r="AH384" s="340"/>
      <c r="AI384" s="340"/>
      <c r="AJ384" s="340"/>
      <c r="AK384" s="340"/>
      <c r="AL384" s="340"/>
    </row>
    <row r="385" spans="11:38" ht="12.75" customHeight="1" x14ac:dyDescent="0.25"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  <c r="AC385" s="340"/>
      <c r="AD385" s="340"/>
      <c r="AE385" s="340"/>
      <c r="AF385" s="340"/>
      <c r="AG385" s="340"/>
      <c r="AH385" s="340"/>
      <c r="AI385" s="340"/>
      <c r="AJ385" s="340"/>
      <c r="AK385" s="340"/>
      <c r="AL385" s="340"/>
    </row>
    <row r="386" spans="11:38" ht="12.75" customHeight="1" x14ac:dyDescent="0.25"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  <c r="AC386" s="340"/>
      <c r="AD386" s="340"/>
      <c r="AE386" s="340"/>
      <c r="AF386" s="340"/>
      <c r="AG386" s="340"/>
      <c r="AH386" s="340"/>
      <c r="AI386" s="340"/>
      <c r="AJ386" s="340"/>
      <c r="AK386" s="340"/>
      <c r="AL386" s="340"/>
    </row>
    <row r="387" spans="11:38" ht="12.75" customHeight="1" x14ac:dyDescent="0.25"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  <c r="AC387" s="340"/>
      <c r="AD387" s="340"/>
      <c r="AE387" s="340"/>
      <c r="AF387" s="340"/>
      <c r="AG387" s="340"/>
      <c r="AH387" s="340"/>
      <c r="AI387" s="340"/>
      <c r="AJ387" s="340"/>
      <c r="AK387" s="340"/>
      <c r="AL387" s="340"/>
    </row>
    <row r="388" spans="11:38" ht="12.75" customHeight="1" x14ac:dyDescent="0.25"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  <c r="AC388" s="340"/>
      <c r="AD388" s="340"/>
      <c r="AE388" s="340"/>
      <c r="AF388" s="340"/>
      <c r="AG388" s="340"/>
      <c r="AH388" s="340"/>
      <c r="AI388" s="340"/>
      <c r="AJ388" s="340"/>
      <c r="AK388" s="340"/>
      <c r="AL388" s="340"/>
    </row>
    <row r="389" spans="11:38" ht="12.75" customHeight="1" x14ac:dyDescent="0.25"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  <c r="AC389" s="340"/>
      <c r="AD389" s="340"/>
      <c r="AE389" s="340"/>
      <c r="AF389" s="340"/>
      <c r="AG389" s="340"/>
      <c r="AH389" s="340"/>
      <c r="AI389" s="340"/>
      <c r="AJ389" s="340"/>
      <c r="AK389" s="340"/>
      <c r="AL389" s="340"/>
    </row>
    <row r="390" spans="11:38" ht="12.75" customHeight="1" x14ac:dyDescent="0.25"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  <c r="AC390" s="340"/>
      <c r="AD390" s="340"/>
      <c r="AE390" s="340"/>
      <c r="AF390" s="340"/>
      <c r="AG390" s="340"/>
      <c r="AH390" s="340"/>
      <c r="AI390" s="340"/>
      <c r="AJ390" s="340"/>
      <c r="AK390" s="340"/>
      <c r="AL390" s="340"/>
    </row>
    <row r="391" spans="11:38" ht="12.75" customHeight="1" x14ac:dyDescent="0.25"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  <c r="AC391" s="340"/>
      <c r="AD391" s="340"/>
      <c r="AE391" s="340"/>
      <c r="AF391" s="340"/>
      <c r="AG391" s="340"/>
      <c r="AH391" s="340"/>
      <c r="AI391" s="340"/>
      <c r="AJ391" s="340"/>
      <c r="AK391" s="340"/>
      <c r="AL391" s="340"/>
    </row>
    <row r="392" spans="11:38" ht="12.75" customHeight="1" x14ac:dyDescent="0.25"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  <c r="AC392" s="340"/>
      <c r="AD392" s="340"/>
      <c r="AE392" s="340"/>
      <c r="AF392" s="340"/>
      <c r="AG392" s="340"/>
      <c r="AH392" s="340"/>
      <c r="AI392" s="340"/>
      <c r="AJ392" s="340"/>
      <c r="AK392" s="340"/>
      <c r="AL392" s="340"/>
    </row>
    <row r="393" spans="11:38" ht="12.75" customHeight="1" x14ac:dyDescent="0.25"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  <c r="AC393" s="340"/>
      <c r="AD393" s="340"/>
      <c r="AE393" s="340"/>
      <c r="AF393" s="340"/>
      <c r="AG393" s="340"/>
      <c r="AH393" s="340"/>
      <c r="AI393" s="340"/>
      <c r="AJ393" s="340"/>
      <c r="AK393" s="340"/>
      <c r="AL393" s="340"/>
    </row>
    <row r="394" spans="11:38" ht="12.75" customHeight="1" x14ac:dyDescent="0.25"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  <c r="AC394" s="340"/>
      <c r="AD394" s="340"/>
      <c r="AE394" s="340"/>
      <c r="AF394" s="340"/>
      <c r="AG394" s="340"/>
      <c r="AH394" s="340"/>
      <c r="AI394" s="340"/>
      <c r="AJ394" s="340"/>
      <c r="AK394" s="340"/>
      <c r="AL394" s="340"/>
    </row>
    <row r="395" spans="11:38" ht="12.75" customHeight="1" x14ac:dyDescent="0.25"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  <c r="AE395" s="340"/>
      <c r="AF395" s="340"/>
      <c r="AG395" s="340"/>
      <c r="AH395" s="340"/>
      <c r="AI395" s="340"/>
      <c r="AJ395" s="340"/>
      <c r="AK395" s="340"/>
      <c r="AL395" s="340"/>
    </row>
    <row r="396" spans="11:38" ht="12.75" customHeight="1" x14ac:dyDescent="0.25"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  <c r="AC396" s="340"/>
      <c r="AD396" s="340"/>
      <c r="AE396" s="340"/>
      <c r="AF396" s="340"/>
      <c r="AG396" s="340"/>
      <c r="AH396" s="340"/>
      <c r="AI396" s="340"/>
      <c r="AJ396" s="340"/>
      <c r="AK396" s="340"/>
      <c r="AL396" s="340"/>
    </row>
    <row r="397" spans="11:38" ht="12.75" customHeight="1" x14ac:dyDescent="0.25"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  <c r="AC397" s="340"/>
      <c r="AD397" s="340"/>
      <c r="AE397" s="340"/>
      <c r="AF397" s="340"/>
      <c r="AG397" s="340"/>
      <c r="AH397" s="340"/>
      <c r="AI397" s="340"/>
      <c r="AJ397" s="340"/>
      <c r="AK397" s="340"/>
      <c r="AL397" s="340"/>
    </row>
    <row r="398" spans="11:38" ht="12.75" customHeight="1" x14ac:dyDescent="0.25"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  <c r="AC398" s="340"/>
      <c r="AD398" s="340"/>
      <c r="AE398" s="340"/>
      <c r="AF398" s="340"/>
      <c r="AG398" s="340"/>
      <c r="AH398" s="340"/>
      <c r="AI398" s="340"/>
      <c r="AJ398" s="340"/>
      <c r="AK398" s="340"/>
      <c r="AL398" s="340"/>
    </row>
    <row r="399" spans="11:38" ht="12.75" customHeight="1" x14ac:dyDescent="0.25"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  <c r="AC399" s="340"/>
      <c r="AD399" s="340"/>
      <c r="AE399" s="340"/>
      <c r="AF399" s="340"/>
      <c r="AG399" s="340"/>
      <c r="AH399" s="340"/>
      <c r="AI399" s="340"/>
      <c r="AJ399" s="340"/>
      <c r="AK399" s="340"/>
      <c r="AL399" s="340"/>
    </row>
    <row r="400" spans="11:38" ht="12.75" customHeight="1" x14ac:dyDescent="0.25"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  <c r="AC400" s="340"/>
      <c r="AD400" s="340"/>
      <c r="AE400" s="340"/>
      <c r="AF400" s="340"/>
      <c r="AG400" s="340"/>
      <c r="AH400" s="340"/>
      <c r="AI400" s="340"/>
      <c r="AJ400" s="340"/>
      <c r="AK400" s="340"/>
      <c r="AL400" s="340"/>
    </row>
    <row r="401" spans="11:38" ht="12.75" customHeight="1" x14ac:dyDescent="0.25"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  <c r="AC401" s="340"/>
      <c r="AD401" s="340"/>
      <c r="AE401" s="340"/>
      <c r="AF401" s="340"/>
      <c r="AG401" s="340"/>
      <c r="AH401" s="340"/>
      <c r="AI401" s="340"/>
      <c r="AJ401" s="340"/>
      <c r="AK401" s="340"/>
      <c r="AL401" s="340"/>
    </row>
    <row r="402" spans="11:38" ht="12.75" customHeight="1" x14ac:dyDescent="0.25"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  <c r="AC402" s="340"/>
      <c r="AD402" s="340"/>
      <c r="AE402" s="340"/>
      <c r="AF402" s="340"/>
      <c r="AG402" s="340"/>
      <c r="AH402" s="340"/>
      <c r="AI402" s="340"/>
      <c r="AJ402" s="340"/>
      <c r="AK402" s="340"/>
      <c r="AL402" s="340"/>
    </row>
    <row r="403" spans="11:38" ht="12.75" customHeight="1" x14ac:dyDescent="0.25"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  <c r="AC403" s="340"/>
      <c r="AD403" s="340"/>
      <c r="AE403" s="340"/>
      <c r="AF403" s="340"/>
      <c r="AG403" s="340"/>
      <c r="AH403" s="340"/>
      <c r="AI403" s="340"/>
      <c r="AJ403" s="340"/>
      <c r="AK403" s="340"/>
      <c r="AL403" s="340"/>
    </row>
    <row r="404" spans="11:38" ht="12.75" customHeight="1" x14ac:dyDescent="0.25"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  <c r="AC404" s="340"/>
      <c r="AD404" s="340"/>
      <c r="AE404" s="340"/>
      <c r="AF404" s="340"/>
      <c r="AG404" s="340"/>
      <c r="AH404" s="340"/>
      <c r="AI404" s="340"/>
      <c r="AJ404" s="340"/>
      <c r="AK404" s="340"/>
      <c r="AL404" s="340"/>
    </row>
    <row r="405" spans="11:38" ht="12.75" customHeight="1" x14ac:dyDescent="0.25"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  <c r="AC405" s="340"/>
      <c r="AD405" s="340"/>
      <c r="AE405" s="340"/>
      <c r="AF405" s="340"/>
      <c r="AG405" s="340"/>
      <c r="AH405" s="340"/>
      <c r="AI405" s="340"/>
      <c r="AJ405" s="340"/>
      <c r="AK405" s="340"/>
      <c r="AL405" s="340"/>
    </row>
    <row r="406" spans="11:38" ht="12.75" customHeight="1" x14ac:dyDescent="0.25"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  <c r="AC406" s="340"/>
      <c r="AD406" s="340"/>
      <c r="AE406" s="340"/>
      <c r="AF406" s="340"/>
      <c r="AG406" s="340"/>
      <c r="AH406" s="340"/>
      <c r="AI406" s="340"/>
      <c r="AJ406" s="340"/>
      <c r="AK406" s="340"/>
      <c r="AL406" s="340"/>
    </row>
    <row r="407" spans="11:38" ht="12.75" customHeight="1" x14ac:dyDescent="0.25"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  <c r="AC407" s="340"/>
      <c r="AD407" s="340"/>
      <c r="AE407" s="340"/>
      <c r="AF407" s="340"/>
      <c r="AG407" s="340"/>
      <c r="AH407" s="340"/>
      <c r="AI407" s="340"/>
      <c r="AJ407" s="340"/>
      <c r="AK407" s="340"/>
      <c r="AL407" s="340"/>
    </row>
    <row r="408" spans="11:38" ht="12.75" customHeight="1" x14ac:dyDescent="0.25"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  <c r="AC408" s="340"/>
      <c r="AD408" s="340"/>
      <c r="AE408" s="340"/>
      <c r="AF408" s="340"/>
      <c r="AG408" s="340"/>
      <c r="AH408" s="340"/>
      <c r="AI408" s="340"/>
      <c r="AJ408" s="340"/>
      <c r="AK408" s="340"/>
      <c r="AL408" s="340"/>
    </row>
    <row r="409" spans="11:38" ht="12.75" customHeight="1" x14ac:dyDescent="0.25"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  <c r="AC409" s="340"/>
      <c r="AD409" s="340"/>
      <c r="AE409" s="340"/>
      <c r="AF409" s="340"/>
      <c r="AG409" s="340"/>
      <c r="AH409" s="340"/>
      <c r="AI409" s="340"/>
      <c r="AJ409" s="340"/>
      <c r="AK409" s="340"/>
      <c r="AL409" s="340"/>
    </row>
    <row r="410" spans="11:38" ht="12.75" customHeight="1" x14ac:dyDescent="0.25"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  <c r="AC410" s="340"/>
      <c r="AD410" s="340"/>
      <c r="AE410" s="340"/>
      <c r="AF410" s="340"/>
      <c r="AG410" s="340"/>
      <c r="AH410" s="340"/>
      <c r="AI410" s="340"/>
      <c r="AJ410" s="340"/>
      <c r="AK410" s="340"/>
      <c r="AL410" s="340"/>
    </row>
    <row r="411" spans="11:38" ht="12.75" customHeight="1" x14ac:dyDescent="0.25"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  <c r="AC411" s="340"/>
      <c r="AD411" s="340"/>
      <c r="AE411" s="340"/>
      <c r="AF411" s="340"/>
      <c r="AG411" s="340"/>
      <c r="AH411" s="340"/>
      <c r="AI411" s="340"/>
      <c r="AJ411" s="340"/>
      <c r="AK411" s="340"/>
      <c r="AL411" s="340"/>
    </row>
    <row r="412" spans="11:38" ht="12.75" customHeight="1" x14ac:dyDescent="0.25"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  <c r="AC412" s="340"/>
      <c r="AD412" s="340"/>
      <c r="AE412" s="340"/>
      <c r="AF412" s="340"/>
      <c r="AG412" s="340"/>
      <c r="AH412" s="340"/>
      <c r="AI412" s="340"/>
      <c r="AJ412" s="340"/>
      <c r="AK412" s="340"/>
      <c r="AL412" s="340"/>
    </row>
    <row r="413" spans="11:38" ht="12.75" customHeight="1" x14ac:dyDescent="0.25"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  <c r="AC413" s="340"/>
      <c r="AD413" s="340"/>
      <c r="AE413" s="340"/>
      <c r="AF413" s="340"/>
      <c r="AG413" s="340"/>
      <c r="AH413" s="340"/>
      <c r="AI413" s="340"/>
      <c r="AJ413" s="340"/>
      <c r="AK413" s="340"/>
      <c r="AL413" s="340"/>
    </row>
    <row r="414" spans="11:38" ht="12.75" customHeight="1" x14ac:dyDescent="0.25"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  <c r="AC414" s="340"/>
      <c r="AD414" s="340"/>
      <c r="AE414" s="340"/>
      <c r="AF414" s="340"/>
      <c r="AG414" s="340"/>
      <c r="AH414" s="340"/>
      <c r="AI414" s="340"/>
      <c r="AJ414" s="340"/>
      <c r="AK414" s="340"/>
      <c r="AL414" s="340"/>
    </row>
    <row r="415" spans="11:38" ht="12.75" customHeight="1" x14ac:dyDescent="0.25"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  <c r="AC415" s="340"/>
      <c r="AD415" s="340"/>
      <c r="AE415" s="340"/>
      <c r="AF415" s="340"/>
      <c r="AG415" s="340"/>
      <c r="AH415" s="340"/>
      <c r="AI415" s="340"/>
      <c r="AJ415" s="340"/>
      <c r="AK415" s="340"/>
      <c r="AL415" s="340"/>
    </row>
    <row r="416" spans="11:38" ht="12.75" customHeight="1" x14ac:dyDescent="0.25"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  <c r="AC416" s="340"/>
      <c r="AD416" s="340"/>
      <c r="AE416" s="340"/>
      <c r="AF416" s="340"/>
      <c r="AG416" s="340"/>
      <c r="AH416" s="340"/>
      <c r="AI416" s="340"/>
      <c r="AJ416" s="340"/>
      <c r="AK416" s="340"/>
      <c r="AL416" s="340"/>
    </row>
    <row r="417" spans="11:38" ht="12.75" customHeight="1" x14ac:dyDescent="0.25"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  <c r="AC417" s="340"/>
      <c r="AD417" s="340"/>
      <c r="AE417" s="340"/>
      <c r="AF417" s="340"/>
      <c r="AG417" s="340"/>
      <c r="AH417" s="340"/>
      <c r="AI417" s="340"/>
      <c r="AJ417" s="340"/>
      <c r="AK417" s="340"/>
      <c r="AL417" s="340"/>
    </row>
    <row r="418" spans="11:38" ht="12.75" customHeight="1" x14ac:dyDescent="0.25"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  <c r="AC418" s="340"/>
      <c r="AD418" s="340"/>
      <c r="AE418" s="340"/>
      <c r="AF418" s="340"/>
      <c r="AG418" s="340"/>
      <c r="AH418" s="340"/>
      <c r="AI418" s="340"/>
      <c r="AJ418" s="340"/>
      <c r="AK418" s="340"/>
      <c r="AL418" s="340"/>
    </row>
    <row r="419" spans="11:38" ht="12.75" customHeight="1" x14ac:dyDescent="0.25"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  <c r="AC419" s="340"/>
      <c r="AD419" s="340"/>
      <c r="AE419" s="340"/>
      <c r="AF419" s="340"/>
      <c r="AG419" s="340"/>
      <c r="AH419" s="340"/>
      <c r="AI419" s="340"/>
      <c r="AJ419" s="340"/>
      <c r="AK419" s="340"/>
      <c r="AL419" s="340"/>
    </row>
    <row r="420" spans="11:38" ht="12.75" customHeight="1" x14ac:dyDescent="0.25"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  <c r="AC420" s="340"/>
      <c r="AD420" s="340"/>
      <c r="AE420" s="340"/>
      <c r="AF420" s="340"/>
      <c r="AG420" s="340"/>
      <c r="AH420" s="340"/>
      <c r="AI420" s="340"/>
      <c r="AJ420" s="340"/>
      <c r="AK420" s="340"/>
      <c r="AL420" s="340"/>
    </row>
    <row r="421" spans="11:38" ht="12.75" customHeight="1" x14ac:dyDescent="0.25"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  <c r="AC421" s="340"/>
      <c r="AD421" s="340"/>
      <c r="AE421" s="340"/>
      <c r="AF421" s="340"/>
      <c r="AG421" s="340"/>
      <c r="AH421" s="340"/>
      <c r="AI421" s="340"/>
      <c r="AJ421" s="340"/>
      <c r="AK421" s="340"/>
      <c r="AL421" s="340"/>
    </row>
    <row r="422" spans="11:38" ht="12.75" customHeight="1" x14ac:dyDescent="0.25"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  <c r="AC422" s="340"/>
      <c r="AD422" s="340"/>
      <c r="AE422" s="340"/>
      <c r="AF422" s="340"/>
      <c r="AG422" s="340"/>
      <c r="AH422" s="340"/>
      <c r="AI422" s="340"/>
      <c r="AJ422" s="340"/>
      <c r="AK422" s="340"/>
      <c r="AL422" s="340"/>
    </row>
    <row r="423" spans="11:38" ht="12.75" customHeight="1" x14ac:dyDescent="0.25"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  <c r="AC423" s="340"/>
      <c r="AD423" s="340"/>
      <c r="AE423" s="340"/>
      <c r="AF423" s="340"/>
      <c r="AG423" s="340"/>
      <c r="AH423" s="340"/>
      <c r="AI423" s="340"/>
      <c r="AJ423" s="340"/>
      <c r="AK423" s="340"/>
      <c r="AL423" s="340"/>
    </row>
    <row r="424" spans="11:38" ht="12.75" customHeight="1" x14ac:dyDescent="0.25"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  <c r="AC424" s="340"/>
      <c r="AD424" s="340"/>
      <c r="AE424" s="340"/>
      <c r="AF424" s="340"/>
      <c r="AG424" s="340"/>
      <c r="AH424" s="340"/>
      <c r="AI424" s="340"/>
      <c r="AJ424" s="340"/>
      <c r="AK424" s="340"/>
      <c r="AL424" s="340"/>
    </row>
    <row r="425" spans="11:38" ht="12.75" customHeight="1" x14ac:dyDescent="0.25"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  <c r="AC425" s="340"/>
      <c r="AD425" s="340"/>
      <c r="AE425" s="340"/>
      <c r="AF425" s="340"/>
      <c r="AG425" s="340"/>
      <c r="AH425" s="340"/>
      <c r="AI425" s="340"/>
      <c r="AJ425" s="340"/>
      <c r="AK425" s="340"/>
      <c r="AL425" s="340"/>
    </row>
    <row r="426" spans="11:38" ht="12.75" customHeight="1" x14ac:dyDescent="0.25"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  <c r="AC426" s="340"/>
      <c r="AD426" s="340"/>
      <c r="AE426" s="340"/>
      <c r="AF426" s="340"/>
      <c r="AG426" s="340"/>
      <c r="AH426" s="340"/>
      <c r="AI426" s="340"/>
      <c r="AJ426" s="340"/>
      <c r="AK426" s="340"/>
      <c r="AL426" s="340"/>
    </row>
    <row r="427" spans="11:38" ht="12.75" customHeight="1" x14ac:dyDescent="0.25"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  <c r="AC427" s="340"/>
      <c r="AD427" s="340"/>
      <c r="AE427" s="340"/>
      <c r="AF427" s="340"/>
      <c r="AG427" s="340"/>
      <c r="AH427" s="340"/>
      <c r="AI427" s="340"/>
      <c r="AJ427" s="340"/>
      <c r="AK427" s="340"/>
      <c r="AL427" s="340"/>
    </row>
    <row r="428" spans="11:38" ht="12.75" customHeight="1" x14ac:dyDescent="0.25"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  <c r="AC428" s="340"/>
      <c r="AD428" s="340"/>
      <c r="AE428" s="340"/>
      <c r="AF428" s="340"/>
      <c r="AG428" s="340"/>
      <c r="AH428" s="340"/>
      <c r="AI428" s="340"/>
      <c r="AJ428" s="340"/>
      <c r="AK428" s="340"/>
      <c r="AL428" s="340"/>
    </row>
    <row r="429" spans="11:38" ht="12.75" customHeight="1" x14ac:dyDescent="0.25"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  <c r="AC429" s="340"/>
      <c r="AD429" s="340"/>
      <c r="AE429" s="340"/>
      <c r="AF429" s="340"/>
      <c r="AG429" s="340"/>
      <c r="AH429" s="340"/>
      <c r="AI429" s="340"/>
      <c r="AJ429" s="340"/>
      <c r="AK429" s="340"/>
      <c r="AL429" s="340"/>
    </row>
    <row r="430" spans="11:38" ht="12.75" customHeight="1" x14ac:dyDescent="0.25"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  <c r="AC430" s="340"/>
      <c r="AD430" s="340"/>
      <c r="AE430" s="340"/>
      <c r="AF430" s="340"/>
      <c r="AG430" s="340"/>
      <c r="AH430" s="340"/>
      <c r="AI430" s="340"/>
      <c r="AJ430" s="340"/>
      <c r="AK430" s="340"/>
      <c r="AL430" s="340"/>
    </row>
    <row r="431" spans="11:38" ht="12.75" customHeight="1" x14ac:dyDescent="0.25"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  <c r="AC431" s="340"/>
      <c r="AD431" s="340"/>
      <c r="AE431" s="340"/>
      <c r="AF431" s="340"/>
      <c r="AG431" s="340"/>
      <c r="AH431" s="340"/>
      <c r="AI431" s="340"/>
      <c r="AJ431" s="340"/>
      <c r="AK431" s="340"/>
      <c r="AL431" s="340"/>
    </row>
    <row r="432" spans="11:38" ht="12.75" customHeight="1" x14ac:dyDescent="0.25"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  <c r="AC432" s="340"/>
      <c r="AD432" s="340"/>
      <c r="AE432" s="340"/>
      <c r="AF432" s="340"/>
      <c r="AG432" s="340"/>
      <c r="AH432" s="340"/>
      <c r="AI432" s="340"/>
      <c r="AJ432" s="340"/>
      <c r="AK432" s="340"/>
      <c r="AL432" s="340"/>
    </row>
    <row r="433" spans="11:38" ht="12.75" customHeight="1" x14ac:dyDescent="0.25"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  <c r="AC433" s="340"/>
      <c r="AD433" s="340"/>
      <c r="AE433" s="340"/>
      <c r="AF433" s="340"/>
      <c r="AG433" s="340"/>
      <c r="AH433" s="340"/>
      <c r="AI433" s="340"/>
      <c r="AJ433" s="340"/>
      <c r="AK433" s="340"/>
      <c r="AL433" s="340"/>
    </row>
    <row r="434" spans="11:38" ht="12.75" customHeight="1" x14ac:dyDescent="0.25"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  <c r="AC434" s="340"/>
      <c r="AD434" s="340"/>
      <c r="AE434" s="340"/>
      <c r="AF434" s="340"/>
      <c r="AG434" s="340"/>
      <c r="AH434" s="340"/>
      <c r="AI434" s="340"/>
      <c r="AJ434" s="340"/>
      <c r="AK434" s="340"/>
      <c r="AL434" s="340"/>
    </row>
    <row r="435" spans="11:38" ht="12.75" customHeight="1" x14ac:dyDescent="0.25"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  <c r="AC435" s="340"/>
      <c r="AD435" s="340"/>
      <c r="AE435" s="340"/>
      <c r="AF435" s="340"/>
      <c r="AG435" s="340"/>
      <c r="AH435" s="340"/>
      <c r="AI435" s="340"/>
      <c r="AJ435" s="340"/>
      <c r="AK435" s="340"/>
      <c r="AL435" s="340"/>
    </row>
    <row r="436" spans="11:38" ht="12.75" customHeight="1" x14ac:dyDescent="0.25"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  <c r="AC436" s="340"/>
      <c r="AD436" s="340"/>
      <c r="AE436" s="340"/>
      <c r="AF436" s="340"/>
      <c r="AG436" s="340"/>
      <c r="AH436" s="340"/>
      <c r="AI436" s="340"/>
      <c r="AJ436" s="340"/>
      <c r="AK436" s="340"/>
      <c r="AL436" s="340"/>
    </row>
    <row r="437" spans="11:38" ht="12.75" customHeight="1" x14ac:dyDescent="0.25"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  <c r="AC437" s="340"/>
      <c r="AD437" s="340"/>
      <c r="AE437" s="340"/>
      <c r="AF437" s="340"/>
      <c r="AG437" s="340"/>
      <c r="AH437" s="340"/>
      <c r="AI437" s="340"/>
      <c r="AJ437" s="340"/>
      <c r="AK437" s="340"/>
      <c r="AL437" s="340"/>
    </row>
    <row r="438" spans="11:38" ht="12.75" customHeight="1" x14ac:dyDescent="0.25"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  <c r="AC438" s="340"/>
      <c r="AD438" s="340"/>
      <c r="AE438" s="340"/>
      <c r="AF438" s="340"/>
      <c r="AG438" s="340"/>
      <c r="AH438" s="340"/>
      <c r="AI438" s="340"/>
      <c r="AJ438" s="340"/>
      <c r="AK438" s="340"/>
      <c r="AL438" s="340"/>
    </row>
    <row r="439" spans="11:38" ht="12.75" customHeight="1" x14ac:dyDescent="0.25"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  <c r="AC439" s="340"/>
      <c r="AD439" s="340"/>
      <c r="AE439" s="340"/>
      <c r="AF439" s="340"/>
      <c r="AG439" s="340"/>
      <c r="AH439" s="340"/>
      <c r="AI439" s="340"/>
      <c r="AJ439" s="340"/>
      <c r="AK439" s="340"/>
      <c r="AL439" s="340"/>
    </row>
    <row r="440" spans="11:38" ht="12.75" customHeight="1" x14ac:dyDescent="0.25"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  <c r="AC440" s="340"/>
      <c r="AD440" s="340"/>
      <c r="AE440" s="340"/>
      <c r="AF440" s="340"/>
      <c r="AG440" s="340"/>
      <c r="AH440" s="340"/>
      <c r="AI440" s="340"/>
      <c r="AJ440" s="340"/>
      <c r="AK440" s="340"/>
      <c r="AL440" s="340"/>
    </row>
    <row r="441" spans="11:38" ht="12.75" customHeight="1" x14ac:dyDescent="0.25"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  <c r="AC441" s="340"/>
      <c r="AD441" s="340"/>
      <c r="AE441" s="340"/>
      <c r="AF441" s="340"/>
      <c r="AG441" s="340"/>
      <c r="AH441" s="340"/>
      <c r="AI441" s="340"/>
      <c r="AJ441" s="340"/>
      <c r="AK441" s="340"/>
      <c r="AL441" s="340"/>
    </row>
    <row r="442" spans="11:38" ht="12.75" customHeight="1" x14ac:dyDescent="0.25"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  <c r="AC442" s="340"/>
      <c r="AD442" s="340"/>
      <c r="AE442" s="340"/>
      <c r="AF442" s="340"/>
      <c r="AG442" s="340"/>
      <c r="AH442" s="340"/>
      <c r="AI442" s="340"/>
      <c r="AJ442" s="340"/>
      <c r="AK442" s="340"/>
      <c r="AL442" s="340"/>
    </row>
    <row r="443" spans="11:38" ht="12.75" customHeight="1" x14ac:dyDescent="0.25"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  <c r="AC443" s="340"/>
      <c r="AD443" s="340"/>
      <c r="AE443" s="340"/>
      <c r="AF443" s="340"/>
      <c r="AG443" s="340"/>
      <c r="AH443" s="340"/>
      <c r="AI443" s="340"/>
      <c r="AJ443" s="340"/>
      <c r="AK443" s="340"/>
      <c r="AL443" s="340"/>
    </row>
    <row r="444" spans="11:38" ht="12.75" customHeight="1" x14ac:dyDescent="0.25"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  <c r="AC444" s="340"/>
      <c r="AD444" s="340"/>
      <c r="AE444" s="340"/>
      <c r="AF444" s="340"/>
      <c r="AG444" s="340"/>
      <c r="AH444" s="340"/>
      <c r="AI444" s="340"/>
      <c r="AJ444" s="340"/>
      <c r="AK444" s="340"/>
      <c r="AL444" s="340"/>
    </row>
    <row r="445" spans="11:38" ht="12.75" customHeight="1" x14ac:dyDescent="0.25"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  <c r="AC445" s="340"/>
      <c r="AD445" s="340"/>
      <c r="AE445" s="340"/>
      <c r="AF445" s="340"/>
      <c r="AG445" s="340"/>
      <c r="AH445" s="340"/>
      <c r="AI445" s="340"/>
      <c r="AJ445" s="340"/>
      <c r="AK445" s="340"/>
      <c r="AL445" s="340"/>
    </row>
    <row r="446" spans="11:38" ht="12.75" customHeight="1" x14ac:dyDescent="0.25"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  <c r="AC446" s="340"/>
      <c r="AD446" s="340"/>
      <c r="AE446" s="340"/>
      <c r="AF446" s="340"/>
      <c r="AG446" s="340"/>
      <c r="AH446" s="340"/>
      <c r="AI446" s="340"/>
      <c r="AJ446" s="340"/>
      <c r="AK446" s="340"/>
      <c r="AL446" s="340"/>
    </row>
    <row r="447" spans="11:38" ht="12.75" customHeight="1" x14ac:dyDescent="0.25"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  <c r="AC447" s="340"/>
      <c r="AD447" s="340"/>
      <c r="AE447" s="340"/>
      <c r="AF447" s="340"/>
      <c r="AG447" s="340"/>
      <c r="AH447" s="340"/>
      <c r="AI447" s="340"/>
      <c r="AJ447" s="340"/>
      <c r="AK447" s="340"/>
      <c r="AL447" s="340"/>
    </row>
    <row r="448" spans="11:38" ht="12.75" customHeight="1" x14ac:dyDescent="0.25"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  <c r="AC448" s="340"/>
      <c r="AD448" s="340"/>
      <c r="AE448" s="340"/>
      <c r="AF448" s="340"/>
      <c r="AG448" s="340"/>
      <c r="AH448" s="340"/>
      <c r="AI448" s="340"/>
      <c r="AJ448" s="340"/>
      <c r="AK448" s="340"/>
      <c r="AL448" s="340"/>
    </row>
    <row r="449" spans="11:38" ht="12.75" customHeight="1" x14ac:dyDescent="0.25"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  <c r="AC449" s="340"/>
      <c r="AD449" s="340"/>
      <c r="AE449" s="340"/>
      <c r="AF449" s="340"/>
      <c r="AG449" s="340"/>
      <c r="AH449" s="340"/>
      <c r="AI449" s="340"/>
      <c r="AJ449" s="340"/>
      <c r="AK449" s="340"/>
      <c r="AL449" s="340"/>
    </row>
    <row r="450" spans="11:38" ht="12.75" customHeight="1" x14ac:dyDescent="0.25"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  <c r="AC450" s="340"/>
      <c r="AD450" s="340"/>
      <c r="AE450" s="340"/>
      <c r="AF450" s="340"/>
      <c r="AG450" s="340"/>
      <c r="AH450" s="340"/>
      <c r="AI450" s="340"/>
      <c r="AJ450" s="340"/>
      <c r="AK450" s="340"/>
      <c r="AL450" s="340"/>
    </row>
    <row r="451" spans="11:38" ht="12.75" customHeight="1" x14ac:dyDescent="0.25"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  <c r="AC451" s="340"/>
      <c r="AD451" s="340"/>
      <c r="AE451" s="340"/>
      <c r="AF451" s="340"/>
      <c r="AG451" s="340"/>
      <c r="AH451" s="340"/>
      <c r="AI451" s="340"/>
      <c r="AJ451" s="340"/>
      <c r="AK451" s="340"/>
      <c r="AL451" s="340"/>
    </row>
    <row r="452" spans="11:38" ht="12.75" customHeight="1" x14ac:dyDescent="0.25"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  <c r="AC452" s="340"/>
      <c r="AD452" s="340"/>
      <c r="AE452" s="340"/>
      <c r="AF452" s="340"/>
      <c r="AG452" s="340"/>
      <c r="AH452" s="340"/>
      <c r="AI452" s="340"/>
      <c r="AJ452" s="340"/>
      <c r="AK452" s="340"/>
      <c r="AL452" s="340"/>
    </row>
    <row r="453" spans="11:38" ht="12.75" customHeight="1" x14ac:dyDescent="0.25"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  <c r="AC453" s="340"/>
      <c r="AD453" s="340"/>
      <c r="AE453" s="340"/>
      <c r="AF453" s="340"/>
      <c r="AG453" s="340"/>
      <c r="AH453" s="340"/>
      <c r="AI453" s="340"/>
      <c r="AJ453" s="340"/>
      <c r="AK453" s="340"/>
      <c r="AL453" s="340"/>
    </row>
    <row r="454" spans="11:38" ht="12.75" customHeight="1" x14ac:dyDescent="0.25"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  <c r="AC454" s="340"/>
      <c r="AD454" s="340"/>
      <c r="AE454" s="340"/>
      <c r="AF454" s="340"/>
      <c r="AG454" s="340"/>
      <c r="AH454" s="340"/>
      <c r="AI454" s="340"/>
      <c r="AJ454" s="340"/>
      <c r="AK454" s="340"/>
      <c r="AL454" s="340"/>
    </row>
    <row r="455" spans="11:38" ht="12.75" customHeight="1" x14ac:dyDescent="0.25"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  <c r="AC455" s="340"/>
      <c r="AD455" s="340"/>
      <c r="AE455" s="340"/>
      <c r="AF455" s="340"/>
      <c r="AG455" s="340"/>
      <c r="AH455" s="340"/>
      <c r="AI455" s="340"/>
      <c r="AJ455" s="340"/>
      <c r="AK455" s="340"/>
      <c r="AL455" s="340"/>
    </row>
    <row r="456" spans="11:38" ht="12.75" customHeight="1" x14ac:dyDescent="0.25"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  <c r="AE456" s="340"/>
      <c r="AF456" s="340"/>
      <c r="AG456" s="340"/>
      <c r="AH456" s="340"/>
      <c r="AI456" s="340"/>
      <c r="AJ456" s="340"/>
      <c r="AK456" s="340"/>
      <c r="AL456" s="340"/>
    </row>
    <row r="457" spans="11:38" ht="12.75" customHeight="1" x14ac:dyDescent="0.25"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  <c r="AC457" s="340"/>
      <c r="AD457" s="340"/>
      <c r="AE457" s="340"/>
      <c r="AF457" s="340"/>
      <c r="AG457" s="340"/>
      <c r="AH457" s="340"/>
      <c r="AI457" s="340"/>
      <c r="AJ457" s="340"/>
      <c r="AK457" s="340"/>
      <c r="AL457" s="340"/>
    </row>
    <row r="458" spans="11:38" ht="12.75" customHeight="1" x14ac:dyDescent="0.25"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  <c r="AC458" s="340"/>
      <c r="AD458" s="340"/>
      <c r="AE458" s="340"/>
      <c r="AF458" s="340"/>
      <c r="AG458" s="340"/>
      <c r="AH458" s="340"/>
      <c r="AI458" s="340"/>
      <c r="AJ458" s="340"/>
      <c r="AK458" s="340"/>
      <c r="AL458" s="340"/>
    </row>
    <row r="459" spans="11:38" ht="12.75" customHeight="1" x14ac:dyDescent="0.25"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  <c r="AC459" s="340"/>
      <c r="AD459" s="340"/>
      <c r="AE459" s="340"/>
      <c r="AF459" s="340"/>
      <c r="AG459" s="340"/>
      <c r="AH459" s="340"/>
      <c r="AI459" s="340"/>
      <c r="AJ459" s="340"/>
      <c r="AK459" s="340"/>
      <c r="AL459" s="340"/>
    </row>
    <row r="460" spans="11:38" ht="12.75" customHeight="1" x14ac:dyDescent="0.25"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  <c r="AC460" s="340"/>
      <c r="AD460" s="340"/>
      <c r="AE460" s="340"/>
      <c r="AF460" s="340"/>
      <c r="AG460" s="340"/>
      <c r="AH460" s="340"/>
      <c r="AI460" s="340"/>
      <c r="AJ460" s="340"/>
      <c r="AK460" s="340"/>
      <c r="AL460" s="340"/>
    </row>
    <row r="461" spans="11:38" ht="12.75" customHeight="1" x14ac:dyDescent="0.25"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  <c r="AC461" s="340"/>
      <c r="AD461" s="340"/>
      <c r="AE461" s="340"/>
      <c r="AF461" s="340"/>
      <c r="AG461" s="340"/>
      <c r="AH461" s="340"/>
      <c r="AI461" s="340"/>
      <c r="AJ461" s="340"/>
      <c r="AK461" s="340"/>
      <c r="AL461" s="340"/>
    </row>
    <row r="462" spans="11:38" ht="12.75" customHeight="1" x14ac:dyDescent="0.25"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  <c r="AC462" s="340"/>
      <c r="AD462" s="340"/>
      <c r="AE462" s="340"/>
      <c r="AF462" s="340"/>
      <c r="AG462" s="340"/>
      <c r="AH462" s="340"/>
      <c r="AI462" s="340"/>
      <c r="AJ462" s="340"/>
      <c r="AK462" s="340"/>
      <c r="AL462" s="340"/>
    </row>
    <row r="463" spans="11:38" ht="12.75" customHeight="1" x14ac:dyDescent="0.25"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  <c r="AC463" s="340"/>
      <c r="AD463" s="340"/>
      <c r="AE463" s="340"/>
      <c r="AF463" s="340"/>
      <c r="AG463" s="340"/>
      <c r="AH463" s="340"/>
      <c r="AI463" s="340"/>
      <c r="AJ463" s="340"/>
      <c r="AK463" s="340"/>
      <c r="AL463" s="340"/>
    </row>
    <row r="464" spans="11:38" ht="12.75" customHeight="1" x14ac:dyDescent="0.25"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  <c r="AE464" s="340"/>
      <c r="AF464" s="340"/>
      <c r="AG464" s="340"/>
      <c r="AH464" s="340"/>
      <c r="AI464" s="340"/>
      <c r="AJ464" s="340"/>
      <c r="AK464" s="340"/>
      <c r="AL464" s="340"/>
    </row>
    <row r="465" spans="11:38" ht="12.75" customHeight="1" x14ac:dyDescent="0.25"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  <c r="AE465" s="340"/>
      <c r="AF465" s="340"/>
      <c r="AG465" s="340"/>
      <c r="AH465" s="340"/>
      <c r="AI465" s="340"/>
      <c r="AJ465" s="340"/>
      <c r="AK465" s="340"/>
      <c r="AL465" s="340"/>
    </row>
    <row r="466" spans="11:38" ht="12.75" customHeight="1" x14ac:dyDescent="0.25"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  <c r="AE466" s="340"/>
      <c r="AF466" s="340"/>
      <c r="AG466" s="340"/>
      <c r="AH466" s="340"/>
      <c r="AI466" s="340"/>
      <c r="AJ466" s="340"/>
      <c r="AK466" s="340"/>
      <c r="AL466" s="340"/>
    </row>
    <row r="467" spans="11:38" ht="12.75" customHeight="1" x14ac:dyDescent="0.25"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  <c r="AE467" s="340"/>
      <c r="AF467" s="340"/>
      <c r="AG467" s="340"/>
      <c r="AH467" s="340"/>
      <c r="AI467" s="340"/>
      <c r="AJ467" s="340"/>
      <c r="AK467" s="340"/>
      <c r="AL467" s="340"/>
    </row>
    <row r="468" spans="11:38" ht="12.75" customHeight="1" x14ac:dyDescent="0.25"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  <c r="AE468" s="340"/>
      <c r="AF468" s="340"/>
      <c r="AG468" s="340"/>
      <c r="AH468" s="340"/>
      <c r="AI468" s="340"/>
      <c r="AJ468" s="340"/>
      <c r="AK468" s="340"/>
      <c r="AL468" s="340"/>
    </row>
    <row r="469" spans="11:38" ht="12.75" customHeight="1" x14ac:dyDescent="0.25"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  <c r="AE469" s="340"/>
      <c r="AF469" s="340"/>
      <c r="AG469" s="340"/>
      <c r="AH469" s="340"/>
      <c r="AI469" s="340"/>
      <c r="AJ469" s="340"/>
      <c r="AK469" s="340"/>
      <c r="AL469" s="340"/>
    </row>
    <row r="470" spans="11:38" ht="12.75" customHeight="1" x14ac:dyDescent="0.25"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  <c r="AE470" s="340"/>
      <c r="AF470" s="340"/>
      <c r="AG470" s="340"/>
      <c r="AH470" s="340"/>
      <c r="AI470" s="340"/>
      <c r="AJ470" s="340"/>
      <c r="AK470" s="340"/>
      <c r="AL470" s="340"/>
    </row>
    <row r="471" spans="11:38" ht="12.75" customHeight="1" x14ac:dyDescent="0.25"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  <c r="AE471" s="340"/>
      <c r="AF471" s="340"/>
      <c r="AG471" s="340"/>
      <c r="AH471" s="340"/>
      <c r="AI471" s="340"/>
      <c r="AJ471" s="340"/>
      <c r="AK471" s="340"/>
      <c r="AL471" s="340"/>
    </row>
    <row r="472" spans="11:38" ht="12.75" customHeight="1" x14ac:dyDescent="0.25"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  <c r="AE472" s="340"/>
      <c r="AF472" s="340"/>
      <c r="AG472" s="340"/>
      <c r="AH472" s="340"/>
      <c r="AI472" s="340"/>
      <c r="AJ472" s="340"/>
      <c r="AK472" s="340"/>
      <c r="AL472" s="340"/>
    </row>
    <row r="473" spans="11:38" ht="12.75" customHeight="1" x14ac:dyDescent="0.25"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  <c r="AG473" s="340"/>
      <c r="AH473" s="340"/>
      <c r="AI473" s="340"/>
      <c r="AJ473" s="340"/>
      <c r="AK473" s="340"/>
      <c r="AL473" s="340"/>
    </row>
    <row r="474" spans="11:38" ht="12.75" customHeight="1" x14ac:dyDescent="0.25"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  <c r="AG474" s="340"/>
      <c r="AH474" s="340"/>
      <c r="AI474" s="340"/>
      <c r="AJ474" s="340"/>
      <c r="AK474" s="340"/>
      <c r="AL474" s="340"/>
    </row>
    <row r="475" spans="11:38" ht="12.75" customHeight="1" x14ac:dyDescent="0.25"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  <c r="AG475" s="340"/>
      <c r="AH475" s="340"/>
      <c r="AI475" s="340"/>
      <c r="AJ475" s="340"/>
      <c r="AK475" s="340"/>
      <c r="AL475" s="340"/>
    </row>
    <row r="476" spans="11:38" ht="12.75" customHeight="1" x14ac:dyDescent="0.25"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  <c r="AG476" s="340"/>
      <c r="AH476" s="340"/>
      <c r="AI476" s="340"/>
      <c r="AJ476" s="340"/>
      <c r="AK476" s="340"/>
      <c r="AL476" s="340"/>
    </row>
    <row r="477" spans="11:38" ht="12.75" customHeight="1" x14ac:dyDescent="0.25"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  <c r="AG477" s="340"/>
      <c r="AH477" s="340"/>
      <c r="AI477" s="340"/>
      <c r="AJ477" s="340"/>
      <c r="AK477" s="340"/>
      <c r="AL477" s="340"/>
    </row>
    <row r="478" spans="11:38" ht="12.75" customHeight="1" x14ac:dyDescent="0.25"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  <c r="AG478" s="340"/>
      <c r="AH478" s="340"/>
      <c r="AI478" s="340"/>
      <c r="AJ478" s="340"/>
      <c r="AK478" s="340"/>
      <c r="AL478" s="340"/>
    </row>
    <row r="479" spans="11:38" ht="12.75" customHeight="1" x14ac:dyDescent="0.25"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  <c r="AG479" s="340"/>
      <c r="AH479" s="340"/>
      <c r="AI479" s="340"/>
      <c r="AJ479" s="340"/>
      <c r="AK479" s="340"/>
      <c r="AL479" s="340"/>
    </row>
    <row r="480" spans="11:38" ht="12.75" customHeight="1" x14ac:dyDescent="0.25"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  <c r="AG480" s="340"/>
      <c r="AH480" s="340"/>
      <c r="AI480" s="340"/>
      <c r="AJ480" s="340"/>
      <c r="AK480" s="340"/>
      <c r="AL480" s="340"/>
    </row>
    <row r="481" spans="11:38" ht="12.75" customHeight="1" x14ac:dyDescent="0.25"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  <c r="AG481" s="340"/>
      <c r="AH481" s="340"/>
      <c r="AI481" s="340"/>
      <c r="AJ481" s="340"/>
      <c r="AK481" s="340"/>
      <c r="AL481" s="340"/>
    </row>
    <row r="482" spans="11:38" ht="12.75" customHeight="1" x14ac:dyDescent="0.25"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  <c r="AG482" s="340"/>
      <c r="AH482" s="340"/>
      <c r="AI482" s="340"/>
      <c r="AJ482" s="340"/>
      <c r="AK482" s="340"/>
      <c r="AL482" s="340"/>
    </row>
    <row r="483" spans="11:38" ht="12.75" customHeight="1" x14ac:dyDescent="0.25"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  <c r="AG483" s="340"/>
      <c r="AH483" s="340"/>
      <c r="AI483" s="340"/>
      <c r="AJ483" s="340"/>
      <c r="AK483" s="340"/>
      <c r="AL483" s="340"/>
    </row>
    <row r="484" spans="11:38" ht="12.75" customHeight="1" x14ac:dyDescent="0.25"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  <c r="AG484" s="340"/>
      <c r="AH484" s="340"/>
      <c r="AI484" s="340"/>
      <c r="AJ484" s="340"/>
      <c r="AK484" s="340"/>
      <c r="AL484" s="340"/>
    </row>
    <row r="485" spans="11:38" ht="12.75" customHeight="1" x14ac:dyDescent="0.25"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  <c r="AG485" s="340"/>
      <c r="AH485" s="340"/>
      <c r="AI485" s="340"/>
      <c r="AJ485" s="340"/>
      <c r="AK485" s="340"/>
      <c r="AL485" s="340"/>
    </row>
    <row r="486" spans="11:38" ht="12.75" customHeight="1" x14ac:dyDescent="0.25"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  <c r="AG486" s="340"/>
      <c r="AH486" s="340"/>
      <c r="AI486" s="340"/>
      <c r="AJ486" s="340"/>
      <c r="AK486" s="340"/>
      <c r="AL486" s="340"/>
    </row>
    <row r="487" spans="11:38" ht="12.75" customHeight="1" x14ac:dyDescent="0.25"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  <c r="AG487" s="340"/>
      <c r="AH487" s="340"/>
      <c r="AI487" s="340"/>
      <c r="AJ487" s="340"/>
      <c r="AK487" s="340"/>
      <c r="AL487" s="340"/>
    </row>
    <row r="488" spans="11:38" ht="12.75" customHeight="1" x14ac:dyDescent="0.25"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  <c r="AG488" s="340"/>
      <c r="AH488" s="340"/>
      <c r="AI488" s="340"/>
      <c r="AJ488" s="340"/>
      <c r="AK488" s="340"/>
      <c r="AL488" s="340"/>
    </row>
    <row r="489" spans="11:38" ht="12.75" customHeight="1" x14ac:dyDescent="0.25"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  <c r="AG489" s="340"/>
      <c r="AH489" s="340"/>
      <c r="AI489" s="340"/>
      <c r="AJ489" s="340"/>
      <c r="AK489" s="340"/>
      <c r="AL489" s="340"/>
    </row>
    <row r="490" spans="11:38" ht="12.75" customHeight="1" x14ac:dyDescent="0.25"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</row>
    <row r="491" spans="11:38" ht="12.75" customHeight="1" x14ac:dyDescent="0.25"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  <c r="AG491" s="340"/>
      <c r="AH491" s="340"/>
      <c r="AI491" s="340"/>
      <c r="AJ491" s="340"/>
      <c r="AK491" s="340"/>
      <c r="AL491" s="340"/>
    </row>
    <row r="492" spans="11:38" ht="12.75" customHeight="1" x14ac:dyDescent="0.25"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</row>
    <row r="493" spans="11:38" ht="12.75" customHeight="1" x14ac:dyDescent="0.25"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</row>
    <row r="494" spans="11:38" ht="12.75" customHeight="1" x14ac:dyDescent="0.25"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</row>
    <row r="495" spans="11:38" ht="12.75" customHeight="1" x14ac:dyDescent="0.25"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</row>
    <row r="496" spans="11:38" ht="12.75" customHeight="1" x14ac:dyDescent="0.25"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</row>
    <row r="497" spans="11:38" ht="12.75" customHeight="1" x14ac:dyDescent="0.25"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</row>
    <row r="498" spans="11:38" ht="12.75" customHeight="1" x14ac:dyDescent="0.25"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</row>
    <row r="499" spans="11:38" ht="12.75" customHeight="1" x14ac:dyDescent="0.25"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</row>
    <row r="500" spans="11:38" ht="12.75" customHeight="1" x14ac:dyDescent="0.25"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</row>
    <row r="501" spans="11:38" ht="12.75" customHeight="1" x14ac:dyDescent="0.25"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</row>
    <row r="502" spans="11:38" ht="12.75" customHeight="1" x14ac:dyDescent="0.25"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</row>
    <row r="503" spans="11:38" ht="12.75" customHeight="1" x14ac:dyDescent="0.25"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</row>
    <row r="504" spans="11:38" ht="12.75" customHeight="1" x14ac:dyDescent="0.25"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</row>
    <row r="505" spans="11:38" ht="12.75" customHeight="1" x14ac:dyDescent="0.25"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</row>
    <row r="506" spans="11:38" ht="12.75" customHeight="1" x14ac:dyDescent="0.25"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</row>
    <row r="507" spans="11:38" ht="12.75" customHeight="1" x14ac:dyDescent="0.25"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</row>
    <row r="508" spans="11:38" ht="12.75" customHeight="1" x14ac:dyDescent="0.25"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</row>
    <row r="509" spans="11:38" ht="12.75" customHeight="1" x14ac:dyDescent="0.25"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</row>
    <row r="510" spans="11:38" ht="12.75" customHeight="1" x14ac:dyDescent="0.25"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</row>
    <row r="511" spans="11:38" ht="12.75" customHeight="1" x14ac:dyDescent="0.25"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</row>
    <row r="512" spans="11:38" ht="12.75" customHeight="1" x14ac:dyDescent="0.25"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</row>
    <row r="513" spans="11:38" ht="12.75" customHeight="1" x14ac:dyDescent="0.25"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</row>
    <row r="514" spans="11:38" ht="12.75" customHeight="1" x14ac:dyDescent="0.25"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</row>
    <row r="515" spans="11:38" ht="12.75" customHeight="1" x14ac:dyDescent="0.25"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</row>
    <row r="516" spans="11:38" ht="12.75" customHeight="1" x14ac:dyDescent="0.25"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</row>
    <row r="517" spans="11:38" ht="12.75" customHeight="1" x14ac:dyDescent="0.25"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</row>
    <row r="518" spans="11:38" ht="12.75" customHeight="1" x14ac:dyDescent="0.25"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</row>
    <row r="519" spans="11:38" ht="12.75" customHeight="1" x14ac:dyDescent="0.25"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</row>
    <row r="520" spans="11:38" ht="12.75" customHeight="1" x14ac:dyDescent="0.25"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</row>
    <row r="521" spans="11:38" ht="12.75" customHeight="1" x14ac:dyDescent="0.25"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</row>
    <row r="522" spans="11:38" ht="12.75" customHeight="1" x14ac:dyDescent="0.25"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</row>
    <row r="523" spans="11:38" ht="12.75" customHeight="1" x14ac:dyDescent="0.25"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</row>
    <row r="524" spans="11:38" ht="12.75" customHeight="1" x14ac:dyDescent="0.25"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</row>
    <row r="525" spans="11:38" ht="12.75" customHeight="1" x14ac:dyDescent="0.25"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</row>
    <row r="526" spans="11:38" ht="12.75" customHeight="1" x14ac:dyDescent="0.25"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</row>
    <row r="527" spans="11:38" ht="12.75" customHeight="1" x14ac:dyDescent="0.25"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</row>
    <row r="528" spans="11:38" ht="12.75" customHeight="1" x14ac:dyDescent="0.25"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</row>
    <row r="529" spans="11:38" ht="12.75" customHeight="1" x14ac:dyDescent="0.25"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</row>
    <row r="530" spans="11:38" ht="12.75" customHeight="1" x14ac:dyDescent="0.25"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</row>
    <row r="531" spans="11:38" ht="12.75" customHeight="1" x14ac:dyDescent="0.25"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</row>
    <row r="532" spans="11:38" ht="12.75" customHeight="1" x14ac:dyDescent="0.25"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</row>
    <row r="533" spans="11:38" ht="12.75" customHeight="1" x14ac:dyDescent="0.25"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</row>
    <row r="534" spans="11:38" ht="12.75" customHeight="1" x14ac:dyDescent="0.25"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</row>
    <row r="535" spans="11:38" ht="12.75" customHeight="1" x14ac:dyDescent="0.25"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</row>
    <row r="536" spans="11:38" ht="12.75" customHeight="1" x14ac:dyDescent="0.25"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</row>
    <row r="537" spans="11:38" ht="12.75" customHeight="1" x14ac:dyDescent="0.25"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</row>
    <row r="538" spans="11:38" ht="12.75" customHeight="1" x14ac:dyDescent="0.25"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</row>
    <row r="539" spans="11:38" ht="12.75" customHeight="1" x14ac:dyDescent="0.25"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</row>
    <row r="540" spans="11:38" ht="12.75" customHeight="1" x14ac:dyDescent="0.25"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</row>
    <row r="541" spans="11:38" ht="12.75" customHeight="1" x14ac:dyDescent="0.25"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</row>
    <row r="542" spans="11:38" ht="12.75" customHeight="1" x14ac:dyDescent="0.25"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</row>
    <row r="543" spans="11:38" ht="12.75" customHeight="1" x14ac:dyDescent="0.25"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</row>
    <row r="544" spans="11:38" ht="12.75" customHeight="1" x14ac:dyDescent="0.25"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</row>
    <row r="545" spans="11:38" ht="12.75" customHeight="1" x14ac:dyDescent="0.25"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</row>
    <row r="546" spans="11:38" ht="12.75" customHeight="1" x14ac:dyDescent="0.25"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</row>
    <row r="547" spans="11:38" ht="12.75" customHeight="1" x14ac:dyDescent="0.25"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</row>
    <row r="548" spans="11:38" ht="12.75" customHeight="1" x14ac:dyDescent="0.25"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</row>
    <row r="549" spans="11:38" ht="12.75" customHeight="1" x14ac:dyDescent="0.25"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</row>
    <row r="550" spans="11:38" ht="12.75" customHeight="1" x14ac:dyDescent="0.25"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</row>
    <row r="551" spans="11:38" ht="12.75" customHeight="1" x14ac:dyDescent="0.25"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</row>
    <row r="552" spans="11:38" ht="12.75" customHeight="1" x14ac:dyDescent="0.25"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</row>
    <row r="553" spans="11:38" ht="12.75" customHeight="1" x14ac:dyDescent="0.25"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</row>
    <row r="554" spans="11:38" ht="12.75" customHeight="1" x14ac:dyDescent="0.25"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</row>
    <row r="555" spans="11:38" ht="12.75" customHeight="1" x14ac:dyDescent="0.25"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</row>
    <row r="556" spans="11:38" ht="12.75" customHeight="1" x14ac:dyDescent="0.25"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</row>
    <row r="557" spans="11:38" ht="12.75" customHeight="1" x14ac:dyDescent="0.25"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</row>
    <row r="558" spans="11:38" ht="12.75" customHeight="1" x14ac:dyDescent="0.25"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</row>
    <row r="559" spans="11:38" ht="12.75" customHeight="1" x14ac:dyDescent="0.25"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</row>
    <row r="560" spans="11:38" ht="12.75" customHeight="1" x14ac:dyDescent="0.25"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</row>
    <row r="561" spans="11:38" ht="12.75" customHeight="1" x14ac:dyDescent="0.25"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</row>
    <row r="562" spans="11:38" ht="12.75" customHeight="1" x14ac:dyDescent="0.25"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</row>
    <row r="563" spans="11:38" ht="12.75" customHeight="1" x14ac:dyDescent="0.25"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</row>
    <row r="564" spans="11:38" ht="12.75" customHeight="1" x14ac:dyDescent="0.25"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</row>
    <row r="565" spans="11:38" ht="12.75" customHeight="1" x14ac:dyDescent="0.25"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</row>
    <row r="566" spans="11:38" ht="12.75" customHeight="1" x14ac:dyDescent="0.25"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</row>
    <row r="567" spans="11:38" ht="12.75" customHeight="1" x14ac:dyDescent="0.25"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</row>
    <row r="568" spans="11:38" ht="12.75" customHeight="1" x14ac:dyDescent="0.25"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</row>
    <row r="569" spans="11:38" ht="12.75" customHeight="1" x14ac:dyDescent="0.25"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</row>
    <row r="570" spans="11:38" ht="12.75" customHeight="1" x14ac:dyDescent="0.25"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</row>
    <row r="571" spans="11:38" ht="12.75" customHeight="1" x14ac:dyDescent="0.25"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</row>
    <row r="572" spans="11:38" ht="12.75" customHeight="1" x14ac:dyDescent="0.25"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</row>
    <row r="573" spans="11:38" ht="12.75" customHeight="1" x14ac:dyDescent="0.25"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</row>
    <row r="574" spans="11:38" ht="12.75" customHeight="1" x14ac:dyDescent="0.25"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</row>
    <row r="575" spans="11:38" ht="12.75" customHeight="1" x14ac:dyDescent="0.25"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</row>
    <row r="576" spans="11:38" ht="12.75" customHeight="1" x14ac:dyDescent="0.25"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</row>
    <row r="577" spans="11:38" ht="12.75" customHeight="1" x14ac:dyDescent="0.25"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</row>
    <row r="578" spans="11:38" ht="12.75" customHeight="1" x14ac:dyDescent="0.25"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</row>
    <row r="579" spans="11:38" ht="12.75" customHeight="1" x14ac:dyDescent="0.25"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</row>
    <row r="580" spans="11:38" ht="12.75" customHeight="1" x14ac:dyDescent="0.25"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</row>
    <row r="581" spans="11:38" ht="12.75" customHeight="1" x14ac:dyDescent="0.25"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</row>
    <row r="582" spans="11:38" ht="12.75" customHeight="1" x14ac:dyDescent="0.25"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</row>
    <row r="583" spans="11:38" ht="12.75" customHeight="1" x14ac:dyDescent="0.25"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</row>
    <row r="584" spans="11:38" ht="12.75" customHeight="1" x14ac:dyDescent="0.25"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</row>
    <row r="585" spans="11:38" ht="12.75" customHeight="1" x14ac:dyDescent="0.25"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</row>
    <row r="586" spans="11:38" ht="12.75" customHeight="1" x14ac:dyDescent="0.25"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</row>
    <row r="587" spans="11:38" ht="12.75" customHeight="1" x14ac:dyDescent="0.25"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</row>
    <row r="588" spans="11:38" ht="12.75" customHeight="1" x14ac:dyDescent="0.25"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</row>
    <row r="589" spans="11:38" ht="12.75" customHeight="1" x14ac:dyDescent="0.25"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</row>
    <row r="590" spans="11:38" ht="12.75" customHeight="1" x14ac:dyDescent="0.25"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</row>
    <row r="591" spans="11:38" ht="12.75" customHeight="1" x14ac:dyDescent="0.25"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</row>
    <row r="592" spans="11:38" ht="12.75" customHeight="1" x14ac:dyDescent="0.25"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</row>
    <row r="593" spans="11:38" ht="12.75" customHeight="1" x14ac:dyDescent="0.25"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</row>
    <row r="594" spans="11:38" ht="12.75" customHeight="1" x14ac:dyDescent="0.25"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</row>
    <row r="595" spans="11:38" ht="12.75" customHeight="1" x14ac:dyDescent="0.25"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</row>
    <row r="596" spans="11:38" ht="12.75" customHeight="1" x14ac:dyDescent="0.25"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</row>
    <row r="597" spans="11:38" ht="12.75" customHeight="1" x14ac:dyDescent="0.25"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</row>
    <row r="598" spans="11:38" ht="12.75" customHeight="1" x14ac:dyDescent="0.25"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</row>
    <row r="599" spans="11:38" ht="12.75" customHeight="1" x14ac:dyDescent="0.25"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</row>
    <row r="600" spans="11:38" ht="12.75" customHeight="1" x14ac:dyDescent="0.25"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</row>
    <row r="601" spans="11:38" ht="12.75" customHeight="1" x14ac:dyDescent="0.25"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</row>
    <row r="602" spans="11:38" ht="12.75" customHeight="1" x14ac:dyDescent="0.25"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</row>
    <row r="603" spans="11:38" ht="12.75" customHeight="1" x14ac:dyDescent="0.25"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</row>
    <row r="604" spans="11:38" ht="12.75" customHeight="1" x14ac:dyDescent="0.25"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</row>
    <row r="605" spans="11:38" ht="12.75" customHeight="1" x14ac:dyDescent="0.25"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</row>
    <row r="606" spans="11:38" ht="12.75" customHeight="1" x14ac:dyDescent="0.25"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</row>
    <row r="607" spans="11:38" ht="12.75" customHeight="1" x14ac:dyDescent="0.25"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</row>
    <row r="608" spans="11:38" ht="12.75" customHeight="1" x14ac:dyDescent="0.25"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</row>
    <row r="609" spans="11:38" ht="12.75" customHeight="1" x14ac:dyDescent="0.25"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</row>
    <row r="610" spans="11:38" ht="12.75" customHeight="1" x14ac:dyDescent="0.25"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</row>
    <row r="611" spans="11:38" ht="12.75" customHeight="1" x14ac:dyDescent="0.25"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</row>
    <row r="612" spans="11:38" ht="12.75" customHeight="1" x14ac:dyDescent="0.25"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</row>
    <row r="613" spans="11:38" ht="12.75" customHeight="1" x14ac:dyDescent="0.25"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</row>
    <row r="614" spans="11:38" ht="12.75" customHeight="1" x14ac:dyDescent="0.25"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</row>
    <row r="615" spans="11:38" ht="12.75" customHeight="1" x14ac:dyDescent="0.25"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</row>
    <row r="616" spans="11:38" ht="12.75" customHeight="1" x14ac:dyDescent="0.25"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</row>
    <row r="617" spans="11:38" ht="12.75" customHeight="1" x14ac:dyDescent="0.25"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</row>
    <row r="618" spans="11:38" ht="12.75" customHeight="1" x14ac:dyDescent="0.25"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</row>
    <row r="619" spans="11:38" ht="12.75" customHeight="1" x14ac:dyDescent="0.25"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</row>
    <row r="620" spans="11:38" ht="12.75" customHeight="1" x14ac:dyDescent="0.25"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</row>
    <row r="621" spans="11:38" ht="12.75" customHeight="1" x14ac:dyDescent="0.25"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</row>
    <row r="622" spans="11:38" ht="12.75" customHeight="1" x14ac:dyDescent="0.25"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</row>
    <row r="623" spans="11:38" ht="12.75" customHeight="1" x14ac:dyDescent="0.25"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</row>
    <row r="624" spans="11:38" ht="12.75" customHeight="1" x14ac:dyDescent="0.25"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</row>
    <row r="625" spans="11:38" ht="12.75" customHeight="1" x14ac:dyDescent="0.25"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</row>
    <row r="626" spans="11:38" ht="12.75" customHeight="1" x14ac:dyDescent="0.25"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</row>
    <row r="627" spans="11:38" ht="12.75" customHeight="1" x14ac:dyDescent="0.25"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</row>
    <row r="628" spans="11:38" ht="12.75" customHeight="1" x14ac:dyDescent="0.25"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</row>
    <row r="629" spans="11:38" ht="12.75" customHeight="1" x14ac:dyDescent="0.25"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</row>
    <row r="630" spans="11:38" ht="12.75" customHeight="1" x14ac:dyDescent="0.25"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</row>
    <row r="631" spans="11:38" ht="12.75" customHeight="1" x14ac:dyDescent="0.25"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</row>
    <row r="632" spans="11:38" ht="12.75" customHeight="1" x14ac:dyDescent="0.25"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</row>
    <row r="633" spans="11:38" ht="12.75" customHeight="1" x14ac:dyDescent="0.25"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</row>
    <row r="634" spans="11:38" ht="12.75" customHeight="1" x14ac:dyDescent="0.25"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</row>
    <row r="635" spans="11:38" ht="12.75" customHeight="1" x14ac:dyDescent="0.25"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</row>
    <row r="636" spans="11:38" ht="12.75" customHeight="1" x14ac:dyDescent="0.25"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</row>
    <row r="637" spans="11:38" ht="12.75" customHeight="1" x14ac:dyDescent="0.25"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</row>
    <row r="638" spans="11:38" ht="12.75" customHeight="1" x14ac:dyDescent="0.25"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</row>
    <row r="639" spans="11:38" ht="12.75" customHeight="1" x14ac:dyDescent="0.25"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</row>
    <row r="640" spans="11:38" ht="12.75" customHeight="1" x14ac:dyDescent="0.25"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</row>
    <row r="641" spans="11:38" ht="12.75" customHeight="1" x14ac:dyDescent="0.25"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</row>
    <row r="642" spans="11:38" ht="12.75" customHeight="1" x14ac:dyDescent="0.25"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</row>
    <row r="643" spans="11:38" ht="12.75" customHeight="1" x14ac:dyDescent="0.25"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</row>
    <row r="644" spans="11:38" ht="12.75" customHeight="1" x14ac:dyDescent="0.25"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</row>
    <row r="645" spans="11:38" ht="12.75" customHeight="1" x14ac:dyDescent="0.25"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</row>
    <row r="646" spans="11:38" ht="12.75" customHeight="1" x14ac:dyDescent="0.25"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</row>
    <row r="647" spans="11:38" ht="12.75" customHeight="1" x14ac:dyDescent="0.25"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</row>
    <row r="648" spans="11:38" ht="12.75" customHeight="1" x14ac:dyDescent="0.25"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</row>
    <row r="649" spans="11:38" ht="12.75" customHeight="1" x14ac:dyDescent="0.25"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</row>
    <row r="650" spans="11:38" ht="12.75" customHeight="1" x14ac:dyDescent="0.25"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</row>
    <row r="651" spans="11:38" ht="12.75" customHeight="1" x14ac:dyDescent="0.25"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</row>
    <row r="652" spans="11:38" ht="12.75" customHeight="1" x14ac:dyDescent="0.25"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</row>
    <row r="653" spans="11:38" ht="12.75" customHeight="1" x14ac:dyDescent="0.25"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</row>
    <row r="654" spans="11:38" ht="12.75" customHeight="1" x14ac:dyDescent="0.25"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</row>
    <row r="655" spans="11:38" ht="12.75" customHeight="1" x14ac:dyDescent="0.25"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</row>
    <row r="656" spans="11:38" ht="12.75" customHeight="1" x14ac:dyDescent="0.25"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</row>
    <row r="657" spans="11:38" ht="12.75" customHeight="1" x14ac:dyDescent="0.25"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</row>
    <row r="658" spans="11:38" ht="12.75" customHeight="1" x14ac:dyDescent="0.25"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</row>
    <row r="659" spans="11:38" ht="12.75" customHeight="1" x14ac:dyDescent="0.25"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</row>
    <row r="660" spans="11:38" ht="12.75" customHeight="1" x14ac:dyDescent="0.25"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</row>
    <row r="661" spans="11:38" ht="12.75" customHeight="1" x14ac:dyDescent="0.25"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</row>
    <row r="662" spans="11:38" ht="12.75" customHeight="1" x14ac:dyDescent="0.25"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</row>
    <row r="663" spans="11:38" ht="12.75" customHeight="1" x14ac:dyDescent="0.25"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</row>
    <row r="664" spans="11:38" ht="12.75" customHeight="1" x14ac:dyDescent="0.25"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</row>
    <row r="665" spans="11:38" ht="12.75" customHeight="1" x14ac:dyDescent="0.25"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</row>
    <row r="666" spans="11:38" ht="12.75" customHeight="1" x14ac:dyDescent="0.25"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</row>
    <row r="667" spans="11:38" ht="12.75" customHeight="1" x14ac:dyDescent="0.25"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</row>
    <row r="668" spans="11:38" ht="12.75" customHeight="1" x14ac:dyDescent="0.25"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</row>
    <row r="669" spans="11:38" ht="12.75" customHeight="1" x14ac:dyDescent="0.25"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</row>
    <row r="670" spans="11:38" ht="12.75" customHeight="1" x14ac:dyDescent="0.25"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</row>
    <row r="671" spans="11:38" ht="12.75" customHeight="1" x14ac:dyDescent="0.25"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</row>
    <row r="672" spans="11:38" ht="12.75" customHeight="1" x14ac:dyDescent="0.25"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</row>
    <row r="673" spans="11:38" ht="12.75" customHeight="1" x14ac:dyDescent="0.25"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</row>
    <row r="674" spans="11:38" ht="12.75" customHeight="1" x14ac:dyDescent="0.25"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</row>
    <row r="675" spans="11:38" ht="12.75" customHeight="1" x14ac:dyDescent="0.25"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</row>
    <row r="676" spans="11:38" ht="12.75" customHeight="1" x14ac:dyDescent="0.25"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</row>
    <row r="677" spans="11:38" ht="12.75" customHeight="1" x14ac:dyDescent="0.25"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</row>
    <row r="678" spans="11:38" ht="12.75" customHeight="1" x14ac:dyDescent="0.25"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</row>
    <row r="679" spans="11:38" ht="12.75" customHeight="1" x14ac:dyDescent="0.25"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</row>
    <row r="680" spans="11:38" ht="12.75" customHeight="1" x14ac:dyDescent="0.25"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</row>
    <row r="681" spans="11:38" ht="12.75" customHeight="1" x14ac:dyDescent="0.25"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</row>
    <row r="682" spans="11:38" ht="12.75" customHeight="1" x14ac:dyDescent="0.25"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</row>
    <row r="683" spans="11:38" ht="12.75" customHeight="1" x14ac:dyDescent="0.25"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</row>
    <row r="684" spans="11:38" ht="12.75" customHeight="1" x14ac:dyDescent="0.25"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</row>
    <row r="685" spans="11:38" ht="12.75" customHeight="1" x14ac:dyDescent="0.25"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</row>
    <row r="686" spans="11:38" ht="12.75" customHeight="1" x14ac:dyDescent="0.25"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</row>
    <row r="687" spans="11:38" ht="12.75" customHeight="1" x14ac:dyDescent="0.25"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</row>
    <row r="688" spans="11:38" ht="12.75" customHeight="1" x14ac:dyDescent="0.25"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</row>
    <row r="689" spans="11:38" ht="12.75" customHeight="1" x14ac:dyDescent="0.25"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</row>
    <row r="690" spans="11:38" ht="12.75" customHeight="1" x14ac:dyDescent="0.25"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</row>
    <row r="691" spans="11:38" ht="12.75" customHeight="1" x14ac:dyDescent="0.25"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</row>
    <row r="692" spans="11:38" ht="12.75" customHeight="1" x14ac:dyDescent="0.25"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</row>
    <row r="693" spans="11:38" ht="12.75" customHeight="1" x14ac:dyDescent="0.25"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</row>
    <row r="694" spans="11:38" ht="12.75" customHeight="1" x14ac:dyDescent="0.25"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</row>
    <row r="695" spans="11:38" ht="12.75" customHeight="1" x14ac:dyDescent="0.25"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</row>
    <row r="696" spans="11:38" ht="12.75" customHeight="1" x14ac:dyDescent="0.25"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</row>
    <row r="697" spans="11:38" ht="12.75" customHeight="1" x14ac:dyDescent="0.25"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</row>
    <row r="698" spans="11:38" ht="12.75" customHeight="1" x14ac:dyDescent="0.25"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</row>
    <row r="699" spans="11:38" ht="12.75" customHeight="1" x14ac:dyDescent="0.25"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</row>
    <row r="700" spans="11:38" ht="12.75" customHeight="1" x14ac:dyDescent="0.25"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</row>
    <row r="701" spans="11:38" ht="12.75" customHeight="1" x14ac:dyDescent="0.25"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</row>
    <row r="702" spans="11:38" ht="12.75" customHeight="1" x14ac:dyDescent="0.25"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</row>
    <row r="703" spans="11:38" ht="12.75" customHeight="1" x14ac:dyDescent="0.25"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</row>
    <row r="704" spans="11:38" ht="12.75" customHeight="1" x14ac:dyDescent="0.25"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</row>
    <row r="705" spans="11:38" ht="12.75" customHeight="1" x14ac:dyDescent="0.25"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</row>
    <row r="706" spans="11:38" ht="12.75" customHeight="1" x14ac:dyDescent="0.25"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</row>
    <row r="707" spans="11:38" ht="12.75" customHeight="1" x14ac:dyDescent="0.25"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</row>
    <row r="708" spans="11:38" ht="12.75" customHeight="1" x14ac:dyDescent="0.25"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</row>
    <row r="709" spans="11:38" ht="12.75" customHeight="1" x14ac:dyDescent="0.25"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</row>
    <row r="710" spans="11:38" ht="12.75" customHeight="1" x14ac:dyDescent="0.25"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</row>
    <row r="711" spans="11:38" ht="12.75" customHeight="1" x14ac:dyDescent="0.25"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</row>
    <row r="712" spans="11:38" ht="12.75" customHeight="1" x14ac:dyDescent="0.25"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</row>
    <row r="713" spans="11:38" ht="12.75" customHeight="1" x14ac:dyDescent="0.25"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</row>
    <row r="714" spans="11:38" ht="12.75" customHeight="1" x14ac:dyDescent="0.25"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</row>
    <row r="715" spans="11:38" ht="12.75" customHeight="1" x14ac:dyDescent="0.25"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</row>
    <row r="716" spans="11:38" ht="12.75" customHeight="1" x14ac:dyDescent="0.25"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</row>
    <row r="717" spans="11:38" ht="12.75" customHeight="1" x14ac:dyDescent="0.25"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</row>
    <row r="718" spans="11:38" ht="12.75" customHeight="1" x14ac:dyDescent="0.25"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</row>
    <row r="719" spans="11:38" ht="12.75" customHeight="1" x14ac:dyDescent="0.25"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</row>
    <row r="720" spans="11:38" ht="12.75" customHeight="1" x14ac:dyDescent="0.25"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</row>
    <row r="721" spans="11:38" ht="12.75" customHeight="1" x14ac:dyDescent="0.25"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</row>
    <row r="722" spans="11:38" ht="12.75" customHeight="1" x14ac:dyDescent="0.25"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</row>
    <row r="723" spans="11:38" ht="12.75" customHeight="1" x14ac:dyDescent="0.25"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</row>
    <row r="724" spans="11:38" ht="12.75" customHeight="1" x14ac:dyDescent="0.25"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</row>
    <row r="725" spans="11:38" ht="12.75" customHeight="1" x14ac:dyDescent="0.25"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</row>
    <row r="726" spans="11:38" ht="12.75" customHeight="1" x14ac:dyDescent="0.25"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</row>
    <row r="727" spans="11:38" ht="12.75" customHeight="1" x14ac:dyDescent="0.25"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</row>
    <row r="728" spans="11:38" ht="12.75" customHeight="1" x14ac:dyDescent="0.25"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</row>
    <row r="729" spans="11:38" ht="12.75" customHeight="1" x14ac:dyDescent="0.25"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</row>
    <row r="730" spans="11:38" ht="12.75" customHeight="1" x14ac:dyDescent="0.25"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</row>
    <row r="731" spans="11:38" ht="12.75" customHeight="1" x14ac:dyDescent="0.25"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</row>
    <row r="732" spans="11:38" ht="12.75" customHeight="1" x14ac:dyDescent="0.25"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</row>
    <row r="733" spans="11:38" ht="12.75" customHeight="1" x14ac:dyDescent="0.25"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</row>
    <row r="734" spans="11:38" ht="12.75" customHeight="1" x14ac:dyDescent="0.25"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</row>
    <row r="735" spans="11:38" ht="12.75" customHeight="1" x14ac:dyDescent="0.25"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</row>
    <row r="736" spans="11:38" ht="12.75" customHeight="1" x14ac:dyDescent="0.25"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</row>
    <row r="737" spans="11:38" ht="12.75" customHeight="1" x14ac:dyDescent="0.25"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</row>
    <row r="738" spans="11:38" ht="12.75" customHeight="1" x14ac:dyDescent="0.25"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</row>
    <row r="739" spans="11:38" ht="12.75" customHeight="1" x14ac:dyDescent="0.25"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</row>
    <row r="740" spans="11:38" ht="12.75" customHeight="1" x14ac:dyDescent="0.25"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</row>
    <row r="741" spans="11:38" ht="12.75" customHeight="1" x14ac:dyDescent="0.25"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</row>
    <row r="742" spans="11:38" ht="12.75" customHeight="1" x14ac:dyDescent="0.25"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</row>
    <row r="743" spans="11:38" ht="12.75" customHeight="1" x14ac:dyDescent="0.25"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</row>
    <row r="744" spans="11:38" ht="12.75" customHeight="1" x14ac:dyDescent="0.25"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</row>
    <row r="745" spans="11:38" ht="12.75" customHeight="1" x14ac:dyDescent="0.25"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</row>
    <row r="746" spans="11:38" ht="12.75" customHeight="1" x14ac:dyDescent="0.25"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</row>
    <row r="747" spans="11:38" ht="12.75" customHeight="1" x14ac:dyDescent="0.25"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</row>
    <row r="748" spans="11:38" ht="12.75" customHeight="1" x14ac:dyDescent="0.25"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</row>
    <row r="749" spans="11:38" ht="12.75" customHeight="1" x14ac:dyDescent="0.25"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</row>
    <row r="750" spans="11:38" ht="12.75" customHeight="1" x14ac:dyDescent="0.25"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</row>
    <row r="751" spans="11:38" ht="12.75" customHeight="1" x14ac:dyDescent="0.25"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</row>
    <row r="752" spans="11:38" ht="12.75" customHeight="1" x14ac:dyDescent="0.25"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</row>
    <row r="753" spans="11:38" ht="12.75" customHeight="1" x14ac:dyDescent="0.25"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</row>
    <row r="754" spans="11:38" ht="12.75" customHeight="1" x14ac:dyDescent="0.25"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</row>
    <row r="755" spans="11:38" ht="12.75" customHeight="1" x14ac:dyDescent="0.25"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</row>
    <row r="756" spans="11:38" ht="12.75" customHeight="1" x14ac:dyDescent="0.25"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</row>
    <row r="757" spans="11:38" ht="12.75" customHeight="1" x14ac:dyDescent="0.25"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</row>
    <row r="758" spans="11:38" ht="12.75" customHeight="1" x14ac:dyDescent="0.25"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</row>
    <row r="759" spans="11:38" ht="12.75" customHeight="1" x14ac:dyDescent="0.25"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</row>
    <row r="760" spans="11:38" ht="12.75" customHeight="1" x14ac:dyDescent="0.25"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</row>
    <row r="761" spans="11:38" ht="12.75" customHeight="1" x14ac:dyDescent="0.25"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</row>
    <row r="762" spans="11:38" ht="12.75" customHeight="1" x14ac:dyDescent="0.25"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</row>
    <row r="763" spans="11:38" ht="12.75" customHeight="1" x14ac:dyDescent="0.25"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</row>
    <row r="764" spans="11:38" ht="12.75" customHeight="1" x14ac:dyDescent="0.25"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</row>
    <row r="765" spans="11:38" ht="12.75" customHeight="1" x14ac:dyDescent="0.25"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</row>
    <row r="766" spans="11:38" ht="12.75" customHeight="1" x14ac:dyDescent="0.25"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</row>
    <row r="767" spans="11:38" ht="12.75" customHeight="1" x14ac:dyDescent="0.25"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</row>
    <row r="768" spans="11:38" ht="12.75" customHeight="1" x14ac:dyDescent="0.25"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</row>
    <row r="769" spans="11:38" ht="12.75" customHeight="1" x14ac:dyDescent="0.25"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</row>
    <row r="770" spans="11:38" ht="12.75" customHeight="1" x14ac:dyDescent="0.25"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</row>
    <row r="771" spans="11:38" ht="12.75" customHeight="1" x14ac:dyDescent="0.25"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</row>
    <row r="772" spans="11:38" ht="12.75" customHeight="1" x14ac:dyDescent="0.25"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</row>
    <row r="773" spans="11:38" ht="12.75" customHeight="1" x14ac:dyDescent="0.25"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</row>
    <row r="774" spans="11:38" ht="12.75" customHeight="1" x14ac:dyDescent="0.25"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</row>
    <row r="775" spans="11:38" ht="12.75" customHeight="1" x14ac:dyDescent="0.25"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</row>
    <row r="776" spans="11:38" ht="12.75" customHeight="1" x14ac:dyDescent="0.25"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</row>
    <row r="777" spans="11:38" ht="12.75" customHeight="1" x14ac:dyDescent="0.25"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</row>
    <row r="778" spans="11:38" ht="12.75" customHeight="1" x14ac:dyDescent="0.25"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</row>
    <row r="779" spans="11:38" ht="12.75" customHeight="1" x14ac:dyDescent="0.25"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</row>
    <row r="780" spans="11:38" ht="12.75" customHeight="1" x14ac:dyDescent="0.25"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</row>
    <row r="781" spans="11:38" ht="12.75" customHeight="1" x14ac:dyDescent="0.25"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</row>
    <row r="782" spans="11:38" ht="12.75" customHeight="1" x14ac:dyDescent="0.25"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</row>
    <row r="783" spans="11:38" ht="12.75" customHeight="1" x14ac:dyDescent="0.25"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</row>
    <row r="784" spans="11:38" ht="12.75" customHeight="1" x14ac:dyDescent="0.25"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</row>
    <row r="785" spans="11:38" ht="12.75" customHeight="1" x14ac:dyDescent="0.25"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</row>
    <row r="786" spans="11:38" ht="12.75" customHeight="1" x14ac:dyDescent="0.25"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</row>
    <row r="787" spans="11:38" ht="12.75" customHeight="1" x14ac:dyDescent="0.25"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</row>
    <row r="788" spans="11:38" ht="12.75" customHeight="1" x14ac:dyDescent="0.25"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</row>
    <row r="789" spans="11:38" ht="12.75" customHeight="1" x14ac:dyDescent="0.25"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</row>
    <row r="790" spans="11:38" ht="12.75" customHeight="1" x14ac:dyDescent="0.25"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</row>
    <row r="791" spans="11:38" ht="12.75" customHeight="1" x14ac:dyDescent="0.25"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</row>
    <row r="792" spans="11:38" ht="12.75" customHeight="1" x14ac:dyDescent="0.25"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</row>
    <row r="793" spans="11:38" ht="12.75" customHeight="1" x14ac:dyDescent="0.25"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</row>
    <row r="794" spans="11:38" ht="12.75" customHeight="1" x14ac:dyDescent="0.25"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</row>
    <row r="795" spans="11:38" ht="12.75" customHeight="1" x14ac:dyDescent="0.25"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</row>
    <row r="796" spans="11:38" ht="12.75" customHeight="1" x14ac:dyDescent="0.25"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</row>
    <row r="797" spans="11:38" ht="12.75" customHeight="1" x14ac:dyDescent="0.25"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</row>
    <row r="798" spans="11:38" ht="12.75" customHeight="1" x14ac:dyDescent="0.25"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</row>
    <row r="799" spans="11:38" ht="12.75" customHeight="1" x14ac:dyDescent="0.25"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</row>
    <row r="800" spans="11:38" ht="12.75" customHeight="1" x14ac:dyDescent="0.25"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</row>
    <row r="801" spans="11:38" ht="12.75" customHeight="1" x14ac:dyDescent="0.25"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</row>
    <row r="802" spans="11:38" ht="12.75" customHeight="1" x14ac:dyDescent="0.25"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</row>
    <row r="803" spans="11:38" ht="12.75" customHeight="1" x14ac:dyDescent="0.25"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</row>
    <row r="804" spans="11:38" ht="12.75" customHeight="1" x14ac:dyDescent="0.25"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</row>
    <row r="805" spans="11:38" ht="12.75" customHeight="1" x14ac:dyDescent="0.25"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</row>
    <row r="806" spans="11:38" ht="12.75" customHeight="1" x14ac:dyDescent="0.25"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</row>
    <row r="807" spans="11:38" ht="12.75" customHeight="1" x14ac:dyDescent="0.25"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</row>
    <row r="808" spans="11:38" ht="12.75" customHeight="1" x14ac:dyDescent="0.25"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</row>
    <row r="809" spans="11:38" ht="12.75" customHeight="1" x14ac:dyDescent="0.25"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</row>
    <row r="810" spans="11:38" ht="12.75" customHeight="1" x14ac:dyDescent="0.25"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</row>
    <row r="811" spans="11:38" ht="12.75" customHeight="1" x14ac:dyDescent="0.25"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</row>
    <row r="812" spans="11:38" ht="12.75" customHeight="1" x14ac:dyDescent="0.25"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</row>
    <row r="813" spans="11:38" ht="12.75" customHeight="1" x14ac:dyDescent="0.25"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</row>
    <row r="814" spans="11:38" ht="12.75" customHeight="1" x14ac:dyDescent="0.25"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</row>
    <row r="815" spans="11:38" ht="12.75" customHeight="1" x14ac:dyDescent="0.25"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</row>
    <row r="816" spans="11:38" ht="12.75" customHeight="1" x14ac:dyDescent="0.25"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</row>
    <row r="817" spans="11:38" ht="12.75" customHeight="1" x14ac:dyDescent="0.25"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</row>
    <row r="818" spans="11:38" ht="12.75" customHeight="1" x14ac:dyDescent="0.25"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</row>
    <row r="819" spans="11:38" ht="12.75" customHeight="1" x14ac:dyDescent="0.25"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</row>
    <row r="820" spans="11:38" ht="12.75" customHeight="1" x14ac:dyDescent="0.25"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</row>
    <row r="821" spans="11:38" ht="12.75" customHeight="1" x14ac:dyDescent="0.25"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</row>
    <row r="822" spans="11:38" ht="12.75" customHeight="1" x14ac:dyDescent="0.25"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</row>
    <row r="823" spans="11:38" ht="12.75" customHeight="1" x14ac:dyDescent="0.25"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</row>
    <row r="824" spans="11:38" ht="12.75" customHeight="1" x14ac:dyDescent="0.25"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</row>
    <row r="825" spans="11:38" ht="12.75" customHeight="1" x14ac:dyDescent="0.25"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</row>
    <row r="826" spans="11:38" ht="12.75" customHeight="1" x14ac:dyDescent="0.25"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</row>
    <row r="827" spans="11:38" ht="12.75" customHeight="1" x14ac:dyDescent="0.25"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</row>
    <row r="828" spans="11:38" ht="12.75" customHeight="1" x14ac:dyDescent="0.25"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</row>
    <row r="829" spans="11:38" ht="12.75" customHeight="1" x14ac:dyDescent="0.25"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</row>
    <row r="830" spans="11:38" ht="12.75" customHeight="1" x14ac:dyDescent="0.25"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</row>
    <row r="831" spans="11:38" ht="12.75" customHeight="1" x14ac:dyDescent="0.25"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</row>
    <row r="832" spans="11:38" ht="12.75" customHeight="1" x14ac:dyDescent="0.25"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</row>
    <row r="833" spans="11:38" ht="12.75" customHeight="1" x14ac:dyDescent="0.25"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</row>
    <row r="834" spans="11:38" ht="12.75" customHeight="1" x14ac:dyDescent="0.25"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</row>
    <row r="835" spans="11:38" ht="12.75" customHeight="1" x14ac:dyDescent="0.25"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</row>
    <row r="836" spans="11:38" ht="12.75" customHeight="1" x14ac:dyDescent="0.25"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</row>
    <row r="837" spans="11:38" ht="12.75" customHeight="1" x14ac:dyDescent="0.25"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</row>
    <row r="838" spans="11:38" ht="12.75" customHeight="1" x14ac:dyDescent="0.25"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</row>
    <row r="839" spans="11:38" ht="12.75" customHeight="1" x14ac:dyDescent="0.25"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</row>
    <row r="840" spans="11:38" ht="12.75" customHeight="1" x14ac:dyDescent="0.25"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</row>
    <row r="841" spans="11:38" ht="12.75" customHeight="1" x14ac:dyDescent="0.25"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</row>
    <row r="842" spans="11:38" ht="12.75" customHeight="1" x14ac:dyDescent="0.25"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</row>
    <row r="843" spans="11:38" ht="12.75" customHeight="1" x14ac:dyDescent="0.25"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</row>
    <row r="844" spans="11:38" ht="12.75" customHeight="1" x14ac:dyDescent="0.25"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</row>
    <row r="845" spans="11:38" ht="12.75" customHeight="1" x14ac:dyDescent="0.25"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</row>
    <row r="846" spans="11:38" ht="12.75" customHeight="1" x14ac:dyDescent="0.25"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</row>
    <row r="847" spans="11:38" ht="12.75" customHeight="1" x14ac:dyDescent="0.25"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</row>
    <row r="848" spans="11:38" ht="12.75" customHeight="1" x14ac:dyDescent="0.25"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</row>
    <row r="849" spans="11:38" ht="12.75" customHeight="1" x14ac:dyDescent="0.25"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</row>
    <row r="850" spans="11:38" ht="12.75" customHeight="1" x14ac:dyDescent="0.25"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</row>
    <row r="851" spans="11:38" ht="12.75" customHeight="1" x14ac:dyDescent="0.25"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</row>
    <row r="852" spans="11:38" ht="12.75" customHeight="1" x14ac:dyDescent="0.25"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</row>
    <row r="853" spans="11:38" ht="12.75" customHeight="1" x14ac:dyDescent="0.25"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</row>
    <row r="854" spans="11:38" ht="12.75" customHeight="1" x14ac:dyDescent="0.25"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</row>
    <row r="855" spans="11:38" ht="12.75" customHeight="1" x14ac:dyDescent="0.25"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</row>
    <row r="856" spans="11:38" ht="12.75" customHeight="1" x14ac:dyDescent="0.25"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</row>
    <row r="857" spans="11:38" ht="12.75" customHeight="1" x14ac:dyDescent="0.25"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</row>
    <row r="858" spans="11:38" ht="12.75" customHeight="1" x14ac:dyDescent="0.25"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</row>
    <row r="859" spans="11:38" ht="12.75" customHeight="1" x14ac:dyDescent="0.25"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</row>
    <row r="860" spans="11:38" ht="12.75" customHeight="1" x14ac:dyDescent="0.25"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</row>
    <row r="861" spans="11:38" ht="12.75" customHeight="1" x14ac:dyDescent="0.25"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</row>
    <row r="862" spans="11:38" ht="12.75" customHeight="1" x14ac:dyDescent="0.25"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</row>
    <row r="863" spans="11:38" ht="12.75" customHeight="1" x14ac:dyDescent="0.25"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</row>
    <row r="864" spans="11:38" ht="12.75" customHeight="1" x14ac:dyDescent="0.25"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</row>
    <row r="865" spans="11:38" ht="12.75" customHeight="1" x14ac:dyDescent="0.25"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</row>
    <row r="866" spans="11:38" ht="12.75" customHeight="1" x14ac:dyDescent="0.25"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</row>
    <row r="867" spans="11:38" ht="12.75" customHeight="1" x14ac:dyDescent="0.25"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</row>
    <row r="868" spans="11:38" ht="12.75" customHeight="1" x14ac:dyDescent="0.25"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</row>
    <row r="869" spans="11:38" ht="12.75" customHeight="1" x14ac:dyDescent="0.25"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</row>
    <row r="870" spans="11:38" ht="12.75" customHeight="1" x14ac:dyDescent="0.25"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</row>
    <row r="871" spans="11:38" ht="12.75" customHeight="1" x14ac:dyDescent="0.25"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</row>
    <row r="872" spans="11:38" ht="12.75" customHeight="1" x14ac:dyDescent="0.25"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</row>
    <row r="873" spans="11:38" ht="12.75" customHeight="1" x14ac:dyDescent="0.25"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</row>
    <row r="874" spans="11:38" ht="12.75" customHeight="1" x14ac:dyDescent="0.25"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</row>
    <row r="875" spans="11:38" ht="12.75" customHeight="1" x14ac:dyDescent="0.25"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</row>
    <row r="876" spans="11:38" ht="12.75" customHeight="1" x14ac:dyDescent="0.25"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</row>
    <row r="877" spans="11:38" ht="12.75" customHeight="1" x14ac:dyDescent="0.25"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</row>
    <row r="878" spans="11:38" ht="12.75" customHeight="1" x14ac:dyDescent="0.25"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</row>
    <row r="879" spans="11:38" ht="12.75" customHeight="1" x14ac:dyDescent="0.25"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</row>
    <row r="880" spans="11:38" ht="12.75" customHeight="1" x14ac:dyDescent="0.25"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</row>
    <row r="881" spans="11:38" ht="12.75" customHeight="1" x14ac:dyDescent="0.25"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</row>
    <row r="882" spans="11:38" ht="12.75" customHeight="1" x14ac:dyDescent="0.25"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</row>
    <row r="883" spans="11:38" ht="12.75" customHeight="1" x14ac:dyDescent="0.25"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</row>
    <row r="884" spans="11:38" ht="12.75" customHeight="1" x14ac:dyDescent="0.25"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</row>
    <row r="885" spans="11:38" ht="12.75" customHeight="1" x14ac:dyDescent="0.25"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</row>
    <row r="886" spans="11:38" ht="12.75" customHeight="1" x14ac:dyDescent="0.25"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</row>
    <row r="887" spans="11:38" ht="12.75" customHeight="1" x14ac:dyDescent="0.25"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</row>
    <row r="888" spans="11:38" ht="12.75" customHeight="1" x14ac:dyDescent="0.25"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</row>
    <row r="889" spans="11:38" ht="12.75" customHeight="1" x14ac:dyDescent="0.25"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</row>
    <row r="890" spans="11:38" ht="12.75" customHeight="1" x14ac:dyDescent="0.25"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</row>
    <row r="891" spans="11:38" ht="12.75" customHeight="1" x14ac:dyDescent="0.25"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</row>
    <row r="892" spans="11:38" ht="12.75" customHeight="1" x14ac:dyDescent="0.25"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</row>
    <row r="893" spans="11:38" ht="12.75" customHeight="1" x14ac:dyDescent="0.25"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</row>
    <row r="894" spans="11:38" ht="12.75" customHeight="1" x14ac:dyDescent="0.25"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</row>
    <row r="895" spans="11:38" ht="12.75" customHeight="1" x14ac:dyDescent="0.25"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</row>
    <row r="896" spans="11:38" ht="12.75" customHeight="1" x14ac:dyDescent="0.25"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</row>
    <row r="897" spans="11:38" ht="12.75" customHeight="1" x14ac:dyDescent="0.25"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</row>
    <row r="898" spans="11:38" ht="12.75" customHeight="1" x14ac:dyDescent="0.25"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</row>
    <row r="899" spans="11:38" ht="12.75" customHeight="1" x14ac:dyDescent="0.25"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</row>
    <row r="900" spans="11:38" ht="12.75" customHeight="1" x14ac:dyDescent="0.25"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</row>
    <row r="901" spans="11:38" ht="12.75" customHeight="1" x14ac:dyDescent="0.25"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</row>
    <row r="902" spans="11:38" ht="12.75" customHeight="1" x14ac:dyDescent="0.25"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</row>
    <row r="903" spans="11:38" ht="12.75" customHeight="1" x14ac:dyDescent="0.25"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</row>
    <row r="904" spans="11:38" ht="12.75" customHeight="1" x14ac:dyDescent="0.25"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</row>
    <row r="905" spans="11:38" ht="12.75" customHeight="1" x14ac:dyDescent="0.25"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</row>
    <row r="906" spans="11:38" ht="12.75" customHeight="1" x14ac:dyDescent="0.25"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</row>
    <row r="907" spans="11:38" ht="12.75" customHeight="1" x14ac:dyDescent="0.25"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</row>
    <row r="908" spans="11:38" ht="12.75" customHeight="1" x14ac:dyDescent="0.25"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</row>
    <row r="909" spans="11:38" ht="12.75" customHeight="1" x14ac:dyDescent="0.25"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</row>
    <row r="910" spans="11:38" ht="12.75" customHeight="1" x14ac:dyDescent="0.25"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</row>
    <row r="911" spans="11:38" ht="12.75" customHeight="1" x14ac:dyDescent="0.25"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</row>
    <row r="912" spans="11:38" ht="12.75" customHeight="1" x14ac:dyDescent="0.25"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</row>
    <row r="913" spans="11:38" ht="12.75" customHeight="1" x14ac:dyDescent="0.25"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</row>
    <row r="914" spans="11:38" ht="12.75" customHeight="1" x14ac:dyDescent="0.25"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</row>
    <row r="915" spans="11:38" ht="12.75" customHeight="1" x14ac:dyDescent="0.25"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</row>
    <row r="916" spans="11:38" ht="12.75" customHeight="1" x14ac:dyDescent="0.25"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</row>
    <row r="917" spans="11:38" ht="12.75" customHeight="1" x14ac:dyDescent="0.25"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</row>
    <row r="918" spans="11:38" ht="12.75" customHeight="1" x14ac:dyDescent="0.25"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</row>
    <row r="919" spans="11:38" ht="12.75" customHeight="1" x14ac:dyDescent="0.25"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</row>
    <row r="920" spans="11:38" ht="12.75" customHeight="1" x14ac:dyDescent="0.25"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</row>
    <row r="921" spans="11:38" ht="12.75" customHeight="1" x14ac:dyDescent="0.25"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</row>
    <row r="922" spans="11:38" ht="12.75" customHeight="1" x14ac:dyDescent="0.25"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</row>
    <row r="923" spans="11:38" ht="12.75" customHeight="1" x14ac:dyDescent="0.25"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</row>
    <row r="924" spans="11:38" ht="12.75" customHeight="1" x14ac:dyDescent="0.25"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</row>
    <row r="925" spans="11:38" ht="12.75" customHeight="1" x14ac:dyDescent="0.25"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</row>
    <row r="926" spans="11:38" ht="12.75" customHeight="1" x14ac:dyDescent="0.25"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</row>
    <row r="927" spans="11:38" ht="12.75" customHeight="1" x14ac:dyDescent="0.25"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</row>
    <row r="928" spans="11:38" ht="12.75" customHeight="1" x14ac:dyDescent="0.25"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</row>
    <row r="929" spans="11:38" ht="12.75" customHeight="1" x14ac:dyDescent="0.25"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</row>
    <row r="930" spans="11:38" ht="12.75" customHeight="1" x14ac:dyDescent="0.25"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</row>
    <row r="931" spans="11:38" ht="12.75" customHeight="1" x14ac:dyDescent="0.25"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</row>
    <row r="932" spans="11:38" ht="12.75" customHeight="1" x14ac:dyDescent="0.25"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</row>
    <row r="933" spans="11:38" ht="12.75" customHeight="1" x14ac:dyDescent="0.25"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</row>
    <row r="934" spans="11:38" ht="12.75" customHeight="1" x14ac:dyDescent="0.25"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</row>
    <row r="935" spans="11:38" ht="12.75" customHeight="1" x14ac:dyDescent="0.25"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</row>
    <row r="936" spans="11:38" ht="12.75" customHeight="1" x14ac:dyDescent="0.25"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</row>
    <row r="937" spans="11:38" ht="12.75" customHeight="1" x14ac:dyDescent="0.25"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</row>
    <row r="938" spans="11:38" ht="12.75" customHeight="1" x14ac:dyDescent="0.25"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</row>
    <row r="939" spans="11:38" ht="12.75" customHeight="1" x14ac:dyDescent="0.25"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</row>
    <row r="940" spans="11:38" ht="12.75" customHeight="1" x14ac:dyDescent="0.25"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</row>
    <row r="941" spans="11:38" ht="12.75" customHeight="1" x14ac:dyDescent="0.25"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</row>
    <row r="942" spans="11:38" ht="12.75" customHeight="1" x14ac:dyDescent="0.25"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</row>
    <row r="943" spans="11:38" ht="12.75" customHeight="1" x14ac:dyDescent="0.25"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</row>
    <row r="944" spans="11:38" ht="12.75" customHeight="1" x14ac:dyDescent="0.25"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</row>
    <row r="945" spans="11:38" ht="12.75" customHeight="1" x14ac:dyDescent="0.25"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</row>
    <row r="946" spans="11:38" ht="12.75" customHeight="1" x14ac:dyDescent="0.25"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</row>
    <row r="947" spans="11:38" ht="12.75" customHeight="1" x14ac:dyDescent="0.25"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</row>
    <row r="948" spans="11:38" ht="12.75" customHeight="1" x14ac:dyDescent="0.25"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</row>
    <row r="949" spans="11:38" ht="12.75" customHeight="1" x14ac:dyDescent="0.25"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</row>
    <row r="950" spans="11:38" ht="12.75" customHeight="1" x14ac:dyDescent="0.25"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</row>
    <row r="951" spans="11:38" ht="12.75" customHeight="1" x14ac:dyDescent="0.25"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</row>
    <row r="952" spans="11:38" ht="12.75" customHeight="1" x14ac:dyDescent="0.25"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</row>
    <row r="953" spans="11:38" ht="12.75" customHeight="1" x14ac:dyDescent="0.25"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</row>
    <row r="954" spans="11:38" ht="12.75" customHeight="1" x14ac:dyDescent="0.25"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</row>
    <row r="955" spans="11:38" ht="12.75" customHeight="1" x14ac:dyDescent="0.25"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</row>
    <row r="956" spans="11:38" ht="12.75" customHeight="1" x14ac:dyDescent="0.25"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</row>
    <row r="957" spans="11:38" ht="12.75" customHeight="1" x14ac:dyDescent="0.25"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</row>
    <row r="958" spans="11:38" ht="12.75" customHeight="1" x14ac:dyDescent="0.25"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</row>
    <row r="959" spans="11:38" ht="12.75" customHeight="1" x14ac:dyDescent="0.25"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</row>
    <row r="960" spans="11:38" ht="12.75" customHeight="1" x14ac:dyDescent="0.25"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</row>
    <row r="961" spans="11:38" ht="12.75" customHeight="1" x14ac:dyDescent="0.25"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</row>
    <row r="962" spans="11:38" ht="12.75" customHeight="1" x14ac:dyDescent="0.25"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</row>
    <row r="963" spans="11:38" ht="12.75" customHeight="1" x14ac:dyDescent="0.25"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</row>
    <row r="964" spans="11:38" ht="12.75" customHeight="1" x14ac:dyDescent="0.25"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</row>
    <row r="965" spans="11:38" ht="12.75" customHeight="1" x14ac:dyDescent="0.25"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</row>
    <row r="966" spans="11:38" ht="12.75" customHeight="1" x14ac:dyDescent="0.25"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</row>
    <row r="967" spans="11:38" ht="12.75" customHeight="1" x14ac:dyDescent="0.25"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</row>
    <row r="968" spans="11:38" ht="12.75" customHeight="1" x14ac:dyDescent="0.25"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</row>
    <row r="969" spans="11:38" ht="12.75" customHeight="1" x14ac:dyDescent="0.25"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</row>
    <row r="970" spans="11:38" ht="12.75" customHeight="1" x14ac:dyDescent="0.25"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</row>
    <row r="971" spans="11:38" ht="12.75" customHeight="1" x14ac:dyDescent="0.25"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</row>
    <row r="972" spans="11:38" ht="12.75" customHeight="1" x14ac:dyDescent="0.25"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</row>
    <row r="973" spans="11:38" ht="12.75" customHeight="1" x14ac:dyDescent="0.25"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</row>
    <row r="974" spans="11:38" ht="12.75" customHeight="1" x14ac:dyDescent="0.25"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</row>
    <row r="975" spans="11:38" ht="12.75" customHeight="1" x14ac:dyDescent="0.25"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</row>
    <row r="976" spans="11:38" ht="12.75" customHeight="1" x14ac:dyDescent="0.25"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</row>
    <row r="977" spans="11:38" ht="12.75" customHeight="1" x14ac:dyDescent="0.25"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</row>
    <row r="978" spans="11:38" ht="12.75" customHeight="1" x14ac:dyDescent="0.25"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</row>
    <row r="979" spans="11:38" ht="12.75" customHeight="1" x14ac:dyDescent="0.25"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</row>
    <row r="980" spans="11:38" ht="12.75" customHeight="1" x14ac:dyDescent="0.25"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</row>
    <row r="981" spans="11:38" ht="12.75" customHeight="1" x14ac:dyDescent="0.25"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</row>
    <row r="982" spans="11:38" ht="12.75" customHeight="1" x14ac:dyDescent="0.25"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</row>
    <row r="983" spans="11:38" ht="12.75" customHeight="1" x14ac:dyDescent="0.25"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</row>
    <row r="984" spans="11:38" ht="12.75" customHeight="1" x14ac:dyDescent="0.25"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</row>
    <row r="985" spans="11:38" ht="12.75" customHeight="1" x14ac:dyDescent="0.25"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</row>
    <row r="986" spans="11:38" ht="12.75" customHeight="1" x14ac:dyDescent="0.25"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</row>
    <row r="987" spans="11:38" ht="12.75" customHeight="1" x14ac:dyDescent="0.25"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</row>
    <row r="988" spans="11:38" ht="12.75" customHeight="1" x14ac:dyDescent="0.25"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</row>
    <row r="989" spans="11:38" ht="12.75" customHeight="1" x14ac:dyDescent="0.25"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</row>
    <row r="990" spans="11:38" ht="12.75" customHeight="1" x14ac:dyDescent="0.25"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</row>
    <row r="991" spans="11:38" ht="12.75" customHeight="1" x14ac:dyDescent="0.25"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</row>
    <row r="992" spans="11:38" ht="12.75" customHeight="1" x14ac:dyDescent="0.25"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</row>
    <row r="993" spans="11:38" ht="12.75" customHeight="1" x14ac:dyDescent="0.25"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</row>
    <row r="994" spans="11:38" ht="12.75" customHeight="1" x14ac:dyDescent="0.25"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</row>
    <row r="995" spans="11:38" ht="12.75" customHeight="1" x14ac:dyDescent="0.25"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</row>
    <row r="996" spans="11:38" ht="12.75" customHeight="1" x14ac:dyDescent="0.25"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</row>
    <row r="997" spans="11:38" ht="12.75" customHeight="1" x14ac:dyDescent="0.25"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</row>
    <row r="998" spans="11:38" ht="12.75" customHeight="1" x14ac:dyDescent="0.25"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</row>
    <row r="999" spans="11:38" ht="12.75" customHeight="1" x14ac:dyDescent="0.25"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</row>
    <row r="1000" spans="11:38" ht="12.75" customHeight="1" x14ac:dyDescent="0.25"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</row>
    <row r="1001" spans="11:38" ht="12.75" customHeight="1" x14ac:dyDescent="0.25">
      <c r="K1001" s="340"/>
      <c r="L1001" s="340"/>
      <c r="M1001" s="340"/>
      <c r="N1001" s="340"/>
      <c r="O1001" s="340"/>
      <c r="P1001" s="340"/>
      <c r="Q1001" s="340"/>
      <c r="R1001" s="340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  <c r="AC1001" s="340"/>
      <c r="AD1001" s="340"/>
      <c r="AE1001" s="340"/>
      <c r="AF1001" s="340"/>
      <c r="AG1001" s="340"/>
      <c r="AH1001" s="340"/>
      <c r="AI1001" s="340"/>
      <c r="AJ1001" s="340"/>
      <c r="AK1001" s="340"/>
      <c r="AL1001" s="340"/>
    </row>
    <row r="1002" spans="11:38" ht="12.75" customHeight="1" x14ac:dyDescent="0.25">
      <c r="K1002" s="340"/>
      <c r="L1002" s="340"/>
      <c r="M1002" s="340"/>
      <c r="N1002" s="340"/>
      <c r="O1002" s="340"/>
      <c r="P1002" s="340"/>
      <c r="Q1002" s="340"/>
      <c r="R1002" s="340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  <c r="AC1002" s="340"/>
      <c r="AD1002" s="340"/>
      <c r="AE1002" s="340"/>
      <c r="AF1002" s="340"/>
      <c r="AG1002" s="340"/>
      <c r="AH1002" s="340"/>
      <c r="AI1002" s="340"/>
      <c r="AJ1002" s="340"/>
      <c r="AK1002" s="340"/>
      <c r="AL1002" s="340"/>
    </row>
    <row r="1003" spans="11:38" ht="12.75" customHeight="1" x14ac:dyDescent="0.25">
      <c r="K1003" s="340"/>
      <c r="L1003" s="340"/>
      <c r="M1003" s="340"/>
      <c r="N1003" s="340"/>
      <c r="O1003" s="340"/>
      <c r="P1003" s="340"/>
      <c r="Q1003" s="340"/>
      <c r="R1003" s="340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  <c r="AC1003" s="340"/>
      <c r="AD1003" s="340"/>
      <c r="AE1003" s="340"/>
      <c r="AF1003" s="340"/>
      <c r="AG1003" s="340"/>
      <c r="AH1003" s="340"/>
      <c r="AI1003" s="340"/>
      <c r="AJ1003" s="340"/>
      <c r="AK1003" s="340"/>
      <c r="AL1003" s="340"/>
    </row>
    <row r="1004" spans="11:38" ht="12.75" customHeight="1" x14ac:dyDescent="0.25">
      <c r="K1004" s="340"/>
      <c r="L1004" s="340"/>
      <c r="M1004" s="340"/>
      <c r="N1004" s="340"/>
      <c r="O1004" s="340"/>
      <c r="P1004" s="340"/>
      <c r="Q1004" s="340"/>
      <c r="R1004" s="340"/>
      <c r="S1004" s="340"/>
      <c r="T1004" s="340"/>
      <c r="U1004" s="340"/>
      <c r="V1004" s="340"/>
      <c r="W1004" s="340"/>
      <c r="X1004" s="340"/>
      <c r="Y1004" s="340"/>
      <c r="Z1004" s="340"/>
      <c r="AA1004" s="340"/>
      <c r="AB1004" s="340"/>
      <c r="AC1004" s="340"/>
      <c r="AD1004" s="340"/>
      <c r="AE1004" s="340"/>
      <c r="AF1004" s="340"/>
      <c r="AG1004" s="340"/>
      <c r="AH1004" s="340"/>
      <c r="AI1004" s="340"/>
      <c r="AJ1004" s="340"/>
      <c r="AK1004" s="340"/>
      <c r="AL1004" s="340"/>
    </row>
    <row r="1005" spans="11:38" ht="12.75" customHeight="1" x14ac:dyDescent="0.25">
      <c r="K1005" s="340"/>
      <c r="L1005" s="340"/>
      <c r="M1005" s="340"/>
      <c r="N1005" s="340"/>
      <c r="O1005" s="340"/>
      <c r="P1005" s="340"/>
      <c r="Q1005" s="340"/>
      <c r="R1005" s="340"/>
      <c r="S1005" s="340"/>
      <c r="T1005" s="340"/>
      <c r="U1005" s="340"/>
      <c r="V1005" s="340"/>
      <c r="W1005" s="340"/>
      <c r="X1005" s="340"/>
      <c r="Y1005" s="340"/>
      <c r="Z1005" s="340"/>
      <c r="AA1005" s="340"/>
      <c r="AB1005" s="340"/>
      <c r="AC1005" s="340"/>
      <c r="AD1005" s="340"/>
      <c r="AE1005" s="340"/>
      <c r="AF1005" s="340"/>
      <c r="AG1005" s="340"/>
      <c r="AH1005" s="340"/>
      <c r="AI1005" s="340"/>
      <c r="AJ1005" s="340"/>
      <c r="AK1005" s="340"/>
      <c r="AL1005" s="340"/>
    </row>
    <row r="1006" spans="11:38" ht="12.75" customHeight="1" x14ac:dyDescent="0.25">
      <c r="K1006" s="340"/>
      <c r="L1006" s="340"/>
      <c r="M1006" s="340"/>
      <c r="N1006" s="340"/>
      <c r="O1006" s="340"/>
      <c r="P1006" s="340"/>
      <c r="Q1006" s="340"/>
      <c r="R1006" s="340"/>
      <c r="S1006" s="340"/>
      <c r="T1006" s="340"/>
      <c r="U1006" s="340"/>
      <c r="V1006" s="340"/>
      <c r="W1006" s="340"/>
      <c r="X1006" s="340"/>
      <c r="Y1006" s="340"/>
      <c r="Z1006" s="340"/>
      <c r="AA1006" s="340"/>
      <c r="AB1006" s="340"/>
      <c r="AC1006" s="340"/>
      <c r="AD1006" s="340"/>
      <c r="AE1006" s="340"/>
      <c r="AF1006" s="340"/>
      <c r="AG1006" s="340"/>
      <c r="AH1006" s="340"/>
      <c r="AI1006" s="340"/>
      <c r="AJ1006" s="340"/>
      <c r="AK1006" s="340"/>
      <c r="AL1006" s="340"/>
    </row>
    <row r="1007" spans="11:38" ht="12.75" customHeight="1" x14ac:dyDescent="0.25">
      <c r="K1007" s="340"/>
      <c r="L1007" s="340"/>
      <c r="M1007" s="340"/>
      <c r="N1007" s="340"/>
      <c r="O1007" s="340"/>
      <c r="P1007" s="340"/>
      <c r="Q1007" s="340"/>
      <c r="R1007" s="340"/>
      <c r="S1007" s="340"/>
      <c r="T1007" s="340"/>
      <c r="U1007" s="340"/>
      <c r="V1007" s="340"/>
      <c r="W1007" s="340"/>
      <c r="X1007" s="340"/>
      <c r="Y1007" s="340"/>
      <c r="Z1007" s="340"/>
      <c r="AA1007" s="340"/>
      <c r="AB1007" s="340"/>
      <c r="AC1007" s="340"/>
      <c r="AD1007" s="340"/>
      <c r="AE1007" s="340"/>
      <c r="AF1007" s="340"/>
      <c r="AG1007" s="340"/>
      <c r="AH1007" s="340"/>
      <c r="AI1007" s="340"/>
      <c r="AJ1007" s="340"/>
      <c r="AK1007" s="340"/>
      <c r="AL1007" s="340"/>
    </row>
    <row r="1008" spans="11:38" ht="12.75" customHeight="1" x14ac:dyDescent="0.25">
      <c r="K1008" s="340"/>
      <c r="L1008" s="340"/>
      <c r="M1008" s="340"/>
      <c r="N1008" s="340"/>
      <c r="O1008" s="340"/>
      <c r="P1008" s="340"/>
      <c r="Q1008" s="340"/>
      <c r="R1008" s="340"/>
      <c r="S1008" s="340"/>
      <c r="T1008" s="340"/>
      <c r="U1008" s="340"/>
      <c r="V1008" s="340"/>
      <c r="W1008" s="340"/>
      <c r="X1008" s="340"/>
      <c r="Y1008" s="340"/>
      <c r="Z1008" s="340"/>
      <c r="AA1008" s="340"/>
      <c r="AB1008" s="340"/>
      <c r="AC1008" s="340"/>
      <c r="AD1008" s="340"/>
      <c r="AE1008" s="340"/>
      <c r="AF1008" s="340"/>
      <c r="AG1008" s="340"/>
      <c r="AH1008" s="340"/>
      <c r="AI1008" s="340"/>
      <c r="AJ1008" s="340"/>
      <c r="AK1008" s="340"/>
      <c r="AL1008" s="340"/>
    </row>
    <row r="1009" spans="11:38" ht="12.75" customHeight="1" x14ac:dyDescent="0.25">
      <c r="K1009" s="340"/>
      <c r="L1009" s="340"/>
      <c r="M1009" s="340"/>
      <c r="N1009" s="340"/>
      <c r="O1009" s="340"/>
      <c r="P1009" s="340"/>
      <c r="Q1009" s="340"/>
      <c r="R1009" s="340"/>
      <c r="S1009" s="340"/>
      <c r="T1009" s="340"/>
      <c r="U1009" s="340"/>
      <c r="V1009" s="340"/>
      <c r="W1009" s="340"/>
      <c r="X1009" s="340"/>
      <c r="Y1009" s="340"/>
      <c r="Z1009" s="340"/>
      <c r="AA1009" s="340"/>
      <c r="AB1009" s="340"/>
      <c r="AC1009" s="340"/>
      <c r="AD1009" s="340"/>
      <c r="AE1009" s="340"/>
      <c r="AF1009" s="340"/>
      <c r="AG1009" s="340"/>
      <c r="AH1009" s="340"/>
      <c r="AI1009" s="340"/>
      <c r="AJ1009" s="340"/>
      <c r="AK1009" s="340"/>
      <c r="AL1009" s="340"/>
    </row>
    <row r="1010" spans="11:38" ht="12.75" customHeight="1" x14ac:dyDescent="0.25">
      <c r="K1010" s="340"/>
      <c r="L1010" s="340"/>
      <c r="M1010" s="340"/>
      <c r="N1010" s="340"/>
      <c r="O1010" s="340"/>
      <c r="P1010" s="340"/>
      <c r="Q1010" s="340"/>
      <c r="R1010" s="340"/>
      <c r="S1010" s="340"/>
      <c r="T1010" s="340"/>
      <c r="U1010" s="340"/>
      <c r="V1010" s="340"/>
      <c r="W1010" s="340"/>
      <c r="X1010" s="340"/>
      <c r="Y1010" s="340"/>
      <c r="Z1010" s="340"/>
      <c r="AA1010" s="340"/>
      <c r="AB1010" s="340"/>
      <c r="AC1010" s="340"/>
      <c r="AD1010" s="340"/>
      <c r="AE1010" s="340"/>
      <c r="AF1010" s="340"/>
      <c r="AG1010" s="340"/>
      <c r="AH1010" s="340"/>
      <c r="AI1010" s="340"/>
      <c r="AJ1010" s="340"/>
      <c r="AK1010" s="340"/>
      <c r="AL1010" s="340"/>
    </row>
    <row r="1011" spans="11:38" ht="12.75" customHeight="1" x14ac:dyDescent="0.25">
      <c r="K1011" s="340"/>
      <c r="L1011" s="340"/>
      <c r="M1011" s="340"/>
      <c r="N1011" s="340"/>
      <c r="O1011" s="340"/>
      <c r="P1011" s="340"/>
      <c r="Q1011" s="340"/>
      <c r="R1011" s="340"/>
      <c r="S1011" s="340"/>
      <c r="T1011" s="340"/>
      <c r="U1011" s="340"/>
      <c r="V1011" s="340"/>
      <c r="W1011" s="340"/>
      <c r="X1011" s="340"/>
      <c r="Y1011" s="340"/>
      <c r="Z1011" s="340"/>
      <c r="AA1011" s="340"/>
      <c r="AB1011" s="340"/>
      <c r="AC1011" s="340"/>
      <c r="AD1011" s="340"/>
      <c r="AE1011" s="340"/>
      <c r="AF1011" s="340"/>
      <c r="AG1011" s="340"/>
      <c r="AH1011" s="340"/>
      <c r="AI1011" s="340"/>
      <c r="AJ1011" s="340"/>
      <c r="AK1011" s="340"/>
      <c r="AL1011" s="340"/>
    </row>
    <row r="1012" spans="11:38" ht="12.75" customHeight="1" x14ac:dyDescent="0.25">
      <c r="K1012" s="340"/>
      <c r="L1012" s="340"/>
      <c r="M1012" s="340"/>
      <c r="N1012" s="340"/>
      <c r="O1012" s="340"/>
      <c r="P1012" s="340"/>
      <c r="Q1012" s="340"/>
      <c r="R1012" s="340"/>
      <c r="S1012" s="340"/>
      <c r="T1012" s="340"/>
      <c r="U1012" s="340"/>
      <c r="V1012" s="340"/>
      <c r="W1012" s="340"/>
      <c r="X1012" s="340"/>
      <c r="Y1012" s="340"/>
      <c r="Z1012" s="340"/>
      <c r="AA1012" s="340"/>
      <c r="AB1012" s="340"/>
      <c r="AC1012" s="340"/>
      <c r="AD1012" s="340"/>
      <c r="AE1012" s="340"/>
      <c r="AF1012" s="340"/>
      <c r="AG1012" s="340"/>
      <c r="AH1012" s="340"/>
      <c r="AI1012" s="340"/>
      <c r="AJ1012" s="340"/>
      <c r="AK1012" s="340"/>
      <c r="AL1012" s="340"/>
    </row>
    <row r="1013" spans="11:38" ht="12.75" customHeight="1" x14ac:dyDescent="0.25">
      <c r="K1013" s="340"/>
      <c r="L1013" s="340"/>
      <c r="M1013" s="340"/>
      <c r="N1013" s="340"/>
      <c r="O1013" s="340"/>
      <c r="P1013" s="340"/>
      <c r="Q1013" s="340"/>
      <c r="R1013" s="340"/>
      <c r="S1013" s="340"/>
      <c r="T1013" s="340"/>
      <c r="U1013" s="340"/>
      <c r="V1013" s="340"/>
      <c r="W1013" s="340"/>
      <c r="X1013" s="340"/>
      <c r="Y1013" s="340"/>
      <c r="Z1013" s="340"/>
      <c r="AA1013" s="340"/>
      <c r="AB1013" s="340"/>
      <c r="AC1013" s="340"/>
      <c r="AD1013" s="340"/>
      <c r="AE1013" s="340"/>
      <c r="AF1013" s="340"/>
      <c r="AG1013" s="340"/>
      <c r="AH1013" s="340"/>
      <c r="AI1013" s="340"/>
      <c r="AJ1013" s="340"/>
      <c r="AK1013" s="340"/>
      <c r="AL1013" s="340"/>
    </row>
    <row r="1014" spans="11:38" ht="12.75" customHeight="1" x14ac:dyDescent="0.25">
      <c r="K1014" s="340"/>
      <c r="L1014" s="340"/>
      <c r="M1014" s="340"/>
      <c r="N1014" s="340"/>
      <c r="O1014" s="340"/>
      <c r="P1014" s="340"/>
      <c r="Q1014" s="340"/>
      <c r="R1014" s="340"/>
      <c r="S1014" s="340"/>
      <c r="T1014" s="340"/>
      <c r="U1014" s="340"/>
      <c r="V1014" s="340"/>
      <c r="W1014" s="340"/>
      <c r="X1014" s="340"/>
      <c r="Y1014" s="340"/>
      <c r="Z1014" s="340"/>
      <c r="AA1014" s="340"/>
      <c r="AB1014" s="340"/>
      <c r="AC1014" s="340"/>
      <c r="AD1014" s="340"/>
      <c r="AE1014" s="340"/>
      <c r="AF1014" s="340"/>
      <c r="AG1014" s="340"/>
      <c r="AH1014" s="340"/>
      <c r="AI1014" s="340"/>
      <c r="AJ1014" s="340"/>
      <c r="AK1014" s="340"/>
      <c r="AL1014" s="340"/>
    </row>
    <row r="1015" spans="11:38" ht="12.75" customHeight="1" x14ac:dyDescent="0.25">
      <c r="K1015" s="340"/>
      <c r="L1015" s="340"/>
      <c r="M1015" s="340"/>
      <c r="N1015" s="340"/>
      <c r="O1015" s="340"/>
      <c r="P1015" s="340"/>
      <c r="Q1015" s="340"/>
      <c r="R1015" s="340"/>
      <c r="S1015" s="340"/>
      <c r="T1015" s="340"/>
      <c r="U1015" s="340"/>
      <c r="V1015" s="340"/>
      <c r="W1015" s="340"/>
      <c r="X1015" s="340"/>
      <c r="Y1015" s="340"/>
      <c r="Z1015" s="340"/>
      <c r="AA1015" s="340"/>
      <c r="AB1015" s="340"/>
      <c r="AC1015" s="340"/>
      <c r="AD1015" s="340"/>
      <c r="AE1015" s="340"/>
      <c r="AF1015" s="340"/>
      <c r="AG1015" s="340"/>
      <c r="AH1015" s="340"/>
      <c r="AI1015" s="340"/>
      <c r="AJ1015" s="340"/>
      <c r="AK1015" s="340"/>
      <c r="AL1015" s="340"/>
    </row>
    <row r="1016" spans="11:38" ht="12.75" customHeight="1" x14ac:dyDescent="0.25">
      <c r="K1016" s="340"/>
      <c r="L1016" s="340"/>
      <c r="M1016" s="340"/>
      <c r="N1016" s="340"/>
      <c r="O1016" s="340"/>
      <c r="P1016" s="340"/>
      <c r="Q1016" s="340"/>
      <c r="R1016" s="340"/>
      <c r="S1016" s="340"/>
      <c r="T1016" s="340"/>
      <c r="U1016" s="340"/>
      <c r="V1016" s="340"/>
      <c r="W1016" s="340"/>
      <c r="X1016" s="340"/>
      <c r="Y1016" s="340"/>
      <c r="Z1016" s="340"/>
      <c r="AA1016" s="340"/>
      <c r="AB1016" s="340"/>
      <c r="AC1016" s="340"/>
      <c r="AD1016" s="340"/>
      <c r="AE1016" s="340"/>
      <c r="AF1016" s="340"/>
      <c r="AG1016" s="340"/>
      <c r="AH1016" s="340"/>
      <c r="AI1016" s="340"/>
      <c r="AJ1016" s="340"/>
      <c r="AK1016" s="340"/>
      <c r="AL1016" s="340"/>
    </row>
    <row r="1017" spans="11:38" ht="12.75" customHeight="1" x14ac:dyDescent="0.25">
      <c r="K1017" s="340"/>
      <c r="L1017" s="340"/>
      <c r="M1017" s="340"/>
      <c r="N1017" s="340"/>
      <c r="O1017" s="340"/>
      <c r="P1017" s="340"/>
      <c r="Q1017" s="340"/>
      <c r="R1017" s="340"/>
      <c r="S1017" s="340"/>
      <c r="T1017" s="340"/>
      <c r="U1017" s="340"/>
      <c r="V1017" s="340"/>
      <c r="W1017" s="340"/>
      <c r="X1017" s="340"/>
      <c r="Y1017" s="340"/>
      <c r="Z1017" s="340"/>
      <c r="AA1017" s="340"/>
      <c r="AB1017" s="340"/>
      <c r="AC1017" s="340"/>
      <c r="AD1017" s="340"/>
      <c r="AE1017" s="340"/>
      <c r="AF1017" s="340"/>
      <c r="AG1017" s="340"/>
      <c r="AH1017" s="340"/>
      <c r="AI1017" s="340"/>
      <c r="AJ1017" s="340"/>
      <c r="AK1017" s="340"/>
      <c r="AL1017" s="340"/>
    </row>
    <row r="1018" spans="11:38" ht="12.75" customHeight="1" x14ac:dyDescent="0.25">
      <c r="K1018" s="340"/>
      <c r="L1018" s="340"/>
      <c r="M1018" s="340"/>
      <c r="N1018" s="340"/>
      <c r="O1018" s="340"/>
      <c r="P1018" s="340"/>
      <c r="Q1018" s="340"/>
      <c r="R1018" s="340"/>
      <c r="S1018" s="340"/>
      <c r="T1018" s="340"/>
      <c r="U1018" s="340"/>
      <c r="V1018" s="340"/>
      <c r="W1018" s="340"/>
      <c r="X1018" s="340"/>
      <c r="Y1018" s="340"/>
      <c r="Z1018" s="340"/>
      <c r="AA1018" s="340"/>
      <c r="AB1018" s="340"/>
      <c r="AC1018" s="340"/>
      <c r="AD1018" s="340"/>
      <c r="AE1018" s="340"/>
      <c r="AF1018" s="340"/>
      <c r="AG1018" s="340"/>
      <c r="AH1018" s="340"/>
      <c r="AI1018" s="340"/>
      <c r="AJ1018" s="340"/>
      <c r="AK1018" s="340"/>
      <c r="AL1018" s="340"/>
    </row>
    <row r="1019" spans="11:38" ht="12.75" customHeight="1" x14ac:dyDescent="0.25">
      <c r="K1019" s="340"/>
      <c r="L1019" s="340"/>
      <c r="M1019" s="340"/>
      <c r="N1019" s="340"/>
      <c r="O1019" s="340"/>
      <c r="P1019" s="340"/>
      <c r="Q1019" s="340"/>
      <c r="R1019" s="340"/>
      <c r="S1019" s="340"/>
      <c r="T1019" s="340"/>
      <c r="U1019" s="340"/>
      <c r="V1019" s="340"/>
      <c r="W1019" s="340"/>
      <c r="X1019" s="340"/>
      <c r="Y1019" s="340"/>
      <c r="Z1019" s="340"/>
      <c r="AA1019" s="340"/>
      <c r="AB1019" s="340"/>
      <c r="AC1019" s="340"/>
      <c r="AD1019" s="340"/>
      <c r="AE1019" s="340"/>
      <c r="AF1019" s="340"/>
      <c r="AG1019" s="340"/>
      <c r="AH1019" s="340"/>
      <c r="AI1019" s="340"/>
      <c r="AJ1019" s="340"/>
      <c r="AK1019" s="340"/>
      <c r="AL1019" s="340"/>
    </row>
    <row r="1020" spans="11:38" ht="12.75" customHeight="1" x14ac:dyDescent="0.25">
      <c r="K1020" s="340"/>
      <c r="L1020" s="340"/>
      <c r="M1020" s="340"/>
      <c r="N1020" s="340"/>
      <c r="O1020" s="340"/>
      <c r="P1020" s="340"/>
      <c r="Q1020" s="340"/>
      <c r="R1020" s="340"/>
      <c r="S1020" s="340"/>
      <c r="T1020" s="340"/>
      <c r="U1020" s="340"/>
      <c r="V1020" s="340"/>
      <c r="W1020" s="340"/>
      <c r="X1020" s="340"/>
      <c r="Y1020" s="340"/>
      <c r="Z1020" s="340"/>
      <c r="AA1020" s="340"/>
      <c r="AB1020" s="340"/>
      <c r="AC1020" s="340"/>
      <c r="AD1020" s="340"/>
      <c r="AE1020" s="340"/>
      <c r="AF1020" s="340"/>
      <c r="AG1020" s="340"/>
      <c r="AH1020" s="340"/>
      <c r="AI1020" s="340"/>
      <c r="AJ1020" s="340"/>
      <c r="AK1020" s="340"/>
      <c r="AL1020" s="340"/>
    </row>
    <row r="1021" spans="11:38" ht="12.75" customHeight="1" x14ac:dyDescent="0.25">
      <c r="K1021" s="340"/>
      <c r="L1021" s="340"/>
      <c r="M1021" s="340"/>
      <c r="N1021" s="340"/>
      <c r="O1021" s="340"/>
      <c r="P1021" s="340"/>
      <c r="Q1021" s="340"/>
      <c r="R1021" s="340"/>
      <c r="S1021" s="340"/>
      <c r="T1021" s="340"/>
      <c r="U1021" s="340"/>
      <c r="V1021" s="340"/>
      <c r="W1021" s="340"/>
      <c r="X1021" s="340"/>
      <c r="Y1021" s="340"/>
      <c r="Z1021" s="340"/>
      <c r="AA1021" s="340"/>
      <c r="AB1021" s="340"/>
      <c r="AC1021" s="340"/>
      <c r="AD1021" s="340"/>
      <c r="AE1021" s="340"/>
      <c r="AF1021" s="340"/>
      <c r="AG1021" s="340"/>
      <c r="AH1021" s="340"/>
      <c r="AI1021" s="340"/>
      <c r="AJ1021" s="340"/>
      <c r="AK1021" s="340"/>
      <c r="AL1021" s="340"/>
    </row>
    <row r="1022" spans="11:38" ht="12.75" customHeight="1" x14ac:dyDescent="0.25">
      <c r="K1022" s="340"/>
      <c r="L1022" s="340"/>
      <c r="M1022" s="340"/>
      <c r="N1022" s="340"/>
      <c r="O1022" s="340"/>
      <c r="P1022" s="340"/>
      <c r="Q1022" s="340"/>
      <c r="R1022" s="340"/>
      <c r="S1022" s="340"/>
      <c r="T1022" s="340"/>
      <c r="U1022" s="340"/>
      <c r="V1022" s="340"/>
      <c r="W1022" s="340"/>
      <c r="X1022" s="340"/>
      <c r="Y1022" s="340"/>
      <c r="Z1022" s="340"/>
      <c r="AA1022" s="340"/>
      <c r="AB1022" s="340"/>
      <c r="AC1022" s="340"/>
      <c r="AD1022" s="340"/>
      <c r="AE1022" s="340"/>
      <c r="AF1022" s="340"/>
      <c r="AG1022" s="340"/>
      <c r="AH1022" s="340"/>
      <c r="AI1022" s="340"/>
      <c r="AJ1022" s="340"/>
      <c r="AK1022" s="340"/>
      <c r="AL1022" s="340"/>
    </row>
    <row r="1023" spans="11:38" ht="12.75" customHeight="1" x14ac:dyDescent="0.25">
      <c r="K1023" s="340"/>
      <c r="L1023" s="340"/>
      <c r="M1023" s="340"/>
      <c r="N1023" s="340"/>
      <c r="O1023" s="340"/>
      <c r="P1023" s="340"/>
      <c r="Q1023" s="340"/>
      <c r="R1023" s="340"/>
      <c r="S1023" s="340"/>
      <c r="T1023" s="340"/>
      <c r="U1023" s="340"/>
      <c r="V1023" s="340"/>
      <c r="W1023" s="340"/>
      <c r="X1023" s="340"/>
      <c r="Y1023" s="340"/>
      <c r="Z1023" s="340"/>
      <c r="AA1023" s="340"/>
      <c r="AB1023" s="340"/>
      <c r="AC1023" s="340"/>
      <c r="AD1023" s="340"/>
      <c r="AE1023" s="340"/>
      <c r="AF1023" s="340"/>
      <c r="AG1023" s="340"/>
      <c r="AH1023" s="340"/>
      <c r="AI1023" s="340"/>
      <c r="AJ1023" s="340"/>
      <c r="AK1023" s="340"/>
      <c r="AL1023" s="340"/>
    </row>
    <row r="1024" spans="11:38" ht="12.75" customHeight="1" x14ac:dyDescent="0.25">
      <c r="K1024" s="340"/>
      <c r="L1024" s="340"/>
      <c r="M1024" s="340"/>
      <c r="N1024" s="340"/>
      <c r="O1024" s="340"/>
      <c r="P1024" s="340"/>
      <c r="Q1024" s="340"/>
      <c r="R1024" s="340"/>
      <c r="S1024" s="340"/>
      <c r="T1024" s="340"/>
      <c r="U1024" s="340"/>
      <c r="V1024" s="340"/>
      <c r="W1024" s="340"/>
      <c r="X1024" s="340"/>
      <c r="Y1024" s="340"/>
      <c r="Z1024" s="340"/>
      <c r="AA1024" s="340"/>
      <c r="AB1024" s="340"/>
      <c r="AC1024" s="340"/>
      <c r="AD1024" s="340"/>
      <c r="AE1024" s="340"/>
      <c r="AF1024" s="340"/>
      <c r="AG1024" s="340"/>
      <c r="AH1024" s="340"/>
      <c r="AI1024" s="340"/>
      <c r="AJ1024" s="340"/>
      <c r="AK1024" s="340"/>
      <c r="AL1024" s="340"/>
    </row>
    <row r="1025" spans="11:38" ht="12.75" customHeight="1" x14ac:dyDescent="0.25">
      <c r="K1025" s="340"/>
      <c r="L1025" s="340"/>
      <c r="M1025" s="340"/>
      <c r="N1025" s="340"/>
      <c r="O1025" s="340"/>
      <c r="P1025" s="340"/>
      <c r="Q1025" s="340"/>
      <c r="R1025" s="340"/>
      <c r="S1025" s="340"/>
      <c r="T1025" s="340"/>
      <c r="U1025" s="340"/>
      <c r="V1025" s="340"/>
      <c r="W1025" s="340"/>
      <c r="X1025" s="340"/>
      <c r="Y1025" s="340"/>
      <c r="Z1025" s="340"/>
      <c r="AA1025" s="340"/>
      <c r="AB1025" s="340"/>
      <c r="AC1025" s="340"/>
      <c r="AD1025" s="340"/>
      <c r="AE1025" s="340"/>
      <c r="AF1025" s="340"/>
      <c r="AG1025" s="340"/>
      <c r="AH1025" s="340"/>
      <c r="AI1025" s="340"/>
      <c r="AJ1025" s="340"/>
      <c r="AK1025" s="340"/>
      <c r="AL1025" s="340"/>
    </row>
  </sheetData>
  <sheetProtection algorithmName="SHA-512" hashValue="eKreZkJxepMHPpAu9vzkScz3BkWVi/pUDxohbh7ZV3V/RGvxIQPdXX5lF8h7Dco+6ym7hIEHceFeE2L21d6ilw==" saltValue="Bx6z8sRXKEvXSa+CjzsBxA==" spinCount="100000" sheet="1" objects="1" scenarios="1"/>
  <mergeCells count="9">
    <mergeCell ref="K67:R67"/>
    <mergeCell ref="U67:AB67"/>
    <mergeCell ref="D1:J4"/>
    <mergeCell ref="C154:D154"/>
    <mergeCell ref="C156:D156"/>
    <mergeCell ref="F154:G154"/>
    <mergeCell ref="H154:I154"/>
    <mergeCell ref="F156:G156"/>
    <mergeCell ref="H156:I156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1A23-5DFF-4731-80F0-26C88AB46428}">
  <dimension ref="A1:S974"/>
  <sheetViews>
    <sheetView workbookViewId="0">
      <selection activeCell="M7" sqref="M7"/>
    </sheetView>
  </sheetViews>
  <sheetFormatPr baseColWidth="10" defaultColWidth="12.5546875" defaultRowHeight="13.2" x14ac:dyDescent="0.25"/>
  <cols>
    <col min="1" max="1" width="3.6640625" style="373" customWidth="1"/>
    <col min="2" max="2" width="10.5546875" style="373" customWidth="1"/>
    <col min="3" max="3" width="14.88671875" style="373" customWidth="1"/>
    <col min="4" max="10" width="10.5546875" style="373" customWidth="1"/>
    <col min="11" max="11" width="5.33203125" style="373" customWidth="1"/>
    <col min="12" max="26" width="10.5546875" style="373" customWidth="1"/>
    <col min="27" max="16384" width="12.5546875" style="373"/>
  </cols>
  <sheetData>
    <row r="1" spans="1:19" ht="12.75" customHeight="1" x14ac:dyDescent="0.25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</row>
    <row r="2" spans="1:19" ht="12.75" customHeight="1" x14ac:dyDescent="0.25">
      <c r="A2" s="340"/>
      <c r="B2" s="1035" t="s">
        <v>221</v>
      </c>
      <c r="C2" s="1036"/>
      <c r="D2" s="1036"/>
      <c r="E2" s="1036"/>
      <c r="F2" s="1036"/>
      <c r="G2" s="1036"/>
      <c r="H2" s="340"/>
      <c r="I2" s="340"/>
      <c r="J2" s="340"/>
      <c r="K2" s="340"/>
      <c r="N2" s="474" t="s">
        <v>221</v>
      </c>
      <c r="O2" s="475"/>
      <c r="P2" s="475"/>
      <c r="Q2" s="459"/>
      <c r="R2" s="459"/>
      <c r="S2" s="459"/>
    </row>
    <row r="3" spans="1:19" ht="12.75" customHeight="1" x14ac:dyDescent="0.25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40"/>
      <c r="O3" s="459"/>
      <c r="P3" s="459"/>
      <c r="Q3" s="459"/>
      <c r="R3" s="459"/>
      <c r="S3" s="459"/>
    </row>
    <row r="4" spans="1:19" ht="12.75" customHeight="1" x14ac:dyDescent="0.2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0"/>
      <c r="O4" s="459"/>
      <c r="P4" s="459"/>
      <c r="Q4" s="459"/>
      <c r="R4" s="459"/>
      <c r="S4" s="459"/>
    </row>
    <row r="5" spans="1:19" ht="12.75" customHeight="1" x14ac:dyDescent="0.25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40"/>
      <c r="O5" s="459"/>
      <c r="P5" s="459"/>
      <c r="Q5" s="459"/>
      <c r="R5" s="459"/>
      <c r="S5" s="459"/>
    </row>
    <row r="6" spans="1:19" ht="12.75" customHeight="1" x14ac:dyDescent="0.25">
      <c r="A6" s="340"/>
      <c r="B6" s="340"/>
      <c r="C6" s="340"/>
      <c r="D6" s="340"/>
      <c r="E6" s="340"/>
      <c r="F6" s="340"/>
      <c r="G6" s="340"/>
      <c r="H6" s="340"/>
      <c r="I6" s="1037"/>
      <c r="J6" s="1036"/>
      <c r="K6" s="340"/>
      <c r="O6" s="459"/>
      <c r="P6" s="459"/>
      <c r="Q6" s="459"/>
      <c r="R6" s="459"/>
      <c r="S6" s="459"/>
    </row>
    <row r="7" spans="1:19" ht="12.75" customHeight="1" x14ac:dyDescent="0.25">
      <c r="A7" s="340"/>
      <c r="B7" s="352" t="s">
        <v>222</v>
      </c>
      <c r="C7" s="682">
        <v>-2.0299999999999999E-5</v>
      </c>
      <c r="D7" s="340"/>
      <c r="E7" s="340"/>
      <c r="F7" s="340"/>
      <c r="G7" s="340"/>
      <c r="H7" s="340"/>
      <c r="I7" s="353"/>
      <c r="J7" s="353"/>
      <c r="K7" s="340"/>
      <c r="L7" s="793" t="s">
        <v>438</v>
      </c>
      <c r="M7" s="461">
        <v>-3.2899999999999998E-6</v>
      </c>
      <c r="N7" s="459"/>
      <c r="O7" s="459"/>
      <c r="Q7" s="459"/>
      <c r="R7" s="459"/>
      <c r="S7" s="459"/>
    </row>
    <row r="8" spans="1:19" ht="12.75" customHeight="1" x14ac:dyDescent="0.25">
      <c r="A8" s="340"/>
      <c r="B8" s="354" t="s">
        <v>223</v>
      </c>
      <c r="C8" s="353">
        <v>1.0900000000000001</v>
      </c>
      <c r="D8" s="683">
        <v>3.1000000000000002E-10</v>
      </c>
      <c r="E8" s="340"/>
      <c r="F8" s="340"/>
      <c r="G8" s="340"/>
      <c r="H8" s="340"/>
      <c r="I8" s="340"/>
      <c r="J8" s="340"/>
      <c r="K8" s="340"/>
      <c r="L8" s="794" t="s">
        <v>223</v>
      </c>
      <c r="M8" s="460">
        <v>4.1599999999999996E-3</v>
      </c>
      <c r="N8" s="461">
        <v>2.4299999999999999E-10</v>
      </c>
      <c r="O8" s="459"/>
      <c r="Q8" s="459"/>
      <c r="R8" s="459"/>
      <c r="S8" s="459"/>
    </row>
    <row r="9" spans="1:19" ht="12.75" customHeight="1" x14ac:dyDescent="0.25">
      <c r="A9" s="340"/>
      <c r="B9" s="354" t="s">
        <v>224</v>
      </c>
      <c r="C9" s="355" t="s">
        <v>348</v>
      </c>
      <c r="D9" s="356"/>
      <c r="E9" s="340"/>
      <c r="F9" s="353" t="s">
        <v>28</v>
      </c>
      <c r="G9" s="340"/>
      <c r="H9" s="340"/>
      <c r="I9" s="340"/>
      <c r="J9" s="340"/>
      <c r="K9" s="340"/>
      <c r="L9" s="794" t="s">
        <v>439</v>
      </c>
      <c r="M9" s="462" t="s">
        <v>440</v>
      </c>
      <c r="N9" s="460"/>
      <c r="O9" s="459"/>
      <c r="Q9" s="459"/>
      <c r="R9" s="459"/>
      <c r="S9" s="459"/>
    </row>
    <row r="10" spans="1:19" ht="12.75" customHeight="1" x14ac:dyDescent="0.25">
      <c r="A10" s="340"/>
      <c r="B10" s="354" t="s">
        <v>225</v>
      </c>
      <c r="C10" s="356">
        <v>1</v>
      </c>
      <c r="D10" s="356" t="s">
        <v>28</v>
      </c>
      <c r="E10" s="340"/>
      <c r="F10" s="340"/>
      <c r="G10" s="340"/>
      <c r="H10" s="340"/>
      <c r="I10" s="340"/>
      <c r="J10" s="340"/>
      <c r="K10" s="340"/>
      <c r="L10" s="794" t="s">
        <v>217</v>
      </c>
      <c r="M10" s="462">
        <v>0.1</v>
      </c>
      <c r="N10" s="460" t="s">
        <v>28</v>
      </c>
      <c r="Q10" s="459"/>
      <c r="R10" s="459"/>
      <c r="S10" s="459"/>
    </row>
    <row r="11" spans="1:19" ht="12.75" customHeight="1" x14ac:dyDescent="0.25">
      <c r="A11" s="340"/>
      <c r="B11" s="354" t="s">
        <v>226</v>
      </c>
      <c r="C11" s="356" t="s">
        <v>227</v>
      </c>
      <c r="D11" s="340"/>
      <c r="E11" s="340"/>
      <c r="F11" s="340"/>
      <c r="G11" s="340"/>
      <c r="H11" s="340"/>
      <c r="I11" s="340"/>
      <c r="J11" s="340"/>
      <c r="K11" s="340"/>
      <c r="L11" s="794" t="s">
        <v>441</v>
      </c>
      <c r="M11" s="460" t="s">
        <v>260</v>
      </c>
      <c r="N11" s="459"/>
      <c r="Q11" s="459"/>
      <c r="R11" s="459"/>
      <c r="S11" s="459"/>
    </row>
    <row r="12" spans="1:19" ht="12.75" customHeight="1" x14ac:dyDescent="0.25">
      <c r="A12" s="340"/>
      <c r="B12" s="470" t="s">
        <v>228</v>
      </c>
      <c r="C12" s="471"/>
      <c r="D12" s="472">
        <v>45799</v>
      </c>
      <c r="E12" s="340"/>
      <c r="F12" s="340"/>
      <c r="G12" s="340"/>
      <c r="H12" s="340"/>
      <c r="I12" s="340"/>
      <c r="J12" s="340"/>
      <c r="K12" s="340"/>
      <c r="L12" s="794" t="s">
        <v>442</v>
      </c>
      <c r="N12" s="795"/>
      <c r="O12" s="795">
        <v>46132</v>
      </c>
      <c r="S12" s="459"/>
    </row>
    <row r="13" spans="1:19" ht="12.75" customHeight="1" x14ac:dyDescent="0.25">
      <c r="A13" s="340"/>
      <c r="B13" s="357" t="s">
        <v>229</v>
      </c>
      <c r="C13" s="358" t="s">
        <v>230</v>
      </c>
      <c r="D13" s="464">
        <v>500</v>
      </c>
      <c r="E13" s="464">
        <v>1000</v>
      </c>
      <c r="F13" s="464">
        <v>5000</v>
      </c>
      <c r="G13" s="464">
        <v>10000</v>
      </c>
      <c r="H13" s="464">
        <v>15000</v>
      </c>
      <c r="I13" s="359">
        <v>20000</v>
      </c>
      <c r="J13" s="359"/>
      <c r="K13" s="340"/>
      <c r="L13" s="357" t="s">
        <v>229</v>
      </c>
      <c r="M13" s="358" t="s">
        <v>230</v>
      </c>
      <c r="N13" s="464">
        <v>200</v>
      </c>
      <c r="O13" s="464">
        <v>500</v>
      </c>
      <c r="P13" s="464">
        <v>1000</v>
      </c>
      <c r="Q13" s="464">
        <v>5000</v>
      </c>
      <c r="R13" s="464">
        <v>10000</v>
      </c>
      <c r="S13" s="459"/>
    </row>
    <row r="14" spans="1:19" ht="12.75" customHeight="1" x14ac:dyDescent="0.25">
      <c r="A14" s="340"/>
      <c r="B14" s="717"/>
      <c r="C14" s="360"/>
      <c r="D14" s="361"/>
      <c r="E14" s="361"/>
      <c r="F14" s="361"/>
      <c r="G14" s="361"/>
      <c r="H14" s="361"/>
      <c r="I14" s="361"/>
      <c r="J14" s="362"/>
      <c r="K14" s="340"/>
      <c r="L14" s="717"/>
      <c r="M14" s="360"/>
      <c r="N14" s="465"/>
      <c r="O14" s="465"/>
      <c r="P14" s="465"/>
      <c r="Q14" s="465"/>
      <c r="R14" s="465"/>
      <c r="S14" s="459"/>
    </row>
    <row r="15" spans="1:19" ht="12.75" customHeight="1" x14ac:dyDescent="0.25">
      <c r="A15" s="340"/>
      <c r="B15" s="717"/>
      <c r="C15" s="360"/>
      <c r="D15" s="361"/>
      <c r="E15" s="361"/>
      <c r="F15" s="361"/>
      <c r="G15" s="361"/>
      <c r="H15" s="361"/>
      <c r="I15" s="362"/>
      <c r="J15" s="362"/>
      <c r="K15" s="340"/>
      <c r="L15" s="717"/>
      <c r="M15" s="360"/>
      <c r="N15" s="465"/>
      <c r="O15" s="465"/>
      <c r="P15" s="465"/>
      <c r="Q15" s="465"/>
      <c r="R15" s="465"/>
      <c r="S15" s="459"/>
    </row>
    <row r="16" spans="1:19" ht="12.75" customHeight="1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459"/>
      <c r="M16" s="459"/>
      <c r="N16" s="466"/>
      <c r="O16" s="466"/>
      <c r="P16" s="466"/>
      <c r="Q16" s="466"/>
      <c r="R16" s="466"/>
      <c r="S16" s="459"/>
    </row>
    <row r="17" spans="1:19" ht="12.75" customHeight="1" x14ac:dyDescent="0.25">
      <c r="A17" s="340"/>
      <c r="B17" s="363"/>
      <c r="C17" s="364" t="s">
        <v>231</v>
      </c>
      <c r="D17" s="365">
        <v>0</v>
      </c>
      <c r="E17" s="365">
        <v>0</v>
      </c>
      <c r="F17" s="365">
        <v>0</v>
      </c>
      <c r="G17" s="365">
        <v>0</v>
      </c>
      <c r="H17" s="365">
        <v>0</v>
      </c>
      <c r="I17" s="365">
        <v>0</v>
      </c>
      <c r="J17" s="365"/>
      <c r="K17" s="340"/>
      <c r="L17" s="467"/>
      <c r="M17" s="463" t="s">
        <v>231</v>
      </c>
      <c r="N17" s="468">
        <v>0</v>
      </c>
      <c r="O17" s="468">
        <v>0</v>
      </c>
      <c r="P17" s="468">
        <v>0</v>
      </c>
      <c r="Q17" s="468">
        <v>0</v>
      </c>
      <c r="R17" s="468">
        <v>0</v>
      </c>
      <c r="S17" s="459"/>
    </row>
    <row r="18" spans="1:19" ht="12.75" customHeight="1" x14ac:dyDescent="0.25">
      <c r="A18" s="340"/>
      <c r="B18" s="353"/>
      <c r="C18" s="354"/>
      <c r="D18" s="366"/>
      <c r="E18" s="366"/>
      <c r="F18" s="366"/>
      <c r="G18" s="366"/>
      <c r="H18" s="366"/>
      <c r="I18" s="366"/>
      <c r="J18" s="366"/>
      <c r="K18" s="340"/>
      <c r="L18" s="459"/>
      <c r="M18" s="459"/>
      <c r="N18" s="459"/>
      <c r="O18" s="459"/>
      <c r="P18" s="459"/>
      <c r="Q18" s="459"/>
      <c r="R18" s="459"/>
      <c r="S18" s="459"/>
    </row>
    <row r="19" spans="1:19" ht="12.75" customHeight="1" x14ac:dyDescent="0.25">
      <c r="A19" s="340"/>
      <c r="B19" s="367" t="s">
        <v>232</v>
      </c>
      <c r="C19" s="367"/>
      <c r="D19" s="367"/>
      <c r="E19" s="367"/>
      <c r="F19" s="340"/>
      <c r="G19" s="340"/>
      <c r="H19" s="340"/>
      <c r="I19" s="340"/>
      <c r="J19" s="340"/>
      <c r="K19" s="340"/>
      <c r="L19" s="475" t="s">
        <v>232</v>
      </c>
      <c r="N19" s="475"/>
      <c r="O19" s="475"/>
      <c r="P19" s="475"/>
      <c r="Q19" s="475"/>
      <c r="R19" s="475"/>
      <c r="S19" s="459"/>
    </row>
    <row r="20" spans="1:19" ht="12.75" customHeight="1" x14ac:dyDescent="0.25">
      <c r="A20" s="340"/>
      <c r="B20" s="340"/>
      <c r="C20" s="340"/>
      <c r="D20" s="359">
        <f>+D13</f>
        <v>500</v>
      </c>
      <c r="E20" s="359">
        <f>+E13</f>
        <v>1000</v>
      </c>
      <c r="F20" s="359">
        <f>+F13</f>
        <v>5000</v>
      </c>
      <c r="G20" s="359">
        <f>+G13</f>
        <v>10000</v>
      </c>
      <c r="H20" s="359">
        <f>+H13</f>
        <v>15000</v>
      </c>
      <c r="I20" s="359">
        <v>20000</v>
      </c>
      <c r="J20" s="359"/>
      <c r="K20" s="340"/>
      <c r="L20" s="459"/>
      <c r="M20" s="459"/>
      <c r="N20" s="459"/>
      <c r="O20" s="459"/>
      <c r="P20" s="459"/>
      <c r="Q20" s="459"/>
      <c r="R20" s="459"/>
      <c r="S20" s="459"/>
    </row>
    <row r="21" spans="1:19" ht="12.75" customHeight="1" x14ac:dyDescent="0.25">
      <c r="A21" s="340"/>
      <c r="B21" s="340"/>
      <c r="C21" s="340"/>
      <c r="D21" s="365">
        <f t="shared" ref="D21:I21" si="0">D17</f>
        <v>0</v>
      </c>
      <c r="E21" s="365">
        <f t="shared" si="0"/>
        <v>0</v>
      </c>
      <c r="F21" s="365">
        <f t="shared" si="0"/>
        <v>0</v>
      </c>
      <c r="G21" s="365">
        <f t="shared" si="0"/>
        <v>0</v>
      </c>
      <c r="H21" s="365">
        <f t="shared" si="0"/>
        <v>0</v>
      </c>
      <c r="I21" s="365">
        <f t="shared" si="0"/>
        <v>0</v>
      </c>
      <c r="J21" s="365"/>
      <c r="K21" s="340"/>
      <c r="L21" s="459"/>
      <c r="M21" s="459"/>
      <c r="N21" s="467">
        <f>+N13</f>
        <v>200</v>
      </c>
      <c r="O21" s="467">
        <f>+O13</f>
        <v>500</v>
      </c>
      <c r="P21" s="467">
        <f>+P13</f>
        <v>1000</v>
      </c>
      <c r="Q21" s="467">
        <f>+Q13</f>
        <v>5000</v>
      </c>
      <c r="R21" s="467">
        <f>+R13</f>
        <v>10000</v>
      </c>
      <c r="S21" s="459"/>
    </row>
    <row r="22" spans="1:19" ht="12.75" customHeight="1" x14ac:dyDescent="0.25">
      <c r="A22" s="340"/>
      <c r="B22" s="343"/>
      <c r="C22" s="343"/>
      <c r="D22" s="340"/>
      <c r="E22" s="340"/>
      <c r="F22" s="340"/>
      <c r="G22" s="340"/>
      <c r="H22" s="340"/>
      <c r="I22" s="340"/>
      <c r="J22" s="340"/>
      <c r="K22" s="340"/>
      <c r="L22" s="459"/>
      <c r="M22" s="459"/>
      <c r="N22" s="468">
        <f>N17</f>
        <v>0</v>
      </c>
      <c r="O22" s="468">
        <f>O17</f>
        <v>0</v>
      </c>
      <c r="P22" s="468">
        <f>P17</f>
        <v>0</v>
      </c>
      <c r="Q22" s="468">
        <f>Q17</f>
        <v>0</v>
      </c>
      <c r="R22" s="468">
        <f>R17</f>
        <v>0</v>
      </c>
      <c r="S22" s="459"/>
    </row>
    <row r="23" spans="1:19" ht="12.75" customHeight="1" x14ac:dyDescent="0.25">
      <c r="A23" s="340"/>
      <c r="B23" s="368" t="s">
        <v>233</v>
      </c>
      <c r="C23" s="343"/>
      <c r="D23" s="340"/>
      <c r="E23" s="340"/>
      <c r="F23" s="340"/>
      <c r="G23" s="340"/>
      <c r="H23" s="340"/>
      <c r="I23" s="340"/>
      <c r="J23" s="340"/>
      <c r="K23" s="340"/>
      <c r="L23" s="368" t="s">
        <v>233</v>
      </c>
      <c r="M23" s="459"/>
      <c r="N23" s="459"/>
      <c r="P23" s="459"/>
      <c r="Q23" s="476"/>
      <c r="R23" s="459"/>
      <c r="S23" s="459"/>
    </row>
    <row r="24" spans="1:19" ht="16.5" customHeight="1" x14ac:dyDescent="0.25">
      <c r="A24" s="340"/>
      <c r="B24" s="1038" t="s">
        <v>43</v>
      </c>
      <c r="C24" s="1034"/>
      <c r="D24" s="369">
        <f>+DATOS!$E$18</f>
        <v>0</v>
      </c>
      <c r="E24" s="370">
        <f>IF(D24&lt;=$D$20,$D$21,IF(AND(D24&gt;$D$20,D24&lt;=$E$20),$E$21,IF(AND(D24&gt;$E$20,D24&lt;=$F$20),$F$21,IF(AND(D24&gt;$F$20,D24&lt;=$G$20),$G$21,IF(AND(D24&gt;$G$20,D24&lt;=$H$20),$H$21,$H$21)))))</f>
        <v>0</v>
      </c>
      <c r="F24" s="340"/>
      <c r="G24" s="340"/>
      <c r="H24" s="340"/>
      <c r="I24" s="340"/>
      <c r="J24" s="340"/>
      <c r="K24" s="340"/>
      <c r="L24" s="477"/>
      <c r="M24" s="478" t="s">
        <v>261</v>
      </c>
      <c r="N24" s="479"/>
      <c r="O24" s="481">
        <f>+INCERT!M96</f>
        <v>0</v>
      </c>
      <c r="P24" s="482">
        <f>IF(AND(O24&lt;=$R$21,O24&gt;$Q$21),$R$22,IF(AND(O24&lt;=$Q$21,O24&gt;$P$21),$Q$22,IF(AND(O24&lt;=$P$21,O24&gt;$O$21),$P$22,IF(AND(O24&lt;=$O$21,O24&gt;$N$21),$O$22,IF(O24&lt;=$N$21,$N$22)))))</f>
        <v>0</v>
      </c>
      <c r="R24" s="459"/>
      <c r="S24" s="459"/>
    </row>
    <row r="25" spans="1:19" ht="16.5" customHeight="1" x14ac:dyDescent="0.25">
      <c r="B25" s="1033" t="s">
        <v>37</v>
      </c>
      <c r="C25" s="1034"/>
      <c r="D25" s="473" t="e">
        <f>+DATOS!$E$19</f>
        <v>#N/A</v>
      </c>
      <c r="E25" s="370" t="e">
        <f>IF(D25&lt;=$D$20,$D$21,IF(AND(D25&gt;$D$20,D25&lt;=$E$20),$E$21,IF(AND(D25&gt;$E$20,D25&lt;=$F$20),$F$21,IF(AND(D25&gt;$F$20,D25&lt;=$G$20),$G$21,IF(AND(D25&gt;$G$20,D25&lt;=$H$20),$H$21,$H$21)))))</f>
        <v>#N/A</v>
      </c>
      <c r="F25" s="340"/>
      <c r="G25" s="340"/>
      <c r="H25" s="340"/>
      <c r="I25" s="340"/>
      <c r="J25" s="340"/>
      <c r="K25" s="340"/>
      <c r="L25" s="469"/>
      <c r="M25" s="478" t="s">
        <v>262</v>
      </c>
      <c r="N25" s="479"/>
      <c r="O25" s="481">
        <f>+INCERT!M100</f>
        <v>0</v>
      </c>
      <c r="P25" s="482">
        <f>IF(AND(O25&lt;=$R$21,O25&gt;$Q$21),$R$22,IF(AND(O25&lt;=$Q$21,O25&gt;$P$21),$Q$22,IF(AND(O25&lt;=$P$21,O25&gt;$O$21),$P$22,IF(AND(O25&lt;=$O$21,O25&gt;$N$21),$O$22,IF(O25&lt;=$N$21,$N$22)))))</f>
        <v>0</v>
      </c>
      <c r="R25" s="459"/>
      <c r="S25" s="459"/>
    </row>
    <row r="26" spans="1:19" ht="16.5" customHeight="1" x14ac:dyDescent="0.25">
      <c r="F26" s="340"/>
      <c r="G26" s="340"/>
      <c r="H26" s="340"/>
      <c r="I26" s="340"/>
      <c r="J26" s="340"/>
      <c r="K26" s="340"/>
      <c r="L26" s="469"/>
      <c r="M26" s="480" t="s">
        <v>263</v>
      </c>
      <c r="N26" s="479"/>
      <c r="O26" s="481">
        <f>+INCERT!M104</f>
        <v>0</v>
      </c>
      <c r="P26" s="482">
        <f>IF(AND(O26&lt;=$R$21,O26&gt;$Q$21),$R$22,IF(AND(O26&lt;=$Q$21,O26&gt;$P$21),$Q$22,IF(AND(O26&lt;=$P$21,O26&gt;$O$21),$P$22,IF(AND(O26&lt;=$O$21,O26&gt;$N$21),$O$22,IF(O26&lt;=$N$21,$N$22)))))</f>
        <v>0</v>
      </c>
      <c r="R26" s="459"/>
      <c r="S26" s="459"/>
    </row>
    <row r="27" spans="1:19" ht="16.5" customHeight="1" x14ac:dyDescent="0.25">
      <c r="B27" s="1038" t="s">
        <v>43</v>
      </c>
      <c r="C27" s="1034"/>
      <c r="D27" s="369">
        <f>+DATOS!$I$18</f>
        <v>0</v>
      </c>
      <c r="E27" s="370">
        <f>IF(D27&lt;=$D$20,$D$21,IF(AND(D27&gt;$D$20,D27&lt;=$E$20),$E$21,IF(AND(D27&gt;$E$20,D27&lt;=$F$20),$F$21,IF(AND(D27&gt;$F$20,D27&lt;=$G$20),$G$21,IF(AND(D27&gt;$G$20,D27&lt;=$H$20),$H$21,$H$21)))))</f>
        <v>0</v>
      </c>
      <c r="L27" s="459"/>
      <c r="N27" s="459"/>
      <c r="O27" s="459"/>
      <c r="P27" s="459"/>
      <c r="Q27" s="459"/>
      <c r="R27" s="459"/>
      <c r="S27" s="459"/>
    </row>
    <row r="28" spans="1:19" ht="16.5" customHeight="1" x14ac:dyDescent="0.25">
      <c r="B28" s="1033" t="s">
        <v>37</v>
      </c>
      <c r="C28" s="1034"/>
      <c r="D28" s="473" t="e">
        <f>+DATOS!$I$19</f>
        <v>#N/A</v>
      </c>
      <c r="E28" s="370" t="e">
        <f>IF(D28&lt;=$D$20,$D$21,IF(AND(D28&gt;$D$20,D28&lt;=$E$20),$E$21,IF(AND(D28&gt;$E$20,D28&lt;=$F$20),$F$21,IF(AND(D28&gt;$F$20,D28&lt;=$G$20),$G$21,IF(AND(D28&gt;$G$20,D28&lt;=$H$20),$H$21,$H$21)))))</f>
        <v>#N/A</v>
      </c>
      <c r="L28" s="477"/>
      <c r="M28" s="478" t="s">
        <v>261</v>
      </c>
      <c r="N28" s="479"/>
      <c r="O28" s="481">
        <f>+INCERT!W96</f>
        <v>0</v>
      </c>
      <c r="P28" s="482">
        <f>IF(AND(O28&lt;=$R$21,O28&gt;$Q$21),$R$22,IF(AND(O28&lt;=$Q$21,O28&gt;$P$21),$Q$22,IF(AND(O28&lt;=$P$21,O28&gt;$O$21),$P$22,IF(AND(O28&lt;=$O$21,O28&gt;$N$21),$O$22,IF(O28&lt;=$N$21,$N$22)))))</f>
        <v>0</v>
      </c>
    </row>
    <row r="29" spans="1:19" ht="16.5" customHeight="1" x14ac:dyDescent="0.25">
      <c r="L29" s="469"/>
      <c r="M29" s="478" t="s">
        <v>262</v>
      </c>
      <c r="N29" s="479"/>
      <c r="O29" s="481">
        <f>+INCERT!W100</f>
        <v>0</v>
      </c>
      <c r="P29" s="482">
        <f>IF(AND(O29&lt;=$R$21,O29&gt;$Q$21),$R$22,IF(AND(O29&lt;=$Q$21,O29&gt;$P$21),$Q$22,IF(AND(O29&lt;=$P$21,O29&gt;$O$21),$P$22,IF(AND(O29&lt;=$O$21,O29&gt;$N$21),$O$22,IF(O29&lt;=$N$21,$N$22)))))</f>
        <v>0</v>
      </c>
    </row>
    <row r="30" spans="1:19" ht="16.5" customHeight="1" x14ac:dyDescent="0.25">
      <c r="L30" s="469"/>
      <c r="M30" s="480" t="s">
        <v>263</v>
      </c>
      <c r="N30" s="479"/>
      <c r="O30" s="481">
        <f>+INCERT!W104</f>
        <v>0</v>
      </c>
      <c r="P30" s="482">
        <f>IF(AND(O30&lt;=$R$21,O30&gt;$Q$21),$R$22,IF(AND(O30&lt;=$Q$21,O30&gt;$P$21),$Q$22,IF(AND(O30&lt;=$P$21,O30&gt;$O$21),$P$22,IF(AND(O30&lt;=$O$21,O30&gt;$N$21),$O$22,IF(O30&lt;=$N$21,$N$22)))))</f>
        <v>0</v>
      </c>
    </row>
    <row r="31" spans="1:19" ht="12.75" customHeight="1" x14ac:dyDescent="0.25"/>
    <row r="32" spans="1:1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sheetProtection algorithmName="SHA-512" hashValue="YkEpb+SQ6Ls0aUvf1ZEXH3frhgr0ZbAYcEy5eAhSttngZOAFsPG2YuAzCCFk4rg82AHb9lzMeHsqSmFYa8iEbg==" saltValue="sm7BiAw9jgtCMHj4Kpd++w==" spinCount="100000" sheet="1" objects="1" scenarios="1"/>
  <mergeCells count="6">
    <mergeCell ref="B28:C28"/>
    <mergeCell ref="B2:G2"/>
    <mergeCell ref="I6:J6"/>
    <mergeCell ref="B24:C24"/>
    <mergeCell ref="B25:C25"/>
    <mergeCell ref="B27:C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F8AB-E93C-4BA5-A6F2-411BE558FA10}">
  <dimension ref="A1:M944"/>
  <sheetViews>
    <sheetView workbookViewId="0">
      <selection activeCell="C5" sqref="C5"/>
    </sheetView>
  </sheetViews>
  <sheetFormatPr baseColWidth="10" defaultColWidth="12.5546875" defaultRowHeight="13.2" x14ac:dyDescent="0.25"/>
  <cols>
    <col min="1" max="1" width="8.109375" style="708" customWidth="1"/>
    <col min="2" max="2" width="23.88671875" style="708" customWidth="1"/>
    <col min="3" max="8" width="12" style="708" customWidth="1"/>
    <col min="9" max="9" width="36" style="708" customWidth="1"/>
    <col min="10" max="12" width="10.5546875" style="708" customWidth="1"/>
    <col min="13" max="13" width="11" style="708" customWidth="1"/>
    <col min="14" max="15" width="10.5546875" style="708" customWidth="1"/>
    <col min="16" max="16384" width="12.5546875" style="708"/>
  </cols>
  <sheetData>
    <row r="1" spans="1:13" ht="12.75" customHeight="1" x14ac:dyDescent="0.25">
      <c r="A1" s="707"/>
      <c r="B1" s="707"/>
      <c r="C1" s="707"/>
      <c r="D1" s="707"/>
      <c r="E1" s="707"/>
      <c r="F1" s="707"/>
      <c r="G1" s="707"/>
    </row>
    <row r="2" spans="1:13" ht="12.75" customHeight="1" x14ac:dyDescent="0.3">
      <c r="A2" s="707"/>
      <c r="B2" s="709"/>
      <c r="G2" s="707"/>
      <c r="I2" s="709"/>
    </row>
    <row r="3" spans="1:13" ht="12.75" customHeight="1" x14ac:dyDescent="0.25">
      <c r="A3" s="707"/>
      <c r="B3" s="198" t="s">
        <v>461</v>
      </c>
      <c r="G3" s="707"/>
      <c r="I3" s="198" t="s">
        <v>462</v>
      </c>
    </row>
    <row r="4" spans="1:13" ht="12.75" customHeight="1" x14ac:dyDescent="0.25">
      <c r="A4" s="707"/>
      <c r="B4" s="198" t="s">
        <v>236</v>
      </c>
      <c r="C4" s="710">
        <v>45789</v>
      </c>
      <c r="G4" s="707"/>
      <c r="I4" s="198" t="s">
        <v>236</v>
      </c>
      <c r="J4" s="710">
        <v>46064</v>
      </c>
    </row>
    <row r="5" spans="1:13" ht="12.75" customHeight="1" x14ac:dyDescent="0.25">
      <c r="A5" s="707"/>
      <c r="B5" s="198"/>
      <c r="C5" s="711"/>
      <c r="G5" s="707"/>
      <c r="I5" s="198"/>
      <c r="J5" s="711"/>
    </row>
    <row r="6" spans="1:13" ht="12.75" customHeight="1" x14ac:dyDescent="0.3">
      <c r="B6" s="713" t="s">
        <v>332</v>
      </c>
      <c r="C6" s="1039">
        <v>2.0257508895880236</v>
      </c>
      <c r="D6" s="1039"/>
      <c r="E6" s="1039"/>
      <c r="F6" s="712"/>
      <c r="I6" s="713" t="s">
        <v>332</v>
      </c>
      <c r="J6" s="1039">
        <v>0.11030261405182915</v>
      </c>
      <c r="K6" s="1039"/>
      <c r="L6" s="1039"/>
      <c r="M6" s="712"/>
    </row>
    <row r="7" spans="1:13" ht="12.75" customHeight="1" x14ac:dyDescent="0.3">
      <c r="B7" s="713" t="s">
        <v>333</v>
      </c>
      <c r="C7" s="1039">
        <v>2.1777536846740135</v>
      </c>
      <c r="D7" s="1039"/>
      <c r="E7" s="1039"/>
      <c r="F7" s="712"/>
      <c r="I7" s="713" t="s">
        <v>333</v>
      </c>
      <c r="J7" s="1039">
        <v>0.11377365443927613</v>
      </c>
      <c r="K7" s="1039"/>
      <c r="L7" s="1039"/>
      <c r="M7" s="712"/>
    </row>
    <row r="8" spans="1:13" ht="12.75" customHeight="1" x14ac:dyDescent="0.25"/>
    <row r="9" spans="1:13" ht="12.75" customHeight="1" x14ac:dyDescent="0.25"/>
    <row r="10" spans="1:13" ht="12.75" customHeight="1" x14ac:dyDescent="0.25"/>
    <row r="11" spans="1:13" ht="12.75" customHeight="1" x14ac:dyDescent="0.25"/>
    <row r="12" spans="1:13" ht="12.75" customHeight="1" x14ac:dyDescent="0.25"/>
    <row r="13" spans="1:13" ht="12.75" customHeight="1" x14ac:dyDescent="0.25"/>
    <row r="14" spans="1:13" ht="12.75" customHeight="1" x14ac:dyDescent="0.25"/>
    <row r="15" spans="1:13" ht="12.75" customHeight="1" x14ac:dyDescent="0.25"/>
    <row r="16" spans="1:1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</sheetData>
  <sheetProtection algorithmName="SHA-512" hashValue="2hVJLd3EcCK1eTh08Bsg8qjn0UdXDpLQfMtay5+xIPdL8vpGardeCiFPJfXYR2wm7sWFecS0MOYG4Ztss/+4jw==" saltValue="xRw421jdjQkreVB8k6HPGw==" spinCount="100000" sheet="1" objects="1" scenarios="1"/>
  <mergeCells count="4">
    <mergeCell ref="J6:L6"/>
    <mergeCell ref="J7:L7"/>
    <mergeCell ref="C6:E6"/>
    <mergeCell ref="C7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C832-8EF6-4CE9-9A4B-BD19A3EFB703}">
  <dimension ref="A1:M974"/>
  <sheetViews>
    <sheetView workbookViewId="0">
      <selection activeCell="G3" sqref="G3"/>
    </sheetView>
  </sheetViews>
  <sheetFormatPr baseColWidth="10" defaultColWidth="12.5546875" defaultRowHeight="13.2" x14ac:dyDescent="0.25"/>
  <cols>
    <col min="1" max="1" width="8.109375" style="373" customWidth="1"/>
    <col min="2" max="2" width="23.88671875" style="373" customWidth="1"/>
    <col min="3" max="8" width="12" style="373" customWidth="1"/>
    <col min="9" max="9" width="36" style="373" customWidth="1"/>
    <col min="10" max="12" width="10.5546875" style="373" customWidth="1"/>
    <col min="13" max="13" width="11" style="373" customWidth="1"/>
    <col min="14" max="15" width="10.5546875" style="373" customWidth="1"/>
    <col min="16" max="16384" width="12.5546875" style="373"/>
  </cols>
  <sheetData>
    <row r="1" spans="1:13" ht="12.75" customHeight="1" x14ac:dyDescent="0.25">
      <c r="A1" s="340"/>
      <c r="B1" s="340"/>
      <c r="C1" s="340"/>
      <c r="D1" s="340"/>
      <c r="E1" s="340"/>
      <c r="F1" s="340"/>
      <c r="G1" s="340"/>
    </row>
    <row r="2" spans="1:13" ht="12.75" customHeight="1" x14ac:dyDescent="0.3">
      <c r="A2" s="340"/>
      <c r="B2" s="645" t="s">
        <v>234</v>
      </c>
      <c r="C2" s="351"/>
      <c r="D2" s="351"/>
      <c r="E2" s="351"/>
      <c r="F2" s="351"/>
      <c r="G2" s="340"/>
      <c r="I2" s="645" t="s">
        <v>234</v>
      </c>
      <c r="J2" s="351"/>
      <c r="K2" s="351"/>
      <c r="L2" s="351"/>
      <c r="M2" s="351"/>
    </row>
    <row r="3" spans="1:13" ht="12.75" customHeight="1" x14ac:dyDescent="0.25">
      <c r="A3" s="340"/>
      <c r="B3" s="646" t="s">
        <v>235</v>
      </c>
      <c r="C3" s="351"/>
      <c r="D3" s="351"/>
      <c r="E3" s="351"/>
      <c r="F3" s="351"/>
      <c r="G3" s="340"/>
      <c r="I3" s="646" t="s">
        <v>235</v>
      </c>
      <c r="J3" s="351"/>
      <c r="K3" s="351"/>
      <c r="L3" s="351"/>
      <c r="M3" s="351"/>
    </row>
    <row r="4" spans="1:13" ht="12.75" customHeight="1" x14ac:dyDescent="0.25">
      <c r="A4" s="340"/>
      <c r="B4" s="646" t="s">
        <v>236</v>
      </c>
      <c r="C4" s="647">
        <v>45625</v>
      </c>
      <c r="D4" s="351"/>
      <c r="E4" s="351"/>
      <c r="F4" s="351"/>
      <c r="G4" s="340"/>
      <c r="I4" s="646" t="s">
        <v>236</v>
      </c>
      <c r="J4" s="647">
        <v>45625</v>
      </c>
      <c r="K4" s="351"/>
      <c r="L4" s="351"/>
      <c r="M4" s="351"/>
    </row>
    <row r="5" spans="1:13" ht="12.75" customHeight="1" x14ac:dyDescent="0.25">
      <c r="A5" s="340"/>
      <c r="B5" s="646"/>
      <c r="C5" s="483"/>
      <c r="D5" s="351"/>
      <c r="E5" s="351"/>
      <c r="F5" s="351"/>
      <c r="G5" s="340"/>
      <c r="I5" s="646"/>
      <c r="J5" s="483"/>
      <c r="K5" s="351"/>
      <c r="L5" s="351"/>
      <c r="M5" s="351"/>
    </row>
    <row r="6" spans="1:13" ht="12.75" customHeight="1" x14ac:dyDescent="0.3">
      <c r="A6" s="340"/>
      <c r="B6" s="645" t="s">
        <v>336</v>
      </c>
      <c r="C6" s="351"/>
      <c r="D6" s="351"/>
      <c r="E6" s="645"/>
      <c r="F6" s="351"/>
      <c r="G6" s="340"/>
      <c r="I6" s="645" t="s">
        <v>336</v>
      </c>
      <c r="J6" s="351"/>
      <c r="K6" s="351"/>
      <c r="L6" s="645"/>
      <c r="M6" s="351"/>
    </row>
    <row r="7" spans="1:13" ht="12.75" customHeight="1" x14ac:dyDescent="0.25">
      <c r="B7" s="648" t="s">
        <v>322</v>
      </c>
      <c r="C7" s="649" t="s">
        <v>345</v>
      </c>
      <c r="D7" s="449"/>
      <c r="E7" s="449" t="s">
        <v>346</v>
      </c>
      <c r="F7" s="449"/>
      <c r="I7" s="648" t="s">
        <v>322</v>
      </c>
      <c r="J7" s="649" t="s">
        <v>334</v>
      </c>
      <c r="K7" s="449"/>
      <c r="L7" s="449" t="s">
        <v>335</v>
      </c>
      <c r="M7" s="449"/>
    </row>
    <row r="8" spans="1:13" ht="12.75" customHeight="1" x14ac:dyDescent="0.25">
      <c r="B8" s="1045" t="s">
        <v>323</v>
      </c>
      <c r="C8" s="371">
        <v>40.950000000000003</v>
      </c>
      <c r="D8" s="371"/>
      <c r="E8" s="371">
        <v>12.92</v>
      </c>
      <c r="F8" s="371"/>
      <c r="I8" s="1045" t="s">
        <v>323</v>
      </c>
      <c r="J8" s="371">
        <v>22.3</v>
      </c>
      <c r="K8" s="371"/>
      <c r="L8" s="371">
        <v>7.6</v>
      </c>
      <c r="M8" s="371"/>
    </row>
    <row r="9" spans="1:13" ht="12.75" customHeight="1" x14ac:dyDescent="0.25">
      <c r="B9" s="1045"/>
      <c r="C9" s="371">
        <v>41.17</v>
      </c>
      <c r="D9" s="371"/>
      <c r="E9" s="371">
        <v>13.74</v>
      </c>
      <c r="F9" s="371"/>
      <c r="I9" s="1045"/>
      <c r="J9" s="371">
        <v>22.3</v>
      </c>
      <c r="K9" s="371"/>
      <c r="L9" s="371">
        <v>7.8</v>
      </c>
      <c r="M9" s="371"/>
    </row>
    <row r="10" spans="1:13" ht="12.75" customHeight="1" x14ac:dyDescent="0.25">
      <c r="B10" s="1045"/>
      <c r="C10" s="371">
        <v>39.67</v>
      </c>
      <c r="D10" s="371"/>
      <c r="E10" s="371">
        <v>13.68</v>
      </c>
      <c r="F10" s="371"/>
      <c r="I10" s="1045"/>
      <c r="J10" s="371">
        <v>22.9</v>
      </c>
      <c r="K10" s="371"/>
      <c r="L10" s="371">
        <v>7.7</v>
      </c>
      <c r="M10" s="371"/>
    </row>
    <row r="11" spans="1:13" ht="12.75" customHeight="1" x14ac:dyDescent="0.25">
      <c r="B11" s="1045"/>
      <c r="C11" s="484">
        <v>38.6</v>
      </c>
      <c r="D11" s="484"/>
      <c r="E11" s="484">
        <v>12.95</v>
      </c>
      <c r="F11" s="484"/>
      <c r="I11" s="1045"/>
      <c r="J11" s="484">
        <v>22.2</v>
      </c>
      <c r="K11" s="484"/>
      <c r="L11" s="484">
        <v>7.6</v>
      </c>
      <c r="M11" s="484"/>
    </row>
    <row r="12" spans="1:13" ht="12.75" customHeight="1" x14ac:dyDescent="0.25">
      <c r="B12" s="1045"/>
      <c r="C12" s="484">
        <v>38.9</v>
      </c>
      <c r="D12" s="484"/>
      <c r="E12" s="484">
        <v>12.73</v>
      </c>
      <c r="F12" s="484"/>
      <c r="I12" s="1045"/>
      <c r="J12" s="484">
        <v>22.6</v>
      </c>
      <c r="K12" s="484"/>
      <c r="L12" s="484">
        <v>7.5</v>
      </c>
      <c r="M12" s="484"/>
    </row>
    <row r="13" spans="1:13" ht="12.75" customHeight="1" x14ac:dyDescent="0.25">
      <c r="B13" s="1045"/>
      <c r="C13" s="484">
        <v>38.909999999999997</v>
      </c>
      <c r="D13" s="484"/>
      <c r="E13" s="484">
        <v>13.52</v>
      </c>
      <c r="F13" s="484"/>
      <c r="I13" s="1045"/>
      <c r="J13" s="484">
        <v>22.4</v>
      </c>
      <c r="K13" s="484"/>
      <c r="L13" s="484">
        <v>7.8</v>
      </c>
      <c r="M13" s="484"/>
    </row>
    <row r="14" spans="1:13" ht="12.75" customHeight="1" x14ac:dyDescent="0.25">
      <c r="B14" s="1045"/>
      <c r="C14" s="649"/>
      <c r="D14" s="649"/>
      <c r="E14" s="650"/>
      <c r="F14" s="650"/>
      <c r="I14" s="1045"/>
      <c r="J14" s="649"/>
      <c r="K14" s="649"/>
      <c r="L14" s="650"/>
      <c r="M14" s="650"/>
    </row>
    <row r="15" spans="1:13" ht="12.75" customHeight="1" x14ac:dyDescent="0.25">
      <c r="B15" s="1045"/>
      <c r="C15" s="649"/>
      <c r="D15" s="649"/>
      <c r="E15" s="650"/>
      <c r="F15" s="650"/>
      <c r="I15" s="1045"/>
      <c r="J15" s="649"/>
      <c r="K15" s="649"/>
      <c r="L15" s="650"/>
      <c r="M15" s="650"/>
    </row>
    <row r="16" spans="1:13" ht="12.75" customHeight="1" x14ac:dyDescent="0.25">
      <c r="B16" s="1045"/>
      <c r="C16" s="649"/>
      <c r="D16" s="649"/>
      <c r="E16" s="650"/>
      <c r="F16" s="650"/>
      <c r="I16" s="1045"/>
      <c r="J16" s="649"/>
      <c r="K16" s="649"/>
      <c r="L16" s="650"/>
      <c r="M16" s="650"/>
    </row>
    <row r="17" spans="2:13" ht="12.75" customHeight="1" x14ac:dyDescent="0.25">
      <c r="B17" s="1045"/>
      <c r="C17" s="651"/>
      <c r="D17" s="649"/>
      <c r="E17" s="650"/>
      <c r="F17" s="650"/>
      <c r="I17" s="1045"/>
      <c r="J17" s="651"/>
      <c r="K17" s="649"/>
      <c r="L17" s="650"/>
      <c r="M17" s="650"/>
    </row>
    <row r="18" spans="2:13" ht="12.75" customHeight="1" x14ac:dyDescent="0.25">
      <c r="B18" s="1045"/>
      <c r="C18" s="651"/>
      <c r="D18" s="649"/>
      <c r="E18" s="650"/>
      <c r="F18" s="650"/>
      <c r="I18" s="1045"/>
      <c r="J18" s="651"/>
      <c r="K18" s="649"/>
      <c r="L18" s="650"/>
      <c r="M18" s="650"/>
    </row>
    <row r="19" spans="2:13" ht="12.75" customHeight="1" x14ac:dyDescent="0.25">
      <c r="B19" s="1045"/>
      <c r="C19" s="651"/>
      <c r="D19" s="649"/>
      <c r="E19" s="650"/>
      <c r="F19" s="650"/>
      <c r="I19" s="1045"/>
      <c r="J19" s="651"/>
      <c r="K19" s="649"/>
      <c r="L19" s="650"/>
      <c r="M19" s="650"/>
    </row>
    <row r="20" spans="2:13" ht="21.75" customHeight="1" x14ac:dyDescent="0.3">
      <c r="B20" s="485" t="s">
        <v>237</v>
      </c>
      <c r="C20" s="486">
        <f>COUNT(C8:C19)</f>
        <v>6</v>
      </c>
      <c r="D20" s="652"/>
      <c r="E20" s="653"/>
      <c r="F20" s="654"/>
      <c r="I20" s="485" t="s">
        <v>237</v>
      </c>
      <c r="J20" s="486">
        <f>COUNT(J8:J19)</f>
        <v>6</v>
      </c>
      <c r="K20" s="652"/>
      <c r="L20" s="653"/>
      <c r="M20" s="654"/>
    </row>
    <row r="21" spans="2:13" ht="21.75" customHeight="1" x14ac:dyDescent="0.3">
      <c r="B21" s="485" t="s">
        <v>238</v>
      </c>
      <c r="C21" s="485">
        <f>COUNTA(C7:F7)</f>
        <v>2</v>
      </c>
      <c r="D21" s="652"/>
      <c r="E21" s="653"/>
      <c r="F21" s="654"/>
      <c r="I21" s="485" t="s">
        <v>238</v>
      </c>
      <c r="J21" s="485">
        <f>COUNTA(J7:M7)</f>
        <v>2</v>
      </c>
      <c r="K21" s="652"/>
      <c r="L21" s="653"/>
      <c r="M21" s="654"/>
    </row>
    <row r="22" spans="2:13" ht="21.75" customHeight="1" x14ac:dyDescent="0.3">
      <c r="B22" s="487"/>
      <c r="C22" s="425"/>
      <c r="D22" s="425"/>
      <c r="E22" s="488"/>
      <c r="F22" s="654"/>
      <c r="I22" s="487"/>
      <c r="J22" s="425"/>
      <c r="K22" s="425"/>
      <c r="L22" s="488"/>
      <c r="M22" s="654"/>
    </row>
    <row r="23" spans="2:13" ht="12.75" customHeight="1" x14ac:dyDescent="0.25">
      <c r="B23" s="489" t="s">
        <v>264</v>
      </c>
      <c r="C23" s="458">
        <f>COUNT(C8:C19)</f>
        <v>6</v>
      </c>
      <c r="D23" s="458">
        <f>COUNT(D8:D19)</f>
        <v>0</v>
      </c>
      <c r="E23" s="458">
        <f>COUNT(E8:E19)</f>
        <v>6</v>
      </c>
      <c r="F23" s="458">
        <f>COUNT(F8:F19)</f>
        <v>0</v>
      </c>
      <c r="I23" s="489" t="s">
        <v>264</v>
      </c>
      <c r="J23" s="458">
        <f>COUNT(J8:J19)</f>
        <v>6</v>
      </c>
      <c r="K23" s="458">
        <f>COUNT(K8:K19)</f>
        <v>0</v>
      </c>
      <c r="L23" s="458">
        <f>COUNT(L8:L19)</f>
        <v>6</v>
      </c>
      <c r="M23" s="458">
        <f>COUNT(M8:M19)</f>
        <v>0</v>
      </c>
    </row>
    <row r="24" spans="2:13" ht="12.75" customHeight="1" x14ac:dyDescent="0.25">
      <c r="B24" s="489" t="s">
        <v>265</v>
      </c>
      <c r="C24" s="490">
        <f>AVERAGE(C8:C19)</f>
        <v>39.700000000000003</v>
      </c>
      <c r="D24" s="490"/>
      <c r="E24" s="490">
        <f>AVERAGE(E8:E19)</f>
        <v>13.256666666666668</v>
      </c>
      <c r="F24" s="490"/>
      <c r="I24" s="489" t="s">
        <v>265</v>
      </c>
      <c r="J24" s="490">
        <f>AVERAGE(J8:J19)</f>
        <v>22.450000000000003</v>
      </c>
      <c r="K24" s="490"/>
      <c r="L24" s="490">
        <f>AVERAGE(L8:L19)</f>
        <v>7.6666666666666652</v>
      </c>
      <c r="M24" s="490"/>
    </row>
    <row r="25" spans="2:13" ht="12.75" customHeight="1" x14ac:dyDescent="0.25">
      <c r="B25" s="489" t="s">
        <v>266</v>
      </c>
      <c r="C25" s="490">
        <f>STDEV(C8:C19)</f>
        <v>1.1134091790532372</v>
      </c>
      <c r="D25" s="490"/>
      <c r="E25" s="490">
        <f>STDEV(E8:E19)</f>
        <v>0.43975750893721716</v>
      </c>
      <c r="F25" s="490"/>
      <c r="I25" s="489" t="s">
        <v>266</v>
      </c>
      <c r="J25" s="490">
        <f>STDEV(J8:J19)</f>
        <v>0.25884358211089542</v>
      </c>
      <c r="K25" s="490"/>
      <c r="L25" s="490">
        <f>STDEV(L8:L19)</f>
        <v>0.12110601416389968</v>
      </c>
      <c r="M25" s="490"/>
    </row>
    <row r="26" spans="2:13" ht="12.75" customHeight="1" x14ac:dyDescent="0.25">
      <c r="B26" s="489" t="s">
        <v>267</v>
      </c>
      <c r="C26" s="490">
        <f>VAR(C8:C19)</f>
        <v>1.2396800000000034</v>
      </c>
      <c r="D26" s="490"/>
      <c r="E26" s="490">
        <f>VAR(E8:E19)</f>
        <v>0.19338666666666662</v>
      </c>
      <c r="F26" s="490"/>
      <c r="I26" s="489" t="s">
        <v>267</v>
      </c>
      <c r="J26" s="490">
        <f>VAR(J8:J19)</f>
        <v>6.6999999999999851E-2</v>
      </c>
      <c r="K26" s="490"/>
      <c r="L26" s="490">
        <f>VAR(L8:L19)</f>
        <v>1.466666666666667E-2</v>
      </c>
      <c r="M26" s="490"/>
    </row>
    <row r="27" spans="2:13" ht="12.75" customHeight="1" x14ac:dyDescent="0.3">
      <c r="B27" s="655"/>
      <c r="C27" s="655"/>
      <c r="D27" s="655"/>
      <c r="E27" s="655"/>
      <c r="F27" s="654"/>
      <c r="I27" s="655"/>
      <c r="J27" s="655"/>
      <c r="K27" s="655"/>
      <c r="L27" s="655"/>
      <c r="M27" s="654"/>
    </row>
    <row r="28" spans="2:13" ht="12.75" customHeight="1" x14ac:dyDescent="0.3">
      <c r="B28" s="656" t="s">
        <v>324</v>
      </c>
      <c r="C28" s="1046">
        <f>+C23*C24+D23*D24+E23*E24+F23*F24</f>
        <v>317.74</v>
      </c>
      <c r="D28" s="1046"/>
      <c r="E28" s="1046"/>
      <c r="F28" s="654"/>
      <c r="I28" s="656" t="s">
        <v>324</v>
      </c>
      <c r="J28" s="1046">
        <f>+J23*J24+K23*K24+L23*L24+M23*M24</f>
        <v>180.70000000000002</v>
      </c>
      <c r="K28" s="1046"/>
      <c r="L28" s="1046"/>
      <c r="M28" s="654"/>
    </row>
    <row r="29" spans="2:13" ht="12.75" customHeight="1" x14ac:dyDescent="0.3">
      <c r="B29" s="656" t="s">
        <v>325</v>
      </c>
      <c r="C29" s="1043">
        <f>+C23*POWER(C24,2)+D23*POWER(D24,2)+E23*POWER(E24,2)+F23*POWER(F24,2)</f>
        <v>10510.975266666668</v>
      </c>
      <c r="D29" s="1043"/>
      <c r="E29" s="1043"/>
      <c r="F29" s="654"/>
      <c r="I29" s="656" t="s">
        <v>325</v>
      </c>
      <c r="J29" s="1043">
        <f>+J23*POWER(J24,2)+K23*POWER(K24,2)+L23*POWER(L24,2)+M23*POWER(M24,2)</f>
        <v>3376.6816666666673</v>
      </c>
      <c r="K29" s="1043"/>
      <c r="L29" s="1043"/>
      <c r="M29" s="654"/>
    </row>
    <row r="30" spans="2:13" ht="12.75" customHeight="1" x14ac:dyDescent="0.3">
      <c r="B30" s="656" t="s">
        <v>326</v>
      </c>
      <c r="C30" s="1043">
        <f>+SUM(C23:F23)</f>
        <v>12</v>
      </c>
      <c r="D30" s="1043"/>
      <c r="E30" s="1043"/>
      <c r="F30" s="654"/>
      <c r="I30" s="656" t="s">
        <v>326</v>
      </c>
      <c r="J30" s="1043">
        <f>+SUM(J23:M23)</f>
        <v>12</v>
      </c>
      <c r="K30" s="1043"/>
      <c r="L30" s="1043"/>
      <c r="M30" s="654"/>
    </row>
    <row r="31" spans="2:13" ht="12.75" customHeight="1" x14ac:dyDescent="0.3">
      <c r="B31" s="656" t="s">
        <v>327</v>
      </c>
      <c r="C31" s="1043">
        <f>+POWER(C23,2)+POWER(D23,2)+POWER(E23,2)+POWER(F23,2)</f>
        <v>72</v>
      </c>
      <c r="D31" s="1043"/>
      <c r="E31" s="1043"/>
      <c r="F31" s="654"/>
      <c r="I31" s="656" t="s">
        <v>327</v>
      </c>
      <c r="J31" s="1043">
        <f>+POWER(J23,2)+POWER(K23,2)+POWER(L23,2)+POWER(M23,2)</f>
        <v>72</v>
      </c>
      <c r="K31" s="1043"/>
      <c r="L31" s="1043"/>
      <c r="M31" s="654"/>
    </row>
    <row r="32" spans="2:13" ht="12.75" customHeight="1" x14ac:dyDescent="0.3">
      <c r="B32" s="656" t="s">
        <v>328</v>
      </c>
      <c r="C32" s="1044">
        <f>(C20-1)*SUM(C26:F26)</f>
        <v>7.1653333333333507</v>
      </c>
      <c r="D32" s="1044"/>
      <c r="E32" s="1044"/>
      <c r="F32" s="654"/>
      <c r="I32" s="656" t="s">
        <v>328</v>
      </c>
      <c r="J32" s="1044">
        <f>(J20-1)*SUM(J26:M26)</f>
        <v>0.40833333333333266</v>
      </c>
      <c r="K32" s="1044"/>
      <c r="L32" s="1044"/>
      <c r="M32" s="654"/>
    </row>
    <row r="33" spans="2:13" ht="12.75" customHeight="1" x14ac:dyDescent="0.3">
      <c r="B33" s="489" t="s">
        <v>329</v>
      </c>
      <c r="C33" s="1041">
        <f>ABS((C32/(C30-C21)))</f>
        <v>0.71653333333333502</v>
      </c>
      <c r="D33" s="1041"/>
      <c r="E33" s="1041"/>
      <c r="F33" s="654"/>
      <c r="I33" s="489" t="s">
        <v>329</v>
      </c>
      <c r="J33" s="1041">
        <f>ABS((J32/(J30-J21)))</f>
        <v>4.0833333333333263E-2</v>
      </c>
      <c r="K33" s="1041"/>
      <c r="L33" s="1041"/>
      <c r="M33" s="654"/>
    </row>
    <row r="34" spans="2:13" ht="12.75" customHeight="1" x14ac:dyDescent="0.3">
      <c r="B34" s="489" t="s">
        <v>330</v>
      </c>
      <c r="C34" s="1042">
        <f>ABS((((C29*C30-(C28^2))/(C30*(C21-1)))-(C33))*((C30*(C21-1))/((C30^2)-C31)))</f>
        <v>349.50551666666684</v>
      </c>
      <c r="D34" s="1042"/>
      <c r="E34" s="1042"/>
      <c r="F34" s="654"/>
      <c r="I34" s="489" t="s">
        <v>330</v>
      </c>
      <c r="J34" s="1042">
        <f>ABS((((J29*J30-(J28^2))/(J30*(J21-1)))-(J33))*((J30*(J21-1))/((J30^2)-J31)))</f>
        <v>109.26666666666668</v>
      </c>
      <c r="K34" s="1042"/>
      <c r="L34" s="1042"/>
      <c r="M34" s="654"/>
    </row>
    <row r="35" spans="2:13" ht="12.75" customHeight="1" x14ac:dyDescent="0.3">
      <c r="B35" s="489" t="s">
        <v>331</v>
      </c>
      <c r="C35" s="1040">
        <f>(C33+C34)/1000000</f>
        <v>3.502220500000002E-4</v>
      </c>
      <c r="D35" s="1040"/>
      <c r="E35" s="1040"/>
      <c r="F35" s="654"/>
      <c r="I35" s="489" t="s">
        <v>331</v>
      </c>
      <c r="J35" s="1040">
        <f>(J33+J34)/1000000</f>
        <v>1.0930750000000002E-4</v>
      </c>
      <c r="K35" s="1040"/>
      <c r="L35" s="1040"/>
      <c r="M35" s="654"/>
    </row>
    <row r="36" spans="2:13" ht="12.75" customHeight="1" x14ac:dyDescent="0.3">
      <c r="B36" s="489" t="s">
        <v>332</v>
      </c>
      <c r="C36" s="1040">
        <f>SQRT(C33)</f>
        <v>0.84648291969379685</v>
      </c>
      <c r="D36" s="1040"/>
      <c r="E36" s="1040"/>
      <c r="F36" s="654"/>
      <c r="I36" s="489" t="s">
        <v>332</v>
      </c>
      <c r="J36" s="1040">
        <f>SQRT(J33)</f>
        <v>0.20207259421636883</v>
      </c>
      <c r="K36" s="1040"/>
      <c r="L36" s="1040"/>
      <c r="M36" s="654"/>
    </row>
    <row r="37" spans="2:13" ht="12.75" customHeight="1" x14ac:dyDescent="0.3">
      <c r="B37" s="489" t="s">
        <v>333</v>
      </c>
      <c r="C37" s="1040">
        <f>+SQRT(C33+C34)</f>
        <v>18.714220528785059</v>
      </c>
      <c r="D37" s="1040"/>
      <c r="E37" s="1040"/>
      <c r="F37" s="654"/>
      <c r="I37" s="489" t="s">
        <v>333</v>
      </c>
      <c r="J37" s="1040">
        <f>+SQRT(J33+J34)</f>
        <v>10.455022716378958</v>
      </c>
      <c r="K37" s="1040"/>
      <c r="L37" s="1040"/>
      <c r="M37" s="654"/>
    </row>
    <row r="38" spans="2:13" ht="12.75" customHeight="1" x14ac:dyDescent="0.25"/>
    <row r="39" spans="2:13" ht="12.75" customHeight="1" x14ac:dyDescent="0.25"/>
    <row r="40" spans="2:13" ht="12.75" customHeight="1" x14ac:dyDescent="0.25"/>
    <row r="41" spans="2:13" ht="12.75" customHeight="1" x14ac:dyDescent="0.25"/>
    <row r="42" spans="2:13" ht="12.75" customHeight="1" x14ac:dyDescent="0.25"/>
    <row r="43" spans="2:13" ht="12.75" customHeight="1" x14ac:dyDescent="0.25"/>
    <row r="44" spans="2:13" ht="12.75" customHeight="1" x14ac:dyDescent="0.25"/>
    <row r="45" spans="2:13" ht="12.75" customHeight="1" x14ac:dyDescent="0.25"/>
    <row r="46" spans="2:13" ht="12.75" customHeight="1" x14ac:dyDescent="0.25"/>
    <row r="47" spans="2:13" ht="12.75" customHeight="1" x14ac:dyDescent="0.25"/>
    <row r="48" spans="2:13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sheetProtection algorithmName="SHA-512" hashValue="Umv8UEqzAZgK0xxb86rngF0vAVMs4IOyZjIF8AllMquYYUpeJEroDCbfiBdq6wTDMu9ghALiNaicaOW9dKcmhA==" saltValue="YXD9G6D2O3dlstjdnZIH9g==" spinCount="100000" sheet="1" objects="1" scenarios="1"/>
  <mergeCells count="22">
    <mergeCell ref="B8:B19"/>
    <mergeCell ref="I8:I19"/>
    <mergeCell ref="C28:E28"/>
    <mergeCell ref="J28:L28"/>
    <mergeCell ref="C29:E29"/>
    <mergeCell ref="J29:L29"/>
    <mergeCell ref="C30:E30"/>
    <mergeCell ref="J30:L30"/>
    <mergeCell ref="C31:E31"/>
    <mergeCell ref="J31:L31"/>
    <mergeCell ref="C32:E32"/>
    <mergeCell ref="J32:L32"/>
    <mergeCell ref="C36:E36"/>
    <mergeCell ref="J36:L36"/>
    <mergeCell ref="C37:E37"/>
    <mergeCell ref="J37:L37"/>
    <mergeCell ref="C33:E33"/>
    <mergeCell ref="J33:L33"/>
    <mergeCell ref="C34:E34"/>
    <mergeCell ref="J34:L34"/>
    <mergeCell ref="C35:E35"/>
    <mergeCell ref="J35:L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FORMATO</vt:lpstr>
      <vt:lpstr>INFORME-1</vt:lpstr>
      <vt:lpstr>INFORME-2</vt:lpstr>
      <vt:lpstr>DATOS</vt:lpstr>
      <vt:lpstr>INCERT</vt:lpstr>
      <vt:lpstr>Balanza</vt:lpstr>
      <vt:lpstr>PRECISION</vt:lpstr>
      <vt:lpstr>PRECISION (2)</vt:lpstr>
      <vt:lpstr>'INFORME-1'!Área_de_impresión</vt:lpstr>
      <vt:lpstr>'INFORME-2'!Área_de_impresión</vt:lpstr>
    </vt:vector>
  </TitlesOfParts>
  <Company>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Equipo</cp:lastModifiedBy>
  <cp:lastPrinted>2026-01-02T16:43:00Z</cp:lastPrinted>
  <dcterms:created xsi:type="dcterms:W3CDTF">2001-07-17T22:05:44Z</dcterms:created>
  <dcterms:modified xsi:type="dcterms:W3CDTF">2026-05-06T17:00:08Z</dcterms:modified>
</cp:coreProperties>
</file>