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theme/themeOverride17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Gran agregado AG\"/>
    </mc:Choice>
  </mc:AlternateContent>
  <xr:revisionPtr revIDLastSave="0" documentId="13_ncr:1_{9F596B52-0D5A-4903-9853-7278EA5BE0CD}" xr6:coauthVersionLast="47" xr6:coauthVersionMax="47" xr10:uidLastSave="{00000000-0000-0000-0000-000000000000}"/>
  <bookViews>
    <workbookView xWindow="-108" yWindow="-108" windowWidth="23256" windowHeight="12456" tabRatio="598" activeTab="3" xr2:uid="{21CE8C7D-CFC7-4B7D-B46A-F41F71EC9170}"/>
  </bookViews>
  <sheets>
    <sheet name="FORMATO" sheetId="105" r:id="rId1"/>
    <sheet name="GRANULOMETRIA (2)" sheetId="102" state="hidden" r:id="rId2"/>
    <sheet name="GRANULOMETRIA (3)" sheetId="103" r:id="rId3"/>
    <sheet name="datos" sheetId="96" r:id="rId4"/>
    <sheet name="Incertidumbre" sheetId="101" r:id="rId5"/>
    <sheet name="Balanza" sheetId="100" r:id="rId6"/>
    <sheet name="ASFALTO" sheetId="98" state="hidden" r:id="rId7"/>
    <sheet name="FINO" sheetId="92" state="hidden" r:id="rId8"/>
    <sheet name="GRAVA" sheetId="95" state="hidden" r:id="rId9"/>
    <sheet name="TABLA ASTM C-33" sheetId="9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CC2">[1]Sucs!$L$6</definedName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#N/A</definedName>
    <definedName name="_L1" localSheetId="7">#N/A</definedName>
    <definedName name="_L1" localSheetId="1">#N/A</definedName>
    <definedName name="_L1" localSheetId="2">#N/A</definedName>
    <definedName name="_L1" localSheetId="8">#N/A</definedName>
    <definedName name="_L1" localSheetId="4">#N/A</definedName>
    <definedName name="_L1" localSheetId="9">#N/A</definedName>
    <definedName name="_L1">#N/A</definedName>
    <definedName name="_Ll1">[2]Sucs!$L$3</definedName>
    <definedName name="_W1" localSheetId="3">#N/A</definedName>
    <definedName name="_W1" localSheetId="7">#N/A</definedName>
    <definedName name="_W1" localSheetId="1">#N/A</definedName>
    <definedName name="_W1" localSheetId="2">#N/A</definedName>
    <definedName name="_W1" localSheetId="8">#N/A</definedName>
    <definedName name="_W1" localSheetId="4">#N/A</definedName>
    <definedName name="_W1" localSheetId="9">#N/A</definedName>
    <definedName name="_W1">#N/A</definedName>
    <definedName name="A_impresión_IM" localSheetId="1">#N/A</definedName>
    <definedName name="A_impresión_IM" localSheetId="2">#N/A</definedName>
    <definedName name="A_impresión_IM">#N/A</definedName>
    <definedName name="Abra">[3]Sucs!$C$3</definedName>
    <definedName name="_xlnm.Print_Area" localSheetId="6">#N/A</definedName>
    <definedName name="_xlnm.Print_Area" localSheetId="3">#N/A</definedName>
    <definedName name="_xlnm.Print_Area" localSheetId="7">#N/A</definedName>
    <definedName name="_xlnm.Print_Area" localSheetId="0">FORMATO!$A$1:$I$55</definedName>
    <definedName name="_xlnm.Print_Area" localSheetId="1">'GRANULOMETRIA (2)'!$A$1:$M$66</definedName>
    <definedName name="_xlnm.Print_Area" localSheetId="2">'GRANULOMETRIA (3)'!$A$1:$L$65</definedName>
    <definedName name="_xlnm.Print_Area" localSheetId="8">#N/A</definedName>
    <definedName name="borrado" localSheetId="6">[4]!borrado</definedName>
    <definedName name="borrado" localSheetId="1">[4]!borrado</definedName>
    <definedName name="borrado" localSheetId="2">[4]!borrado</definedName>
    <definedName name="borrado">[4]!borrado</definedName>
    <definedName name="CC" localSheetId="6">#N/A</definedName>
    <definedName name="CC" localSheetId="3">#N/A</definedName>
    <definedName name="CC" localSheetId="7">#N/A</definedName>
    <definedName name="CC" localSheetId="1">#N/A</definedName>
    <definedName name="CC" localSheetId="2">#N/A</definedName>
    <definedName name="CC" localSheetId="8">#N/A</definedName>
    <definedName name="CC" localSheetId="4">#N/A</definedName>
    <definedName name="CC" localSheetId="9">#N/A</definedName>
    <definedName name="CC">#N/A</definedName>
    <definedName name="CCf">'[2]Sucs(Fino)'!$L$6</definedName>
    <definedName name="CCVB">[5]Sucs!$L$3</definedName>
    <definedName name="CM" localSheetId="6">[6]BGA!$H$9</definedName>
    <definedName name="CM">[7]BGA!$H$9</definedName>
    <definedName name="CU" localSheetId="6">#N/A</definedName>
    <definedName name="CU" localSheetId="3">#N/A</definedName>
    <definedName name="CU" localSheetId="7">#N/A</definedName>
    <definedName name="CU" localSheetId="1">#N/A</definedName>
    <definedName name="CU" localSheetId="2">#N/A</definedName>
    <definedName name="CU" localSheetId="8">#N/A</definedName>
    <definedName name="CU" localSheetId="4">#N/A</definedName>
    <definedName name="CU" localSheetId="9">#N/A</definedName>
    <definedName name="CU">#N/A</definedName>
    <definedName name="CUf">'[2]Sucs(Fino)'!$L$5</definedName>
    <definedName name="d" localSheetId="6">#N/A</definedName>
    <definedName name="d" localSheetId="1">#N/A</definedName>
    <definedName name="d" localSheetId="2">#N/A</definedName>
    <definedName name="d">#N/A</definedName>
    <definedName name="GAUS" localSheetId="1">#N/A</definedName>
    <definedName name="GAUS" localSheetId="2">#N/A</definedName>
    <definedName name="GAUS">#N/A</definedName>
    <definedName name="hh" localSheetId="3">#N/A</definedName>
    <definedName name="hh" localSheetId="7">#N/A</definedName>
    <definedName name="hh" localSheetId="1">#N/A</definedName>
    <definedName name="hh" localSheetId="2">#N/A</definedName>
    <definedName name="hh" localSheetId="8">#N/A</definedName>
    <definedName name="hh" localSheetId="4">#N/A</definedName>
    <definedName name="hh" localSheetId="9">#N/A</definedName>
    <definedName name="hh">#N/A</definedName>
    <definedName name="incert" localSheetId="1">#N/A</definedName>
    <definedName name="incert" localSheetId="2">#N/A</definedName>
    <definedName name="incert">#N/A</definedName>
    <definedName name="IP" localSheetId="6">#N/A</definedName>
    <definedName name="IP" localSheetId="3">#N/A</definedName>
    <definedName name="IP" localSheetId="7">#N/A</definedName>
    <definedName name="IP" localSheetId="1">#N/A</definedName>
    <definedName name="IP" localSheetId="2">#N/A</definedName>
    <definedName name="IP" localSheetId="8">#N/A</definedName>
    <definedName name="IP" localSheetId="4">#N/A</definedName>
    <definedName name="IP" localSheetId="9">#N/A</definedName>
    <definedName name="IP">#N/A</definedName>
    <definedName name="IPf">'[2]Sucs(Fino)'!$L$4</definedName>
    <definedName name="L" localSheetId="3">#N/A</definedName>
    <definedName name="L" localSheetId="7">#N/A</definedName>
    <definedName name="L" localSheetId="1">#N/A</definedName>
    <definedName name="L" localSheetId="2">#N/A</definedName>
    <definedName name="L" localSheetId="8">#N/A</definedName>
    <definedName name="L" localSheetId="4">#N/A</definedName>
    <definedName name="L" localSheetId="9">#N/A</definedName>
    <definedName name="L">#N/A</definedName>
    <definedName name="LIf">'[2]Sucs(Fino)'!$L$3</definedName>
    <definedName name="LIMITES" localSheetId="1">#N/A</definedName>
    <definedName name="LIMITES" localSheetId="2">#N/A</definedName>
    <definedName name="LIMITES">#N/A</definedName>
    <definedName name="Ll" localSheetId="6">#N/A</definedName>
    <definedName name="Ll" localSheetId="3">#N/A</definedName>
    <definedName name="Ll" localSheetId="7">#N/A</definedName>
    <definedName name="Ll" localSheetId="1">#N/A</definedName>
    <definedName name="Ll" localSheetId="2">#N/A</definedName>
    <definedName name="Ll" localSheetId="8">#N/A</definedName>
    <definedName name="Ll" localSheetId="4">#N/A</definedName>
    <definedName name="Ll" localSheetId="9">#N/A</definedName>
    <definedName name="Ll">#N/A</definedName>
    <definedName name="ma" localSheetId="6">[4]!borrado</definedName>
    <definedName name="ma" localSheetId="1">[4]!borrado</definedName>
    <definedName name="ma" localSheetId="2">[4]!borrado</definedName>
    <definedName name="ma">[4]!borrado</definedName>
    <definedName name="MORA" localSheetId="6">[6]BGA!$H$13</definedName>
    <definedName name="MORA">[7]BGA!$H$13</definedName>
    <definedName name="N_10" localSheetId="6">#N/A</definedName>
    <definedName name="N_10" localSheetId="3">#N/A</definedName>
    <definedName name="N_10" localSheetId="7">#N/A</definedName>
    <definedName name="N_10" localSheetId="1">#N/A</definedName>
    <definedName name="N_10" localSheetId="2">#N/A</definedName>
    <definedName name="N_10" localSheetId="8">#N/A</definedName>
    <definedName name="N_10" localSheetId="4">#N/A</definedName>
    <definedName name="N_10" localSheetId="9">#N/A</definedName>
    <definedName name="N_10">#N/A</definedName>
    <definedName name="N_101">[2]Sucs!$C$5</definedName>
    <definedName name="N_10f">'[2]Sucs(Fino)'!$C$5</definedName>
    <definedName name="N_200" localSheetId="6">#N/A</definedName>
    <definedName name="N_200" localSheetId="3">#N/A</definedName>
    <definedName name="N_200" localSheetId="7">#N/A</definedName>
    <definedName name="N_200" localSheetId="1">#N/A</definedName>
    <definedName name="N_200" localSheetId="2">#N/A</definedName>
    <definedName name="N_200" localSheetId="8">#N/A</definedName>
    <definedName name="N_200" localSheetId="4">#N/A</definedName>
    <definedName name="N_200" localSheetId="9">#N/A</definedName>
    <definedName name="N_200">#N/A</definedName>
    <definedName name="N_2001">[2]Sucs!$C$3</definedName>
    <definedName name="N_200f">'[2]Sucs(Fino)'!$C$3</definedName>
    <definedName name="N_40" localSheetId="6">#N/A</definedName>
    <definedName name="N_40" localSheetId="3">#N/A</definedName>
    <definedName name="N_40" localSheetId="7">#N/A</definedName>
    <definedName name="N_40" localSheetId="1">#N/A</definedName>
    <definedName name="N_40" localSheetId="2">#N/A</definedName>
    <definedName name="N_40" localSheetId="8">#N/A</definedName>
    <definedName name="N_40" localSheetId="4">#N/A</definedName>
    <definedName name="N_40" localSheetId="9">#N/A</definedName>
    <definedName name="N_40">#N/A</definedName>
    <definedName name="N_401">[2]Sucs!$C$4</definedName>
    <definedName name="N_40f">'[2]Sucs(Fino)'!$C$4</definedName>
    <definedName name="PC">[5]Sucs!$C$5</definedName>
    <definedName name="PEAgg" localSheetId="1">#N/A</definedName>
    <definedName name="PEAgg" localSheetId="2">#N/A</definedName>
    <definedName name="PEAgg">#N/A</definedName>
    <definedName name="PPrueba" localSheetId="1">#N/A</definedName>
    <definedName name="PPrueba" localSheetId="2">#N/A</definedName>
    <definedName name="PPrueba">#N/A</definedName>
    <definedName name="PUTAMARE" localSheetId="1">#N/A</definedName>
    <definedName name="PUTAMARE" localSheetId="2">#N/A</definedName>
    <definedName name="PUTAMARE">#N/A</definedName>
    <definedName name="puto" localSheetId="6">[4]!borrado</definedName>
    <definedName name="puto" localSheetId="1">[4]!borrado</definedName>
    <definedName name="puto" localSheetId="2">[4]!borrado</definedName>
    <definedName name="puto">[4]!borrado</definedName>
    <definedName name="s" localSheetId="6">#N/A</definedName>
    <definedName name="s" localSheetId="1">#N/A</definedName>
    <definedName name="s" localSheetId="2">#N/A</definedName>
    <definedName name="s">#N/A</definedName>
    <definedName name="tab" localSheetId="1">#N/A</definedName>
    <definedName name="tab" localSheetId="2">#N/A</definedName>
    <definedName name="tab">#N/A</definedName>
    <definedName name="TABLA" localSheetId="6">[8]TABLA!$A$2:$D$17</definedName>
    <definedName name="TABLA" localSheetId="3">#N/A</definedName>
    <definedName name="TABLA" localSheetId="7">#N/A</definedName>
    <definedName name="TABLA" localSheetId="1">#N/A</definedName>
    <definedName name="TABLA" localSheetId="2">#N/A</definedName>
    <definedName name="TABLA" localSheetId="8">#N/A</definedName>
    <definedName name="TABLA" localSheetId="4">#N/A</definedName>
    <definedName name="TABLA" localSheetId="9">#N/A</definedName>
    <definedName name="TABLA">#N/A</definedName>
    <definedName name="Texas" localSheetId="6">[9]!borrado</definedName>
    <definedName name="Texas" localSheetId="1">[9]!borrado</definedName>
    <definedName name="Texas" localSheetId="2">[9]!borrado</definedName>
    <definedName name="Texas">[9]!borrado</definedName>
    <definedName name="tipodegranulometria" localSheetId="4">'[10]G-LL '!$X$2:$X$3</definedName>
    <definedName name="tipodegranulometria">'[11]G-LL '!$X$2:$X$3</definedName>
    <definedName name="tipodemateria" localSheetId="4">'[10]G-LL '!$X$5:$X$6</definedName>
    <definedName name="tipodemateria">'[11]G-LL '!$X$5:$X$6</definedName>
    <definedName name="_xlnm.Print_Titles" localSheetId="3">#N/A</definedName>
    <definedName name="VV">[12]SUCS!$L$6</definedName>
    <definedName name="W" localSheetId="3">#N/A</definedName>
    <definedName name="W" localSheetId="7">#N/A</definedName>
    <definedName name="W" localSheetId="1">#N/A</definedName>
    <definedName name="W" localSheetId="2">#N/A</definedName>
    <definedName name="W" localSheetId="8">#N/A</definedName>
    <definedName name="W" localSheetId="4">#N/A</definedName>
    <definedName name="W" localSheetId="9">#N/A</definedName>
    <definedName name="W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6" l="1"/>
  <c r="H14" i="96"/>
  <c r="C271" i="101"/>
  <c r="C267" i="101"/>
  <c r="C257" i="101"/>
  <c r="C253" i="101"/>
  <c r="C243" i="101"/>
  <c r="C239" i="101"/>
  <c r="C229" i="101"/>
  <c r="C225" i="101"/>
  <c r="C215" i="101"/>
  <c r="C211" i="101"/>
  <c r="C201" i="101"/>
  <c r="C197" i="101"/>
  <c r="C187" i="101"/>
  <c r="C183" i="101"/>
  <c r="C173" i="101"/>
  <c r="C169" i="101"/>
  <c r="C159" i="101"/>
  <c r="C155" i="101"/>
  <c r="C145" i="101"/>
  <c r="C141" i="101"/>
  <c r="C131" i="101"/>
  <c r="C127" i="101"/>
  <c r="C117" i="101"/>
  <c r="C113" i="101"/>
  <c r="C103" i="101"/>
  <c r="C99" i="101"/>
  <c r="C89" i="101"/>
  <c r="C85" i="101"/>
  <c r="C75" i="101"/>
  <c r="C71" i="101"/>
  <c r="C61" i="101"/>
  <c r="C57" i="101"/>
  <c r="C47" i="101"/>
  <c r="C43" i="101"/>
  <c r="D42" i="96"/>
  <c r="D41" i="96"/>
  <c r="D40" i="96"/>
  <c r="D39" i="96"/>
  <c r="D38" i="96"/>
  <c r="D37" i="96"/>
  <c r="D36" i="96"/>
  <c r="D43" i="96"/>
  <c r="D44" i="96"/>
  <c r="D45" i="96"/>
  <c r="E21" i="96"/>
  <c r="B274" i="101"/>
  <c r="B260" i="101"/>
  <c r="B246" i="101"/>
  <c r="B232" i="101"/>
  <c r="B218" i="101"/>
  <c r="B204" i="101"/>
  <c r="B190" i="101"/>
  <c r="B176" i="101"/>
  <c r="B162" i="101"/>
  <c r="B148" i="101"/>
  <c r="B134" i="101"/>
  <c r="B120" i="101"/>
  <c r="B106" i="101"/>
  <c r="B92" i="101"/>
  <c r="B78" i="101"/>
  <c r="B64" i="101"/>
  <c r="B50" i="101"/>
  <c r="L12" i="103"/>
  <c r="L11" i="103" l="1"/>
  <c r="L18" i="103" l="1"/>
  <c r="L20" i="103"/>
  <c r="L19" i="103"/>
  <c r="L10" i="103"/>
  <c r="D19" i="103"/>
  <c r="D18" i="103"/>
  <c r="C10" i="103"/>
  <c r="C11" i="103"/>
  <c r="C12" i="103"/>
  <c r="C9" i="103"/>
  <c r="C14" i="96"/>
  <c r="D29" i="96"/>
  <c r="D30" i="96"/>
  <c r="D31" i="96"/>
  <c r="D32" i="96"/>
  <c r="D33" i="96"/>
  <c r="D34" i="96"/>
  <c r="D35" i="96"/>
  <c r="D28" i="96"/>
  <c r="C15" i="96"/>
  <c r="G10" i="96"/>
  <c r="M20" i="103"/>
  <c r="D20" i="103"/>
  <c r="D6" i="96" l="1"/>
  <c r="D5" i="96"/>
  <c r="E45" i="96" s="1"/>
  <c r="E41" i="96" l="1"/>
  <c r="E39" i="96"/>
  <c r="C41" i="100" s="1"/>
  <c r="E38" i="96"/>
  <c r="C40" i="100" s="1"/>
  <c r="E37" i="96"/>
  <c r="C39" i="100" s="1"/>
  <c r="D14" i="96"/>
  <c r="E14" i="96" s="1"/>
  <c r="D15" i="96"/>
  <c r="I14" i="96"/>
  <c r="E34" i="96"/>
  <c r="C36" i="100" s="1"/>
  <c r="E33" i="96"/>
  <c r="C35" i="100" s="1"/>
  <c r="E44" i="96"/>
  <c r="C46" i="100" s="1"/>
  <c r="E31" i="96"/>
  <c r="C33" i="100" s="1"/>
  <c r="E30" i="96"/>
  <c r="E36" i="96"/>
  <c r="C38" i="100" s="1"/>
  <c r="E35" i="96"/>
  <c r="C37" i="100" s="1"/>
  <c r="I15" i="96"/>
  <c r="E28" i="96"/>
  <c r="C30" i="100" s="1"/>
  <c r="D30" i="100" s="1"/>
  <c r="E32" i="96"/>
  <c r="E43" i="96"/>
  <c r="C45" i="100" s="1"/>
  <c r="E42" i="96"/>
  <c r="C44" i="100" s="1"/>
  <c r="E29" i="96"/>
  <c r="C31" i="100" s="1"/>
  <c r="E40" i="96"/>
  <c r="C42" i="100" s="1"/>
  <c r="E260" i="101"/>
  <c r="G260" i="101" s="1"/>
  <c r="J255" i="101" s="1"/>
  <c r="E274" i="101"/>
  <c r="G274" i="101" s="1"/>
  <c r="J269" i="101" s="1"/>
  <c r="E246" i="101"/>
  <c r="G246" i="101" s="1"/>
  <c r="J241" i="101" s="1"/>
  <c r="E232" i="101"/>
  <c r="G232" i="101" s="1"/>
  <c r="J227" i="101" s="1"/>
  <c r="E218" i="101"/>
  <c r="G218" i="101" s="1"/>
  <c r="J213" i="101" s="1"/>
  <c r="E204" i="101"/>
  <c r="G204" i="101" s="1"/>
  <c r="J199" i="101" s="1"/>
  <c r="E176" i="101"/>
  <c r="G176" i="101" s="1"/>
  <c r="J171" i="101" s="1"/>
  <c r="E162" i="101"/>
  <c r="G162" i="101" s="1"/>
  <c r="J157" i="101" s="1"/>
  <c r="E148" i="101"/>
  <c r="G148" i="101" s="1"/>
  <c r="J143" i="101" s="1"/>
  <c r="E134" i="101"/>
  <c r="G134" i="101" s="1"/>
  <c r="J129" i="101" s="1"/>
  <c r="E120" i="101"/>
  <c r="G120" i="101" s="1"/>
  <c r="J115" i="101" s="1"/>
  <c r="E106" i="101"/>
  <c r="G106" i="101" s="1"/>
  <c r="J101" i="101" s="1"/>
  <c r="E92" i="101"/>
  <c r="G92" i="101" s="1"/>
  <c r="J87" i="101" s="1"/>
  <c r="E78" i="101"/>
  <c r="G78" i="101" s="1"/>
  <c r="J73" i="101" s="1"/>
  <c r="E64" i="101"/>
  <c r="G64" i="101" s="1"/>
  <c r="J59" i="101" s="1"/>
  <c r="E50" i="101"/>
  <c r="G50" i="101" s="1"/>
  <c r="J45" i="101" s="1"/>
  <c r="C43" i="100"/>
  <c r="E20" i="96"/>
  <c r="C27" i="100" s="1"/>
  <c r="E57" i="96"/>
  <c r="E58" i="96" s="1"/>
  <c r="A163" i="101"/>
  <c r="A254" i="101" s="1"/>
  <c r="I254" i="101" s="1"/>
  <c r="D23" i="100"/>
  <c r="E23" i="100"/>
  <c r="F23" i="100"/>
  <c r="G23" i="100"/>
  <c r="H23" i="100"/>
  <c r="C23" i="100"/>
  <c r="B27" i="100"/>
  <c r="D24" i="100"/>
  <c r="E271" i="101"/>
  <c r="E267" i="101"/>
  <c r="E257" i="101"/>
  <c r="E253" i="101"/>
  <c r="E243" i="101"/>
  <c r="E239" i="101"/>
  <c r="E229" i="101"/>
  <c r="E225" i="101"/>
  <c r="E215" i="101"/>
  <c r="E211" i="101"/>
  <c r="E201" i="101"/>
  <c r="E197" i="101"/>
  <c r="E187" i="101"/>
  <c r="E183" i="101"/>
  <c r="E173" i="101"/>
  <c r="E169" i="101"/>
  <c r="E159" i="101"/>
  <c r="E155" i="101"/>
  <c r="E145" i="101"/>
  <c r="E141" i="101"/>
  <c r="E131" i="101"/>
  <c r="E127" i="101"/>
  <c r="E117" i="101"/>
  <c r="E113" i="101"/>
  <c r="E103" i="101"/>
  <c r="E99" i="101"/>
  <c r="E89" i="101"/>
  <c r="E85" i="101"/>
  <c r="E75" i="101"/>
  <c r="E71" i="101"/>
  <c r="E61" i="101"/>
  <c r="E57" i="101"/>
  <c r="E47" i="101"/>
  <c r="E43" i="101"/>
  <c r="Q29" i="96"/>
  <c r="U29" i="96" s="1"/>
  <c r="Q30" i="96"/>
  <c r="U30" i="96" s="1"/>
  <c r="Q31" i="96"/>
  <c r="U31" i="96" s="1"/>
  <c r="Q32" i="96"/>
  <c r="U32" i="96" s="1"/>
  <c r="Q33" i="96"/>
  <c r="U33" i="96" s="1"/>
  <c r="Q34" i="96"/>
  <c r="U34" i="96" s="1"/>
  <c r="Q35" i="96"/>
  <c r="U35" i="96" s="1"/>
  <c r="Q36" i="96"/>
  <c r="U36" i="96" s="1"/>
  <c r="Q28" i="96"/>
  <c r="U28" i="96" s="1"/>
  <c r="R34" i="96"/>
  <c r="R33" i="96"/>
  <c r="R32" i="96"/>
  <c r="R31" i="96"/>
  <c r="R30" i="96"/>
  <c r="R29" i="96"/>
  <c r="R28" i="96"/>
  <c r="L35" i="100"/>
  <c r="C147" i="101" s="1"/>
  <c r="E147" i="101" s="1"/>
  <c r="E146" i="101" s="1"/>
  <c r="G146" i="101" s="1"/>
  <c r="J141" i="101" s="1"/>
  <c r="L36" i="100"/>
  <c r="C161" i="101" s="1"/>
  <c r="E161" i="101" s="1"/>
  <c r="E160" i="101" s="1"/>
  <c r="G160" i="101" s="1"/>
  <c r="J155" i="101" s="1"/>
  <c r="L37" i="100"/>
  <c r="C175" i="101" s="1"/>
  <c r="E175" i="101" s="1"/>
  <c r="E174" i="101" s="1"/>
  <c r="G174" i="101" s="1"/>
  <c r="J169" i="101" s="1"/>
  <c r="L38" i="100"/>
  <c r="C189" i="101" s="1"/>
  <c r="E189" i="101" s="1"/>
  <c r="E188" i="101" s="1"/>
  <c r="G188" i="101" s="1"/>
  <c r="J183" i="101" s="1"/>
  <c r="L39" i="100"/>
  <c r="C203" i="101" s="1"/>
  <c r="E203" i="101" s="1"/>
  <c r="E202" i="101" s="1"/>
  <c r="G202" i="101" s="1"/>
  <c r="J197" i="101" s="1"/>
  <c r="L40" i="100"/>
  <c r="C217" i="101" s="1"/>
  <c r="E217" i="101" s="1"/>
  <c r="E216" i="101" s="1"/>
  <c r="G216" i="101" s="1"/>
  <c r="J211" i="101" s="1"/>
  <c r="L41" i="100"/>
  <c r="C231" i="101" s="1"/>
  <c r="E231" i="101" s="1"/>
  <c r="E230" i="101" s="1"/>
  <c r="G230" i="101" s="1"/>
  <c r="J225" i="101" s="1"/>
  <c r="L42" i="100"/>
  <c r="C245" i="101" s="1"/>
  <c r="E245" i="101" s="1"/>
  <c r="E244" i="101" s="1"/>
  <c r="G244" i="101" s="1"/>
  <c r="J239" i="101" s="1"/>
  <c r="L43" i="100"/>
  <c r="C259" i="101" s="1"/>
  <c r="E259" i="101" s="1"/>
  <c r="E258" i="101" s="1"/>
  <c r="G258" i="101" s="1"/>
  <c r="J253" i="101" s="1"/>
  <c r="L44" i="100"/>
  <c r="C273" i="101" s="1"/>
  <c r="E273" i="101" s="1"/>
  <c r="E272" i="101" s="1"/>
  <c r="G272" i="101" s="1"/>
  <c r="J267" i="101" s="1"/>
  <c r="I213" i="101"/>
  <c r="I211" i="101"/>
  <c r="I210" i="101"/>
  <c r="I171" i="101"/>
  <c r="I169" i="101"/>
  <c r="I168" i="101"/>
  <c r="I129" i="101"/>
  <c r="I128" i="101"/>
  <c r="I127" i="101"/>
  <c r="I126" i="101"/>
  <c r="I59" i="101"/>
  <c r="I58" i="101"/>
  <c r="I57" i="101"/>
  <c r="I56" i="101"/>
  <c r="L29" i="100"/>
  <c r="C63" i="101" s="1"/>
  <c r="E63" i="101" s="1"/>
  <c r="E62" i="101" s="1"/>
  <c r="G62" i="101" s="1"/>
  <c r="J57" i="101" s="1"/>
  <c r="I42" i="101"/>
  <c r="I43" i="101"/>
  <c r="I44" i="101"/>
  <c r="I45" i="101"/>
  <c r="I70" i="101"/>
  <c r="I71" i="101"/>
  <c r="I72" i="101"/>
  <c r="I73" i="101"/>
  <c r="I84" i="101"/>
  <c r="I85" i="101"/>
  <c r="I86" i="101"/>
  <c r="I87" i="101"/>
  <c r="I98" i="101"/>
  <c r="I99" i="101"/>
  <c r="I100" i="101"/>
  <c r="I101" i="101"/>
  <c r="I112" i="101"/>
  <c r="I113" i="101"/>
  <c r="I114" i="101"/>
  <c r="I115" i="101"/>
  <c r="I140" i="101"/>
  <c r="I141" i="101"/>
  <c r="I142" i="101"/>
  <c r="I143" i="101"/>
  <c r="I154" i="101"/>
  <c r="I155" i="101"/>
  <c r="I156" i="101"/>
  <c r="I157" i="101"/>
  <c r="I182" i="101"/>
  <c r="I183" i="101"/>
  <c r="I185" i="101"/>
  <c r="I196" i="101"/>
  <c r="I197" i="101"/>
  <c r="I199" i="101"/>
  <c r="I224" i="101"/>
  <c r="I225" i="101"/>
  <c r="I227" i="101"/>
  <c r="I238" i="101"/>
  <c r="I239" i="101"/>
  <c r="I241" i="101"/>
  <c r="I252" i="101"/>
  <c r="I253" i="101"/>
  <c r="I255" i="101"/>
  <c r="I266" i="101"/>
  <c r="I267" i="101"/>
  <c r="I269" i="101"/>
  <c r="L34" i="100"/>
  <c r="C133" i="101" s="1"/>
  <c r="E133" i="101" s="1"/>
  <c r="E132" i="101" s="1"/>
  <c r="G132" i="101" s="1"/>
  <c r="J127" i="101" s="1"/>
  <c r="L33" i="100"/>
  <c r="C119" i="101" s="1"/>
  <c r="E119" i="101" s="1"/>
  <c r="E118" i="101" s="1"/>
  <c r="G118" i="101" s="1"/>
  <c r="J113" i="101" s="1"/>
  <c r="L32" i="100"/>
  <c r="C105" i="101" s="1"/>
  <c r="E105" i="101" s="1"/>
  <c r="E104" i="101" s="1"/>
  <c r="G104" i="101" s="1"/>
  <c r="J99" i="101" s="1"/>
  <c r="L31" i="100"/>
  <c r="C91" i="101" s="1"/>
  <c r="E91" i="101" s="1"/>
  <c r="E90" i="101" s="1"/>
  <c r="G90" i="101" s="1"/>
  <c r="J85" i="101" s="1"/>
  <c r="L30" i="100"/>
  <c r="C77" i="101" s="1"/>
  <c r="E77" i="101" s="1"/>
  <c r="E76" i="101" s="1"/>
  <c r="G76" i="101" s="1"/>
  <c r="J71" i="101" s="1"/>
  <c r="L28" i="100"/>
  <c r="C49" i="101" s="1"/>
  <c r="E49" i="101" s="1"/>
  <c r="E48" i="101" s="1"/>
  <c r="G48" i="101" s="1"/>
  <c r="J43" i="101" s="1"/>
  <c r="M33" i="98"/>
  <c r="N33" i="98"/>
  <c r="M34" i="98"/>
  <c r="N34" i="98"/>
  <c r="M35" i="98"/>
  <c r="N35" i="98"/>
  <c r="M36" i="98"/>
  <c r="N36" i="98"/>
  <c r="M37" i="98"/>
  <c r="N37" i="98"/>
  <c r="M38" i="98"/>
  <c r="N38" i="98"/>
  <c r="M39" i="98"/>
  <c r="N39" i="98"/>
  <c r="M40" i="98"/>
  <c r="N40" i="98"/>
  <c r="M41" i="98"/>
  <c r="N41" i="98"/>
  <c r="M42" i="98"/>
  <c r="N42" i="98"/>
  <c r="X31" i="98"/>
  <c r="W31" i="98" s="1"/>
  <c r="D35" i="98" s="1"/>
  <c r="W22" i="98"/>
  <c r="D26" i="98" s="1"/>
  <c r="W23" i="98"/>
  <c r="D27" i="98" s="1"/>
  <c r="W24" i="98"/>
  <c r="D28" i="98" s="1"/>
  <c r="W25" i="98"/>
  <c r="D29" i="98" s="1"/>
  <c r="W26" i="98"/>
  <c r="D30" i="98" s="1"/>
  <c r="W27" i="98"/>
  <c r="D31" i="98" s="1"/>
  <c r="W28" i="98"/>
  <c r="W29" i="98"/>
  <c r="D33" i="98" s="1"/>
  <c r="W30" i="98"/>
  <c r="D34" i="98" s="1"/>
  <c r="W21" i="98"/>
  <c r="D25" i="98" s="1"/>
  <c r="AA23" i="98"/>
  <c r="O26" i="95"/>
  <c r="O27" i="95"/>
  <c r="D26" i="95" s="1"/>
  <c r="O28" i="95"/>
  <c r="D27" i="95" s="1"/>
  <c r="O29" i="95"/>
  <c r="D28" i="95" s="1"/>
  <c r="O30" i="95"/>
  <c r="O31" i="95"/>
  <c r="D30" i="95" s="1"/>
  <c r="O32" i="95"/>
  <c r="O33" i="95"/>
  <c r="O34" i="95"/>
  <c r="O35" i="95"/>
  <c r="D33" i="95" s="1"/>
  <c r="O36" i="95"/>
  <c r="O37" i="95"/>
  <c r="O38" i="95"/>
  <c r="O39" i="95"/>
  <c r="O40" i="95"/>
  <c r="O41" i="95"/>
  <c r="O42" i="95"/>
  <c r="O25" i="95"/>
  <c r="O31" i="92"/>
  <c r="O32" i="92"/>
  <c r="O33" i="92"/>
  <c r="O34" i="92"/>
  <c r="O35" i="92"/>
  <c r="O36" i="92"/>
  <c r="O37" i="92"/>
  <c r="D29" i="92" s="1"/>
  <c r="O38" i="92"/>
  <c r="O39" i="92"/>
  <c r="O40" i="92"/>
  <c r="D31" i="92" s="1"/>
  <c r="O41" i="92"/>
  <c r="O42" i="92"/>
  <c r="O43" i="92"/>
  <c r="D33" i="92" s="1"/>
  <c r="O44" i="92"/>
  <c r="D34" i="92" s="1"/>
  <c r="P27" i="98"/>
  <c r="Q22" i="98" s="1"/>
  <c r="Q26" i="98" s="1"/>
  <c r="Q21" i="98"/>
  <c r="A6" i="98"/>
  <c r="T42" i="98"/>
  <c r="U42" i="98" s="1"/>
  <c r="T41" i="98"/>
  <c r="U41" i="98" s="1"/>
  <c r="T40" i="98"/>
  <c r="U40" i="98" s="1"/>
  <c r="T39" i="98"/>
  <c r="U39" i="98" s="1"/>
  <c r="T38" i="98"/>
  <c r="U38" i="98" s="1"/>
  <c r="T37" i="98"/>
  <c r="T36" i="98"/>
  <c r="U36" i="98" s="1"/>
  <c r="T35" i="98"/>
  <c r="U35" i="98" s="1"/>
  <c r="T34" i="98"/>
  <c r="U34" i="98" s="1"/>
  <c r="H16" i="96"/>
  <c r="I26" i="92"/>
  <c r="A6" i="95"/>
  <c r="P28" i="92"/>
  <c r="O28" i="92" s="1"/>
  <c r="P29" i="92"/>
  <c r="O29" i="92" s="1"/>
  <c r="P30" i="92"/>
  <c r="O30" i="92" s="1"/>
  <c r="P27" i="92"/>
  <c r="O27" i="92" s="1"/>
  <c r="D27" i="92" s="1"/>
  <c r="I11" i="94"/>
  <c r="I12" i="94"/>
  <c r="I13" i="94"/>
  <c r="I14" i="94"/>
  <c r="I15" i="94"/>
  <c r="I16" i="94"/>
  <c r="I17" i="94"/>
  <c r="I18" i="94"/>
  <c r="I19" i="94"/>
  <c r="I10" i="94"/>
  <c r="BC19" i="94"/>
  <c r="BC18" i="94"/>
  <c r="BC17" i="94"/>
  <c r="BC16" i="94"/>
  <c r="BC15" i="94"/>
  <c r="BC14" i="94"/>
  <c r="BC13" i="94"/>
  <c r="BC12" i="94"/>
  <c r="BC11" i="94"/>
  <c r="H29" i="94"/>
  <c r="I29" i="94" s="1"/>
  <c r="S29" i="94"/>
  <c r="U28" i="94"/>
  <c r="H30" i="94"/>
  <c r="I30" i="94" s="1"/>
  <c r="H31" i="94"/>
  <c r="I31" i="94" s="1"/>
  <c r="H28" i="94"/>
  <c r="I28" i="94" s="1"/>
  <c r="S31" i="94"/>
  <c r="U29" i="94"/>
  <c r="H27" i="94"/>
  <c r="I27" i="94" s="1"/>
  <c r="U31" i="94"/>
  <c r="S28" i="94"/>
  <c r="U30" i="94"/>
  <c r="S30" i="94"/>
  <c r="E190" i="101"/>
  <c r="G190" i="101" s="1"/>
  <c r="J185" i="101" s="1"/>
  <c r="I16" i="96" l="1"/>
  <c r="E15" i="96" s="1"/>
  <c r="E16" i="96" s="1"/>
  <c r="E22" i="96"/>
  <c r="E23" i="96" s="1"/>
  <c r="E24" i="96" s="1"/>
  <c r="F24" i="96" s="1"/>
  <c r="Q36" i="92"/>
  <c r="Q23" i="98"/>
  <c r="I24" i="98" s="1"/>
  <c r="E26" i="98" s="1"/>
  <c r="D28" i="92"/>
  <c r="E28" i="92" s="1"/>
  <c r="D32" i="92"/>
  <c r="E32" i="92" s="1"/>
  <c r="Q33" i="92"/>
  <c r="Q39" i="92"/>
  <c r="Q34" i="92"/>
  <c r="Q40" i="92"/>
  <c r="Q29" i="92"/>
  <c r="E33" i="92"/>
  <c r="Q32" i="92"/>
  <c r="D32" i="95"/>
  <c r="E34" i="92"/>
  <c r="Q28" i="92"/>
  <c r="Q31" i="92"/>
  <c r="Q41" i="92"/>
  <c r="D25" i="95"/>
  <c r="Q35" i="92"/>
  <c r="D30" i="92"/>
  <c r="E30" i="92" s="1"/>
  <c r="E29" i="92"/>
  <c r="P45" i="92"/>
  <c r="O45" i="92" s="1"/>
  <c r="Q45" i="92" s="1"/>
  <c r="Q27" i="92"/>
  <c r="R27" i="92" s="1"/>
  <c r="Q37" i="92"/>
  <c r="Q30" i="92"/>
  <c r="Q44" i="92"/>
  <c r="A263" i="101"/>
  <c r="Q43" i="92"/>
  <c r="E31" i="92"/>
  <c r="Q38" i="92"/>
  <c r="D29" i="95"/>
  <c r="D32" i="98"/>
  <c r="E27" i="92"/>
  <c r="F27" i="92" s="1"/>
  <c r="D35" i="92"/>
  <c r="E35" i="92" s="1"/>
  <c r="D31" i="95"/>
  <c r="P22" i="95"/>
  <c r="I24" i="95" s="1"/>
  <c r="E26" i="95" s="1"/>
  <c r="A170" i="101"/>
  <c r="I170" i="101" s="1"/>
  <c r="A240" i="101"/>
  <c r="I240" i="101" s="1"/>
  <c r="Q42" i="92"/>
  <c r="A179" i="101"/>
  <c r="A198" i="101"/>
  <c r="I198" i="101" s="1"/>
  <c r="A184" i="101"/>
  <c r="I184" i="101" s="1"/>
  <c r="A207" i="101"/>
  <c r="A165" i="101"/>
  <c r="A268" i="101"/>
  <c r="I268" i="101" s="1"/>
  <c r="A212" i="101"/>
  <c r="I212" i="101" s="1"/>
  <c r="A235" i="101"/>
  <c r="A249" i="101"/>
  <c r="A193" i="101"/>
  <c r="A226" i="101"/>
  <c r="I226" i="101" s="1"/>
  <c r="A221" i="101"/>
  <c r="C34" i="100"/>
  <c r="C32" i="100"/>
  <c r="D31" i="100"/>
  <c r="B40" i="101"/>
  <c r="F14" i="96"/>
  <c r="F24" i="100"/>
  <c r="E24" i="100"/>
  <c r="G24" i="100"/>
  <c r="H24" i="100"/>
  <c r="C24" i="100"/>
  <c r="E59" i="96" l="1"/>
  <c r="F16" i="96"/>
  <c r="E19" i="96" s="1"/>
  <c r="Y25" i="98"/>
  <c r="E28" i="98"/>
  <c r="E30" i="98"/>
  <c r="Y24" i="98"/>
  <c r="Z24" i="98" s="1"/>
  <c r="AA24" i="98" s="1"/>
  <c r="E27" i="98"/>
  <c r="E29" i="98"/>
  <c r="E25" i="98"/>
  <c r="F25" i="98" s="1"/>
  <c r="F26" i="98" s="1"/>
  <c r="Y26" i="98"/>
  <c r="Q28" i="95"/>
  <c r="R28" i="92"/>
  <c r="S28" i="92" s="1"/>
  <c r="E28" i="95"/>
  <c r="S27" i="92"/>
  <c r="Q32" i="95"/>
  <c r="E25" i="95"/>
  <c r="F25" i="95" s="1"/>
  <c r="Q30" i="95"/>
  <c r="E29" i="95"/>
  <c r="E27" i="95"/>
  <c r="E30" i="95"/>
  <c r="Q41" i="95"/>
  <c r="P43" i="95"/>
  <c r="O43" i="95" s="1"/>
  <c r="Q43" i="95" s="1"/>
  <c r="Q34" i="95"/>
  <c r="Q37" i="95"/>
  <c r="Q35" i="95"/>
  <c r="Q33" i="95"/>
  <c r="Q38" i="95"/>
  <c r="E32" i="95"/>
  <c r="Q29" i="95"/>
  <c r="Q36" i="95"/>
  <c r="Q26" i="95"/>
  <c r="D34" i="95"/>
  <c r="E34" i="95" s="1"/>
  <c r="Q39" i="95"/>
  <c r="Q27" i="95"/>
  <c r="E33" i="95"/>
  <c r="Q31" i="95"/>
  <c r="Q40" i="95"/>
  <c r="Q25" i="95"/>
  <c r="R25" i="95" s="1"/>
  <c r="E31" i="95"/>
  <c r="F28" i="92"/>
  <c r="G27" i="92"/>
  <c r="Q42" i="95"/>
  <c r="I38" i="101"/>
  <c r="C42" i="101"/>
  <c r="E42" i="101" s="1"/>
  <c r="D32" i="100"/>
  <c r="B54" i="101"/>
  <c r="D27" i="100"/>
  <c r="E30" i="100"/>
  <c r="C41" i="101" s="1"/>
  <c r="E41" i="101" s="1"/>
  <c r="E31" i="100"/>
  <c r="C55" i="101" s="1"/>
  <c r="E55" i="101" s="1"/>
  <c r="B240" i="101" l="1"/>
  <c r="C242" i="101" s="1"/>
  <c r="E242" i="101" s="1"/>
  <c r="B226" i="101"/>
  <c r="C228" i="101" s="1"/>
  <c r="E228" i="101" s="1"/>
  <c r="B184" i="101"/>
  <c r="C186" i="101" s="1"/>
  <c r="E186" i="101" s="1"/>
  <c r="B198" i="101"/>
  <c r="C200" i="101" s="1"/>
  <c r="E200" i="101" s="1"/>
  <c r="B268" i="101"/>
  <c r="C270" i="101" s="1"/>
  <c r="E270" i="101" s="1"/>
  <c r="B254" i="101"/>
  <c r="C256" i="101" s="1"/>
  <c r="E256" i="101" s="1"/>
  <c r="B212" i="101"/>
  <c r="C214" i="101" s="1"/>
  <c r="E214" i="101" s="1"/>
  <c r="B170" i="101"/>
  <c r="C172" i="101" s="1"/>
  <c r="E172" i="101" s="1"/>
  <c r="F31" i="96"/>
  <c r="C26" i="100"/>
  <c r="F33" i="96"/>
  <c r="F28" i="96"/>
  <c r="F29" i="96"/>
  <c r="F34" i="96"/>
  <c r="F36" i="96"/>
  <c r="E61" i="96"/>
  <c r="F30" i="96"/>
  <c r="F32" i="96"/>
  <c r="F35" i="96"/>
  <c r="Z25" i="98"/>
  <c r="Z26" i="98" s="1"/>
  <c r="F27" i="98"/>
  <c r="G27" i="98" s="1"/>
  <c r="R29" i="92"/>
  <c r="S29" i="92" s="1"/>
  <c r="F29" i="92"/>
  <c r="G28" i="92"/>
  <c r="F26" i="95"/>
  <c r="G25" i="95"/>
  <c r="X25" i="95"/>
  <c r="R26" i="95"/>
  <c r="S25" i="95"/>
  <c r="U25" i="95" s="1"/>
  <c r="W25" i="95" s="1"/>
  <c r="C56" i="101"/>
  <c r="E56" i="101" s="1"/>
  <c r="E54" i="101" s="1"/>
  <c r="I52" i="101"/>
  <c r="D33" i="100"/>
  <c r="B68" i="101"/>
  <c r="E32" i="100"/>
  <c r="C69" i="101" s="1"/>
  <c r="E69" i="101" s="1"/>
  <c r="E40" i="101"/>
  <c r="F33" i="102" l="1"/>
  <c r="F33" i="103"/>
  <c r="F29" i="102"/>
  <c r="F29" i="103"/>
  <c r="F27" i="103"/>
  <c r="F27" i="102"/>
  <c r="F31" i="102"/>
  <c r="F31" i="103"/>
  <c r="F32" i="102"/>
  <c r="F32" i="103"/>
  <c r="F26" i="103"/>
  <c r="F26" i="102"/>
  <c r="B128" i="101"/>
  <c r="B100" i="101"/>
  <c r="B86" i="101"/>
  <c r="D26" i="100"/>
  <c r="B44" i="101"/>
  <c r="B156" i="101"/>
  <c r="B114" i="101"/>
  <c r="B142" i="101"/>
  <c r="B58" i="101"/>
  <c r="B72" i="101"/>
  <c r="B66" i="101" s="1"/>
  <c r="G28" i="96"/>
  <c r="F25" i="102"/>
  <c r="F25" i="103"/>
  <c r="F30" i="103"/>
  <c r="F30" i="102"/>
  <c r="F28" i="103"/>
  <c r="F28" i="102"/>
  <c r="AA25" i="98"/>
  <c r="R30" i="92"/>
  <c r="R31" i="92" s="1"/>
  <c r="F28" i="98"/>
  <c r="Y25" i="95"/>
  <c r="Z25" i="95" s="1"/>
  <c r="AA26" i="98"/>
  <c r="S26" i="95"/>
  <c r="U26" i="95" s="1"/>
  <c r="W26" i="95" s="1"/>
  <c r="R27" i="95"/>
  <c r="X26" i="95"/>
  <c r="Y26" i="95" s="1"/>
  <c r="G29" i="92"/>
  <c r="F30" i="92"/>
  <c r="G26" i="95"/>
  <c r="F27" i="95"/>
  <c r="I66" i="101"/>
  <c r="C70" i="101"/>
  <c r="E70" i="101" s="1"/>
  <c r="E68" i="101" s="1"/>
  <c r="E33" i="100"/>
  <c r="C83" i="101" s="1"/>
  <c r="E83" i="101" s="1"/>
  <c r="D34" i="100"/>
  <c r="B82" i="101"/>
  <c r="F72" i="101" l="1"/>
  <c r="B38" i="101"/>
  <c r="F44" i="101"/>
  <c r="F40" i="101"/>
  <c r="G40" i="101" s="1"/>
  <c r="J42" i="101" s="1"/>
  <c r="C46" i="101"/>
  <c r="E46" i="101" s="1"/>
  <c r="C171" i="101"/>
  <c r="E171" i="101" s="1"/>
  <c r="E170" i="101" s="1"/>
  <c r="C129" i="101"/>
  <c r="E129" i="101" s="1"/>
  <c r="C255" i="101"/>
  <c r="E255" i="101" s="1"/>
  <c r="E254" i="101" s="1"/>
  <c r="C115" i="101"/>
  <c r="E115" i="101" s="1"/>
  <c r="C143" i="101"/>
  <c r="E143" i="101" s="1"/>
  <c r="C45" i="101"/>
  <c r="E45" i="101" s="1"/>
  <c r="C241" i="101"/>
  <c r="E241" i="101" s="1"/>
  <c r="E240" i="101" s="1"/>
  <c r="C73" i="101"/>
  <c r="E73" i="101" s="1"/>
  <c r="C157" i="101"/>
  <c r="E157" i="101" s="1"/>
  <c r="C101" i="101"/>
  <c r="E101" i="101" s="1"/>
  <c r="C87" i="101"/>
  <c r="E87" i="101" s="1"/>
  <c r="C269" i="101"/>
  <c r="E269" i="101" s="1"/>
  <c r="E268" i="101" s="1"/>
  <c r="C199" i="101"/>
  <c r="E199" i="101" s="1"/>
  <c r="E198" i="101" s="1"/>
  <c r="C59" i="101"/>
  <c r="E59" i="101" s="1"/>
  <c r="C185" i="101"/>
  <c r="E185" i="101" s="1"/>
  <c r="E184" i="101" s="1"/>
  <c r="C213" i="101"/>
  <c r="E213" i="101" s="1"/>
  <c r="E212" i="101" s="1"/>
  <c r="C227" i="101"/>
  <c r="E227" i="101" s="1"/>
  <c r="E226" i="101" s="1"/>
  <c r="C102" i="101"/>
  <c r="E102" i="101" s="1"/>
  <c r="F96" i="101"/>
  <c r="C144" i="101"/>
  <c r="E144" i="101" s="1"/>
  <c r="F138" i="101"/>
  <c r="C116" i="101"/>
  <c r="E116" i="101" s="1"/>
  <c r="F110" i="101"/>
  <c r="C158" i="101"/>
  <c r="E158" i="101" s="1"/>
  <c r="F152" i="101"/>
  <c r="F82" i="101"/>
  <c r="C88" i="101"/>
  <c r="E88" i="101" s="1"/>
  <c r="C130" i="101"/>
  <c r="E130" i="101" s="1"/>
  <c r="F124" i="101"/>
  <c r="G29" i="96"/>
  <c r="N28" i="96"/>
  <c r="O28" i="96" s="1"/>
  <c r="P28" i="96" s="1"/>
  <c r="H28" i="96"/>
  <c r="G25" i="103"/>
  <c r="G25" i="102"/>
  <c r="C74" i="101"/>
  <c r="E74" i="101" s="1"/>
  <c r="F68" i="101"/>
  <c r="G68" i="101" s="1"/>
  <c r="J70" i="101" s="1"/>
  <c r="F58" i="101"/>
  <c r="B52" i="101"/>
  <c r="F54" i="101"/>
  <c r="G54" i="101" s="1"/>
  <c r="J56" i="101" s="1"/>
  <c r="C60" i="101"/>
  <c r="E60" i="101" s="1"/>
  <c r="S30" i="92"/>
  <c r="F29" i="98"/>
  <c r="G28" i="98"/>
  <c r="F31" i="92"/>
  <c r="G30" i="92"/>
  <c r="R32" i="92"/>
  <c r="S31" i="92"/>
  <c r="S27" i="95"/>
  <c r="U27" i="95" s="1"/>
  <c r="W27" i="95" s="1"/>
  <c r="R28" i="95"/>
  <c r="X27" i="95"/>
  <c r="Y27" i="95" s="1"/>
  <c r="F28" i="95"/>
  <c r="G27" i="95"/>
  <c r="Z26" i="95"/>
  <c r="E34" i="100"/>
  <c r="C97" i="101" s="1"/>
  <c r="E97" i="101" s="1"/>
  <c r="D35" i="100"/>
  <c r="B96" i="101"/>
  <c r="I80" i="101"/>
  <c r="C84" i="101"/>
  <c r="E84" i="101" s="1"/>
  <c r="E82" i="101" s="1"/>
  <c r="F86" i="101"/>
  <c r="B80" i="101"/>
  <c r="E58" i="101" l="1"/>
  <c r="G58" i="101" s="1"/>
  <c r="E142" i="101"/>
  <c r="E100" i="101"/>
  <c r="E156" i="101"/>
  <c r="E44" i="101"/>
  <c r="G44" i="101" s="1"/>
  <c r="J44" i="101" s="1"/>
  <c r="E114" i="101"/>
  <c r="AB25" i="103"/>
  <c r="H25" i="103" s="1"/>
  <c r="S28" i="96"/>
  <c r="T28" i="96" s="1"/>
  <c r="AC25" i="102"/>
  <c r="H25" i="102" s="1"/>
  <c r="E86" i="101"/>
  <c r="G26" i="102"/>
  <c r="G30" i="96"/>
  <c r="N29" i="96"/>
  <c r="O29" i="96" s="1"/>
  <c r="P29" i="96" s="1"/>
  <c r="H29" i="96"/>
  <c r="G26" i="103"/>
  <c r="G82" i="101"/>
  <c r="E72" i="101"/>
  <c r="G72" i="101" s="1"/>
  <c r="J72" i="101" s="1"/>
  <c r="G86" i="101"/>
  <c r="J86" i="101" s="1"/>
  <c r="E128" i="101"/>
  <c r="F30" i="98"/>
  <c r="G29" i="98"/>
  <c r="F29" i="95"/>
  <c r="G28" i="95"/>
  <c r="X28" i="95"/>
  <c r="R29" i="95"/>
  <c r="S28" i="95"/>
  <c r="U28" i="95" s="1"/>
  <c r="W28" i="95" s="1"/>
  <c r="R33" i="92"/>
  <c r="S32" i="92"/>
  <c r="Z27" i="95"/>
  <c r="F32" i="92"/>
  <c r="G31" i="92"/>
  <c r="C98" i="101"/>
  <c r="E98" i="101" s="1"/>
  <c r="E96" i="101" s="1"/>
  <c r="G96" i="101" s="1"/>
  <c r="F100" i="101"/>
  <c r="I94" i="101"/>
  <c r="B94" i="101"/>
  <c r="E35" i="100"/>
  <c r="C111" i="101" s="1"/>
  <c r="E111" i="101" s="1"/>
  <c r="D36" i="100"/>
  <c r="B110" i="101"/>
  <c r="H38" i="101" l="1"/>
  <c r="G100" i="101"/>
  <c r="J100" i="101" s="1"/>
  <c r="J58" i="101"/>
  <c r="H52" i="101"/>
  <c r="H80" i="101"/>
  <c r="H30" i="96"/>
  <c r="G27" i="102"/>
  <c r="G31" i="96"/>
  <c r="G27" i="103"/>
  <c r="N30" i="96"/>
  <c r="O30" i="96" s="1"/>
  <c r="P30" i="96" s="1"/>
  <c r="H66" i="101"/>
  <c r="J84" i="101"/>
  <c r="AC26" i="102"/>
  <c r="H26" i="102" s="1"/>
  <c r="S29" i="96"/>
  <c r="T29" i="96" s="1"/>
  <c r="AB26" i="103"/>
  <c r="H26" i="103" s="1"/>
  <c r="J27" i="98"/>
  <c r="G30" i="98"/>
  <c r="F33" i="92"/>
  <c r="G32" i="92"/>
  <c r="X29" i="95"/>
  <c r="Y29" i="95" s="1"/>
  <c r="S29" i="95"/>
  <c r="U29" i="95" s="1"/>
  <c r="W29" i="95" s="1"/>
  <c r="R30" i="95"/>
  <c r="Y28" i="95"/>
  <c r="Z28" i="95" s="1"/>
  <c r="R34" i="92"/>
  <c r="S33" i="92"/>
  <c r="G29" i="95"/>
  <c r="F30" i="95"/>
  <c r="J98" i="101"/>
  <c r="F114" i="101"/>
  <c r="G114" i="101" s="1"/>
  <c r="J114" i="101" s="1"/>
  <c r="I108" i="101"/>
  <c r="B108" i="101"/>
  <c r="C112" i="101"/>
  <c r="E112" i="101" s="1"/>
  <c r="E110" i="101" s="1"/>
  <c r="G110" i="101" s="1"/>
  <c r="D37" i="100"/>
  <c r="E36" i="100"/>
  <c r="C125" i="101" s="1"/>
  <c r="E125" i="101" s="1"/>
  <c r="B124" i="101"/>
  <c r="H94" i="101" l="1"/>
  <c r="G28" i="102"/>
  <c r="H31" i="96"/>
  <c r="G28" i="103"/>
  <c r="G32" i="96"/>
  <c r="N31" i="96"/>
  <c r="O31" i="96" s="1"/>
  <c r="P31" i="96" s="1"/>
  <c r="AC27" i="102"/>
  <c r="H27" i="102" s="1"/>
  <c r="AB27" i="103"/>
  <c r="H27" i="103" s="1"/>
  <c r="S30" i="96"/>
  <c r="T30" i="96" s="1"/>
  <c r="Y29" i="98"/>
  <c r="E33" i="98"/>
  <c r="E35" i="98"/>
  <c r="Y31" i="98"/>
  <c r="E31" i="98"/>
  <c r="F31" i="98" s="1"/>
  <c r="E34" i="98"/>
  <c r="Y28" i="98"/>
  <c r="Y27" i="98"/>
  <c r="Z27" i="98" s="1"/>
  <c r="Y30" i="98"/>
  <c r="E32" i="98"/>
  <c r="J28" i="98"/>
  <c r="Z29" i="95"/>
  <c r="F34" i="92"/>
  <c r="G33" i="92"/>
  <c r="R31" i="95"/>
  <c r="S30" i="95"/>
  <c r="U30" i="95" s="1"/>
  <c r="W30" i="95" s="1"/>
  <c r="X30" i="95"/>
  <c r="F31" i="95"/>
  <c r="G30" i="95"/>
  <c r="S34" i="92"/>
  <c r="R35" i="92"/>
  <c r="B122" i="101"/>
  <c r="I122" i="101"/>
  <c r="C126" i="101"/>
  <c r="E126" i="101" s="1"/>
  <c r="E124" i="101" s="1"/>
  <c r="G124" i="101" s="1"/>
  <c r="F128" i="101"/>
  <c r="G128" i="101" s="1"/>
  <c r="J128" i="101" s="1"/>
  <c r="H108" i="101"/>
  <c r="J112" i="101"/>
  <c r="B138" i="101"/>
  <c r="E37" i="100"/>
  <c r="C139" i="101" s="1"/>
  <c r="E139" i="101" s="1"/>
  <c r="D38" i="100"/>
  <c r="H32" i="96" l="1"/>
  <c r="N32" i="96"/>
  <c r="O32" i="96" s="1"/>
  <c r="P32" i="96" s="1"/>
  <c r="G29" i="102"/>
  <c r="G29" i="103"/>
  <c r="G33" i="96"/>
  <c r="S31" i="96"/>
  <c r="T31" i="96" s="1"/>
  <c r="AB28" i="103"/>
  <c r="H28" i="103" s="1"/>
  <c r="AC28" i="102"/>
  <c r="H28" i="102" s="1"/>
  <c r="F32" i="98"/>
  <c r="G31" i="98"/>
  <c r="AA27" i="98"/>
  <c r="Z28" i="98"/>
  <c r="R36" i="92"/>
  <c r="S35" i="92"/>
  <c r="Y30" i="95"/>
  <c r="Z30" i="95" s="1"/>
  <c r="X31" i="95"/>
  <c r="Y31" i="95" s="1"/>
  <c r="R32" i="95"/>
  <c r="S31" i="95"/>
  <c r="U31" i="95" s="1"/>
  <c r="W31" i="95" s="1"/>
  <c r="F35" i="92"/>
  <c r="G34" i="92"/>
  <c r="G31" i="95"/>
  <c r="F32" i="95"/>
  <c r="H122" i="101"/>
  <c r="J126" i="101"/>
  <c r="C140" i="101"/>
  <c r="E140" i="101" s="1"/>
  <c r="E138" i="101" s="1"/>
  <c r="G138" i="101" s="1"/>
  <c r="B136" i="101"/>
  <c r="F142" i="101"/>
  <c r="G142" i="101" s="1"/>
  <c r="J142" i="101" s="1"/>
  <c r="I136" i="101"/>
  <c r="B152" i="101"/>
  <c r="D39" i="100"/>
  <c r="E38" i="100"/>
  <c r="C153" i="101" s="1"/>
  <c r="E153" i="101" s="1"/>
  <c r="N33" i="96" l="1"/>
  <c r="O33" i="96" s="1"/>
  <c r="P33" i="96" s="1"/>
  <c r="H33" i="96"/>
  <c r="G34" i="96"/>
  <c r="G30" i="102"/>
  <c r="G30" i="103"/>
  <c r="AB29" i="103"/>
  <c r="H29" i="103" s="1"/>
  <c r="AC29" i="102"/>
  <c r="H29" i="102" s="1"/>
  <c r="S32" i="96"/>
  <c r="T32" i="96" s="1"/>
  <c r="Z29" i="98"/>
  <c r="AA28" i="98"/>
  <c r="F33" i="98"/>
  <c r="G32" i="98"/>
  <c r="Z38" i="95"/>
  <c r="Z31" i="95"/>
  <c r="R33" i="95"/>
  <c r="X32" i="95"/>
  <c r="Y32" i="95" s="1"/>
  <c r="S32" i="95"/>
  <c r="U32" i="95" s="1"/>
  <c r="W32" i="95" s="1"/>
  <c r="F33" i="95"/>
  <c r="G32" i="95"/>
  <c r="S36" i="92"/>
  <c r="R37" i="92"/>
  <c r="J140" i="101"/>
  <c r="H136" i="101"/>
  <c r="D40" i="100"/>
  <c r="B166" i="101"/>
  <c r="F165" i="101" s="1"/>
  <c r="E39" i="100"/>
  <c r="C167" i="101" s="1"/>
  <c r="E167" i="101" s="1"/>
  <c r="B150" i="101"/>
  <c r="C154" i="101"/>
  <c r="E154" i="101" s="1"/>
  <c r="E152" i="101" s="1"/>
  <c r="G152" i="101" s="1"/>
  <c r="F156" i="101"/>
  <c r="G156" i="101" s="1"/>
  <c r="J156" i="101" s="1"/>
  <c r="G31" i="103" l="1"/>
  <c r="G35" i="96"/>
  <c r="N34" i="96"/>
  <c r="O34" i="96" s="1"/>
  <c r="P34" i="96" s="1"/>
  <c r="H34" i="96"/>
  <c r="G31" i="102"/>
  <c r="AC30" i="102"/>
  <c r="H30" i="102" s="1"/>
  <c r="S33" i="96"/>
  <c r="T33" i="96" s="1"/>
  <c r="AB30" i="103"/>
  <c r="H30" i="103" s="1"/>
  <c r="B263" i="101"/>
  <c r="F264" i="101" s="1"/>
  <c r="B221" i="101"/>
  <c r="F222" i="101" s="1"/>
  <c r="B249" i="101"/>
  <c r="F250" i="101" s="1"/>
  <c r="B207" i="101"/>
  <c r="F208" i="101" s="1"/>
  <c r="B165" i="101"/>
  <c r="F166" i="101" s="1"/>
  <c r="B193" i="101"/>
  <c r="F194" i="101" s="1"/>
  <c r="B235" i="101"/>
  <c r="F236" i="101" s="1"/>
  <c r="B179" i="101"/>
  <c r="F180" i="101" s="1"/>
  <c r="AA29" i="98"/>
  <c r="Z30" i="98"/>
  <c r="G33" i="98"/>
  <c r="F34" i="98"/>
  <c r="R34" i="95"/>
  <c r="X33" i="95"/>
  <c r="Y33" i="95" s="1"/>
  <c r="S33" i="95"/>
  <c r="U33" i="95" s="1"/>
  <c r="W33" i="95" s="1"/>
  <c r="AA23" i="95"/>
  <c r="I30" i="95"/>
  <c r="G33" i="95"/>
  <c r="F34" i="95"/>
  <c r="Z32" i="95"/>
  <c r="R38" i="92"/>
  <c r="S37" i="92"/>
  <c r="B180" i="101"/>
  <c r="F179" i="101" s="1"/>
  <c r="D41" i="100"/>
  <c r="E40" i="100"/>
  <c r="C181" i="101" s="1"/>
  <c r="E181" i="101" s="1"/>
  <c r="C168" i="101"/>
  <c r="E168" i="101" s="1"/>
  <c r="E166" i="101" s="1"/>
  <c r="H150" i="101"/>
  <c r="J154" i="101"/>
  <c r="S34" i="96" l="1"/>
  <c r="T34" i="96" s="1"/>
  <c r="AC31" i="102"/>
  <c r="H31" i="102" s="1"/>
  <c r="AB31" i="103"/>
  <c r="H31" i="103" s="1"/>
  <c r="F170" i="101"/>
  <c r="G170" i="101" s="1"/>
  <c r="J170" i="101" s="1"/>
  <c r="G36" i="96"/>
  <c r="H35" i="96"/>
  <c r="G32" i="103"/>
  <c r="N35" i="96"/>
  <c r="O35" i="96" s="1"/>
  <c r="P35" i="96" s="1"/>
  <c r="G32" i="102"/>
  <c r="B164" i="101"/>
  <c r="G166" i="101"/>
  <c r="I150" i="101"/>
  <c r="E263" i="101"/>
  <c r="E221" i="101"/>
  <c r="E207" i="101"/>
  <c r="E235" i="101"/>
  <c r="E165" i="101"/>
  <c r="G165" i="101" s="1"/>
  <c r="E249" i="101"/>
  <c r="E179" i="101"/>
  <c r="G179" i="101" s="1"/>
  <c r="E193" i="101"/>
  <c r="G34" i="98"/>
  <c r="F35" i="98"/>
  <c r="Z31" i="98"/>
  <c r="AA30" i="98"/>
  <c r="S38" i="92"/>
  <c r="R39" i="92"/>
  <c r="Z33" i="95"/>
  <c r="R35" i="95"/>
  <c r="X34" i="95"/>
  <c r="Y34" i="95" s="1"/>
  <c r="S34" i="95"/>
  <c r="N37" i="96"/>
  <c r="P39" i="96" s="1"/>
  <c r="I20" i="96" s="1"/>
  <c r="D42" i="100"/>
  <c r="B194" i="101"/>
  <c r="F193" i="101" s="1"/>
  <c r="E41" i="100"/>
  <c r="C195" i="101" s="1"/>
  <c r="E195" i="101" s="1"/>
  <c r="B178" i="101"/>
  <c r="C182" i="101"/>
  <c r="E182" i="101" s="1"/>
  <c r="E180" i="101" s="1"/>
  <c r="G180" i="101" s="1"/>
  <c r="F184" i="101"/>
  <c r="G184" i="101" s="1"/>
  <c r="J184" i="101" s="1"/>
  <c r="S35" i="96" l="1"/>
  <c r="T35" i="96" s="1"/>
  <c r="AB32" i="103"/>
  <c r="H32" i="103" s="1"/>
  <c r="AC32" i="102"/>
  <c r="H32" i="102" s="1"/>
  <c r="H36" i="96"/>
  <c r="G33" i="102"/>
  <c r="G33" i="103"/>
  <c r="N36" i="96"/>
  <c r="O36" i="96" s="1"/>
  <c r="P36" i="96" s="1"/>
  <c r="P38" i="96" s="1"/>
  <c r="I22" i="96"/>
  <c r="H164" i="101"/>
  <c r="I164" i="101" s="1"/>
  <c r="J168" i="101"/>
  <c r="G193" i="101"/>
  <c r="R36" i="95"/>
  <c r="S35" i="95"/>
  <c r="Z34" i="95"/>
  <c r="Z36" i="95" s="1"/>
  <c r="Z37" i="95" s="1"/>
  <c r="S22" i="95" s="1"/>
  <c r="R40" i="92"/>
  <c r="S39" i="92"/>
  <c r="K26" i="102"/>
  <c r="O26" i="103"/>
  <c r="E42" i="100"/>
  <c r="C209" i="101" s="1"/>
  <c r="E209" i="101" s="1"/>
  <c r="D43" i="100"/>
  <c r="B208" i="101"/>
  <c r="F207" i="101" s="1"/>
  <c r="G207" i="101" s="1"/>
  <c r="J182" i="101"/>
  <c r="J186" i="101" s="1"/>
  <c r="K182" i="101" s="1"/>
  <c r="H178" i="101"/>
  <c r="I178" i="101" s="1"/>
  <c r="F198" i="101"/>
  <c r="G198" i="101" s="1"/>
  <c r="J198" i="101" s="1"/>
  <c r="B192" i="101"/>
  <c r="C196" i="101"/>
  <c r="E196" i="101" s="1"/>
  <c r="E194" i="101" s="1"/>
  <c r="G194" i="101" s="1"/>
  <c r="O27" i="103" l="1"/>
  <c r="P27" i="102"/>
  <c r="F38" i="96"/>
  <c r="F45" i="96"/>
  <c r="F42" i="96"/>
  <c r="F37" i="96"/>
  <c r="F39" i="96"/>
  <c r="F40" i="96"/>
  <c r="F41" i="96"/>
  <c r="AB33" i="103"/>
  <c r="H33" i="103" s="1"/>
  <c r="F43" i="96"/>
  <c r="F44" i="96"/>
  <c r="S36" i="96"/>
  <c r="T36" i="96" s="1"/>
  <c r="T38" i="96" s="1"/>
  <c r="T39" i="96" s="1"/>
  <c r="I19" i="96" s="1"/>
  <c r="AC33" i="102"/>
  <c r="H33" i="102" s="1"/>
  <c r="S40" i="92"/>
  <c r="R41" i="92"/>
  <c r="S36" i="95"/>
  <c r="R37" i="95"/>
  <c r="K184" i="101"/>
  <c r="K183" i="101"/>
  <c r="K185" i="101"/>
  <c r="J196" i="101"/>
  <c r="H192" i="101"/>
  <c r="I192" i="101" s="1"/>
  <c r="B206" i="101"/>
  <c r="F212" i="101"/>
  <c r="G212" i="101" s="1"/>
  <c r="J212" i="101" s="1"/>
  <c r="C210" i="101"/>
  <c r="E210" i="101" s="1"/>
  <c r="E208" i="101" s="1"/>
  <c r="G208" i="101" s="1"/>
  <c r="D44" i="100"/>
  <c r="E43" i="100"/>
  <c r="C223" i="101" s="1"/>
  <c r="E223" i="101" s="1"/>
  <c r="B222" i="101"/>
  <c r="F221" i="101" s="1"/>
  <c r="G221" i="101" s="1"/>
  <c r="O25" i="103" l="1"/>
  <c r="K25" i="102"/>
  <c r="F40" i="102"/>
  <c r="F40" i="103"/>
  <c r="F38" i="102"/>
  <c r="F38" i="103"/>
  <c r="F34" i="102"/>
  <c r="G37" i="96"/>
  <c r="F34" i="103"/>
  <c r="F41" i="103"/>
  <c r="F41" i="102"/>
  <c r="F37" i="102"/>
  <c r="F37" i="103"/>
  <c r="F36" i="103"/>
  <c r="F36" i="102"/>
  <c r="F39" i="103"/>
  <c r="F39" i="102"/>
  <c r="F35" i="102"/>
  <c r="F35" i="103"/>
  <c r="S37" i="95"/>
  <c r="R38" i="95"/>
  <c r="R42" i="92"/>
  <c r="S41" i="92"/>
  <c r="J210" i="101"/>
  <c r="J214" i="101" s="1"/>
  <c r="K211" i="101" s="1"/>
  <c r="H206" i="101"/>
  <c r="I206" i="101" s="1"/>
  <c r="C224" i="101"/>
  <c r="E224" i="101" s="1"/>
  <c r="E222" i="101" s="1"/>
  <c r="G222" i="101" s="1"/>
  <c r="F226" i="101"/>
  <c r="G226" i="101" s="1"/>
  <c r="J226" i="101" s="1"/>
  <c r="B220" i="101"/>
  <c r="B236" i="101"/>
  <c r="F235" i="101" s="1"/>
  <c r="G235" i="101" s="1"/>
  <c r="E44" i="100"/>
  <c r="C237" i="101" s="1"/>
  <c r="E237" i="101" s="1"/>
  <c r="D45" i="100"/>
  <c r="J200" i="101"/>
  <c r="K196" i="101" s="1"/>
  <c r="G34" i="102" l="1"/>
  <c r="G34" i="103"/>
  <c r="H37" i="96"/>
  <c r="G38" i="96"/>
  <c r="S42" i="92"/>
  <c r="R43" i="92"/>
  <c r="I29" i="92" s="1"/>
  <c r="R39" i="95"/>
  <c r="S38" i="95"/>
  <c r="K210" i="101"/>
  <c r="K212" i="101"/>
  <c r="K213" i="101"/>
  <c r="B250" i="101"/>
  <c r="F249" i="101" s="1"/>
  <c r="G249" i="101" s="1"/>
  <c r="D46" i="100"/>
  <c r="E45" i="100"/>
  <c r="C251" i="101" s="1"/>
  <c r="E251" i="101" s="1"/>
  <c r="B234" i="101"/>
  <c r="C238" i="101"/>
  <c r="E238" i="101" s="1"/>
  <c r="E236" i="101" s="1"/>
  <c r="G236" i="101" s="1"/>
  <c r="F240" i="101"/>
  <c r="G240" i="101" s="1"/>
  <c r="J240" i="101" s="1"/>
  <c r="K199" i="101"/>
  <c r="K197" i="101"/>
  <c r="K198" i="101"/>
  <c r="J224" i="101"/>
  <c r="H220" i="101"/>
  <c r="I220" i="101" s="1"/>
  <c r="G35" i="102" l="1"/>
  <c r="G39" i="96"/>
  <c r="H38" i="96"/>
  <c r="G35" i="103"/>
  <c r="AB34" i="103"/>
  <c r="H34" i="103" s="1"/>
  <c r="AC34" i="102"/>
  <c r="H34" i="102" s="1"/>
  <c r="R40" i="95"/>
  <c r="S39" i="95"/>
  <c r="R44" i="92"/>
  <c r="S43" i="92"/>
  <c r="H234" i="101"/>
  <c r="I234" i="101" s="1"/>
  <c r="J238" i="101"/>
  <c r="B264" i="101"/>
  <c r="F263" i="101" s="1"/>
  <c r="G263" i="101" s="1"/>
  <c r="E46" i="100"/>
  <c r="C265" i="101" s="1"/>
  <c r="E265" i="101" s="1"/>
  <c r="J228" i="101"/>
  <c r="K224" i="101" s="1"/>
  <c r="B248" i="101"/>
  <c r="F254" i="101"/>
  <c r="G254" i="101" s="1"/>
  <c r="J254" i="101" s="1"/>
  <c r="C252" i="101"/>
  <c r="E252" i="101" s="1"/>
  <c r="E250" i="101" s="1"/>
  <c r="G250" i="101" s="1"/>
  <c r="AC35" i="102" l="1"/>
  <c r="H35" i="102" s="1"/>
  <c r="AB35" i="103"/>
  <c r="H35" i="103" s="1"/>
  <c r="G36" i="103"/>
  <c r="G40" i="96"/>
  <c r="H39" i="96"/>
  <c r="G36" i="102"/>
  <c r="R45" i="92"/>
  <c r="S44" i="92"/>
  <c r="R41" i="95"/>
  <c r="I27" i="95" s="1"/>
  <c r="S40" i="95"/>
  <c r="F268" i="101"/>
  <c r="G268" i="101" s="1"/>
  <c r="J268" i="101" s="1"/>
  <c r="C266" i="101"/>
  <c r="E266" i="101" s="1"/>
  <c r="E264" i="101" s="1"/>
  <c r="G264" i="101" s="1"/>
  <c r="B262" i="101"/>
  <c r="J252" i="101"/>
  <c r="H248" i="101"/>
  <c r="I248" i="101" s="1"/>
  <c r="J242" i="101"/>
  <c r="K238" i="101" s="1"/>
  <c r="K225" i="101"/>
  <c r="K227" i="101"/>
  <c r="K226" i="101"/>
  <c r="G41" i="96" l="1"/>
  <c r="G37" i="102"/>
  <c r="H40" i="96"/>
  <c r="G37" i="103"/>
  <c r="AB36" i="103"/>
  <c r="H36" i="103" s="1"/>
  <c r="AC36" i="102"/>
  <c r="H36" i="102" s="1"/>
  <c r="R42" i="95"/>
  <c r="S41" i="95"/>
  <c r="J266" i="101"/>
  <c r="H262" i="101"/>
  <c r="I262" i="101" s="1"/>
  <c r="K239" i="101"/>
  <c r="K241" i="101"/>
  <c r="K240" i="101"/>
  <c r="J256" i="101"/>
  <c r="K252" i="101" s="1"/>
  <c r="AC37" i="102" l="1"/>
  <c r="H37" i="102" s="1"/>
  <c r="AB37" i="103"/>
  <c r="H37" i="103" s="1"/>
  <c r="G38" i="103"/>
  <c r="G38" i="102"/>
  <c r="G42" i="96"/>
  <c r="H41" i="96"/>
  <c r="R43" i="95"/>
  <c r="S42" i="95"/>
  <c r="K253" i="101"/>
  <c r="K255" i="101"/>
  <c r="K254" i="101"/>
  <c r="J270" i="101"/>
  <c r="K266" i="101" s="1"/>
  <c r="AB38" i="103" l="1"/>
  <c r="H38" i="103" s="1"/>
  <c r="AC38" i="102"/>
  <c r="H38" i="102" s="1"/>
  <c r="G39" i="102"/>
  <c r="G39" i="103"/>
  <c r="H42" i="96"/>
  <c r="G43" i="96"/>
  <c r="K269" i="101"/>
  <c r="K267" i="101"/>
  <c r="K268" i="101"/>
  <c r="G40" i="103" l="1"/>
  <c r="I21" i="96"/>
  <c r="G44" i="96"/>
  <c r="H43" i="96"/>
  <c r="G40" i="102"/>
  <c r="AC39" i="102"/>
  <c r="H39" i="102" s="1"/>
  <c r="AB39" i="103"/>
  <c r="H39" i="103" s="1"/>
  <c r="AC40" i="102" l="1"/>
  <c r="H40" i="102" s="1"/>
  <c r="AB40" i="103"/>
  <c r="H40" i="103" s="1"/>
  <c r="G41" i="102"/>
  <c r="G41" i="103"/>
  <c r="H44" i="96"/>
  <c r="K27" i="102"/>
  <c r="K25" i="103"/>
  <c r="AB41" i="103" l="1"/>
  <c r="H41" i="103" s="1"/>
  <c r="G45" i="96"/>
  <c r="AC41" i="102"/>
  <c r="H41" i="102" s="1"/>
  <c r="I24" i="96"/>
  <c r="P29" i="102" l="1"/>
  <c r="O29" i="103"/>
  <c r="I23" i="96"/>
  <c r="P28" i="102" l="1"/>
  <c r="O28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F63D055E-04E5-440A-A56A-E370225BC2DD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6DC4E05C-EC59-4101-A387-FCDC1791988A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sharedStrings.xml><?xml version="1.0" encoding="utf-8"?>
<sst xmlns="http://schemas.openxmlformats.org/spreadsheetml/2006/main" count="1171" uniqueCount="474">
  <si>
    <t>:</t>
  </si>
  <si>
    <t>CONJUNTO RESIDENCIAL SAN BORJA HOMETOWN</t>
  </si>
  <si>
    <t>LABORATORIO DE ENSAYO DE MATERIALES</t>
  </si>
  <si>
    <t>Nota :</t>
  </si>
  <si>
    <t>Página 1 de 1</t>
  </si>
  <si>
    <t>DATOS DE LA MUESTRA</t>
  </si>
  <si>
    <t>M-1</t>
  </si>
  <si>
    <t>METRO</t>
  </si>
  <si>
    <t xml:space="preserve">CA. DURERO CDRA. 4 S/N, ALT. LA CDRA 13 DE LA AV. SAN </t>
  </si>
  <si>
    <t>Malla</t>
  </si>
  <si>
    <t>% que</t>
  </si>
  <si>
    <t>Tamiz</t>
  </si>
  <si>
    <t>mm.</t>
  </si>
  <si>
    <t>Pasa</t>
  </si>
  <si>
    <t>3"</t>
  </si>
  <si>
    <t>2"</t>
  </si>
  <si>
    <t>1 1/2"</t>
  </si>
  <si>
    <t>1"</t>
  </si>
  <si>
    <t>3/4"</t>
  </si>
  <si>
    <t>3/8"</t>
  </si>
  <si>
    <t>No4</t>
  </si>
  <si>
    <t>humeda de la fraccion</t>
  </si>
  <si>
    <t>Grava</t>
  </si>
  <si>
    <t>Arena</t>
  </si>
  <si>
    <t>total</t>
  </si>
  <si>
    <t>Datos de ensayo</t>
  </si>
  <si>
    <t>Peso</t>
  </si>
  <si>
    <t>% Ret</t>
  </si>
  <si>
    <t>(gr)</t>
  </si>
  <si>
    <t>Parcial</t>
  </si>
  <si>
    <t>Acum.</t>
  </si>
  <si>
    <t>2 1/2"</t>
  </si>
  <si>
    <t>1/2"</t>
  </si>
  <si>
    <t>1/4"</t>
  </si>
  <si>
    <t>&lt; 200</t>
  </si>
  <si>
    <t>Metodo</t>
  </si>
  <si>
    <t>Peso Inicial (gr)</t>
  </si>
  <si>
    <t>Mod. Fineza</t>
  </si>
  <si>
    <t>F-LEM-P-AG-03.02</t>
  </si>
  <si>
    <t xml:space="preserve">                 CÓDIGO</t>
  </si>
  <si>
    <t>N° OT</t>
  </si>
  <si>
    <t>Ret. Parcial (%)</t>
  </si>
  <si>
    <t>Ret Acum. (%)</t>
  </si>
  <si>
    <t>que Pasa (%)</t>
  </si>
  <si>
    <t>Fondo</t>
  </si>
  <si>
    <t>Peso        (gr)</t>
  </si>
  <si>
    <t>porcentaje que pasa</t>
  </si>
  <si>
    <t>N° 4</t>
  </si>
  <si>
    <t>N° 8</t>
  </si>
  <si>
    <t>N° 16</t>
  </si>
  <si>
    <t>N° 50</t>
  </si>
  <si>
    <t>3 1/2" @ 1 1/2"</t>
  </si>
  <si>
    <t>2 1/2" @ 1 1/2"</t>
  </si>
  <si>
    <t>2" @ 1"</t>
  </si>
  <si>
    <t>2" @ N°4</t>
  </si>
  <si>
    <t>1 1/2" @ 3/4"</t>
  </si>
  <si>
    <t>1 1/2" @ N°4</t>
  </si>
  <si>
    <t>1" @ 1/2"</t>
  </si>
  <si>
    <t>1" @ 3/8"</t>
  </si>
  <si>
    <t>1" @ N° 4</t>
  </si>
  <si>
    <t>3/4" @ 3/8"</t>
  </si>
  <si>
    <t>3/4" @ N° 4</t>
  </si>
  <si>
    <t>1/2" @ N° 4</t>
  </si>
  <si>
    <t>3/8" @ N°8</t>
  </si>
  <si>
    <t>USO</t>
  </si>
  <si>
    <t>TMN</t>
  </si>
  <si>
    <t>gradacion arena para concreto</t>
  </si>
  <si>
    <t>ASTM C-33</t>
  </si>
  <si>
    <t>gradacion grava para concreto</t>
  </si>
  <si>
    <t>Especificaciones                              ASTM C-33</t>
  </si>
  <si>
    <t>N°8</t>
  </si>
  <si>
    <t>Peso inicial</t>
  </si>
  <si>
    <t>MAXIMO</t>
  </si>
  <si>
    <t>TM</t>
  </si>
  <si>
    <t>MAC - 2</t>
  </si>
  <si>
    <t xml:space="preserve">  1 1/2"</t>
  </si>
  <si>
    <t xml:space="preserve">  1"</t>
  </si>
  <si>
    <t xml:space="preserve">  3/4"</t>
  </si>
  <si>
    <t xml:space="preserve">  1/2"</t>
  </si>
  <si>
    <t xml:space="preserve">  3/8"</t>
  </si>
  <si>
    <t xml:space="preserve">  N°4</t>
  </si>
  <si>
    <t xml:space="preserve">  N° 10</t>
  </si>
  <si>
    <t>Especicifaciones</t>
  </si>
  <si>
    <t xml:space="preserve">  N° 40</t>
  </si>
  <si>
    <t>tamiz</t>
  </si>
  <si>
    <t>Mín.</t>
  </si>
  <si>
    <t>Máx.</t>
  </si>
  <si>
    <t xml:space="preserve">  N° 80</t>
  </si>
  <si>
    <t xml:space="preserve">  N° 200</t>
  </si>
  <si>
    <t>faja  de trabajo</t>
  </si>
  <si>
    <t xml:space="preserve">  &lt;  200</t>
  </si>
  <si>
    <t xml:space="preserve">         -</t>
  </si>
  <si>
    <t xml:space="preserve">Distribusion </t>
  </si>
  <si>
    <t>Peso Grueso</t>
  </si>
  <si>
    <t>Peso Fino</t>
  </si>
  <si>
    <t>Peso Humedo</t>
  </si>
  <si>
    <t>Peso Seco</t>
  </si>
  <si>
    <t>Humedad</t>
  </si>
  <si>
    <t>Peso Total</t>
  </si>
  <si>
    <t>Versión : 02 (02-01-2021)</t>
  </si>
  <si>
    <t>CORRECCION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</si>
  <si>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</si>
  <si>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</si>
  <si>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</si>
  <si>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</si>
  <si>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</si>
  <si>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CLIENTE</t>
  </si>
  <si>
    <t>DIRECCION **</t>
  </si>
  <si>
    <t>LIMA - AV. JAGSKSHD / PONER LA DIRECCION O DIRECCION FISCAL</t>
  </si>
  <si>
    <t>PROYECTO **</t>
  </si>
  <si>
    <t>UBICACIÓN **</t>
  </si>
  <si>
    <t>** Datos proporcionados por el cliente</t>
  </si>
  <si>
    <t>N° INFORME.</t>
  </si>
  <si>
    <t>CANTERA / SONDAJE **</t>
  </si>
  <si>
    <t>C-1</t>
  </si>
  <si>
    <t>N° MUESTRA **</t>
  </si>
  <si>
    <t>TIPO DE MUESTRA**</t>
  </si>
  <si>
    <t>SUELO</t>
  </si>
  <si>
    <t>LUGAR DE ENSAYO</t>
  </si>
  <si>
    <t xml:space="preserve"> Laboratorio de Ensayo de Materiales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</si>
  <si>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</si>
  <si>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</si>
  <si>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</si>
  <si>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</si>
  <si>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CODIGO DE LA MUESTRA:</t>
  </si>
  <si>
    <t>FECHA DE RECEPCIÓN:</t>
  </si>
  <si>
    <t>FECHA DE EJECUCIÓN:</t>
  </si>
  <si>
    <t>FECHA DE EMISIÓN:</t>
  </si>
  <si>
    <t>Standard Test Method for Sieve Analysis of Fine and Coarse Aggregates</t>
  </si>
  <si>
    <t>Nota: Si la malla 200 tiene menos del 10% retenido se reportara al 0.1%</t>
  </si>
  <si>
    <t>Si la malla 200 tiene mas del 10% retenido se reporta al 1%</t>
  </si>
  <si>
    <t>ASTM C136/C136M − 19</t>
  </si>
  <si>
    <t>F-LEM-P-AG-19.02</t>
  </si>
  <si>
    <t xml:space="preserve">                 CÓDIGO:</t>
  </si>
  <si>
    <t>N° OT:</t>
  </si>
  <si>
    <t>F. EMISIÓN:</t>
  </si>
  <si>
    <t>Laboratorio de Ensayo de Materiales</t>
  </si>
  <si>
    <t>CANTERA / SONDAJE **:</t>
  </si>
  <si>
    <t>N° MUESTRA **:</t>
  </si>
  <si>
    <t>TIPO DE MUESTRA**:</t>
  </si>
  <si>
    <t>LUGAR DE ENSAYO:</t>
  </si>
  <si>
    <t>Prohibida la reproducción total o parcial del presente informe de ensayo sin la autorización escrita de GEOFAL S.A.C.</t>
  </si>
  <si>
    <t>Página 1 de 2</t>
  </si>
  <si>
    <t>Versión : 01 (17-05-2021)</t>
  </si>
  <si>
    <t>Página 2 de 2</t>
  </si>
  <si>
    <t>Versión: 01 (17-05-2021)</t>
  </si>
  <si>
    <t>Caracteristicas de la Muestra</t>
  </si>
  <si>
    <t>Arena (%)</t>
  </si>
  <si>
    <t>Fino (%)</t>
  </si>
  <si>
    <t>Grava (%)</t>
  </si>
  <si>
    <t>T.M.N.</t>
  </si>
  <si>
    <t>PESO MINIMO</t>
  </si>
  <si>
    <t>CUMPLE EL PESO MINIMO?</t>
  </si>
  <si>
    <t>CÓDIGO DE LA MUESTRA:</t>
  </si>
  <si>
    <t>EQP-0046</t>
  </si>
  <si>
    <t>No.4</t>
  </si>
  <si>
    <t>No.8</t>
  </si>
  <si>
    <t>No.16</t>
  </si>
  <si>
    <t>No.50</t>
  </si>
  <si>
    <t>No.100</t>
  </si>
  <si>
    <t>No.10</t>
  </si>
  <si>
    <t>No. 30</t>
  </si>
  <si>
    <t>No.40</t>
  </si>
  <si>
    <t xml:space="preserve">No. 200 </t>
  </si>
  <si>
    <t>Busqueda de Repetibilidad de la masa</t>
  </si>
  <si>
    <t>CALIBRACION TAMICES</t>
  </si>
  <si>
    <t>Fecha de Calibracion:</t>
  </si>
  <si>
    <t>TAMIZ</t>
  </si>
  <si>
    <t>U(x) (mm)</t>
  </si>
  <si>
    <t>Datos del certificado</t>
  </si>
  <si>
    <t>3 "</t>
  </si>
  <si>
    <t>um</t>
  </si>
  <si>
    <t>2 "</t>
  </si>
  <si>
    <t>1 1/2 "</t>
  </si>
  <si>
    <t>M. total</t>
  </si>
  <si>
    <t>1 "</t>
  </si>
  <si>
    <t>DATA DE ASEGURAMIENTO</t>
  </si>
  <si>
    <t>CALIBRACION DE LA BALANZA</t>
  </si>
  <si>
    <t>Variables</t>
  </si>
  <si>
    <t>DESV STD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</si>
  <si>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</si>
  <si>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</si>
  <si>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</si>
  <si>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</si>
  <si>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</si>
  <si>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</si>
  <si>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</si>
  <si>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</si>
  <si>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</si>
  <si>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</si>
  <si>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</si>
  <si>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</si>
  <si>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40</t>
  </si>
  <si>
    <t>Abertura de Tamiz No. 40 (mm)</t>
  </si>
  <si>
    <t>Tamiz No. 40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</si>
  <si>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</si>
  <si>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</si>
  <si>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</si>
  <si>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</si>
  <si>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</si>
  <si>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</si>
  <si>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</si>
  <si>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</si>
  <si>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</si>
  <si>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</si>
  <si>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</si>
  <si>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</si>
  <si>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</si>
  <si>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</si>
  <si>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</si>
  <si>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</si>
  <si>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</si>
  <si>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</si>
  <si>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</si>
  <si>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</si>
  <si>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</si>
  <si>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</si>
  <si>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</si>
  <si>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</si>
  <si>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</si>
  <si>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</si>
  <si>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</si>
  <si>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</si>
  <si>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</si>
  <si>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</si>
  <si>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</si>
  <si>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</si>
  <si>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</si>
  <si>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</si>
  <si>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</si>
  <si>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</si>
  <si>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</si>
  <si>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</si>
  <si>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</si>
  <si>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</si>
  <si>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Agregado fino o Grueso</t>
  </si>
  <si>
    <t>2 1/2 "</t>
  </si>
  <si>
    <t>No.30</t>
  </si>
  <si>
    <t>Tamiz 2 1/2 in</t>
  </si>
  <si>
    <t>Abertura de Tamiz  2 1/2 in (mm)</t>
  </si>
  <si>
    <t>Factor de presición 2 1/2 in</t>
  </si>
  <si>
    <t>Tamiz 1/2 in</t>
  </si>
  <si>
    <t>Abertura de Tamiz 1/2 in (mm)</t>
  </si>
  <si>
    <t>Factor de presición 1/2 in</t>
  </si>
  <si>
    <t>Tamiz No. 8</t>
  </si>
  <si>
    <t>Abertura de Tamiz No. 8 (mm)</t>
  </si>
  <si>
    <t>Factor de presición No. 8</t>
  </si>
  <si>
    <t>Tamiz No. 16</t>
  </si>
  <si>
    <t>Abertura de Tamiz No. 16 (mm)</t>
  </si>
  <si>
    <t>Factor de presición No. 16</t>
  </si>
  <si>
    <t>Tamiz No. 30</t>
  </si>
  <si>
    <t>Abertura de Tamiz No. 30 (mm)</t>
  </si>
  <si>
    <t>Factor de presición No.  30</t>
  </si>
  <si>
    <t>Tamiz No. 50</t>
  </si>
  <si>
    <t>Abertura de Tamiz No. 50 (mm)</t>
  </si>
  <si>
    <t>Factor de presición No. 50</t>
  </si>
  <si>
    <t>Tamiz No. 100</t>
  </si>
  <si>
    <t>Corregido</t>
  </si>
  <si>
    <t>Tamaño maximo Nominal</t>
  </si>
  <si>
    <t>3 in.</t>
  </si>
  <si>
    <t>2 1/2 in.</t>
  </si>
  <si>
    <t>2 in.</t>
  </si>
  <si>
    <t>1 1/2 in.</t>
  </si>
  <si>
    <t>1 in.</t>
  </si>
  <si>
    <t>3/4 in.</t>
  </si>
  <si>
    <t>1/2 in.</t>
  </si>
  <si>
    <t>3/8 in.</t>
  </si>
  <si>
    <t>in.</t>
  </si>
  <si>
    <t>T.M (in.)</t>
  </si>
  <si>
    <t>T.M.N (in.)</t>
  </si>
  <si>
    <t>ITEM</t>
  </si>
  <si>
    <t>Desviacion Estándar Reproducibilidad (SR)</t>
  </si>
  <si>
    <t>Masa de agregado que pasa a travez de un tamiz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</si>
  <si>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</si>
  <si>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</si>
  <si>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Material total que pasa por cada tamiz (%)</t>
  </si>
  <si>
    <t>Material total retenido en cada tamiz (%)</t>
  </si>
  <si>
    <t>Masa retenido en cada tamiz</t>
  </si>
  <si>
    <t>Tamaño de abretura del tamiz</t>
  </si>
  <si>
    <t>Alternativo</t>
  </si>
  <si>
    <t>Masa humeda</t>
  </si>
  <si>
    <t>Masa seca</t>
  </si>
  <si>
    <t>Detrminacion de la masa inicial</t>
  </si>
  <si>
    <t>Original</t>
  </si>
  <si>
    <t>Masa Humeda</t>
  </si>
  <si>
    <t>Masa Seca</t>
  </si>
  <si>
    <t>% Humedad</t>
  </si>
  <si>
    <t>Diferencia</t>
  </si>
  <si>
    <t>Total de material retenido en cada tamiz (%)</t>
  </si>
  <si>
    <t>Masa Fraccion Fino</t>
  </si>
  <si>
    <t xml:space="preserve">Masa Total            </t>
  </si>
  <si>
    <t>MARCA                 ( X )</t>
  </si>
  <si>
    <t>Peso mínimo            (g)</t>
  </si>
  <si>
    <t>PESO MINIMO DEL GRUESO</t>
  </si>
  <si>
    <t xml:space="preserve"> PESO MINIMO SI ES FINO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</si>
  <si>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</si>
  <si>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</si>
  <si>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</si>
  <si>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Fin del Informe</t>
  </si>
  <si>
    <t>DIRECCIÓN **</t>
  </si>
  <si>
    <t>CANTERA/SONDAJE ** :</t>
  </si>
  <si>
    <t>error de tamizado</t>
  </si>
  <si>
    <t>Masa Despues del tamizado</t>
  </si>
  <si>
    <t>Masa Muestra Lavada seco</t>
  </si>
  <si>
    <t>Información para la Corrección por Certificado de Calibración:</t>
  </si>
  <si>
    <t>Precisión de la Balanza al 0.1g</t>
  </si>
  <si>
    <t>Corrección</t>
  </si>
  <si>
    <t>Nota:</t>
  </si>
  <si>
    <t>- Los datos de identificación de la muestra son proporcionados por el cliente.</t>
  </si>
  <si>
    <t>Observaciones:</t>
  </si>
  <si>
    <t>Variables:</t>
  </si>
  <si>
    <t>Fórmula:</t>
  </si>
  <si>
    <t xml:space="preserve"> </t>
  </si>
  <si>
    <t>Equipos a utilizar:</t>
  </si>
  <si>
    <t>Paso 2. Definición de las variables aleatorias</t>
  </si>
  <si>
    <t>Balanza con resolución de lectura de 0.1g</t>
  </si>
  <si>
    <t>Tamices</t>
  </si>
  <si>
    <t>TAMICES</t>
  </si>
  <si>
    <t>F O G</t>
  </si>
  <si>
    <t xml:space="preserve">Repetib. </t>
  </si>
  <si>
    <t>Retenida Acumulado (g)</t>
  </si>
  <si>
    <t>M ret acumulado 3 in (g)</t>
  </si>
  <si>
    <t>M ret acumulado 2 1/2 in (g)</t>
  </si>
  <si>
    <t>M ret acumulado 2 in (g)</t>
  </si>
  <si>
    <t>M ret acumulado 1 1/2 in (g)</t>
  </si>
  <si>
    <t>M ret acumulado 1 in (g)</t>
  </si>
  <si>
    <t>M ret acumulado 3/4 in (g)</t>
  </si>
  <si>
    <t>M ret acumulado 1/2 in (g)</t>
  </si>
  <si>
    <t>M ret acumulado 3/8 in (g)</t>
  </si>
  <si>
    <t>M ret acumulado No. 4 (g)</t>
  </si>
  <si>
    <t>Abertura de Tamiz No. 100 (mm)</t>
  </si>
  <si>
    <t>Factor de presición No. 100</t>
  </si>
  <si>
    <t>Tipo Agregado</t>
  </si>
  <si>
    <t>M ret acumulado No. 8 (g)</t>
  </si>
  <si>
    <t>M ret acumulado No. 10 (g)</t>
  </si>
  <si>
    <t>M ret acumulado No. 16 (g)</t>
  </si>
  <si>
    <t>M ret acumulado No. 200 (g)</t>
  </si>
  <si>
    <t>M ret acumulado No. 100 (g)</t>
  </si>
  <si>
    <t>M ret acumulado No. 50 (g)</t>
  </si>
  <si>
    <t>M ret acumulado No. 40 (g)</t>
  </si>
  <si>
    <t>M ret acumulado No. 30 (g)</t>
  </si>
  <si>
    <t>Masa Retenida (g)</t>
  </si>
  <si>
    <t>Laboratorio de Materiales</t>
  </si>
  <si>
    <t>MES</t>
  </si>
  <si>
    <t>-</t>
  </si>
  <si>
    <t>Material retenido entre tamices consecutivo (%))</t>
  </si>
  <si>
    <t>Material retenido entre tamices consecutivos (%)</t>
  </si>
  <si>
    <t>Desviacion Estándar Repetibilidad (Sr)</t>
  </si>
  <si>
    <t>Incertidumbre original</t>
  </si>
  <si>
    <t>% Pasa: % pasa el tamiz anterior</t>
  </si>
  <si>
    <t>Mret: Masa retenida</t>
  </si>
  <si>
    <t>Mtotal: Masa total</t>
  </si>
  <si>
    <t>ASTM C136/C136M-19</t>
  </si>
  <si>
    <t>Designación de Tamices</t>
  </si>
  <si>
    <t>OPERADORES</t>
  </si>
  <si>
    <t>- Este informe de ensayo, al estar en el marco de la acreditación del INACAL - DA, se encuentra dentro del ámbito de reconocimiento multilateral/mutuo de los miembros firmantes de IAAC e ILAC.</t>
  </si>
  <si>
    <t>RECEPCIÓN N°:</t>
  </si>
  <si>
    <t xml:space="preserve">CLIENTE** </t>
  </si>
  <si>
    <t>**Datos proporcionados por el cliente</t>
  </si>
  <si>
    <t xml:space="preserve">N° MUESTRA **              : </t>
  </si>
  <si>
    <t>TIPO DE MUESTRA       :</t>
  </si>
  <si>
    <t>LUGAR DE ENSAYO      :</t>
  </si>
  <si>
    <t>Página 1 de 1                                                               Versión: 08 (13-02-2024)</t>
  </si>
  <si>
    <r>
      <t xml:space="preserve">600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</si>
  <si>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425 µm</t>
  </si>
  <si>
    <r>
      <t xml:space="preserve">300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</si>
  <si>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150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</si>
  <si>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75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</si>
  <si>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75 mm</t>
  </si>
  <si>
    <t>63 mm</t>
  </si>
  <si>
    <t>50 mm</t>
  </si>
  <si>
    <t xml:space="preserve">37.5 mm </t>
  </si>
  <si>
    <t xml:space="preserve">25.0 mm </t>
  </si>
  <si>
    <t>19.0 mm</t>
  </si>
  <si>
    <t>12.5 mm</t>
  </si>
  <si>
    <t>9.5 mm</t>
  </si>
  <si>
    <t>4.75 mm</t>
  </si>
  <si>
    <t>2.36 mm</t>
  </si>
  <si>
    <t>2.00 mm</t>
  </si>
  <si>
    <t>1.18 mm</t>
  </si>
  <si>
    <t xml:space="preserve">Estándar         </t>
  </si>
  <si>
    <t>Módulo de fineza</t>
  </si>
  <si>
    <t>OT N°:</t>
  </si>
  <si>
    <r>
      <t xml:space="preserve">ASTM C136/C136M − </t>
    </r>
    <r>
      <rPr>
        <b/>
        <u/>
        <sz val="11"/>
        <rFont val="Arial"/>
        <family val="2"/>
      </rPr>
      <t>25</t>
    </r>
  </si>
  <si>
    <t>FORMATO N° F-LEM-P-AG-19.01</t>
  </si>
  <si>
    <t>MUESTRA</t>
  </si>
  <si>
    <t>No OT</t>
  </si>
  <si>
    <t>FECHA ENSAYO</t>
  </si>
  <si>
    <t>REALIZADO</t>
  </si>
  <si>
    <r>
      <t>ASTM C136/C136M-</t>
    </r>
    <r>
      <rPr>
        <b/>
        <u/>
        <sz val="9"/>
        <rFont val="Arial"/>
        <family val="2"/>
      </rPr>
      <t>25</t>
    </r>
  </si>
  <si>
    <t>Tipo de muestra</t>
  </si>
  <si>
    <t>Abertura</t>
  </si>
  <si>
    <t>Masa ret.</t>
  </si>
  <si>
    <t>Tamaño máximo de la particula, Visual (in)</t>
  </si>
  <si>
    <t>(mm)</t>
  </si>
  <si>
    <t>(g)</t>
  </si>
  <si>
    <t>Forma de la particula</t>
  </si>
  <si>
    <t>3 in</t>
  </si>
  <si>
    <t>2 1/2 in</t>
  </si>
  <si>
    <t>Granulometría Global</t>
  </si>
  <si>
    <t>2 in</t>
  </si>
  <si>
    <t>Masa muestra húmedo inicial total</t>
  </si>
  <si>
    <t>g</t>
  </si>
  <si>
    <t>1 1/2 in</t>
  </si>
  <si>
    <t>Masa muestra seca</t>
  </si>
  <si>
    <t>1 in</t>
  </si>
  <si>
    <t>Masa muestra seca constante</t>
  </si>
  <si>
    <t>3/4 in</t>
  </si>
  <si>
    <t>Masa muestra seca lavada</t>
  </si>
  <si>
    <t xml:space="preserve">1/2 in </t>
  </si>
  <si>
    <t>3/8 in</t>
  </si>
  <si>
    <t>Granulometria fraccionada</t>
  </si>
  <si>
    <t>No. 4</t>
  </si>
  <si>
    <t>No. 8</t>
  </si>
  <si>
    <t>Masa muestra seco inicial total</t>
  </si>
  <si>
    <t>No. 10</t>
  </si>
  <si>
    <t>Grueso</t>
  </si>
  <si>
    <t>No. 16</t>
  </si>
  <si>
    <t>No. 40</t>
  </si>
  <si>
    <t>Fino</t>
  </si>
  <si>
    <t>No. 50</t>
  </si>
  <si>
    <t>Masa muestra humedo Fino</t>
  </si>
  <si>
    <t>No. 100</t>
  </si>
  <si>
    <t>Masa muestra seco Fino</t>
  </si>
  <si>
    <t>No. 200</t>
  </si>
  <si>
    <t>Masa muestra húmedo Fracción</t>
  </si>
  <si>
    <t>Masa muestra seco Fracción</t>
  </si>
  <si>
    <t>Tabla de pesos minimos Ag. Grueso</t>
  </si>
  <si>
    <t>Masa muestra seco constante Fracción</t>
  </si>
  <si>
    <t>Contenido humedad Fracción</t>
  </si>
  <si>
    <t>%</t>
  </si>
  <si>
    <t>Masa muestra seco lavado Fracción</t>
  </si>
  <si>
    <t>Error máximo permitido 0.3%</t>
  </si>
  <si>
    <t>Masa muestra ANTES tamizado (g)</t>
  </si>
  <si>
    <t>Masa muestra DESPUÉS tamizado (g)</t>
  </si>
  <si>
    <t>Error de tamizado ((a-b)/(a)*100)</t>
  </si>
  <si>
    <t>Equipo utilizado</t>
  </si>
  <si>
    <t>Código</t>
  </si>
  <si>
    <t>Balanza 0.1 g</t>
  </si>
  <si>
    <t>Fuente: Elaboración propia basada en la Norma ASTM C136/C136M-19.</t>
  </si>
  <si>
    <t>Horno</t>
  </si>
  <si>
    <t>*Agregado Fino peso minimo 300 g seco</t>
  </si>
  <si>
    <r>
      <t xml:space="preserve">Observación: </t>
    </r>
    <r>
      <rPr>
        <sz val="10"/>
        <rFont val="Arial"/>
        <family val="2"/>
      </rPr>
      <t>….............................................................................................................................................................</t>
    </r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</si>
  <si>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</si>
  <si>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</si>
  <si>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Av. Marañon 763, Los Olivos-Lima / Teléfono: 01 754-3070</t>
  </si>
  <si>
    <t>RECEPCIÓN N°</t>
  </si>
  <si>
    <t>F. EMISIÓN</t>
  </si>
  <si>
    <t>OT N°</t>
  </si>
  <si>
    <t>CÓDIGO DE LA MUESTRA</t>
  </si>
  <si>
    <t>FECHA DE RECEPCIÓN</t>
  </si>
  <si>
    <t>FECHA DE EJECUCIÓN</t>
  </si>
  <si>
    <t>CANTERA/SONDAJE **</t>
  </si>
  <si>
    <t>Ecuación</t>
  </si>
  <si>
    <t>2*RAIZ(0.00416+0.000000000243*R2)</t>
  </si>
  <si>
    <t xml:space="preserve">Código 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</si>
  <si>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</si>
  <si>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</si>
  <si>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</si>
  <si>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</si>
  <si>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</si>
  <si>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</si>
  <si>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</si>
  <si>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</si>
  <si>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</si>
  <si>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CÁLCULOS</t>
  </si>
  <si>
    <t>ASTM C136/C136M − 25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</si>
  <si>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</si>
  <si>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</si>
  <si>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</si>
  <si>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</si>
  <si>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</si>
  <si>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Página 1 de 1                                                               Versión: 10 (2026-06-15)</t>
  </si>
  <si>
    <t>Fecha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</si>
</sst>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;@"/>
    <numFmt numFmtId="167" formatCode="000\-\ &quot;21&quot;"/>
    <numFmt numFmtId="168" formatCode="000&quot;-21 AG03&quot;"/>
    <numFmt numFmtId="169" formatCode="0#&quot;-16 / MA 01&quot;"/>
    <numFmt numFmtId="170" formatCode="000&quot;-SU-21&quot;"/>
    <numFmt numFmtId="171" formatCode="&quot;INFORME DE ENSAYO N°&quot;000&quot;-21 AG03&quot;"/>
    <numFmt numFmtId="172" formatCode="&quot;INFORME DE ENSAYO N°&quot;000&quot;-21 AG15&quot;"/>
    <numFmt numFmtId="173" formatCode="0.00000"/>
    <numFmt numFmtId="174" formatCode="0.000000"/>
    <numFmt numFmtId="175" formatCode="0.0000"/>
    <numFmt numFmtId="176" formatCode="&quot;0&quot;0"/>
    <numFmt numFmtId="177" formatCode="&quot;INFORME DE ENSAYO N°&quot;000&quot;-24 AG19&quot;"/>
    <numFmt numFmtId="178" formatCode="000\-\ &quot;24&quot;"/>
    <numFmt numFmtId="179" formatCode="000&quot;-AG-24&quot;"/>
    <numFmt numFmtId="180" formatCode="yyyy\-mm\-dd;@"/>
    <numFmt numFmtId="181" formatCode="&quot;INFORME DE ENSAYO N°&quot;000&quot;-26 AG19&quot;"/>
    <numFmt numFmtId="182" formatCode="000\-\ &quot;26&quot;"/>
    <numFmt numFmtId="183" formatCode="000&quot;-AG-26&quot;"/>
    <numFmt numFmtId="184" formatCode="&quot;FORMATO F-LEM-P-SU-11.01&quot;"/>
  </numFmts>
  <fonts count="8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10"/>
      <color indexed="10"/>
      <name val="Times New Roman"/>
      <family val="1"/>
    </font>
    <font>
      <sz val="6"/>
      <name val="Times New Roman"/>
      <family val="1"/>
    </font>
    <font>
      <b/>
      <sz val="9"/>
      <name val="Arial"/>
      <family val="2"/>
    </font>
    <font>
      <sz val="8"/>
      <color indexed="9"/>
      <name val="Arial"/>
      <family val="2"/>
    </font>
    <font>
      <b/>
      <sz val="8"/>
      <color indexed="10"/>
      <name val="Arial"/>
      <family val="2"/>
    </font>
    <font>
      <sz val="9"/>
      <color indexed="10"/>
      <name val="Arial"/>
      <family val="2"/>
    </font>
    <font>
      <b/>
      <sz val="8"/>
      <name val="Times New Roman"/>
      <family val="1"/>
    </font>
    <font>
      <b/>
      <sz val="11"/>
      <name val="Arial"/>
      <family val="2"/>
    </font>
    <font>
      <sz val="9.5"/>
      <name val="Arial Narrow"/>
      <family val="2"/>
    </font>
    <font>
      <b/>
      <sz val="7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8.5"/>
      <color indexed="8"/>
      <name val="Arial"/>
      <family val="2"/>
    </font>
    <font>
      <sz val="6"/>
      <name val="Arial"/>
      <family val="2"/>
    </font>
    <font>
      <sz val="10"/>
      <color indexed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i/>
      <sz val="8"/>
      <color indexed="12"/>
      <name val="Arial"/>
      <family val="2"/>
    </font>
    <font>
      <b/>
      <i/>
      <sz val="9"/>
      <name val="Arial"/>
      <family val="2"/>
    </font>
    <font>
      <b/>
      <i/>
      <sz val="7"/>
      <color indexed="12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u/>
      <sz val="10"/>
      <name val="Arial"/>
      <family val="2"/>
    </font>
    <font>
      <b/>
      <u/>
      <sz val="9"/>
      <name val="Arial"/>
      <family val="2"/>
    </font>
    <font>
      <sz val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b/>
      <sz val="8"/>
      <color rgb="FF0000FF"/>
      <name val="Arial"/>
      <family val="2"/>
    </font>
    <font>
      <sz val="8"/>
      <color theme="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8.5"/>
      <color rgb="FF0033CC"/>
      <name val="Arial"/>
      <family val="2"/>
    </font>
    <font>
      <b/>
      <sz val="8"/>
      <color rgb="FFFF0000"/>
      <name val="Arial"/>
      <family val="2"/>
    </font>
    <font>
      <sz val="8.5"/>
      <color rgb="FF0033CC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Times New Roman"/>
      <family val="1"/>
    </font>
    <font>
      <sz val="8.5"/>
      <color rgb="FFFF000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Times New Roman"/>
      <family val="1"/>
    </font>
    <font>
      <i/>
      <u/>
      <sz val="9"/>
      <color theme="1"/>
      <name val="Arial"/>
      <family val="2"/>
    </font>
    <font>
      <b/>
      <sz val="9"/>
      <color rgb="FF0000FF"/>
      <name val="Times New Roman"/>
      <family val="1"/>
    </font>
    <font>
      <sz val="8"/>
      <color theme="0"/>
      <name val="Arial"/>
      <family val="2"/>
    </font>
    <font>
      <sz val="10"/>
      <color rgb="FF0000FF"/>
      <name val="Arial"/>
      <family val="2"/>
    </font>
    <font>
      <b/>
      <sz val="10"/>
      <color rgb="FF00B0F0"/>
      <name val="Arial"/>
      <family val="2"/>
    </font>
    <font>
      <sz val="11"/>
      <color rgb="FFFF0000"/>
      <name val="Arial"/>
      <family val="2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7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Times New Roman"/>
      <family val="1"/>
    </font>
    <font>
      <sz val="9"/>
      <color rgb="FF00B050"/>
      <name val="Arial"/>
      <family val="2"/>
    </font>
    <font>
      <sz val="9"/>
      <name val="Times New Roman"/>
      <family val="1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</cellStyleXfs>
  <cellXfs count="1007">
    <xf numFmtId="0" fontId="0" fillId="0" borderId="0" xfId="0"/>
    <xf numFmtId="0" fontId="5" fillId="0" borderId="0" xfId="0" applyFont="1" applyProtection="1">
      <protection hidden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8" fillId="2" borderId="0" xfId="0" applyNumberFormat="1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hidden="1"/>
    </xf>
    <xf numFmtId="0" fontId="1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2" borderId="7" xfId="0" applyFont="1" applyFill="1" applyBorder="1" applyAlignment="1" applyProtection="1">
      <alignment horizontal="center" vertical="center"/>
      <protection hidden="1"/>
    </xf>
    <xf numFmtId="0" fontId="8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164" fontId="22" fillId="2" borderId="0" xfId="0" applyNumberFormat="1" applyFont="1" applyFill="1" applyAlignment="1">
      <alignment horizontal="center" vertical="center"/>
    </xf>
    <xf numFmtId="0" fontId="19" fillId="0" borderId="0" xfId="0" applyFont="1" applyProtection="1">
      <protection hidden="1"/>
    </xf>
    <xf numFmtId="0" fontId="12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165" fontId="12" fillId="2" borderId="1" xfId="0" applyNumberFormat="1" applyFont="1" applyFill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>
      <alignment horizontal="center" vertical="center"/>
    </xf>
    <xf numFmtId="1" fontId="12" fillId="2" borderId="8" xfId="0" quotePrefix="1" applyNumberFormat="1" applyFont="1" applyFill="1" applyBorder="1" applyAlignment="1">
      <alignment horizontal="center" vertical="center"/>
    </xf>
    <xf numFmtId="0" fontId="12" fillId="0" borderId="9" xfId="0" applyFont="1" applyBorder="1" applyProtection="1">
      <protection hidden="1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2" fillId="4" borderId="7" xfId="0" applyFont="1" applyFill="1" applyBorder="1" applyAlignment="1" applyProtection="1">
      <alignment horizontal="center"/>
      <protection hidden="1"/>
    </xf>
    <xf numFmtId="0" fontId="12" fillId="4" borderId="8" xfId="0" applyFont="1" applyFill="1" applyBorder="1" applyAlignment="1" applyProtection="1">
      <alignment horizontal="center"/>
      <protection hidden="1"/>
    </xf>
    <xf numFmtId="0" fontId="12" fillId="4" borderId="9" xfId="0" applyFont="1" applyFill="1" applyBorder="1" applyAlignment="1" applyProtection="1">
      <alignment horizontal="center"/>
      <protection hidden="1"/>
    </xf>
    <xf numFmtId="164" fontId="12" fillId="2" borderId="10" xfId="0" applyNumberFormat="1" applyFont="1" applyFill="1" applyBorder="1" applyAlignment="1">
      <alignment horizontal="center" vertical="center"/>
    </xf>
    <xf numFmtId="1" fontId="12" fillId="2" borderId="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9" fillId="2" borderId="6" xfId="0" applyNumberFormat="1" applyFont="1" applyFill="1" applyBorder="1" applyAlignment="1">
      <alignment horizontal="center" vertical="center"/>
    </xf>
    <xf numFmtId="1" fontId="19" fillId="2" borderId="6" xfId="0" quotePrefix="1" applyNumberFormat="1" applyFont="1" applyFill="1" applyBorder="1" applyAlignment="1">
      <alignment horizontal="center" vertical="center"/>
    </xf>
    <xf numFmtId="0" fontId="19" fillId="0" borderId="6" xfId="0" applyFont="1" applyBorder="1" applyProtection="1">
      <protection hidden="1"/>
    </xf>
    <xf numFmtId="164" fontId="19" fillId="2" borderId="0" xfId="0" applyNumberFormat="1" applyFont="1" applyFill="1" applyAlignment="1">
      <alignment horizontal="center" vertical="center"/>
    </xf>
    <xf numFmtId="1" fontId="19" fillId="2" borderId="0" xfId="0" quotePrefix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vertical="center"/>
      <protection hidden="1"/>
    </xf>
    <xf numFmtId="0" fontId="12" fillId="2" borderId="6" xfId="0" applyFont="1" applyFill="1" applyBorder="1" applyAlignment="1" applyProtection="1">
      <alignment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>
      <alignment horizontal="center" vertical="center"/>
    </xf>
    <xf numFmtId="12" fontId="12" fillId="2" borderId="1" xfId="0" applyNumberFormat="1" applyFont="1" applyFill="1" applyBorder="1" applyAlignment="1" applyProtection="1">
      <alignment horizontal="center" vertical="center"/>
      <protection hidden="1"/>
    </xf>
    <xf numFmtId="12" fontId="5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1" xfId="0" applyNumberFormat="1" applyFont="1" applyFill="1" applyBorder="1" applyAlignment="1">
      <alignment horizontal="center" vertical="center"/>
    </xf>
    <xf numFmtId="12" fontId="12" fillId="0" borderId="0" xfId="0" applyNumberFormat="1" applyFont="1" applyProtection="1">
      <protection hidden="1"/>
    </xf>
    <xf numFmtId="2" fontId="5" fillId="2" borderId="1" xfId="0" applyNumberFormat="1" applyFont="1" applyFill="1" applyBorder="1" applyAlignment="1" applyProtection="1">
      <alignment horizontal="center" vertical="center"/>
      <protection hidden="1"/>
    </xf>
    <xf numFmtId="12" fontId="12" fillId="0" borderId="1" xfId="0" applyNumberFormat="1" applyFont="1" applyBorder="1" applyAlignment="1" applyProtection="1">
      <alignment horizontal="center"/>
      <protection hidden="1"/>
    </xf>
    <xf numFmtId="2" fontId="12" fillId="2" borderId="1" xfId="0" applyNumberFormat="1" applyFont="1" applyFill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2" fontId="19" fillId="0" borderId="0" xfId="0" applyNumberFormat="1" applyFont="1" applyAlignment="1" applyProtection="1">
      <alignment horizontal="center"/>
      <protection hidden="1"/>
    </xf>
    <xf numFmtId="12" fontId="4" fillId="0" borderId="0" xfId="0" applyNumberFormat="1" applyFont="1" applyAlignment="1" applyProtection="1">
      <alignment horizontal="center"/>
      <protection hidden="1"/>
    </xf>
    <xf numFmtId="12" fontId="13" fillId="0" borderId="0" xfId="0" applyNumberFormat="1" applyFont="1" applyAlignment="1" applyProtection="1">
      <alignment horizontal="center"/>
      <protection hidden="1"/>
    </xf>
    <xf numFmtId="12" fontId="23" fillId="0" borderId="0" xfId="0" applyNumberFormat="1" applyFont="1" applyAlignment="1" applyProtection="1">
      <alignment horizontal="center"/>
      <protection hidden="1"/>
    </xf>
    <xf numFmtId="12" fontId="8" fillId="2" borderId="7" xfId="0" applyNumberFormat="1" applyFont="1" applyFill="1" applyBorder="1" applyAlignment="1" applyProtection="1">
      <alignment horizontal="center" vertical="center"/>
      <protection hidden="1"/>
    </xf>
    <xf numFmtId="12" fontId="8" fillId="2" borderId="1" xfId="0" applyNumberFormat="1" applyFont="1" applyFill="1" applyBorder="1" applyAlignment="1" applyProtection="1">
      <alignment horizontal="center" vertical="center"/>
      <protection hidden="1"/>
    </xf>
    <xf numFmtId="0" fontId="51" fillId="5" borderId="1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12" fontId="50" fillId="2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Protection="1">
      <protection hidden="1"/>
    </xf>
    <xf numFmtId="0" fontId="52" fillId="6" borderId="1" xfId="2" applyFont="1" applyFill="1" applyBorder="1" applyAlignment="1">
      <alignment vertical="center"/>
    </xf>
    <xf numFmtId="12" fontId="53" fillId="2" borderId="1" xfId="0" applyNumberFormat="1" applyFont="1" applyFill="1" applyBorder="1" applyAlignment="1" applyProtection="1">
      <alignment horizontal="center" vertical="center"/>
      <protection hidden="1"/>
    </xf>
    <xf numFmtId="0" fontId="53" fillId="0" borderId="0" xfId="0" applyFont="1" applyProtection="1">
      <protection hidden="1"/>
    </xf>
    <xf numFmtId="0" fontId="54" fillId="7" borderId="0" xfId="0" applyFont="1" applyFill="1"/>
    <xf numFmtId="0" fontId="54" fillId="7" borderId="1" xfId="0" applyFont="1" applyFill="1" applyBorder="1"/>
    <xf numFmtId="0" fontId="54" fillId="7" borderId="0" xfId="0" applyFont="1" applyFill="1" applyAlignment="1">
      <alignment horizontal="center"/>
    </xf>
    <xf numFmtId="0" fontId="0" fillId="7" borderId="0" xfId="0" applyFill="1" applyProtection="1">
      <protection hidden="1"/>
    </xf>
    <xf numFmtId="0" fontId="0" fillId="0" borderId="0" xfId="0" applyProtection="1">
      <protection hidden="1"/>
    </xf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 vertical="center" wrapText="1"/>
    </xf>
    <xf numFmtId="0" fontId="0" fillId="0" borderId="12" xfId="0" applyBorder="1" applyProtection="1">
      <protection hidden="1"/>
    </xf>
    <xf numFmtId="0" fontId="8" fillId="7" borderId="0" xfId="0" applyFont="1" applyFill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28" fillId="0" borderId="13" xfId="0" applyFont="1" applyBorder="1" applyAlignment="1" applyProtection="1">
      <alignment horizontal="center" vertical="center"/>
      <protection hidden="1"/>
    </xf>
    <xf numFmtId="165" fontId="28" fillId="0" borderId="14" xfId="0" applyNumberFormat="1" applyFont="1" applyBorder="1" applyAlignment="1" applyProtection="1">
      <alignment horizontal="center" vertical="center"/>
      <protection hidden="1"/>
    </xf>
    <xf numFmtId="164" fontId="28" fillId="0" borderId="15" xfId="0" applyNumberFormat="1" applyFont="1" applyBorder="1" applyAlignment="1" applyProtection="1">
      <alignment horizontal="center" vertical="center"/>
      <protection hidden="1"/>
    </xf>
    <xf numFmtId="164" fontId="28" fillId="0" borderId="16" xfId="0" applyNumberFormat="1" applyFont="1" applyBorder="1" applyAlignment="1" applyProtection="1">
      <alignment horizontal="center" vertical="center"/>
      <protection hidden="1"/>
    </xf>
    <xf numFmtId="164" fontId="55" fillId="0" borderId="14" xfId="0" applyNumberFormat="1" applyFont="1" applyBorder="1" applyAlignment="1" applyProtection="1">
      <alignment horizontal="center" vertical="center"/>
      <protection hidden="1"/>
    </xf>
    <xf numFmtId="164" fontId="27" fillId="0" borderId="15" xfId="0" applyNumberFormat="1" applyFont="1" applyBorder="1" applyAlignment="1" applyProtection="1">
      <alignment horizontal="center" vertical="center"/>
      <protection hidden="1"/>
    </xf>
    <xf numFmtId="165" fontId="20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0" fontId="8" fillId="7" borderId="17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165" fontId="8" fillId="0" borderId="0" xfId="0" applyNumberFormat="1" applyFont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13" fillId="3" borderId="0" xfId="0" applyFont="1" applyFill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56" fillId="6" borderId="0" xfId="0" applyFont="1" applyFill="1" applyProtection="1">
      <protection hidden="1"/>
    </xf>
    <xf numFmtId="164" fontId="32" fillId="0" borderId="0" xfId="0" applyNumberFormat="1" applyFont="1" applyProtection="1">
      <protection hidden="1"/>
    </xf>
    <xf numFmtId="0" fontId="0" fillId="0" borderId="4" xfId="0" applyBorder="1" applyProtection="1">
      <protection hidden="1"/>
    </xf>
    <xf numFmtId="0" fontId="8" fillId="7" borderId="19" xfId="0" applyFont="1" applyFill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20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165" fontId="8" fillId="0" borderId="0" xfId="0" applyNumberFormat="1" applyFo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33" fillId="0" borderId="0" xfId="0" applyFont="1" applyAlignment="1" applyProtection="1">
      <alignment horizontal="center"/>
      <protection hidden="1"/>
    </xf>
    <xf numFmtId="164" fontId="33" fillId="0" borderId="0" xfId="0" applyNumberFormat="1" applyFont="1" applyAlignment="1" applyProtection="1">
      <alignment horizontal="center"/>
      <protection hidden="1"/>
    </xf>
    <xf numFmtId="165" fontId="8" fillId="7" borderId="0" xfId="0" applyNumberFormat="1" applyFont="1" applyFill="1" applyProtection="1">
      <protection hidden="1"/>
    </xf>
    <xf numFmtId="164" fontId="8" fillId="0" borderId="0" xfId="0" applyNumberFormat="1" applyFont="1" applyProtection="1">
      <protection hidden="1"/>
    </xf>
    <xf numFmtId="164" fontId="8" fillId="0" borderId="0" xfId="0" applyNumberFormat="1" applyFont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12" fillId="7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0" fontId="36" fillId="2" borderId="0" xfId="0" applyFont="1" applyFill="1" applyProtection="1">
      <protection hidden="1"/>
    </xf>
    <xf numFmtId="0" fontId="37" fillId="2" borderId="0" xfId="0" applyFont="1" applyFill="1" applyProtection="1">
      <protection hidden="1"/>
    </xf>
    <xf numFmtId="0" fontId="38" fillId="7" borderId="0" xfId="0" applyFont="1" applyFill="1" applyProtection="1">
      <protection hidden="1"/>
    </xf>
    <xf numFmtId="0" fontId="38" fillId="0" borderId="0" xfId="0" applyFont="1" applyProtection="1">
      <protection hidden="1"/>
    </xf>
    <xf numFmtId="0" fontId="34" fillId="0" borderId="0" xfId="0" applyFont="1" applyProtection="1">
      <protection hidden="1"/>
    </xf>
    <xf numFmtId="49" fontId="0" fillId="2" borderId="0" xfId="0" applyNumberFormat="1" applyFill="1" applyProtection="1">
      <protection hidden="1"/>
    </xf>
    <xf numFmtId="49" fontId="2" fillId="2" borderId="0" xfId="0" applyNumberFormat="1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centerContinuous"/>
      <protection hidden="1"/>
    </xf>
    <xf numFmtId="0" fontId="27" fillId="0" borderId="4" xfId="0" applyFont="1" applyBorder="1" applyAlignment="1" applyProtection="1">
      <alignment vertical="center"/>
      <protection hidden="1"/>
    </xf>
    <xf numFmtId="0" fontId="27" fillId="0" borderId="22" xfId="0" applyFont="1" applyBorder="1" applyAlignment="1" applyProtection="1">
      <alignment vertical="center"/>
      <protection hidden="1"/>
    </xf>
    <xf numFmtId="0" fontId="8" fillId="0" borderId="23" xfId="0" applyFont="1" applyBorder="1" applyProtection="1"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8" fillId="0" borderId="4" xfId="0" applyFont="1" applyBorder="1" applyProtection="1">
      <protection hidden="1"/>
    </xf>
    <xf numFmtId="2" fontId="27" fillId="0" borderId="22" xfId="0" applyNumberFormat="1" applyFont="1" applyBorder="1" applyAlignment="1" applyProtection="1">
      <alignment vertical="center"/>
      <protection hidden="1"/>
    </xf>
    <xf numFmtId="0" fontId="8" fillId="0" borderId="22" xfId="0" applyFont="1" applyBorder="1" applyProtection="1">
      <protection hidden="1"/>
    </xf>
    <xf numFmtId="0" fontId="30" fillId="0" borderId="0" xfId="0" applyFont="1" applyAlignment="1" applyProtection="1">
      <alignment horizontal="center" vertical="center"/>
      <protection hidden="1"/>
    </xf>
    <xf numFmtId="164" fontId="55" fillId="0" borderId="22" xfId="0" applyNumberFormat="1" applyFont="1" applyBorder="1" applyAlignment="1" applyProtection="1">
      <alignment vertical="center"/>
      <protection hidden="1"/>
    </xf>
    <xf numFmtId="0" fontId="28" fillId="0" borderId="24" xfId="0" applyFont="1" applyBorder="1" applyAlignment="1" applyProtection="1">
      <alignment horizontal="center" vertical="center"/>
      <protection hidden="1"/>
    </xf>
    <xf numFmtId="164" fontId="28" fillId="0" borderId="25" xfId="0" applyNumberFormat="1" applyFont="1" applyBorder="1" applyAlignment="1" applyProtection="1">
      <alignment horizontal="center" vertical="center"/>
      <protection hidden="1"/>
    </xf>
    <xf numFmtId="164" fontId="28" fillId="0" borderId="26" xfId="0" applyNumberFormat="1" applyFont="1" applyBorder="1" applyAlignment="1" applyProtection="1">
      <alignment horizontal="center" vertical="center"/>
      <protection hidden="1"/>
    </xf>
    <xf numFmtId="164" fontId="57" fillId="0" borderId="27" xfId="0" applyNumberFormat="1" applyFont="1" applyBorder="1" applyAlignment="1" applyProtection="1">
      <alignment horizontal="center" vertical="center"/>
      <protection hidden="1"/>
    </xf>
    <xf numFmtId="2" fontId="27" fillId="0" borderId="0" xfId="0" applyNumberFormat="1" applyFont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28" fillId="0" borderId="28" xfId="0" applyFont="1" applyBorder="1" applyAlignment="1" applyProtection="1">
      <alignment horizontal="center" vertical="center"/>
      <protection hidden="1"/>
    </xf>
    <xf numFmtId="164" fontId="28" fillId="0" borderId="13" xfId="0" applyNumberFormat="1" applyFont="1" applyBorder="1" applyAlignment="1" applyProtection="1">
      <alignment horizontal="center" vertical="center"/>
      <protection hidden="1"/>
    </xf>
    <xf numFmtId="164" fontId="28" fillId="0" borderId="24" xfId="0" applyNumberFormat="1" applyFont="1" applyBorder="1" applyAlignment="1" applyProtection="1">
      <alignment horizontal="center" vertical="center"/>
      <protection hidden="1"/>
    </xf>
    <xf numFmtId="0" fontId="55" fillId="0" borderId="4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8" fillId="0" borderId="1" xfId="0" applyFont="1" applyBorder="1" applyProtection="1">
      <protection hidden="1"/>
    </xf>
    <xf numFmtId="164" fontId="28" fillId="0" borderId="1" xfId="0" applyNumberFormat="1" applyFont="1" applyBorder="1" applyAlignment="1" applyProtection="1">
      <alignment horizontal="center" vertic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165" fontId="28" fillId="0" borderId="29" xfId="0" applyNumberFormat="1" applyFont="1" applyBorder="1" applyAlignment="1" applyProtection="1">
      <alignment horizontal="center" vertical="center"/>
      <protection hidden="1"/>
    </xf>
    <xf numFmtId="0" fontId="28" fillId="0" borderId="30" xfId="0" applyFont="1" applyBorder="1" applyAlignment="1" applyProtection="1">
      <alignment horizontal="center" vertical="center"/>
      <protection hidden="1"/>
    </xf>
    <xf numFmtId="164" fontId="55" fillId="0" borderId="29" xfId="0" applyNumberFormat="1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8" fillId="0" borderId="9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8" fillId="2" borderId="1" xfId="2" applyNumberFormat="1" applyFont="1" applyFill="1" applyBorder="1" applyAlignment="1">
      <alignment vertical="center"/>
    </xf>
    <xf numFmtId="1" fontId="8" fillId="2" borderId="1" xfId="2" applyNumberFormat="1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28" fillId="0" borderId="27" xfId="0" applyFont="1" applyBorder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165" fontId="8" fillId="0" borderId="1" xfId="0" applyNumberFormat="1" applyFont="1" applyBorder="1" applyAlignment="1" applyProtection="1">
      <alignment horizontal="center" vertical="center"/>
      <protection hidden="1"/>
    </xf>
    <xf numFmtId="164" fontId="13" fillId="0" borderId="7" xfId="0" applyNumberFormat="1" applyFont="1" applyBorder="1" applyAlignment="1">
      <alignment horizontal="center" vertical="center"/>
    </xf>
    <xf numFmtId="1" fontId="13" fillId="0" borderId="8" xfId="0" quotePrefix="1" applyNumberFormat="1" applyFont="1" applyBorder="1" applyAlignment="1">
      <alignment horizontal="center" vertical="center"/>
    </xf>
    <xf numFmtId="0" fontId="13" fillId="0" borderId="9" xfId="0" applyFont="1" applyBorder="1" applyProtection="1">
      <protection hidden="1"/>
    </xf>
    <xf numFmtId="164" fontId="13" fillId="0" borderId="10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5" xfId="11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17" fontId="8" fillId="0" borderId="6" xfId="0" applyNumberFormat="1" applyFont="1" applyBorder="1" applyAlignment="1">
      <alignment vertical="center"/>
    </xf>
    <xf numFmtId="0" fontId="7" fillId="0" borderId="6" xfId="0" applyFont="1" applyBorder="1" applyProtection="1">
      <protection hidden="1"/>
    </xf>
    <xf numFmtId="0" fontId="7" fillId="0" borderId="31" xfId="0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14" fillId="0" borderId="0" xfId="0" applyFont="1" applyProtection="1">
      <protection hidden="1"/>
    </xf>
    <xf numFmtId="0" fontId="7" fillId="0" borderId="0" xfId="0" applyFont="1" applyAlignment="1">
      <alignment horizontal="center" vertical="center"/>
    </xf>
    <xf numFmtId="0" fontId="5" fillId="0" borderId="12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8" fillId="0" borderId="6" xfId="0" applyFont="1" applyBorder="1" applyProtection="1">
      <protection hidden="1"/>
    </xf>
    <xf numFmtId="0" fontId="13" fillId="0" borderId="31" xfId="0" applyFont="1" applyBorder="1" applyAlignment="1" applyProtection="1">
      <alignment horizontal="center" vertical="center"/>
      <protection hidden="1"/>
    </xf>
    <xf numFmtId="2" fontId="17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50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" fontId="13" fillId="0" borderId="0" xfId="0" quotePrefix="1" applyNumberFormat="1" applyFont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hidden="1"/>
    </xf>
    <xf numFmtId="164" fontId="8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8" fillId="0" borderId="31" xfId="0" applyFont="1" applyBorder="1" applyProtection="1">
      <protection hidden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8" fillId="0" borderId="12" xfId="0" applyFont="1" applyBorder="1" applyProtection="1">
      <protection hidden="1"/>
    </xf>
    <xf numFmtId="0" fontId="8" fillId="0" borderId="11" xfId="0" applyFont="1" applyBorder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2" fontId="8" fillId="0" borderId="0" xfId="0" applyNumberFormat="1" applyFont="1" applyAlignment="1">
      <alignment vertical="center"/>
    </xf>
    <xf numFmtId="10" fontId="8" fillId="0" borderId="2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11" applyFont="1" applyAlignment="1">
      <alignment horizontal="center" vertical="center"/>
    </xf>
    <xf numFmtId="0" fontId="13" fillId="0" borderId="0" xfId="0" applyFont="1"/>
    <xf numFmtId="0" fontId="25" fillId="0" borderId="0" xfId="6" applyFont="1" applyAlignment="1">
      <alignment vertical="center"/>
    </xf>
    <xf numFmtId="0" fontId="25" fillId="0" borderId="0" xfId="3" applyFont="1" applyAlignment="1">
      <alignment vertical="center"/>
    </xf>
    <xf numFmtId="169" fontId="25" fillId="0" borderId="0" xfId="0" applyNumberFormat="1" applyFont="1"/>
    <xf numFmtId="0" fontId="26" fillId="0" borderId="12" xfId="0" applyFont="1" applyBorder="1" applyProtection="1">
      <protection hidden="1"/>
    </xf>
    <xf numFmtId="0" fontId="26" fillId="0" borderId="12" xfId="0" applyFont="1" applyBorder="1" applyAlignment="1">
      <alignment vertical="center"/>
    </xf>
    <xf numFmtId="0" fontId="26" fillId="0" borderId="12" xfId="11" applyFont="1" applyBorder="1" applyAlignment="1">
      <alignment vertical="center"/>
    </xf>
    <xf numFmtId="0" fontId="26" fillId="0" borderId="0" xfId="0" applyFont="1" applyProtection="1">
      <protection hidden="1"/>
    </xf>
    <xf numFmtId="0" fontId="0" fillId="0" borderId="22" xfId="0" applyBorder="1" applyProtection="1">
      <protection hidden="1"/>
    </xf>
    <xf numFmtId="0" fontId="27" fillId="0" borderId="22" xfId="0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2" fontId="6" fillId="7" borderId="5" xfId="0" applyNumberFormat="1" applyFont="1" applyFill="1" applyBorder="1" applyAlignment="1" applyProtection="1">
      <alignment horizontal="left" vertical="center"/>
      <protection hidden="1"/>
    </xf>
    <xf numFmtId="0" fontId="6" fillId="7" borderId="6" xfId="0" applyFont="1" applyFill="1" applyBorder="1" applyAlignment="1" applyProtection="1">
      <alignment horizontal="center"/>
      <protection hidden="1"/>
    </xf>
    <xf numFmtId="0" fontId="1" fillId="7" borderId="6" xfId="0" applyFont="1" applyFill="1" applyBorder="1" applyProtection="1">
      <protection hidden="1"/>
    </xf>
    <xf numFmtId="0" fontId="1" fillId="7" borderId="5" xfId="0" applyFont="1" applyFill="1" applyBorder="1" applyProtection="1">
      <protection hidden="1"/>
    </xf>
    <xf numFmtId="0" fontId="1" fillId="7" borderId="31" xfId="0" applyFont="1" applyFill="1" applyBorder="1" applyProtection="1">
      <protection hidden="1"/>
    </xf>
    <xf numFmtId="0" fontId="0" fillId="7" borderId="6" xfId="0" applyFill="1" applyBorder="1"/>
    <xf numFmtId="0" fontId="0" fillId="7" borderId="31" xfId="0" applyFill="1" applyBorder="1"/>
    <xf numFmtId="2" fontId="6" fillId="7" borderId="4" xfId="0" applyNumberFormat="1" applyFont="1" applyFill="1" applyBorder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vertical="center"/>
      <protection hidden="1"/>
    </xf>
    <xf numFmtId="0" fontId="1" fillId="7" borderId="0" xfId="0" applyFont="1" applyFill="1" applyProtection="1">
      <protection hidden="1"/>
    </xf>
    <xf numFmtId="0" fontId="1" fillId="7" borderId="22" xfId="0" applyFont="1" applyFill="1" applyBorder="1" applyProtection="1">
      <protection hidden="1"/>
    </xf>
    <xf numFmtId="0" fontId="0" fillId="7" borderId="0" xfId="0" applyFill="1"/>
    <xf numFmtId="0" fontId="0" fillId="7" borderId="22" xfId="0" applyFill="1" applyBorder="1"/>
    <xf numFmtId="0" fontId="58" fillId="7" borderId="4" xfId="0" applyFont="1" applyFill="1" applyBorder="1" applyAlignment="1" applyProtection="1">
      <alignment vertical="center"/>
      <protection hidden="1"/>
    </xf>
    <xf numFmtId="11" fontId="59" fillId="7" borderId="7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Font="1" applyFill="1" applyBorder="1" applyProtection="1">
      <protection hidden="1"/>
    </xf>
    <xf numFmtId="0" fontId="6" fillId="7" borderId="10" xfId="0" applyFont="1" applyFill="1" applyBorder="1" applyAlignment="1" applyProtection="1">
      <alignment horizontal="left" vertical="center"/>
      <protection hidden="1"/>
    </xf>
    <xf numFmtId="0" fontId="1" fillId="7" borderId="12" xfId="0" applyFont="1" applyFill="1" applyBorder="1" applyProtection="1">
      <protection hidden="1"/>
    </xf>
    <xf numFmtId="0" fontId="1" fillId="7" borderId="11" xfId="0" applyFont="1" applyFill="1" applyBorder="1" applyProtection="1">
      <protection hidden="1"/>
    </xf>
    <xf numFmtId="0" fontId="0" fillId="7" borderId="12" xfId="0" applyFill="1" applyBorder="1"/>
    <xf numFmtId="0" fontId="0" fillId="7" borderId="11" xfId="0" applyFill="1" applyBorder="1"/>
    <xf numFmtId="0" fontId="13" fillId="2" borderId="8" xfId="0" applyFont="1" applyFill="1" applyBorder="1" applyAlignment="1">
      <alignment horizontal="center" vertical="center"/>
    </xf>
    <xf numFmtId="0" fontId="13" fillId="0" borderId="0" xfId="11" applyFont="1" applyAlignment="1">
      <alignment vertical="center"/>
    </xf>
    <xf numFmtId="0" fontId="39" fillId="0" borderId="12" xfId="0" applyFont="1" applyBorder="1" applyProtection="1">
      <protection hidden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3" fillId="0" borderId="0" xfId="11" applyFont="1" applyAlignment="1">
      <alignment horizontal="right" vertical="center"/>
    </xf>
    <xf numFmtId="0" fontId="8" fillId="0" borderId="4" xfId="11" applyFont="1" applyBorder="1" applyAlignment="1">
      <alignment vertical="center"/>
    </xf>
    <xf numFmtId="0" fontId="8" fillId="0" borderId="0" xfId="11" applyFont="1" applyAlignment="1">
      <alignment horizontal="center" vertical="center"/>
    </xf>
    <xf numFmtId="0" fontId="8" fillId="0" borderId="10" xfId="11" applyFont="1" applyBorder="1" applyAlignment="1">
      <alignment vertical="center"/>
    </xf>
    <xf numFmtId="0" fontId="8" fillId="0" borderId="12" xfId="1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0" xfId="11" applyFont="1" applyAlignment="1">
      <alignment horizontal="right" vertical="center"/>
    </xf>
    <xf numFmtId="170" fontId="8" fillId="0" borderId="22" xfId="0" applyNumberFormat="1" applyFont="1" applyBorder="1" applyAlignment="1" applyProtection="1">
      <alignment horizontal="left" vertical="center"/>
      <protection hidden="1"/>
    </xf>
    <xf numFmtId="166" fontId="8" fillId="0" borderId="22" xfId="0" applyNumberFormat="1" applyFont="1" applyBorder="1" applyAlignment="1" applyProtection="1">
      <alignment horizontal="left" vertical="center"/>
      <protection hidden="1"/>
    </xf>
    <xf numFmtId="0" fontId="13" fillId="0" borderId="8" xfId="0" applyFont="1" applyBorder="1" applyAlignment="1">
      <alignment horizontal="center" vertical="center"/>
    </xf>
    <xf numFmtId="164" fontId="60" fillId="0" borderId="1" xfId="0" applyNumberFormat="1" applyFont="1" applyBorder="1" applyAlignment="1" applyProtection="1">
      <alignment horizontal="center" vertical="center"/>
      <protection hidden="1"/>
    </xf>
    <xf numFmtId="0" fontId="61" fillId="0" borderId="0" xfId="3" applyFont="1" applyAlignment="1" applyProtection="1">
      <alignment horizontal="left" vertical="center"/>
      <protection hidden="1"/>
    </xf>
    <xf numFmtId="0" fontId="40" fillId="0" borderId="0" xfId="0" applyFont="1"/>
    <xf numFmtId="0" fontId="8" fillId="0" borderId="0" xfId="0" applyFont="1" applyAlignment="1">
      <alignment vertical="center" wrapText="1"/>
    </xf>
    <xf numFmtId="164" fontId="60" fillId="2" borderId="1" xfId="0" applyNumberFormat="1" applyFont="1" applyFill="1" applyBorder="1" applyAlignment="1" applyProtection="1">
      <alignment horizontal="center" vertical="center"/>
      <protection hidden="1"/>
    </xf>
    <xf numFmtId="164" fontId="28" fillId="0" borderId="32" xfId="0" applyNumberFormat="1" applyFont="1" applyBorder="1" applyAlignment="1" applyProtection="1">
      <alignment horizontal="center" vertical="center"/>
      <protection hidden="1"/>
    </xf>
    <xf numFmtId="1" fontId="28" fillId="0" borderId="16" xfId="0" applyNumberFormat="1" applyFont="1" applyBorder="1" applyAlignment="1" applyProtection="1">
      <alignment horizontal="center" vertical="center"/>
      <protection hidden="1"/>
    </xf>
    <xf numFmtId="164" fontId="62" fillId="0" borderId="1" xfId="0" applyNumberFormat="1" applyFont="1" applyBorder="1" applyAlignment="1" applyProtection="1">
      <alignment horizontal="center" vertical="center"/>
      <protection hidden="1"/>
    </xf>
    <xf numFmtId="1" fontId="8" fillId="0" borderId="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28" fillId="0" borderId="13" xfId="0" applyNumberFormat="1" applyFont="1" applyBorder="1" applyAlignment="1" applyProtection="1">
      <alignment horizontal="center" vertical="center"/>
      <protection hidden="1"/>
    </xf>
    <xf numFmtId="1" fontId="55" fillId="0" borderId="14" xfId="0" applyNumberFormat="1" applyFont="1" applyBorder="1" applyAlignment="1" applyProtection="1">
      <alignment horizontal="center" vertical="center"/>
      <protection hidden="1"/>
    </xf>
    <xf numFmtId="166" fontId="8" fillId="0" borderId="0" xfId="0" applyNumberFormat="1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63" fillId="0" borderId="0" xfId="3" applyFont="1" applyAlignment="1" applyProtection="1">
      <alignment horizontal="left" vertical="center"/>
      <protection hidden="1"/>
    </xf>
    <xf numFmtId="0" fontId="12" fillId="0" borderId="0" xfId="0" applyFont="1"/>
    <xf numFmtId="0" fontId="64" fillId="0" borderId="0" xfId="3" applyFont="1" applyAlignment="1">
      <alignment horizontal="right" vertical="center"/>
    </xf>
    <xf numFmtId="0" fontId="64" fillId="0" borderId="0" xfId="3" applyFont="1" applyAlignment="1">
      <alignment horizontal="center" vertical="center"/>
    </xf>
    <xf numFmtId="0" fontId="5" fillId="0" borderId="0" xfId="2" applyFont="1" applyProtection="1">
      <protection locked="0"/>
    </xf>
    <xf numFmtId="2" fontId="6" fillId="7" borderId="0" xfId="0" applyNumberFormat="1" applyFont="1" applyFill="1" applyAlignment="1" applyProtection="1">
      <alignment horizontal="left" vertical="center"/>
      <protection locked="0"/>
    </xf>
    <xf numFmtId="0" fontId="8" fillId="2" borderId="0" xfId="2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7" fillId="0" borderId="0" xfId="2" applyFont="1" applyProtection="1">
      <protection locked="0"/>
    </xf>
    <xf numFmtId="0" fontId="13" fillId="0" borderId="0" xfId="1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17" fontId="8" fillId="0" borderId="0" xfId="2" applyNumberFormat="1" applyFont="1" applyAlignment="1" applyProtection="1">
      <alignment vertical="center"/>
      <protection locked="0"/>
    </xf>
    <xf numFmtId="0" fontId="8" fillId="0" borderId="0" xfId="11" applyFont="1" applyAlignment="1" applyProtection="1">
      <alignment horizontal="center" vertical="center"/>
      <protection locked="0"/>
    </xf>
    <xf numFmtId="0" fontId="14" fillId="0" borderId="0" xfId="2" applyFont="1" applyProtection="1">
      <protection locked="0"/>
    </xf>
    <xf numFmtId="0" fontId="8" fillId="0" borderId="0" xfId="2" applyFont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5" fillId="0" borderId="12" xfId="2" applyFont="1" applyBorder="1" applyProtection="1">
      <protection locked="0"/>
    </xf>
    <xf numFmtId="166" fontId="8" fillId="0" borderId="11" xfId="0" applyNumberFormat="1" applyFont="1" applyBorder="1" applyAlignment="1" applyProtection="1">
      <alignment horizontal="left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" fontId="7" fillId="0" borderId="0" xfId="2" applyNumberFormat="1" applyFont="1" applyAlignment="1" applyProtection="1">
      <alignment horizontal="center" vertical="center" wrapText="1"/>
      <protection locked="0"/>
    </xf>
    <xf numFmtId="10" fontId="7" fillId="0" borderId="0" xfId="2" applyNumberFormat="1" applyFont="1" applyAlignment="1" applyProtection="1">
      <alignment horizontal="center" vertical="center" wrapText="1"/>
      <protection locked="0"/>
    </xf>
    <xf numFmtId="0" fontId="65" fillId="0" borderId="0" xfId="2" applyFont="1" applyProtection="1">
      <protection locked="0"/>
    </xf>
    <xf numFmtId="0" fontId="2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vertical="center"/>
    </xf>
    <xf numFmtId="0" fontId="5" fillId="0" borderId="0" xfId="0" applyFont="1"/>
    <xf numFmtId="0" fontId="15" fillId="0" borderId="5" xfId="11" applyFont="1" applyBorder="1" applyAlignment="1">
      <alignment vertical="center"/>
    </xf>
    <xf numFmtId="0" fontId="15" fillId="0" borderId="6" xfId="11" applyFont="1" applyBorder="1" applyAlignment="1">
      <alignment vertical="center"/>
    </xf>
    <xf numFmtId="0" fontId="8" fillId="0" borderId="6" xfId="2" applyFont="1" applyBorder="1" applyAlignment="1">
      <alignment horizontal="left" vertical="center" wrapText="1"/>
    </xf>
    <xf numFmtId="0" fontId="13" fillId="0" borderId="6" xfId="11" applyFont="1" applyBorder="1" applyAlignment="1">
      <alignment horizontal="right" vertical="center"/>
    </xf>
    <xf numFmtId="0" fontId="13" fillId="0" borderId="6" xfId="11" applyFont="1" applyBorder="1" applyAlignment="1">
      <alignment horizontal="center" vertical="center"/>
    </xf>
    <xf numFmtId="17" fontId="8" fillId="0" borderId="31" xfId="2" applyNumberFormat="1" applyFont="1" applyBorder="1" applyAlignment="1">
      <alignment vertical="center"/>
    </xf>
    <xf numFmtId="0" fontId="15" fillId="0" borderId="4" xfId="11" applyFont="1" applyBorder="1" applyAlignment="1">
      <alignment vertical="center"/>
    </xf>
    <xf numFmtId="0" fontId="15" fillId="0" borderId="0" xfId="11" applyFont="1" applyAlignment="1">
      <alignment vertical="center"/>
    </xf>
    <xf numFmtId="0" fontId="15" fillId="0" borderId="0" xfId="11" applyFont="1" applyAlignment="1">
      <alignment vertical="center" wrapText="1"/>
    </xf>
    <xf numFmtId="170" fontId="8" fillId="0" borderId="22" xfId="0" applyNumberFormat="1" applyFont="1" applyBorder="1" applyAlignment="1">
      <alignment horizontal="left" vertical="center"/>
    </xf>
    <xf numFmtId="0" fontId="13" fillId="0" borderId="4" xfId="11" applyFont="1" applyBorder="1" applyAlignment="1">
      <alignment vertical="center"/>
    </xf>
    <xf numFmtId="0" fontId="13" fillId="0" borderId="10" xfId="11" applyFont="1" applyBorder="1" applyAlignment="1">
      <alignment horizontal="left" vertical="center"/>
    </xf>
    <xf numFmtId="0" fontId="5" fillId="0" borderId="12" xfId="2" applyFont="1" applyBorder="1"/>
    <xf numFmtId="0" fontId="19" fillId="0" borderId="5" xfId="2" applyFont="1" applyBorder="1" applyAlignment="1">
      <alignment vertical="center" wrapText="1"/>
    </xf>
    <xf numFmtId="0" fontId="19" fillId="0" borderId="6" xfId="2" applyFont="1" applyBorder="1" applyAlignment="1">
      <alignment vertical="center" wrapText="1"/>
    </xf>
    <xf numFmtId="0" fontId="19" fillId="0" borderId="31" xfId="2" applyFont="1" applyBorder="1" applyAlignment="1">
      <alignment vertical="center" wrapText="1"/>
    </xf>
    <xf numFmtId="0" fontId="19" fillId="0" borderId="4" xfId="2" applyFont="1" applyBorder="1" applyAlignment="1">
      <alignment vertical="center" wrapText="1"/>
    </xf>
    <xf numFmtId="0" fontId="19" fillId="0" borderId="22" xfId="2" applyFont="1" applyBorder="1" applyAlignment="1">
      <alignment vertical="center" wrapText="1"/>
    </xf>
    <xf numFmtId="164" fontId="8" fillId="0" borderId="22" xfId="0" applyNumberFormat="1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0" fontId="19" fillId="0" borderId="0" xfId="2" applyFont="1" applyAlignment="1">
      <alignment vertical="center" wrapText="1"/>
    </xf>
    <xf numFmtId="0" fontId="5" fillId="0" borderId="4" xfId="2" applyFont="1" applyBorder="1"/>
    <xf numFmtId="0" fontId="5" fillId="0" borderId="22" xfId="2" applyFont="1" applyBorder="1"/>
    <xf numFmtId="165" fontId="8" fillId="0" borderId="1" xfId="0" applyNumberFormat="1" applyFont="1" applyBorder="1" applyAlignment="1">
      <alignment horizontal="center" vertical="center"/>
    </xf>
    <xf numFmtId="0" fontId="5" fillId="0" borderId="10" xfId="2" applyFont="1" applyBorder="1"/>
    <xf numFmtId="0" fontId="5" fillId="0" borderId="11" xfId="2" applyFont="1" applyBorder="1"/>
    <xf numFmtId="0" fontId="12" fillId="0" borderId="4" xfId="2" applyFont="1" applyBorder="1" applyAlignment="1">
      <alignment horizontal="left" vertical="center" indent="2"/>
    </xf>
    <xf numFmtId="0" fontId="12" fillId="0" borderId="0" xfId="2" applyFont="1"/>
    <xf numFmtId="0" fontId="19" fillId="0" borderId="0" xfId="2" applyFont="1" applyAlignment="1">
      <alignment vertical="center"/>
    </xf>
    <xf numFmtId="0" fontId="19" fillId="0" borderId="22" xfId="2" applyFont="1" applyBorder="1" applyAlignment="1">
      <alignment vertical="center"/>
    </xf>
    <xf numFmtId="0" fontId="12" fillId="0" borderId="10" xfId="2" applyFont="1" applyBorder="1" applyAlignment="1">
      <alignment horizontal="left" vertical="center" indent="2"/>
    </xf>
    <xf numFmtId="0" fontId="12" fillId="0" borderId="12" xfId="2" applyFont="1" applyBorder="1"/>
    <xf numFmtId="0" fontId="19" fillId="0" borderId="12" xfId="2" applyFont="1" applyBorder="1" applyAlignment="1">
      <alignment vertical="center"/>
    </xf>
    <xf numFmtId="0" fontId="19" fillId="0" borderId="11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3" fillId="2" borderId="3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2" fontId="8" fillId="2" borderId="1" xfId="2" applyNumberFormat="1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13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2" fillId="7" borderId="0" xfId="3" applyFont="1" applyFill="1"/>
    <xf numFmtId="0" fontId="12" fillId="7" borderId="8" xfId="2" applyFont="1" applyFill="1" applyBorder="1"/>
    <xf numFmtId="0" fontId="12" fillId="7" borderId="0" xfId="0" applyFont="1" applyFill="1"/>
    <xf numFmtId="0" fontId="12" fillId="7" borderId="0" xfId="2" applyFont="1" applyFill="1"/>
    <xf numFmtId="0" fontId="12" fillId="7" borderId="5" xfId="2" applyFont="1" applyFill="1" applyBorder="1" applyAlignment="1" applyProtection="1">
      <alignment horizontal="left" vertical="center" indent="1"/>
      <protection hidden="1"/>
    </xf>
    <xf numFmtId="11" fontId="12" fillId="7" borderId="31" xfId="2" applyNumberFormat="1" applyFont="1" applyFill="1" applyBorder="1" applyAlignment="1" applyProtection="1">
      <alignment vertical="center"/>
      <protection hidden="1"/>
    </xf>
    <xf numFmtId="0" fontId="12" fillId="7" borderId="4" xfId="2" applyFont="1" applyFill="1" applyBorder="1" applyAlignment="1" applyProtection="1">
      <alignment horizontal="left" vertical="center" indent="1"/>
      <protection hidden="1"/>
    </xf>
    <xf numFmtId="11" fontId="12" fillId="7" borderId="22" xfId="2" applyNumberFormat="1" applyFont="1" applyFill="1" applyBorder="1" applyAlignment="1" applyProtection="1">
      <alignment vertical="center"/>
      <protection hidden="1"/>
    </xf>
    <xf numFmtId="0" fontId="12" fillId="7" borderId="10" xfId="2" applyFont="1" applyFill="1" applyBorder="1" applyAlignment="1" applyProtection="1">
      <alignment horizontal="left" vertical="center" indent="1"/>
      <protection hidden="1"/>
    </xf>
    <xf numFmtId="175" fontId="12" fillId="7" borderId="11" xfId="2" applyNumberFormat="1" applyFont="1" applyFill="1" applyBorder="1" applyAlignment="1" applyProtection="1">
      <alignment vertical="center"/>
      <protection hidden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9" xfId="2" applyFont="1" applyFill="1" applyBorder="1"/>
    <xf numFmtId="0" fontId="12" fillId="7" borderId="0" xfId="2" applyFont="1" applyFill="1" applyAlignment="1">
      <alignment horizontal="left"/>
    </xf>
    <xf numFmtId="0" fontId="12" fillId="7" borderId="1" xfId="9" applyFont="1" applyFill="1" applyBorder="1" applyAlignment="1">
      <alignment horizontal="center" vertical="center"/>
    </xf>
    <xf numFmtId="176" fontId="12" fillId="7" borderId="1" xfId="9" quotePrefix="1" applyNumberFormat="1" applyFont="1" applyFill="1" applyBorder="1" applyAlignment="1">
      <alignment horizontal="center" vertical="center"/>
    </xf>
    <xf numFmtId="0" fontId="12" fillId="7" borderId="8" xfId="2" applyFont="1" applyFill="1" applyBorder="1" applyAlignment="1">
      <alignment vertical="center"/>
    </xf>
    <xf numFmtId="0" fontId="12" fillId="8" borderId="33" xfId="2" applyFont="1" applyFill="1" applyBorder="1" applyAlignment="1">
      <alignment vertical="center" wrapText="1"/>
    </xf>
    <xf numFmtId="2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75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 wrapText="1"/>
      <protection hidden="1"/>
    </xf>
    <xf numFmtId="11" fontId="12" fillId="8" borderId="35" xfId="2" applyNumberFormat="1" applyFont="1" applyFill="1" applyBorder="1" applyAlignment="1">
      <alignment horizontal="center" vertical="center"/>
    </xf>
    <xf numFmtId="0" fontId="12" fillId="7" borderId="33" xfId="2" applyFont="1" applyFill="1" applyBorder="1" applyAlignment="1">
      <alignment vertical="center" wrapText="1"/>
    </xf>
    <xf numFmtId="0" fontId="12" fillId="7" borderId="34" xfId="2" applyFont="1" applyFill="1" applyBorder="1"/>
    <xf numFmtId="2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2" fontId="12" fillId="7" borderId="34" xfId="2" applyNumberFormat="1" applyFont="1" applyFill="1" applyBorder="1" applyAlignment="1" applyProtection="1">
      <alignment horizontal="center" vertical="center"/>
      <protection hidden="1"/>
    </xf>
    <xf numFmtId="175" fontId="12" fillId="7" borderId="34" xfId="2" applyNumberFormat="1" applyFont="1" applyFill="1" applyBorder="1" applyAlignment="1" applyProtection="1">
      <alignment horizontal="center" vertical="center"/>
      <protection hidden="1"/>
    </xf>
    <xf numFmtId="0" fontId="12" fillId="7" borderId="34" xfId="3" applyFont="1" applyFill="1" applyBorder="1"/>
    <xf numFmtId="0" fontId="12" fillId="7" borderId="35" xfId="3" applyFont="1" applyFill="1" applyBorder="1"/>
    <xf numFmtId="2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7" borderId="35" xfId="0" applyFont="1" applyFill="1" applyBorder="1"/>
    <xf numFmtId="16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8" borderId="36" xfId="2" applyFont="1" applyFill="1" applyBorder="1" applyAlignment="1">
      <alignment horizontal="left" vertical="center" wrapText="1"/>
    </xf>
    <xf numFmtId="2" fontId="12" fillId="8" borderId="37" xfId="2" quotePrefix="1" applyNumberFormat="1" applyFont="1" applyFill="1" applyBorder="1" applyAlignment="1" applyProtection="1">
      <alignment horizontal="center" vertical="center"/>
      <protection locked="0"/>
    </xf>
    <xf numFmtId="2" fontId="12" fillId="8" borderId="37" xfId="2" applyNumberFormat="1" applyFont="1" applyFill="1" applyBorder="1" applyAlignment="1" applyProtection="1">
      <alignment vertical="center"/>
      <protection hidden="1"/>
    </xf>
    <xf numFmtId="165" fontId="12" fillId="8" borderId="37" xfId="2" applyNumberFormat="1" applyFont="1" applyFill="1" applyBorder="1" applyAlignment="1" applyProtection="1">
      <alignment horizontal="center" vertical="center"/>
      <protection hidden="1"/>
    </xf>
    <xf numFmtId="16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1" fontId="12" fillId="8" borderId="38" xfId="2" applyNumberFormat="1" applyFont="1" applyFill="1" applyBorder="1" applyAlignment="1">
      <alignment horizontal="center" vertical="center"/>
    </xf>
    <xf numFmtId="0" fontId="12" fillId="7" borderId="39" xfId="2" applyFont="1" applyFill="1" applyBorder="1" applyAlignment="1">
      <alignment horizontal="center" vertical="center"/>
    </xf>
    <xf numFmtId="2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0" xfId="2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 applyAlignment="1">
      <alignment horizontal="center" vertical="center"/>
    </xf>
    <xf numFmtId="0" fontId="12" fillId="7" borderId="41" xfId="0" applyFont="1" applyFill="1" applyBorder="1" applyAlignment="1" applyProtection="1">
      <alignment horizontal="center" vertical="center" wrapText="1"/>
      <protection hidden="1"/>
    </xf>
    <xf numFmtId="175" fontId="19" fillId="7" borderId="42" xfId="0" applyNumberFormat="1" applyFont="1" applyFill="1" applyBorder="1" applyAlignment="1" applyProtection="1">
      <alignment horizontal="center" vertical="center"/>
      <protection hidden="1"/>
    </xf>
    <xf numFmtId="2" fontId="19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/>
    <xf numFmtId="2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17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7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5" fillId="7" borderId="0" xfId="2" applyFont="1" applyFill="1" applyProtection="1">
      <protection locked="0"/>
    </xf>
    <xf numFmtId="0" fontId="8" fillId="7" borderId="1" xfId="2" applyFont="1" applyFill="1" applyBorder="1" applyAlignment="1">
      <alignment horizontal="left" vertical="center"/>
    </xf>
    <xf numFmtId="0" fontId="7" fillId="7" borderId="0" xfId="2" applyFont="1" applyFill="1" applyAlignment="1" applyProtection="1">
      <alignment vertical="center"/>
      <protection locked="0"/>
    </xf>
    <xf numFmtId="0" fontId="8" fillId="7" borderId="6" xfId="2" applyFont="1" applyFill="1" applyBorder="1" applyAlignment="1">
      <alignment horizontal="left" vertical="center"/>
    </xf>
    <xf numFmtId="164" fontId="8" fillId="7" borderId="31" xfId="2" applyNumberFormat="1" applyFont="1" applyFill="1" applyBorder="1" applyAlignment="1">
      <alignment horizontal="center" vertical="center"/>
    </xf>
    <xf numFmtId="164" fontId="5" fillId="7" borderId="0" xfId="2" applyNumberFormat="1" applyFont="1" applyFill="1" applyProtection="1">
      <protection locked="0"/>
    </xf>
    <xf numFmtId="164" fontId="8" fillId="7" borderId="22" xfId="2" applyNumberFormat="1" applyFont="1" applyFill="1" applyBorder="1" applyAlignment="1">
      <alignment horizontal="center" vertical="center"/>
    </xf>
    <xf numFmtId="164" fontId="7" fillId="7" borderId="0" xfId="2" applyNumberFormat="1" applyFont="1" applyFill="1" applyAlignment="1" applyProtection="1">
      <alignment vertical="center"/>
      <protection locked="0"/>
    </xf>
    <xf numFmtId="0" fontId="8" fillId="7" borderId="7" xfId="2" applyFont="1" applyFill="1" applyBorder="1" applyAlignment="1">
      <alignment vertical="center"/>
    </xf>
    <xf numFmtId="0" fontId="8" fillId="7" borderId="8" xfId="2" applyFont="1" applyFill="1" applyBorder="1" applyAlignment="1" applyProtection="1">
      <alignment horizontal="center" vertical="center"/>
      <protection locked="0"/>
    </xf>
    <xf numFmtId="0" fontId="5" fillId="7" borderId="9" xfId="2" applyFont="1" applyFill="1" applyBorder="1" applyAlignment="1">
      <alignment horizontal="center"/>
    </xf>
    <xf numFmtId="164" fontId="8" fillId="7" borderId="1" xfId="2" applyNumberFormat="1" applyFont="1" applyFill="1" applyBorder="1" applyAlignment="1">
      <alignment horizontal="center" vertical="center"/>
    </xf>
    <xf numFmtId="164" fontId="8" fillId="7" borderId="11" xfId="2" applyNumberFormat="1" applyFont="1" applyFill="1" applyBorder="1" applyAlignment="1">
      <alignment horizontal="center" vertical="center"/>
    </xf>
    <xf numFmtId="0" fontId="7" fillId="7" borderId="0" xfId="2" applyFont="1" applyFill="1" applyProtection="1">
      <protection locked="0"/>
    </xf>
    <xf numFmtId="0" fontId="8" fillId="7" borderId="30" xfId="2" applyFont="1" applyFill="1" applyBorder="1" applyAlignment="1">
      <alignment vertical="center"/>
    </xf>
    <xf numFmtId="164" fontId="8" fillId="7" borderId="28" xfId="2" applyNumberFormat="1" applyFont="1" applyFill="1" applyBorder="1" applyAlignment="1">
      <alignment horizontal="center" vertical="center"/>
    </xf>
    <xf numFmtId="0" fontId="8" fillId="7" borderId="0" xfId="2" applyFont="1" applyFill="1" applyAlignment="1" applyProtection="1">
      <alignment horizontal="center" vertical="center"/>
      <protection locked="0"/>
    </xf>
    <xf numFmtId="0" fontId="8" fillId="7" borderId="16" xfId="2" applyFont="1" applyFill="1" applyBorder="1" applyAlignment="1">
      <alignment vertical="center"/>
    </xf>
    <xf numFmtId="0" fontId="8" fillId="7" borderId="15" xfId="2" applyFont="1" applyFill="1" applyBorder="1" applyAlignment="1">
      <alignment vertical="center"/>
    </xf>
    <xf numFmtId="164" fontId="8" fillId="7" borderId="13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vertical="center"/>
    </xf>
    <xf numFmtId="12" fontId="8" fillId="7" borderId="1" xfId="0" applyNumberFormat="1" applyFont="1" applyFill="1" applyBorder="1" applyAlignment="1">
      <alignment horizontal="center" vertical="center"/>
    </xf>
    <xf numFmtId="0" fontId="8" fillId="7" borderId="26" xfId="2" applyFont="1" applyFill="1" applyBorder="1" applyAlignment="1">
      <alignment vertical="center"/>
    </xf>
    <xf numFmtId="2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 wrapText="1"/>
    </xf>
    <xf numFmtId="0" fontId="8" fillId="7" borderId="0" xfId="2" applyFont="1" applyFill="1" applyAlignment="1" applyProtection="1">
      <alignment vertical="center"/>
      <protection locked="0"/>
    </xf>
    <xf numFmtId="0" fontId="8" fillId="7" borderId="1" xfId="2" applyFont="1" applyFill="1" applyBorder="1" applyAlignment="1">
      <alignment horizontal="center" vertical="center"/>
    </xf>
    <xf numFmtId="12" fontId="8" fillId="7" borderId="1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4" fontId="8" fillId="7" borderId="0" xfId="2" applyNumberFormat="1" applyFont="1" applyFill="1" applyAlignment="1" applyProtection="1">
      <alignment horizontal="center" vertical="center"/>
      <protection locked="0"/>
    </xf>
    <xf numFmtId="0" fontId="5" fillId="7" borderId="0" xfId="2" applyFont="1" applyFill="1"/>
    <xf numFmtId="0" fontId="8" fillId="7" borderId="0" xfId="2" applyFont="1" applyFill="1" applyAlignment="1">
      <alignment horizontal="center" vertical="center"/>
    </xf>
    <xf numFmtId="0" fontId="8" fillId="7" borderId="0" xfId="2" applyFont="1" applyFill="1" applyProtection="1">
      <protection locked="0"/>
    </xf>
    <xf numFmtId="0" fontId="4" fillId="7" borderId="5" xfId="2" applyFont="1" applyFill="1" applyBorder="1"/>
    <xf numFmtId="0" fontId="13" fillId="7" borderId="31" xfId="2" applyFont="1" applyFill="1" applyBorder="1" applyAlignment="1">
      <alignment horizontal="center" vertical="center"/>
    </xf>
    <xf numFmtId="0" fontId="8" fillId="7" borderId="32" xfId="2" applyFont="1" applyFill="1" applyBorder="1" applyAlignment="1">
      <alignment vertical="center"/>
    </xf>
    <xf numFmtId="0" fontId="8" fillId="7" borderId="3" xfId="2" applyFont="1" applyFill="1" applyBorder="1" applyAlignment="1">
      <alignment horizontal="center" vertical="center"/>
    </xf>
    <xf numFmtId="0" fontId="8" fillId="7" borderId="0" xfId="2" applyFont="1" applyFill="1" applyAlignment="1">
      <alignment vertical="center"/>
    </xf>
    <xf numFmtId="0" fontId="66" fillId="7" borderId="0" xfId="3" applyFont="1" applyFill="1" applyAlignment="1" applyProtection="1">
      <alignment vertical="center"/>
      <protection locked="0"/>
    </xf>
    <xf numFmtId="0" fontId="8" fillId="7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4" fillId="0" borderId="0" xfId="0" applyFont="1"/>
    <xf numFmtId="0" fontId="64" fillId="0" borderId="0" xfId="3" applyFont="1" applyAlignment="1">
      <alignment vertical="center"/>
    </xf>
    <xf numFmtId="0" fontId="63" fillId="0" borderId="0" xfId="3" quotePrefix="1" applyFont="1" applyAlignment="1">
      <alignment vertical="center" wrapText="1"/>
    </xf>
    <xf numFmtId="0" fontId="39" fillId="0" borderId="0" xfId="0" applyFont="1"/>
    <xf numFmtId="0" fontId="13" fillId="0" borderId="12" xfId="11" applyFont="1" applyBorder="1" applyAlignment="1">
      <alignment horizontal="left" vertical="center"/>
    </xf>
    <xf numFmtId="0" fontId="12" fillId="0" borderId="0" xfId="2" applyFont="1" applyAlignment="1">
      <alignment horizontal="left" vertical="center" indent="2"/>
    </xf>
    <xf numFmtId="0" fontId="12" fillId="0" borderId="12" xfId="2" applyFont="1" applyBorder="1" applyAlignment="1">
      <alignment horizontal="left" vertical="center" indent="2"/>
    </xf>
    <xf numFmtId="164" fontId="8" fillId="7" borderId="0" xfId="0" applyNumberFormat="1" applyFont="1" applyFill="1" applyAlignment="1">
      <alignment vertical="center"/>
    </xf>
    <xf numFmtId="1" fontId="8" fillId="7" borderId="0" xfId="0" applyNumberFormat="1" applyFont="1" applyFill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1" fillId="7" borderId="0" xfId="2" applyFill="1"/>
    <xf numFmtId="0" fontId="2" fillId="7" borderId="0" xfId="2" applyFont="1" applyFill="1"/>
    <xf numFmtId="0" fontId="1" fillId="7" borderId="0" xfId="0" applyFont="1" applyFill="1" applyAlignment="1" applyProtection="1">
      <alignment horizontal="right" vertical="center"/>
      <protection locked="0"/>
    </xf>
    <xf numFmtId="0" fontId="2" fillId="7" borderId="17" xfId="2" applyFont="1" applyFill="1" applyBorder="1" applyAlignment="1">
      <alignment vertical="center"/>
    </xf>
    <xf numFmtId="0" fontId="2" fillId="7" borderId="0" xfId="2" applyFont="1" applyFill="1" applyAlignment="1">
      <alignment vertical="center"/>
    </xf>
    <xf numFmtId="164" fontId="8" fillId="0" borderId="22" xfId="2" applyNumberFormat="1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2" fontId="8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" fontId="8" fillId="7" borderId="1" xfId="2" applyNumberFormat="1" applyFont="1" applyFill="1" applyBorder="1" applyAlignment="1">
      <alignment horizontal="center" vertical="center"/>
    </xf>
    <xf numFmtId="1" fontId="8" fillId="7" borderId="11" xfId="2" applyNumberFormat="1" applyFont="1" applyFill="1" applyBorder="1" applyAlignment="1">
      <alignment horizontal="center" vertical="center"/>
    </xf>
    <xf numFmtId="0" fontId="12" fillId="7" borderId="0" xfId="2" applyFont="1" applyFill="1" applyAlignment="1">
      <alignment horizontal="right"/>
    </xf>
    <xf numFmtId="175" fontId="19" fillId="7" borderId="0" xfId="0" applyNumberFormat="1" applyFont="1" applyFill="1" applyAlignment="1" applyProtection="1">
      <alignment horizontal="center" vertical="center"/>
      <protection hidden="1"/>
    </xf>
    <xf numFmtId="2" fontId="12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4" xfId="2" applyFont="1" applyFill="1" applyBorder="1" applyAlignment="1">
      <alignment horizontal="left" vertical="center"/>
    </xf>
    <xf numFmtId="164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2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5" xfId="2" applyFont="1" applyFill="1" applyBorder="1" applyAlignment="1" applyProtection="1">
      <alignment horizontal="center" vertical="center" wrapText="1"/>
      <protection hidden="1"/>
    </xf>
    <xf numFmtId="0" fontId="12" fillId="7" borderId="45" xfId="2" applyFont="1" applyFill="1" applyBorder="1"/>
    <xf numFmtId="0" fontId="12" fillId="7" borderId="46" xfId="0" applyFont="1" applyFill="1" applyBorder="1" applyAlignment="1" applyProtection="1">
      <alignment horizontal="center" vertical="center" wrapText="1"/>
      <protection hidden="1"/>
    </xf>
    <xf numFmtId="164" fontId="12" fillId="7" borderId="44" xfId="2" applyNumberFormat="1" applyFont="1" applyFill="1" applyBorder="1" applyAlignment="1" applyProtection="1">
      <alignment horizontal="left" vertical="center"/>
      <protection locked="0" hidden="1"/>
    </xf>
    <xf numFmtId="0" fontId="12" fillId="0" borderId="44" xfId="2" applyFont="1" applyBorder="1" applyAlignment="1">
      <alignment vertical="center" wrapText="1"/>
    </xf>
    <xf numFmtId="2" fontId="19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5" xfId="2" applyFont="1" applyFill="1" applyBorder="1" applyAlignment="1">
      <alignment horizontal="center" vertical="center"/>
    </xf>
    <xf numFmtId="0" fontId="19" fillId="7" borderId="0" xfId="2" applyFont="1" applyFill="1"/>
    <xf numFmtId="0" fontId="46" fillId="0" borderId="0" xfId="0" applyFont="1" applyAlignment="1">
      <alignment vertical="center"/>
    </xf>
    <xf numFmtId="0" fontId="46" fillId="0" borderId="0" xfId="0" applyFont="1"/>
    <xf numFmtId="0" fontId="63" fillId="0" borderId="0" xfId="3" quotePrefix="1" applyFont="1" applyAlignment="1">
      <alignment horizontal="left"/>
    </xf>
    <xf numFmtId="1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1" fontId="12" fillId="7" borderId="0" xfId="3" applyNumberFormat="1" applyFont="1" applyFill="1"/>
    <xf numFmtId="10" fontId="12" fillId="7" borderId="0" xfId="2" applyNumberFormat="1" applyFont="1" applyFill="1"/>
    <xf numFmtId="0" fontId="12" fillId="0" borderId="33" xfId="2" applyFont="1" applyBorder="1" applyAlignment="1">
      <alignment vertical="center" wrapText="1"/>
    </xf>
    <xf numFmtId="164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33" xfId="2" applyNumberFormat="1" applyFont="1" applyFill="1" applyBorder="1" applyAlignment="1" applyProtection="1">
      <alignment horizontal="left" vertical="center"/>
      <protection locked="0" hidden="1"/>
    </xf>
    <xf numFmtId="0" fontId="12" fillId="7" borderId="33" xfId="2" applyFont="1" applyFill="1" applyBorder="1" applyAlignment="1">
      <alignment horizontal="left" vertical="center"/>
    </xf>
    <xf numFmtId="1" fontId="12" fillId="0" borderId="45" xfId="2" applyNumberFormat="1" applyFont="1" applyBorder="1" applyAlignment="1" applyProtection="1">
      <alignment horizontal="center" vertical="center"/>
      <protection locked="0" hidden="1"/>
    </xf>
    <xf numFmtId="2" fontId="12" fillId="0" borderId="45" xfId="2" applyNumberFormat="1" applyFont="1" applyBorder="1" applyAlignment="1" applyProtection="1">
      <alignment horizontal="center" vertical="center"/>
      <protection locked="0" hidden="1"/>
    </xf>
    <xf numFmtId="0" fontId="12" fillId="0" borderId="45" xfId="2" applyFont="1" applyBorder="1" applyAlignment="1" applyProtection="1">
      <alignment horizontal="center" vertical="center" wrapText="1"/>
      <protection hidden="1"/>
    </xf>
    <xf numFmtId="175" fontId="12" fillId="0" borderId="45" xfId="2" applyNumberFormat="1" applyFont="1" applyBorder="1" applyAlignment="1" applyProtection="1">
      <alignment horizontal="center" vertical="center" wrapText="1"/>
      <protection hidden="1"/>
    </xf>
    <xf numFmtId="165" fontId="12" fillId="0" borderId="45" xfId="2" applyNumberFormat="1" applyFont="1" applyBorder="1" applyAlignment="1">
      <alignment horizontal="center" vertical="center"/>
    </xf>
    <xf numFmtId="11" fontId="12" fillId="0" borderId="46" xfId="2" applyNumberFormat="1" applyFont="1" applyBorder="1" applyAlignment="1">
      <alignment horizontal="center" vertical="center"/>
    </xf>
    <xf numFmtId="0" fontId="8" fillId="0" borderId="12" xfId="11" applyFont="1" applyBorder="1" applyAlignment="1">
      <alignment horizontal="left" vertical="center"/>
    </xf>
    <xf numFmtId="0" fontId="63" fillId="0" borderId="47" xfId="3" quotePrefix="1" applyFont="1" applyBorder="1" applyAlignment="1" applyProtection="1">
      <alignment horizontal="left"/>
      <protection locked="0"/>
    </xf>
    <xf numFmtId="0" fontId="5" fillId="0" borderId="47" xfId="0" applyFont="1" applyBorder="1" applyProtection="1">
      <protection locked="0"/>
    </xf>
    <xf numFmtId="0" fontId="50" fillId="8" borderId="13" xfId="2" applyFont="1" applyFill="1" applyBorder="1" applyAlignment="1" applyProtection="1">
      <alignment horizontal="center" vertical="center"/>
      <protection locked="0"/>
    </xf>
    <xf numFmtId="0" fontId="50" fillId="8" borderId="2" xfId="2" applyFont="1" applyFill="1" applyBorder="1" applyAlignment="1" applyProtection="1">
      <alignment horizontal="center" vertical="center"/>
      <protection locked="0"/>
    </xf>
    <xf numFmtId="164" fontId="67" fillId="8" borderId="1" xfId="2" applyNumberFormat="1" applyFont="1" applyFill="1" applyBorder="1" applyAlignment="1" applyProtection="1">
      <alignment horizontal="center" vertical="center"/>
      <protection locked="0"/>
    </xf>
    <xf numFmtId="0" fontId="24" fillId="0" borderId="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3" fillId="7" borderId="22" xfId="2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0" xfId="2" applyFill="1" applyAlignment="1">
      <alignment vertical="center"/>
    </xf>
    <xf numFmtId="14" fontId="1" fillId="7" borderId="0" xfId="2" applyNumberFormat="1" applyFill="1" applyAlignment="1">
      <alignment vertical="center"/>
    </xf>
    <xf numFmtId="0" fontId="2" fillId="7" borderId="2" xfId="2" applyFont="1" applyFill="1" applyBorder="1" applyAlignment="1">
      <alignment horizontal="center" vertical="center"/>
    </xf>
    <xf numFmtId="3" fontId="19" fillId="7" borderId="1" xfId="2" applyNumberFormat="1" applyFont="1" applyFill="1" applyBorder="1" applyAlignment="1">
      <alignment horizontal="center" vertical="center"/>
    </xf>
    <xf numFmtId="0" fontId="1" fillId="7" borderId="1" xfId="2" quotePrefix="1" applyFill="1" applyBorder="1" applyAlignment="1">
      <alignment horizontal="center" vertical="center"/>
    </xf>
    <xf numFmtId="174" fontId="1" fillId="7" borderId="1" xfId="2" applyNumberFormat="1" applyFill="1" applyBorder="1" applyAlignment="1">
      <alignment horizontal="center" vertical="center"/>
    </xf>
    <xf numFmtId="2" fontId="1" fillId="7" borderId="19" xfId="0" applyNumberFormat="1" applyFont="1" applyFill="1" applyBorder="1" applyAlignment="1">
      <alignment horizontal="right" vertical="center"/>
    </xf>
    <xf numFmtId="2" fontId="1" fillId="7" borderId="20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2" quotePrefix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64" fontId="68" fillId="7" borderId="1" xfId="2" applyNumberFormat="1" applyFont="1" applyFill="1" applyBorder="1" applyAlignment="1">
      <alignment horizontal="center" vertical="center"/>
    </xf>
    <xf numFmtId="164" fontId="53" fillId="8" borderId="2" xfId="2" applyNumberFormat="1" applyFont="1" applyFill="1" applyBorder="1" applyAlignment="1" applyProtection="1">
      <alignment horizontal="center" vertical="center"/>
      <protection locked="0"/>
    </xf>
    <xf numFmtId="164" fontId="53" fillId="7" borderId="2" xfId="2" applyNumberFormat="1" applyFont="1" applyFill="1" applyBorder="1" applyAlignment="1">
      <alignment horizontal="center" vertical="center"/>
    </xf>
    <xf numFmtId="164" fontId="53" fillId="7" borderId="31" xfId="2" applyNumberFormat="1" applyFont="1" applyFill="1" applyBorder="1" applyAlignment="1">
      <alignment horizontal="center" vertical="center"/>
    </xf>
    <xf numFmtId="164" fontId="53" fillId="8" borderId="23" xfId="2" applyNumberFormat="1" applyFont="1" applyFill="1" applyBorder="1" applyAlignment="1" applyProtection="1">
      <alignment horizontal="center" vertical="center"/>
      <protection locked="0"/>
    </xf>
    <xf numFmtId="164" fontId="53" fillId="7" borderId="23" xfId="2" applyNumberFormat="1" applyFont="1" applyFill="1" applyBorder="1" applyAlignment="1">
      <alignment horizontal="center" vertical="center"/>
    </xf>
    <xf numFmtId="164" fontId="53" fillId="7" borderId="22" xfId="2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12" fillId="8" borderId="33" xfId="2" applyNumberFormat="1" applyFont="1" applyFill="1" applyBorder="1" applyAlignment="1" applyProtection="1">
      <alignment horizontal="left" vertical="center"/>
      <protection locked="0" hidden="1"/>
    </xf>
    <xf numFmtId="0" fontId="47" fillId="7" borderId="0" xfId="2" applyFont="1" applyFill="1"/>
    <xf numFmtId="164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45" fillId="7" borderId="0" xfId="2" applyFont="1" applyFill="1"/>
    <xf numFmtId="0" fontId="12" fillId="7" borderId="0" xfId="2" applyFont="1" applyFill="1" applyAlignment="1">
      <alignment horizontal="left" indent="1"/>
    </xf>
    <xf numFmtId="0" fontId="1" fillId="7" borderId="0" xfId="2" applyFill="1" applyAlignment="1">
      <alignment horizontal="left" indent="1"/>
    </xf>
    <xf numFmtId="0" fontId="14" fillId="7" borderId="7" xfId="2" applyFont="1" applyFill="1" applyBorder="1" applyAlignment="1">
      <alignment vertical="center"/>
    </xf>
    <xf numFmtId="0" fontId="14" fillId="7" borderId="7" xfId="2" applyFont="1" applyFill="1" applyBorder="1" applyAlignment="1">
      <alignment horizontal="left" vertical="center" indent="1"/>
    </xf>
    <xf numFmtId="0" fontId="14" fillId="7" borderId="8" xfId="2" applyFont="1" applyFill="1" applyBorder="1" applyAlignment="1">
      <alignment horizontal="left" vertical="center" indent="1"/>
    </xf>
    <xf numFmtId="0" fontId="14" fillId="7" borderId="7" xfId="2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2" fillId="7" borderId="1" xfId="2" applyFont="1" applyFill="1" applyBorder="1" applyAlignment="1" applyProtection="1">
      <alignment vertical="center"/>
      <protection locked="0"/>
    </xf>
    <xf numFmtId="0" fontId="8" fillId="7" borderId="5" xfId="2" applyFont="1" applyFill="1" applyBorder="1" applyAlignment="1" applyProtection="1">
      <alignment vertical="center"/>
      <protection locked="0"/>
    </xf>
    <xf numFmtId="0" fontId="8" fillId="7" borderId="2" xfId="2" applyFont="1" applyFill="1" applyBorder="1" applyAlignment="1" applyProtection="1">
      <alignment vertical="center"/>
      <protection locked="0"/>
    </xf>
    <xf numFmtId="0" fontId="8" fillId="7" borderId="4" xfId="2" applyFont="1" applyFill="1" applyBorder="1" applyAlignment="1" applyProtection="1">
      <alignment vertical="center"/>
      <protection locked="0"/>
    </xf>
    <xf numFmtId="0" fontId="8" fillId="7" borderId="23" xfId="2" applyFont="1" applyFill="1" applyBorder="1" applyAlignment="1" applyProtection="1">
      <alignment vertical="center"/>
      <protection locked="0"/>
    </xf>
    <xf numFmtId="0" fontId="8" fillId="7" borderId="7" xfId="2" applyFont="1" applyFill="1" applyBorder="1" applyAlignment="1" applyProtection="1">
      <alignment vertical="center"/>
      <protection locked="0"/>
    </xf>
    <xf numFmtId="0" fontId="8" fillId="7" borderId="3" xfId="2" applyFont="1" applyFill="1" applyBorder="1" applyAlignment="1" applyProtection="1">
      <alignment vertical="center"/>
      <protection locked="0"/>
    </xf>
    <xf numFmtId="164" fontId="8" fillId="7" borderId="3" xfId="2" applyNumberFormat="1" applyFont="1" applyFill="1" applyBorder="1" applyAlignment="1" applyProtection="1">
      <alignment horizontal="center" vertical="center"/>
      <protection locked="0"/>
    </xf>
    <xf numFmtId="0" fontId="8" fillId="7" borderId="16" xfId="2" applyFont="1" applyFill="1" applyBorder="1" applyAlignment="1" applyProtection="1">
      <alignment vertical="center"/>
      <protection locked="0"/>
    </xf>
    <xf numFmtId="0" fontId="8" fillId="7" borderId="15" xfId="2" applyFont="1" applyFill="1" applyBorder="1" applyAlignment="1" applyProtection="1">
      <alignment vertical="center"/>
      <protection locked="0"/>
    </xf>
    <xf numFmtId="0" fontId="54" fillId="7" borderId="1" xfId="0" applyFont="1" applyFill="1" applyBorder="1" applyAlignment="1" applyProtection="1">
      <alignment horizontal="center"/>
      <protection locked="0"/>
    </xf>
    <xf numFmtId="0" fontId="8" fillId="7" borderId="1" xfId="2" applyFont="1" applyFill="1" applyBorder="1" applyAlignment="1" applyProtection="1">
      <alignment horizontal="center" vertical="center"/>
      <protection locked="0"/>
    </xf>
    <xf numFmtId="12" fontId="8" fillId="7" borderId="1" xfId="2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 wrapText="1"/>
      <protection locked="0"/>
    </xf>
    <xf numFmtId="12" fontId="12" fillId="7" borderId="7" xfId="0" applyNumberFormat="1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165" fontId="8" fillId="7" borderId="0" xfId="0" applyNumberFormat="1" applyFont="1" applyFill="1" applyProtection="1">
      <protection locked="0"/>
    </xf>
    <xf numFmtId="12" fontId="12" fillId="7" borderId="5" xfId="0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12" fontId="60" fillId="7" borderId="7" xfId="0" applyNumberFormat="1" applyFont="1" applyFill="1" applyBorder="1" applyAlignment="1" applyProtection="1">
      <alignment horizontal="left" vertical="center"/>
      <protection locked="0"/>
    </xf>
    <xf numFmtId="0" fontId="8" fillId="7" borderId="8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2" fontId="8" fillId="7" borderId="5" xfId="0" applyNumberFormat="1" applyFont="1" applyFill="1" applyBorder="1" applyAlignment="1" applyProtection="1">
      <alignment horizontal="left" vertical="center"/>
      <protection locked="0"/>
    </xf>
    <xf numFmtId="0" fontId="8" fillId="7" borderId="6" xfId="0" applyFont="1" applyFill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64" fontId="8" fillId="7" borderId="7" xfId="2" applyNumberFormat="1" applyFont="1" applyFill="1" applyBorder="1" applyAlignment="1" applyProtection="1">
      <alignment horizontal="center" vertical="center"/>
      <protection locked="0"/>
    </xf>
    <xf numFmtId="0" fontId="8" fillId="7" borderId="8" xfId="0" applyFont="1" applyFill="1" applyBorder="1" applyAlignment="1" applyProtection="1">
      <alignment horizontal="right"/>
      <protection locked="0"/>
    </xf>
    <xf numFmtId="164" fontId="70" fillId="7" borderId="1" xfId="0" applyNumberFormat="1" applyFont="1" applyFill="1" applyBorder="1" applyAlignment="1" applyProtection="1">
      <alignment horizontal="center" vertical="center"/>
      <protection locked="0"/>
    </xf>
    <xf numFmtId="164" fontId="71" fillId="7" borderId="0" xfId="0" applyNumberFormat="1" applyFont="1" applyFill="1" applyAlignment="1" applyProtection="1">
      <alignment vertical="center"/>
      <protection locked="0"/>
    </xf>
    <xf numFmtId="0" fontId="19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4" fontId="19" fillId="7" borderId="12" xfId="0" applyNumberFormat="1" applyFont="1" applyFill="1" applyBorder="1" applyAlignment="1">
      <alignment horizontal="left" vertical="center"/>
    </xf>
    <xf numFmtId="0" fontId="12" fillId="7" borderId="12" xfId="0" applyFont="1" applyFill="1" applyBorder="1" applyAlignment="1">
      <alignment vertical="center"/>
    </xf>
    <xf numFmtId="14" fontId="7" fillId="7" borderId="12" xfId="0" applyNumberFormat="1" applyFont="1" applyFill="1" applyBorder="1" applyAlignment="1">
      <alignment horizontal="left" vertical="center"/>
    </xf>
    <xf numFmtId="0" fontId="1" fillId="7" borderId="0" xfId="0" applyFont="1" applyFill="1"/>
    <xf numFmtId="0" fontId="50" fillId="7" borderId="6" xfId="2" applyFont="1" applyFill="1" applyBorder="1" applyAlignment="1">
      <alignment horizontal="left" vertical="center"/>
    </xf>
    <xf numFmtId="0" fontId="7" fillId="7" borderId="0" xfId="2" applyFont="1" applyFill="1" applyAlignment="1">
      <alignment vertical="center"/>
    </xf>
    <xf numFmtId="0" fontId="4" fillId="7" borderId="3" xfId="2" applyFont="1" applyFill="1" applyBorder="1"/>
    <xf numFmtId="164" fontId="53" fillId="7" borderId="1" xfId="2" applyNumberFormat="1" applyFont="1" applyFill="1" applyBorder="1" applyAlignment="1">
      <alignment horizontal="left" vertical="center"/>
    </xf>
    <xf numFmtId="0" fontId="72" fillId="7" borderId="0" xfId="2" applyFont="1" applyFill="1"/>
    <xf numFmtId="164" fontId="8" fillId="7" borderId="1" xfId="2" applyNumberFormat="1" applyFont="1" applyFill="1" applyBorder="1" applyAlignment="1">
      <alignment horizontal="left" vertical="center"/>
    </xf>
    <xf numFmtId="164" fontId="7" fillId="7" borderId="0" xfId="2" applyNumberFormat="1" applyFont="1" applyFill="1" applyAlignment="1">
      <alignment vertical="center"/>
    </xf>
    <xf numFmtId="0" fontId="7" fillId="7" borderId="0" xfId="2" applyFont="1" applyFill="1"/>
    <xf numFmtId="0" fontId="7" fillId="7" borderId="0" xfId="2" applyFont="1" applyFill="1" applyAlignment="1">
      <alignment horizontal="left" vertical="center"/>
    </xf>
    <xf numFmtId="0" fontId="5" fillId="7" borderId="15" xfId="2" applyFont="1" applyFill="1" applyBorder="1"/>
    <xf numFmtId="0" fontId="5" fillId="7" borderId="25" xfId="2" applyFont="1" applyFill="1" applyBorder="1"/>
    <xf numFmtId="164" fontId="8" fillId="7" borderId="24" xfId="2" applyNumberFormat="1" applyFont="1" applyFill="1" applyBorder="1" applyAlignment="1">
      <alignment horizontal="center"/>
    </xf>
    <xf numFmtId="0" fontId="5" fillId="7" borderId="8" xfId="2" applyFont="1" applyFill="1" applyBorder="1"/>
    <xf numFmtId="2" fontId="8" fillId="7" borderId="1" xfId="2" applyNumberFormat="1" applyFont="1" applyFill="1" applyBorder="1" applyAlignment="1">
      <alignment horizontal="center"/>
    </xf>
    <xf numFmtId="0" fontId="73" fillId="7" borderId="1" xfId="2" applyFont="1" applyFill="1" applyBorder="1" applyAlignment="1">
      <alignment horizontal="center"/>
    </xf>
    <xf numFmtId="164" fontId="8" fillId="7" borderId="0" xfId="2" applyNumberFormat="1" applyFont="1" applyFill="1" applyAlignment="1">
      <alignment horizontal="center"/>
    </xf>
    <xf numFmtId="1" fontId="7" fillId="7" borderId="0" xfId="2" applyNumberFormat="1" applyFont="1" applyFill="1" applyAlignment="1">
      <alignment horizontal="center" vertical="center" wrapText="1"/>
    </xf>
    <xf numFmtId="0" fontId="8" fillId="0" borderId="1" xfId="2" applyFont="1" applyBorder="1" applyAlignment="1">
      <alignment wrapText="1"/>
    </xf>
    <xf numFmtId="0" fontId="5" fillId="7" borderId="0" xfId="0" applyFont="1" applyFill="1"/>
    <xf numFmtId="10" fontId="7" fillId="7" borderId="0" xfId="2" applyNumberFormat="1" applyFont="1" applyFill="1" applyAlignment="1">
      <alignment horizontal="center" vertical="center" wrapText="1"/>
    </xf>
    <xf numFmtId="0" fontId="8" fillId="7" borderId="0" xfId="0" applyFont="1" applyFill="1"/>
    <xf numFmtId="0" fontId="8" fillId="7" borderId="7" xfId="0" applyFont="1" applyFill="1" applyBorder="1" applyAlignment="1">
      <alignment horizontal="center" vertical="center"/>
    </xf>
    <xf numFmtId="2" fontId="5" fillId="7" borderId="0" xfId="2" applyNumberFormat="1" applyFont="1" applyFill="1"/>
    <xf numFmtId="2" fontId="9" fillId="7" borderId="0" xfId="2" applyNumberFormat="1" applyFont="1" applyFill="1" applyAlignment="1">
      <alignment vertical="center"/>
    </xf>
    <xf numFmtId="164" fontId="5" fillId="7" borderId="0" xfId="2" applyNumberFormat="1" applyFont="1" applyFill="1"/>
    <xf numFmtId="1" fontId="7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horizontal="center" vertical="center"/>
    </xf>
    <xf numFmtId="0" fontId="63" fillId="0" borderId="0" xfId="3" quotePrefix="1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74" fillId="0" borderId="0" xfId="3" applyFont="1" applyAlignment="1">
      <alignment horizontal="left" vertical="center"/>
    </xf>
    <xf numFmtId="2" fontId="8" fillId="0" borderId="23" xfId="0" applyNumberFormat="1" applyFont="1" applyBorder="1" applyAlignment="1">
      <alignment horizontal="center" vertical="center"/>
    </xf>
    <xf numFmtId="0" fontId="13" fillId="0" borderId="31" xfId="11" applyFont="1" applyBorder="1" applyAlignment="1">
      <alignment horizontal="center" vertical="center"/>
    </xf>
    <xf numFmtId="0" fontId="8" fillId="0" borderId="22" xfId="1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center" vertical="center" wrapText="1"/>
    </xf>
    <xf numFmtId="12" fontId="8" fillId="0" borderId="23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45" fillId="7" borderId="0" xfId="2" applyFont="1" applyFill="1" applyAlignment="1">
      <alignment horizontal="left" vertical="center"/>
    </xf>
    <xf numFmtId="0" fontId="45" fillId="7" borderId="0" xfId="2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2" applyFont="1" applyFill="1" applyAlignment="1">
      <alignment horizontal="left" vertical="center"/>
    </xf>
    <xf numFmtId="0" fontId="59" fillId="7" borderId="0" xfId="0" applyFont="1" applyFill="1" applyAlignment="1">
      <alignment vertical="center"/>
    </xf>
    <xf numFmtId="0" fontId="2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69" fillId="7" borderId="1" xfId="2" applyFont="1" applyFill="1" applyBorder="1" applyAlignment="1" applyProtection="1">
      <alignment horizontal="center" vertical="center"/>
      <protection locked="0"/>
    </xf>
    <xf numFmtId="166" fontId="69" fillId="7" borderId="1" xfId="2" applyNumberFormat="1" applyFont="1" applyFill="1" applyBorder="1" applyAlignment="1" applyProtection="1">
      <alignment horizontal="center" vertical="center"/>
      <protection locked="0"/>
    </xf>
    <xf numFmtId="164" fontId="69" fillId="7" borderId="1" xfId="2" applyNumberFormat="1" applyFont="1" applyFill="1" applyBorder="1" applyAlignment="1" applyProtection="1">
      <alignment horizontal="center" vertical="center"/>
      <protection locked="0"/>
    </xf>
    <xf numFmtId="173" fontId="1" fillId="7" borderId="1" xfId="2" applyNumberFormat="1" applyFill="1" applyBorder="1" applyAlignment="1">
      <alignment horizontal="center" vertical="center"/>
    </xf>
    <xf numFmtId="0" fontId="1" fillId="7" borderId="51" xfId="2" applyFill="1" applyBorder="1" applyAlignment="1">
      <alignment vertical="center"/>
    </xf>
    <xf numFmtId="0" fontId="42" fillId="7" borderId="52" xfId="2" applyFont="1" applyFill="1" applyBorder="1" applyAlignment="1">
      <alignment vertical="center"/>
    </xf>
    <xf numFmtId="0" fontId="0" fillId="7" borderId="53" xfId="0" applyFill="1" applyBorder="1" applyAlignment="1">
      <alignment vertical="center"/>
    </xf>
    <xf numFmtId="0" fontId="2" fillId="7" borderId="54" xfId="2" applyFont="1" applyFill="1" applyBorder="1" applyAlignment="1">
      <alignment horizontal="center" vertical="center"/>
    </xf>
    <xf numFmtId="0" fontId="2" fillId="7" borderId="55" xfId="2" applyFont="1" applyFill="1" applyBorder="1" applyAlignment="1">
      <alignment horizontal="center" vertical="center"/>
    </xf>
    <xf numFmtId="0" fontId="2" fillId="7" borderId="56" xfId="2" applyFont="1" applyFill="1" applyBorder="1" applyAlignment="1">
      <alignment horizontal="center" vertical="center"/>
    </xf>
    <xf numFmtId="0" fontId="1" fillId="7" borderId="17" xfId="2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173" fontId="1" fillId="7" borderId="57" xfId="0" applyNumberFormat="1" applyFont="1" applyFill="1" applyBorder="1" applyAlignment="1">
      <alignment horizontal="center" vertical="center"/>
    </xf>
    <xf numFmtId="173" fontId="1" fillId="7" borderId="58" xfId="0" applyNumberFormat="1" applyFont="1" applyFill="1" applyBorder="1" applyAlignment="1">
      <alignment horizontal="center" vertical="center"/>
    </xf>
    <xf numFmtId="173" fontId="1" fillId="7" borderId="59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2" fontId="1" fillId="7" borderId="60" xfId="0" applyNumberFormat="1" applyFont="1" applyFill="1" applyBorder="1" applyAlignment="1">
      <alignment horizontal="center" vertical="center"/>
    </xf>
    <xf numFmtId="173" fontId="1" fillId="7" borderId="60" xfId="2" applyNumberFormat="1" applyFill="1" applyBorder="1" applyAlignment="1">
      <alignment horizontal="center" vertical="center"/>
    </xf>
    <xf numFmtId="0" fontId="2" fillId="7" borderId="9" xfId="2" applyFont="1" applyFill="1" applyBorder="1" applyAlignment="1">
      <alignment vertical="center"/>
    </xf>
    <xf numFmtId="0" fontId="1" fillId="7" borderId="3" xfId="2" applyFill="1" applyBorder="1" applyAlignment="1">
      <alignment horizontal="center" vertical="center"/>
    </xf>
    <xf numFmtId="0" fontId="1" fillId="7" borderId="1" xfId="2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173" fontId="1" fillId="7" borderId="61" xfId="2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4" fontId="0" fillId="7" borderId="60" xfId="0" applyNumberFormat="1" applyFill="1" applyBorder="1" applyAlignment="1">
      <alignment horizontal="center" vertical="center"/>
    </xf>
    <xf numFmtId="173" fontId="1" fillId="7" borderId="62" xfId="2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73" fontId="1" fillId="7" borderId="63" xfId="2" applyNumberFormat="1" applyFill="1" applyBorder="1" applyAlignment="1">
      <alignment horizontal="center" vertical="center"/>
    </xf>
    <xf numFmtId="0" fontId="75" fillId="7" borderId="1" xfId="0" applyFont="1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165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64" fillId="0" borderId="0" xfId="3" applyFont="1"/>
    <xf numFmtId="180" fontId="8" fillId="0" borderId="0" xfId="11" applyNumberFormat="1" applyFont="1" applyAlignment="1" applyProtection="1">
      <alignment horizontal="left" vertical="center"/>
      <protection locked="0"/>
    </xf>
    <xf numFmtId="164" fontId="69" fillId="7" borderId="1" xfId="2" applyNumberFormat="1" applyFont="1" applyFill="1" applyBorder="1" applyAlignment="1" applyProtection="1">
      <alignment horizontal="center"/>
      <protection locked="0"/>
    </xf>
    <xf numFmtId="180" fontId="8" fillId="0" borderId="22" xfId="11" applyNumberFormat="1" applyFont="1" applyBorder="1" applyAlignment="1" applyProtection="1">
      <alignment horizontal="left" vertical="center"/>
      <protection locked="0"/>
    </xf>
    <xf numFmtId="0" fontId="1" fillId="7" borderId="0" xfId="2" applyFill="1" applyAlignment="1">
      <alignment horizontal="left"/>
    </xf>
    <xf numFmtId="11" fontId="1" fillId="7" borderId="0" xfId="2" applyNumberFormat="1" applyFill="1" applyAlignment="1">
      <alignment horizontal="center"/>
    </xf>
    <xf numFmtId="0" fontId="1" fillId="7" borderId="0" xfId="2" quotePrefix="1" applyFill="1" applyAlignment="1">
      <alignment horizontal="left"/>
    </xf>
    <xf numFmtId="0" fontId="69" fillId="8" borderId="1" xfId="2" applyFont="1" applyFill="1" applyBorder="1" applyAlignment="1" applyProtection="1">
      <alignment horizontal="center" vertical="center"/>
      <protection locked="0"/>
    </xf>
    <xf numFmtId="0" fontId="5" fillId="7" borderId="5" xfId="0" applyFont="1" applyFill="1" applyBorder="1" applyProtection="1">
      <protection locked="0"/>
    </xf>
    <xf numFmtId="0" fontId="5" fillId="7" borderId="6" xfId="2" applyFont="1" applyFill="1" applyBorder="1" applyProtection="1">
      <protection locked="0"/>
    </xf>
    <xf numFmtId="0" fontId="5" fillId="7" borderId="31" xfId="2" applyFont="1" applyFill="1" applyBorder="1" applyProtection="1">
      <protection locked="0"/>
    </xf>
    <xf numFmtId="0" fontId="5" fillId="7" borderId="4" xfId="2" applyFont="1" applyFill="1" applyBorder="1" applyProtection="1">
      <protection locked="0"/>
    </xf>
    <xf numFmtId="0" fontId="5" fillId="7" borderId="22" xfId="2" applyFont="1" applyFill="1" applyBorder="1" applyProtection="1"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14" fillId="7" borderId="0" xfId="0" applyFont="1" applyFill="1" applyAlignment="1" applyProtection="1">
      <alignment horizontal="center"/>
      <protection locked="0"/>
    </xf>
    <xf numFmtId="0" fontId="5" fillId="7" borderId="4" xfId="0" applyFont="1" applyFill="1" applyBorder="1" applyProtection="1">
      <protection locked="0"/>
    </xf>
    <xf numFmtId="0" fontId="14" fillId="7" borderId="0" xfId="0" applyFont="1" applyFill="1" applyProtection="1">
      <protection locked="0"/>
    </xf>
    <xf numFmtId="0" fontId="5" fillId="7" borderId="10" xfId="0" applyFont="1" applyFill="1" applyBorder="1" applyProtection="1">
      <protection locked="0"/>
    </xf>
    <xf numFmtId="0" fontId="5" fillId="7" borderId="12" xfId="2" applyFont="1" applyFill="1" applyBorder="1" applyProtection="1">
      <protection locked="0"/>
    </xf>
    <xf numFmtId="0" fontId="5" fillId="7" borderId="11" xfId="2" applyFont="1" applyFill="1" applyBorder="1" applyProtection="1">
      <protection locked="0"/>
    </xf>
    <xf numFmtId="0" fontId="19" fillId="7" borderId="5" xfId="2" applyFont="1" applyFill="1" applyBorder="1" applyAlignment="1">
      <alignment vertical="center"/>
    </xf>
    <xf numFmtId="0" fontId="19" fillId="7" borderId="4" xfId="2" applyFont="1" applyFill="1" applyBorder="1" applyAlignment="1">
      <alignment vertical="center"/>
    </xf>
    <xf numFmtId="0" fontId="19" fillId="7" borderId="10" xfId="2" applyFont="1" applyFill="1" applyBorder="1" applyAlignment="1">
      <alignment vertical="center"/>
    </xf>
    <xf numFmtId="182" fontId="8" fillId="0" borderId="0" xfId="11" applyNumberFormat="1" applyFont="1" applyAlignment="1" applyProtection="1">
      <alignment horizontal="left" vertical="center"/>
      <protection locked="0"/>
    </xf>
    <xf numFmtId="183" fontId="8" fillId="0" borderId="22" xfId="11" applyNumberFormat="1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11" fillId="0" borderId="68" xfId="0" applyFont="1" applyBorder="1" applyAlignment="1">
      <alignment vertical="center"/>
    </xf>
    <xf numFmtId="0" fontId="11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11" fillId="0" borderId="71" xfId="0" applyFont="1" applyBorder="1" applyAlignment="1">
      <alignment vertical="center"/>
    </xf>
    <xf numFmtId="0" fontId="24" fillId="0" borderId="72" xfId="0" applyFont="1" applyBorder="1" applyAlignment="1">
      <alignment vertical="center"/>
    </xf>
    <xf numFmtId="0" fontId="24" fillId="0" borderId="73" xfId="0" applyFont="1" applyBorder="1" applyAlignment="1">
      <alignment vertical="center"/>
    </xf>
    <xf numFmtId="0" fontId="24" fillId="0" borderId="7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6" xfId="1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12" fillId="0" borderId="0" xfId="2" applyFont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9" xfId="2" applyFont="1" applyBorder="1" applyAlignment="1">
      <alignment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78" fillId="0" borderId="0" xfId="2" applyFont="1" applyAlignment="1">
      <alignment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" xfId="0" applyFont="1" applyBorder="1" applyAlignment="1">
      <alignment vertical="center"/>
    </xf>
    <xf numFmtId="0" fontId="14" fillId="0" borderId="10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Protection="1">
      <protection hidden="1"/>
    </xf>
    <xf numFmtId="0" fontId="12" fillId="0" borderId="4" xfId="0" applyFont="1" applyBorder="1" applyAlignment="1">
      <alignment vertical="center"/>
    </xf>
    <xf numFmtId="164" fontId="42" fillId="0" borderId="0" xfId="0" applyNumberFormat="1" applyFont="1" applyAlignment="1">
      <alignment horizontal="center" vertical="top"/>
    </xf>
    <xf numFmtId="0" fontId="14" fillId="0" borderId="12" xfId="0" applyFont="1" applyBorder="1" applyProtection="1">
      <protection hidden="1"/>
    </xf>
    <xf numFmtId="0" fontId="50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hidden="1"/>
    </xf>
    <xf numFmtId="165" fontId="8" fillId="0" borderId="0" xfId="0" applyNumberFormat="1" applyFont="1" applyAlignment="1" applyProtection="1">
      <alignment horizontal="center" vertical="center"/>
      <protection hidden="1"/>
    </xf>
    <xf numFmtId="164" fontId="8" fillId="0" borderId="0" xfId="2" applyNumberFormat="1" applyFont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79" fillId="0" borderId="8" xfId="2" applyFont="1" applyBorder="1" applyProtection="1">
      <protection locked="0"/>
    </xf>
    <xf numFmtId="0" fontId="19" fillId="0" borderId="7" xfId="2" applyFont="1" applyBorder="1" applyAlignment="1">
      <alignment vertical="center"/>
    </xf>
    <xf numFmtId="0" fontId="19" fillId="0" borderId="7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/>
      <protection hidden="1"/>
    </xf>
    <xf numFmtId="0" fontId="76" fillId="0" borderId="0" xfId="0" applyFont="1" applyProtection="1">
      <protection hidden="1"/>
    </xf>
    <xf numFmtId="0" fontId="5" fillId="7" borderId="0" xfId="2" applyFont="1" applyFill="1" applyAlignment="1">
      <alignment horizontal="left"/>
    </xf>
    <xf numFmtId="0" fontId="1" fillId="0" borderId="2" xfId="0" applyFont="1" applyBorder="1" applyAlignment="1">
      <alignment horizontal="left" indent="1"/>
    </xf>
    <xf numFmtId="0" fontId="1" fillId="0" borderId="23" xfId="0" applyFont="1" applyBorder="1" applyAlignment="1">
      <alignment horizontal="left" indent="1"/>
    </xf>
    <xf numFmtId="0" fontId="2" fillId="0" borderId="0" xfId="0" applyFont="1"/>
    <xf numFmtId="0" fontId="0" fillId="0" borderId="23" xfId="0" applyBorder="1" applyAlignment="1">
      <alignment horizontal="left" indent="1"/>
    </xf>
    <xf numFmtId="16" fontId="0" fillId="0" borderId="23" xfId="0" applyNumberFormat="1" applyBorder="1" applyAlignment="1">
      <alignment horizontal="left" indent="1"/>
    </xf>
    <xf numFmtId="0" fontId="8" fillId="0" borderId="23" xfId="11" applyFont="1" applyBorder="1" applyAlignment="1">
      <alignment horizontal="left" vertical="center" indent="1"/>
    </xf>
    <xf numFmtId="0" fontId="8" fillId="0" borderId="3" xfId="11" applyFont="1" applyBorder="1" applyAlignment="1">
      <alignment horizontal="left" vertical="center" indent="1"/>
    </xf>
    <xf numFmtId="0" fontId="2" fillId="7" borderId="0" xfId="2" applyFont="1" applyFill="1" applyAlignment="1">
      <alignment horizontal="left"/>
    </xf>
    <xf numFmtId="180" fontId="1" fillId="7" borderId="0" xfId="2" applyNumberFormat="1" applyFill="1" applyAlignment="1">
      <alignment horizontal="center" vertical="center"/>
    </xf>
    <xf numFmtId="180" fontId="12" fillId="7" borderId="1" xfId="9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2" fillId="7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1" fontId="12" fillId="7" borderId="0" xfId="2" applyNumberFormat="1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11" fontId="12" fillId="7" borderId="0" xfId="0" applyNumberFormat="1" applyFont="1" applyFill="1" applyAlignment="1">
      <alignment horizontal="center" vertical="center"/>
    </xf>
    <xf numFmtId="180" fontId="12" fillId="7" borderId="12" xfId="2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4" fontId="0" fillId="7" borderId="0" xfId="0" applyNumberFormat="1" applyFill="1" applyAlignment="1">
      <alignment vertical="center"/>
    </xf>
    <xf numFmtId="0" fontId="42" fillId="7" borderId="7" xfId="2" applyFont="1" applyFill="1" applyBorder="1" applyAlignment="1">
      <alignment vertical="center"/>
    </xf>
    <xf numFmtId="0" fontId="42" fillId="7" borderId="9" xfId="2" applyFont="1" applyFill="1" applyBorder="1" applyAlignment="1">
      <alignment vertical="center"/>
    </xf>
    <xf numFmtId="0" fontId="12" fillId="0" borderId="0" xfId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164" fontId="8" fillId="0" borderId="1" xfId="2" applyNumberFormat="1" applyFont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14" fillId="0" borderId="3" xfId="0" applyFont="1" applyBorder="1" applyAlignment="1" applyProtection="1">
      <alignment horizontal="center"/>
      <protection hidden="1"/>
    </xf>
    <xf numFmtId="0" fontId="42" fillId="0" borderId="7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9" fillId="0" borderId="5" xfId="0" applyFont="1" applyBorder="1" applyAlignment="1" applyProtection="1">
      <alignment horizontal="center" vertical="center" wrapText="1"/>
      <protection hidden="1"/>
    </xf>
    <xf numFmtId="0" fontId="19" fillId="0" borderId="6" xfId="0" applyFont="1" applyBorder="1" applyAlignment="1" applyProtection="1">
      <alignment horizontal="center" vertical="center" wrapText="1"/>
      <protection hidden="1"/>
    </xf>
    <xf numFmtId="0" fontId="19" fillId="0" borderId="31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42" fillId="0" borderId="0" xfId="0" applyNumberFormat="1" applyFont="1" applyAlignment="1" applyProtection="1">
      <alignment horizontal="center"/>
      <protection hidden="1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177" fontId="16" fillId="0" borderId="0" xfId="0" applyNumberFormat="1" applyFont="1" applyAlignment="1" applyProtection="1">
      <alignment horizontal="center"/>
      <protection locked="0"/>
    </xf>
    <xf numFmtId="178" fontId="8" fillId="0" borderId="0" xfId="11" applyNumberFormat="1" applyFont="1" applyAlignment="1" applyProtection="1">
      <alignment horizontal="left" vertical="center"/>
      <protection locked="0"/>
    </xf>
    <xf numFmtId="166" fontId="8" fillId="0" borderId="0" xfId="11" applyNumberFormat="1" applyFont="1" applyAlignment="1" applyProtection="1">
      <alignment horizontal="left" vertical="center"/>
      <protection locked="0"/>
    </xf>
    <xf numFmtId="0" fontId="8" fillId="0" borderId="0" xfId="2" applyFont="1" applyAlignment="1">
      <alignment horizontal="left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13" fillId="0" borderId="31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0" fontId="63" fillId="0" borderId="0" xfId="3" quotePrefix="1" applyFont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9" fillId="0" borderId="22" xfId="2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2" borderId="7" xfId="2" applyFont="1" applyFill="1" applyBorder="1" applyAlignment="1" applyProtection="1">
      <alignment horizontal="center" vertical="center" wrapText="1"/>
      <protection locked="0"/>
    </xf>
    <xf numFmtId="0" fontId="13" fillId="2" borderId="9" xfId="2" applyFont="1" applyFill="1" applyBorder="1" applyAlignment="1" applyProtection="1">
      <alignment horizontal="center" vertical="center" wrapText="1"/>
      <protection locked="0"/>
    </xf>
    <xf numFmtId="179" fontId="8" fillId="0" borderId="0" xfId="11" applyNumberFormat="1" applyFont="1" applyAlignment="1" applyProtection="1">
      <alignment horizontal="left" vertical="center"/>
      <protection locked="0"/>
    </xf>
    <xf numFmtId="179" fontId="8" fillId="0" borderId="22" xfId="11" applyNumberFormat="1" applyFont="1" applyBorder="1" applyAlignment="1" applyProtection="1">
      <alignment horizontal="left" vertical="center"/>
      <protection locked="0"/>
    </xf>
    <xf numFmtId="166" fontId="8" fillId="0" borderId="22" xfId="11" applyNumberFormat="1" applyFont="1" applyBorder="1" applyAlignment="1" applyProtection="1">
      <alignment horizontal="left" vertical="center"/>
      <protection locked="0"/>
    </xf>
    <xf numFmtId="181" fontId="16" fillId="0" borderId="0" xfId="0" applyNumberFormat="1" applyFont="1" applyAlignment="1" applyProtection="1">
      <alignment horizontal="center"/>
      <protection locked="0"/>
    </xf>
    <xf numFmtId="0" fontId="12" fillId="0" borderId="0" xfId="3" quotePrefix="1" applyFont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0" xfId="3" quotePrefix="1" applyFont="1" applyAlignment="1">
      <alignment horizontal="left" vertical="center"/>
    </xf>
    <xf numFmtId="0" fontId="2" fillId="0" borderId="1" xfId="2" applyFont="1" applyBorder="1" applyAlignment="1" applyProtection="1">
      <alignment horizontal="center" vertical="center"/>
      <protection locked="0"/>
    </xf>
    <xf numFmtId="0" fontId="19" fillId="7" borderId="7" xfId="0" applyFont="1" applyFill="1" applyBorder="1" applyAlignment="1" applyProtection="1">
      <alignment horizontal="center" vertical="center"/>
      <protection locked="0"/>
    </xf>
    <xf numFmtId="0" fontId="19" fillId="7" borderId="9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/>
    </xf>
    <xf numFmtId="0" fontId="13" fillId="7" borderId="9" xfId="2" applyFont="1" applyFill="1" applyBorder="1" applyAlignment="1">
      <alignment horizontal="center" vertical="center"/>
    </xf>
    <xf numFmtId="0" fontId="13" fillId="7" borderId="7" xfId="2" applyFont="1" applyFill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164" fontId="13" fillId="7" borderId="7" xfId="0" applyNumberFormat="1" applyFont="1" applyFill="1" applyBorder="1" applyAlignment="1">
      <alignment horizontal="center" vertical="center" wrapText="1"/>
    </xf>
    <xf numFmtId="164" fontId="13" fillId="7" borderId="9" xfId="0" applyNumberFormat="1" applyFont="1" applyFill="1" applyBorder="1" applyAlignment="1">
      <alignment horizontal="center" vertical="center" wrapText="1"/>
    </xf>
    <xf numFmtId="0" fontId="50" fillId="8" borderId="7" xfId="2" applyFont="1" applyFill="1" applyBorder="1" applyAlignment="1" applyProtection="1">
      <alignment horizontal="left" vertical="center"/>
      <protection locked="0"/>
    </xf>
    <xf numFmtId="0" fontId="50" fillId="8" borderId="9" xfId="2" applyFont="1" applyFill="1" applyBorder="1" applyAlignment="1" applyProtection="1">
      <alignment horizontal="left" vertical="center"/>
      <protection locked="0"/>
    </xf>
    <xf numFmtId="180" fontId="1" fillId="7" borderId="7" xfId="2" applyNumberFormat="1" applyFill="1" applyBorder="1" applyAlignment="1">
      <alignment horizontal="center" vertical="center"/>
    </xf>
    <xf numFmtId="180" fontId="1" fillId="7" borderId="9" xfId="2" applyNumberFormat="1" applyFill="1" applyBorder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12" fillId="7" borderId="1" xfId="12" applyFont="1" applyFill="1" applyBorder="1" applyAlignment="1">
      <alignment horizontal="center" vertical="center" wrapText="1"/>
    </xf>
    <xf numFmtId="0" fontId="24" fillId="7" borderId="5" xfId="9" applyFont="1" applyFill="1" applyBorder="1" applyAlignment="1">
      <alignment horizontal="center" vertical="center" wrapText="1"/>
    </xf>
    <xf numFmtId="0" fontId="24" fillId="7" borderId="6" xfId="9" applyFont="1" applyFill="1" applyBorder="1" applyAlignment="1">
      <alignment horizontal="center" vertical="center" wrapText="1"/>
    </xf>
    <xf numFmtId="0" fontId="24" fillId="7" borderId="31" xfId="9" applyFont="1" applyFill="1" applyBorder="1" applyAlignment="1">
      <alignment horizontal="center" vertical="center" wrapText="1"/>
    </xf>
    <xf numFmtId="0" fontId="24" fillId="7" borderId="4" xfId="9" applyFont="1" applyFill="1" applyBorder="1" applyAlignment="1">
      <alignment horizontal="center" vertical="center" wrapText="1"/>
    </xf>
    <xf numFmtId="0" fontId="24" fillId="7" borderId="0" xfId="9" applyFont="1" applyFill="1" applyAlignment="1">
      <alignment horizontal="center" vertical="center" wrapText="1"/>
    </xf>
    <xf numFmtId="0" fontId="24" fillId="7" borderId="22" xfId="9" applyFont="1" applyFill="1" applyBorder="1" applyAlignment="1">
      <alignment horizontal="center" vertical="center" wrapText="1"/>
    </xf>
    <xf numFmtId="0" fontId="24" fillId="7" borderId="10" xfId="9" applyFont="1" applyFill="1" applyBorder="1" applyAlignment="1">
      <alignment horizontal="center" vertical="center" wrapText="1"/>
    </xf>
    <xf numFmtId="0" fontId="24" fillId="7" borderId="12" xfId="9" applyFont="1" applyFill="1" applyBorder="1" applyAlignment="1">
      <alignment horizontal="center" vertical="center" wrapText="1"/>
    </xf>
    <xf numFmtId="0" fontId="24" fillId="7" borderId="11" xfId="9" applyFont="1" applyFill="1" applyBorder="1" applyAlignment="1">
      <alignment horizontal="center" vertical="center" wrapText="1"/>
    </xf>
    <xf numFmtId="0" fontId="12" fillId="7" borderId="2" xfId="9" applyFont="1" applyFill="1" applyBorder="1" applyAlignment="1">
      <alignment horizontal="center"/>
    </xf>
    <xf numFmtId="0" fontId="12" fillId="7" borderId="23" xfId="9" applyFont="1" applyFill="1" applyBorder="1" applyAlignment="1">
      <alignment horizontal="center"/>
    </xf>
    <xf numFmtId="0" fontId="12" fillId="7" borderId="3" xfId="9" applyFont="1" applyFill="1" applyBorder="1" applyAlignment="1">
      <alignment horizontal="center"/>
    </xf>
    <xf numFmtId="0" fontId="76" fillId="0" borderId="7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180" fontId="76" fillId="0" borderId="7" xfId="0" applyNumberFormat="1" applyFont="1" applyBorder="1" applyAlignment="1">
      <alignment horizontal="center" vertical="center"/>
    </xf>
    <xf numFmtId="180" fontId="76" fillId="0" borderId="9" xfId="0" applyNumberFormat="1" applyFont="1" applyBorder="1" applyAlignment="1">
      <alignment horizontal="center" vertical="center"/>
    </xf>
    <xf numFmtId="0" fontId="2" fillId="7" borderId="64" xfId="0" applyFont="1" applyFill="1" applyBorder="1" applyAlignment="1">
      <alignment horizontal="center" vertical="center"/>
    </xf>
    <xf numFmtId="0" fontId="2" fillId="7" borderId="65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42" fillId="7" borderId="51" xfId="2" applyFont="1" applyFill="1" applyBorder="1" applyAlignment="1">
      <alignment horizontal="center" vertical="center" wrapText="1"/>
    </xf>
    <xf numFmtId="0" fontId="42" fillId="7" borderId="52" xfId="2" applyFont="1" applyFill="1" applyBorder="1" applyAlignment="1">
      <alignment horizontal="center" vertical="center" wrapText="1"/>
    </xf>
    <xf numFmtId="0" fontId="42" fillId="7" borderId="53" xfId="2" applyFont="1" applyFill="1" applyBorder="1" applyAlignment="1">
      <alignment horizontal="center" vertical="center" wrapText="1"/>
    </xf>
    <xf numFmtId="0" fontId="42" fillId="7" borderId="19" xfId="2" applyFont="1" applyFill="1" applyBorder="1" applyAlignment="1">
      <alignment horizontal="center" vertical="center" wrapText="1"/>
    </xf>
    <xf numFmtId="0" fontId="42" fillId="7" borderId="20" xfId="2" applyFont="1" applyFill="1" applyBorder="1" applyAlignment="1">
      <alignment horizontal="center" vertical="center" wrapText="1"/>
    </xf>
    <xf numFmtId="0" fontId="42" fillId="7" borderId="21" xfId="2" applyFont="1" applyFill="1" applyBorder="1" applyAlignment="1">
      <alignment horizontal="center" vertical="center" wrapText="1"/>
    </xf>
    <xf numFmtId="0" fontId="2" fillId="7" borderId="6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7" fillId="0" borderId="0" xfId="3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1" fillId="0" borderId="17" xfId="0" applyFont="1" applyBorder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164" fontId="8" fillId="0" borderId="5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61" fillId="0" borderId="0" xfId="3" applyFont="1" applyAlignment="1" applyProtection="1">
      <alignment horizontal="left" vertical="center" wrapText="1"/>
      <protection hidden="1"/>
    </xf>
    <xf numFmtId="0" fontId="13" fillId="10" borderId="1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vertical="center"/>
    </xf>
    <xf numFmtId="0" fontId="13" fillId="0" borderId="17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0" fontId="8" fillId="0" borderId="0" xfId="0" applyFont="1" applyAlignment="1">
      <alignment horizontal="center" vertical="center"/>
    </xf>
    <xf numFmtId="0" fontId="15" fillId="0" borderId="4" xfId="11" applyFont="1" applyBorder="1" applyAlignment="1">
      <alignment horizontal="left" vertical="center" wrapText="1"/>
    </xf>
    <xf numFmtId="0" fontId="15" fillId="0" borderId="0" xfId="11" applyFont="1" applyAlignment="1">
      <alignment horizontal="left" vertical="center" wrapText="1"/>
    </xf>
    <xf numFmtId="171" fontId="16" fillId="0" borderId="0" xfId="0" applyNumberFormat="1" applyFont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31" xfId="0" applyFont="1" applyBorder="1" applyAlignment="1" applyProtection="1">
      <alignment horizontal="center" vertical="center"/>
      <protection hidden="1"/>
    </xf>
    <xf numFmtId="14" fontId="6" fillId="7" borderId="12" xfId="0" applyNumberFormat="1" applyFont="1" applyFill="1" applyBorder="1" applyAlignment="1" applyProtection="1">
      <alignment horizontal="left" vertical="center"/>
      <protection hidden="1"/>
    </xf>
    <xf numFmtId="0" fontId="13" fillId="0" borderId="51" xfId="0" applyFont="1" applyBorder="1" applyAlignment="1" applyProtection="1">
      <alignment horizontal="center"/>
      <protection hidden="1"/>
    </xf>
    <xf numFmtId="0" fontId="13" fillId="0" borderId="52" xfId="0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center"/>
      <protection hidden="1"/>
    </xf>
    <xf numFmtId="0" fontId="24" fillId="0" borderId="10" xfId="0" applyFont="1" applyBorder="1" applyAlignment="1" applyProtection="1">
      <alignment horizontal="center" vertical="center"/>
      <protection hidden="1"/>
    </xf>
    <xf numFmtId="0" fontId="24" fillId="0" borderId="12" xfId="0" applyFont="1" applyBorder="1" applyAlignment="1" applyProtection="1">
      <alignment horizontal="center" vertical="center"/>
      <protection hidden="1"/>
    </xf>
    <xf numFmtId="0" fontId="24" fillId="0" borderId="11" xfId="0" applyFont="1" applyBorder="1" applyAlignment="1" applyProtection="1">
      <alignment horizontal="center" vertical="center"/>
      <protection hidden="1"/>
    </xf>
    <xf numFmtId="0" fontId="50" fillId="0" borderId="7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64" fontId="8" fillId="0" borderId="0" xfId="0" applyNumberFormat="1" applyFont="1" applyAlignment="1" applyProtection="1">
      <alignment horizontal="center" vertical="center"/>
      <protection hidden="1"/>
    </xf>
    <xf numFmtId="172" fontId="16" fillId="0" borderId="0" xfId="0" applyNumberFormat="1" applyFont="1" applyAlignment="1" applyProtection="1">
      <alignment horizontal="center"/>
      <protection hidden="1"/>
    </xf>
    <xf numFmtId="0" fontId="63" fillId="0" borderId="0" xfId="3" applyFont="1" applyAlignment="1" applyProtection="1">
      <alignment horizontal="left" vertical="center" wrapText="1"/>
      <protection hidden="1"/>
    </xf>
    <xf numFmtId="0" fontId="8" fillId="0" borderId="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2" fontId="8" fillId="0" borderId="10" xfId="0" applyNumberFormat="1" applyFont="1" applyBorder="1" applyAlignment="1" applyProtection="1">
      <alignment horizontal="center" vertical="center"/>
      <protection hidden="1"/>
    </xf>
    <xf numFmtId="2" fontId="8" fillId="0" borderId="11" xfId="0" applyNumberFormat="1" applyFont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64" fontId="50" fillId="0" borderId="7" xfId="0" applyNumberFormat="1" applyFont="1" applyBorder="1" applyAlignment="1">
      <alignment horizontal="center" vertical="center"/>
    </xf>
    <xf numFmtId="12" fontId="8" fillId="0" borderId="7" xfId="0" applyNumberFormat="1" applyFont="1" applyBorder="1" applyAlignment="1" applyProtection="1">
      <alignment horizontal="center" vertical="center"/>
      <protection hidden="1"/>
    </xf>
    <xf numFmtId="12" fontId="8" fillId="0" borderId="9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 wrapText="1"/>
    </xf>
    <xf numFmtId="164" fontId="8" fillId="0" borderId="10" xfId="0" applyNumberFormat="1" applyFont="1" applyBorder="1" applyAlignment="1" applyProtection="1">
      <alignment horizontal="center" vertical="center"/>
      <protection hidden="1"/>
    </xf>
    <xf numFmtId="164" fontId="8" fillId="0" borderId="11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/>
    </xf>
    <xf numFmtId="0" fontId="12" fillId="0" borderId="0" xfId="1" applyFont="1" applyBorder="1" applyAlignment="1" applyProtection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center" vertical="center" wrapText="1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0" fontId="19" fillId="2" borderId="4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1" xfId="0" applyFont="1" applyBorder="1" applyAlignment="1" applyProtection="1">
      <alignment horizontal="center"/>
      <protection hidden="1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2" fontId="12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8" xfId="0" applyNumberFormat="1" applyFont="1" applyFill="1" applyBorder="1" applyAlignment="1" applyProtection="1">
      <alignment horizontal="center" vertical="center"/>
      <protection hidden="1"/>
    </xf>
    <xf numFmtId="12" fontId="12" fillId="2" borderId="9" xfId="0" applyNumberFormat="1" applyFont="1" applyFill="1" applyBorder="1" applyAlignment="1" applyProtection="1">
      <alignment horizontal="center" vertical="center"/>
      <protection hidden="1"/>
    </xf>
  </cellXfs>
  <cellStyles count="13">
    <cellStyle name="Hipervínculo" xfId="1" builtinId="8"/>
    <cellStyle name="Normal" xfId="0" builtinId="0"/>
    <cellStyle name="Normal 2" xfId="2" xr:uid="{E25D6586-2153-4753-8FC6-EAFD9DEF015D}"/>
    <cellStyle name="Normal 2 2" xfId="3" xr:uid="{0801F13D-5F07-4EB0-992C-569502D59874}"/>
    <cellStyle name="Normal 3" xfId="4" xr:uid="{241C7BC3-E633-450B-8FC6-940F33F930A0}"/>
    <cellStyle name="Normal 4" xfId="5" xr:uid="{19F633D9-A412-447D-B6DA-E31A975DC726}"/>
    <cellStyle name="Normal 5" xfId="6" xr:uid="{7A269588-0E23-4CDF-A70C-1E692C4EF82B}"/>
    <cellStyle name="Normal 5 2" xfId="7" xr:uid="{38C84080-8C80-421E-AC12-C1730BC03030}"/>
    <cellStyle name="Normal 5 4" xfId="8" xr:uid="{7D3C2210-6A80-4D82-B1A3-1CE87D957F95}"/>
    <cellStyle name="Normal 6" xfId="9" xr:uid="{D50FED0A-DD21-470D-84EE-880D31C90133}"/>
    <cellStyle name="Normal 7" xfId="10" xr:uid="{96A6AA35-C958-4D30-9FAA-32F1AB73CA5B}"/>
    <cellStyle name="Normal_ENSAYOS" xfId="11" xr:uid="{71CF0C45-07DA-4226-9AE5-6F7E0CFAD0D5}"/>
    <cellStyle name="Normal_Produc. 07-09-99 2" xfId="12" xr:uid="{268F2EF4-99AF-48E7-A9C0-2ED6738B590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050968947186982E-2"/>
          <c:y val="0.19752723835565572"/>
          <c:w val="0.8669964641645993"/>
          <c:h val="0.58905908465621859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1-453D-903E-7CE2D0D08F6F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911-453D-903E-7CE2D0D08F6F}"/>
                </c:ext>
              </c:extLst>
            </c:dLbl>
            <c:dLbl>
              <c:idx val="1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911-453D-903E-7CE2D0D08F6F}"/>
                </c:ext>
              </c:extLst>
            </c:dLbl>
            <c:dLbl>
              <c:idx val="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911-453D-903E-7CE2D0D08F6F}"/>
                </c:ext>
              </c:extLst>
            </c:dLbl>
            <c:dLbl>
              <c:idx val="3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37.5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911-453D-903E-7CE2D0D08F6F}"/>
                </c:ext>
              </c:extLst>
            </c:dLbl>
            <c:dLbl>
              <c:idx val="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911-453D-903E-7CE2D0D08F6F}"/>
                </c:ext>
              </c:extLst>
            </c:dLbl>
            <c:dLbl>
              <c:idx val="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911-453D-903E-7CE2D0D08F6F}"/>
                </c:ext>
              </c:extLst>
            </c:dLbl>
            <c:dLbl>
              <c:idx val="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12.5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911-453D-903E-7CE2D0D08F6F}"/>
                </c:ext>
              </c:extLst>
            </c:dLbl>
            <c:dLbl>
              <c:idx val="7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9.5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911-453D-903E-7CE2D0D08F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11-453D-903E-7CE2D0D08F6F}"/>
                </c:ext>
              </c:extLst>
            </c:dLbl>
            <c:dLbl>
              <c:idx val="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4.75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911-453D-903E-7CE2D0D08F6F}"/>
                </c:ext>
              </c:extLst>
            </c:dLbl>
            <c:dLbl>
              <c:idx val="1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2.36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911-453D-903E-7CE2D0D08F6F}"/>
                </c:ext>
              </c:extLst>
            </c:dLbl>
            <c:dLbl>
              <c:idx val="1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1.18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911-453D-903E-7CE2D0D08F6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11-453D-903E-7CE2D0D08F6F}"/>
                </c:ext>
              </c:extLst>
            </c:dLbl>
            <c:dLbl>
              <c:idx val="1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0.600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911-453D-903E-7CE2D0D08F6F}"/>
                </c:ext>
              </c:extLst>
            </c:dLbl>
            <c:dLbl>
              <c:idx val="1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0.425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911-453D-903E-7CE2D0D08F6F}"/>
                </c:ext>
              </c:extLst>
            </c:dLbl>
            <c:dLbl>
              <c:idx val="1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0.300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911-453D-903E-7CE2D0D08F6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11-453D-903E-7CE2D0D08F6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911-453D-903E-7CE2D0D08F6F}"/>
                </c:ext>
              </c:extLst>
            </c:dLbl>
            <c:dLbl>
              <c:idx val="1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0.150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911-453D-903E-7CE2D0D08F6F}"/>
                </c:ext>
              </c:extLst>
            </c:dLbl>
            <c:dLbl>
              <c:idx val="2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0.075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911-453D-903E-7CE2D0D08F6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11-453D-903E-7CE2D0D08F6F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11-453D-903E-7CE2D0D08F6F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11-453D-903E-7CE2D0D08F6F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11-453D-903E-7CE2D0D08F6F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11-453D-903E-7CE2D0D08F6F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'GRANULOMETRIA (2)'!$AB$25:$AB$41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(2)'!$AC$25:$AC$41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11-453D-903E-7CE2D0D08F6F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9911-453D-903E-7CE2D0D08F6F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9911-453D-903E-7CE2D0D0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6672"/>
        <c:axId val="1"/>
      </c:scatterChart>
      <c:valAx>
        <c:axId val="157435667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 algn="l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                       </a:t>
                </a:r>
              </a:p>
            </c:rich>
          </c:tx>
          <c:layout>
            <c:manualLayout>
              <c:xMode val="edge"/>
              <c:yMode val="edge"/>
              <c:x val="0.39737341426071743"/>
              <c:y val="0.890244700181708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 EL TAMIZ</a:t>
                </a:r>
              </a:p>
            </c:rich>
          </c:tx>
          <c:layout>
            <c:manualLayout>
              <c:xMode val="edge"/>
              <c:yMode val="edge"/>
              <c:x val="0.94629661526684161"/>
              <c:y val="0.25988249545729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56672"/>
        <c:crossesAt val="1E-3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1896896203833752"/>
          <c:w val="0.84158415841584155"/>
          <c:h val="0.65636376025092369"/>
        </c:manualLayout>
      </c:layout>
      <c:scatterChart>
        <c:scatterStyle val="lineMarker"/>
        <c:varyColors val="0"/>
        <c:ser>
          <c:idx val="2"/>
          <c:order val="0"/>
          <c:tx>
            <c:v>Porcentaje que pasa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'GRANULOMETRIA (3)'!$AA$25:$AA$41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(3)'!$AB$25:$AB$41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2E7-A215-3C017568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2288"/>
        <c:axId val="1"/>
      </c:scatterChart>
      <c:valAx>
        <c:axId val="103530228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1828521434820648"/>
              <c:y val="0.9316805652458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Material total que pasa por cada tamiz (%)</a:t>
                </a:r>
              </a:p>
            </c:rich>
          </c:tx>
          <c:layout>
            <c:manualLayout>
              <c:xMode val="edge"/>
              <c:yMode val="edge"/>
              <c:x val="2.0636890727642094E-2"/>
              <c:y val="0.16615923009623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3530228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 in</a:t>
            </a:r>
          </a:p>
        </c:rich>
      </c:tx>
      <c:layout>
        <c:manualLayout>
          <c:xMode val="edge"/>
          <c:yMode val="edge"/>
          <c:x val="0.15084978400362845"/>
          <c:y val="5.10641575208504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 in (g)</c:v>
              </c:pt>
              <c:pt idx="1">
                <c:v>Abertura de Tamiz  3 in (mm)</c:v>
              </c:pt>
              <c:pt idx="2">
                <c:v>M total (g)</c:v>
              </c:pt>
              <c:pt idx="3">
                <c:v>Factor de presición 3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84-452E-8D0E-A03F09841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9008"/>
        <c:axId val="1"/>
      </c:barChart>
      <c:catAx>
        <c:axId val="10353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09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in</a:t>
            </a:r>
          </a:p>
        </c:rich>
      </c:tx>
      <c:layout>
        <c:manualLayout>
          <c:xMode val="edge"/>
          <c:yMode val="edge"/>
          <c:x val="0.15084964832568135"/>
          <c:y val="5.1063162559225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in (g)</c:v>
              </c:pt>
              <c:pt idx="1">
                <c:v>Abertura de Tamiz  2 in (mm)</c:v>
              </c:pt>
              <c:pt idx="2">
                <c:v>M total (g)</c:v>
              </c:pt>
              <c:pt idx="3">
                <c:v>Factor de presición 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23A-4BCB-AA4D-97C8145F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6128"/>
        <c:axId val="1"/>
      </c:barChart>
      <c:catAx>
        <c:axId val="103530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06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1/2  in</a:t>
            </a:r>
          </a:p>
        </c:rich>
      </c:tx>
      <c:layout>
        <c:manualLayout>
          <c:xMode val="edge"/>
          <c:yMode val="edge"/>
          <c:x val="0.15085001746795304"/>
          <c:y val="5.106318231960135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1/2 in (g)</c:v>
              </c:pt>
              <c:pt idx="1">
                <c:v>Abertura de Tamiz 1 1/2 in (mm)</c:v>
              </c:pt>
              <c:pt idx="2">
                <c:v>M total (g)</c:v>
              </c:pt>
              <c:pt idx="3">
                <c:v>Factor de presición 1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117-4EF2-87F8-59C36099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18128"/>
        <c:axId val="1"/>
      </c:barChart>
      <c:catAx>
        <c:axId val="103531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18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 in</a:t>
            </a:r>
          </a:p>
        </c:rich>
      </c:tx>
      <c:layout>
        <c:manualLayout>
          <c:xMode val="edge"/>
          <c:yMode val="edge"/>
          <c:x val="0.15084967320261439"/>
          <c:y val="5.106372433059601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in (g)</c:v>
              </c:pt>
              <c:pt idx="1">
                <c:v>Abertura de Tamiz 1 in (mm)</c:v>
              </c:pt>
              <c:pt idx="2">
                <c:v>M total (g)</c:v>
              </c:pt>
              <c:pt idx="3">
                <c:v>Factor de presición 1 in</c:v>
              </c:pt>
            </c:strLit>
          </c:cat>
          <c:val>
            <c:numLit>
              <c:formatCode>General</c:formatCode>
              <c:ptCount val="4"/>
              <c:pt idx="0">
                <c:v>4.83350083972488E-3</c:v>
              </c:pt>
              <c:pt idx="1">
                <c:v>1.0500000000000001E-2</c:v>
              </c:pt>
              <c:pt idx="2">
                <c:v>7.70251984781384E-5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7E8-4645-8574-9CEB01A2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1008"/>
        <c:axId val="1"/>
      </c:barChart>
      <c:catAx>
        <c:axId val="10353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1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3/4  in</a:t>
            </a:r>
          </a:p>
        </c:rich>
      </c:tx>
      <c:layout>
        <c:manualLayout>
          <c:xMode val="edge"/>
          <c:yMode val="edge"/>
          <c:x val="0.1508496561896705"/>
          <c:y val="5.10639699449333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3/4 in (g)</c:v>
              </c:pt>
              <c:pt idx="1">
                <c:v>Abertura de Tamiz 3/4 in (mm)</c:v>
              </c:pt>
              <c:pt idx="2">
                <c:v>M total (g)</c:v>
              </c:pt>
              <c:pt idx="3">
                <c:v>Factor de presición 3/4 in</c:v>
              </c:pt>
            </c:strLit>
          </c:cat>
          <c:val>
            <c:numLit>
              <c:formatCode>General</c:formatCode>
              <c:ptCount val="4"/>
              <c:pt idx="0">
                <c:v>4.8819514658234699E-3</c:v>
              </c:pt>
              <c:pt idx="1">
                <c:v>1.0500000000000001E-2</c:v>
              </c:pt>
              <c:pt idx="2">
                <c:v>1.7396446126578501E-3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1F-4735-AFE7-00FE984B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2448"/>
        <c:axId val="1"/>
      </c:barChart>
      <c:catAx>
        <c:axId val="103532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24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3/8  in</a:t>
            </a:r>
          </a:p>
        </c:rich>
      </c:tx>
      <c:layout>
        <c:manualLayout>
          <c:xMode val="edge"/>
          <c:yMode val="edge"/>
          <c:x val="0.15084959488759556"/>
          <c:y val="5.106337016514910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3/8 in (g)</c:v>
              </c:pt>
              <c:pt idx="1">
                <c:v>Abertura de Tamiz 3/8 in (mm)</c:v>
              </c:pt>
              <c:pt idx="2">
                <c:v>M total (g)</c:v>
              </c:pt>
              <c:pt idx="3">
                <c:v>Factor de presición 3/8 in</c:v>
              </c:pt>
            </c:strLit>
          </c:cat>
          <c:val>
            <c:numLit>
              <c:formatCode>General</c:formatCode>
              <c:ptCount val="4"/>
              <c:pt idx="0">
                <c:v>5.2091822603265604E-3</c:v>
              </c:pt>
              <c:pt idx="1">
                <c:v>1.0500000000000001E-2</c:v>
              </c:pt>
              <c:pt idx="2">
                <c:v>4.9525868026419799E-3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72-4BE6-8812-0F43EEEA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9168"/>
        <c:axId val="1"/>
      </c:barChart>
      <c:catAx>
        <c:axId val="10353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91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No.4 </a:t>
            </a:r>
          </a:p>
        </c:rich>
      </c:tx>
      <c:layout>
        <c:manualLayout>
          <c:xMode val="edge"/>
          <c:yMode val="edge"/>
          <c:x val="0.15084967320261439"/>
          <c:y val="5.10641102597601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5479109228993436"/>
          <c:y val="0.19277533039647576"/>
          <c:w val="0.47100730055801848"/>
          <c:h val="0.6600783932845398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 (g)</c:v>
              </c:pt>
              <c:pt idx="1">
                <c:v>Abertura de Tamiz No. 4 (mm)</c:v>
              </c:pt>
              <c:pt idx="2">
                <c:v>M total (g)</c:v>
              </c:pt>
              <c:pt idx="3">
                <c:v>Factor de presición No. 4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1.1025E-4</c:v>
              </c:pt>
              <c:pt idx="2">
                <c:v>0.33550911513819698</c:v>
              </c:pt>
              <c:pt idx="3">
                <c:v>0.67915462647517799</c:v>
              </c:pt>
            </c:numLit>
          </c:val>
          <c:extLst>
            <c:ext xmlns:c16="http://schemas.microsoft.com/office/drawing/2014/chart" uri="{C3380CC4-5D6E-409C-BE32-E72D297353CC}">
              <c16:uniqueId val="{00000000-0B74-43F9-9DA9-C23F98EC8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7248"/>
        <c:axId val="1"/>
      </c:barChart>
      <c:catAx>
        <c:axId val="103532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72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10  </a:t>
            </a:r>
          </a:p>
        </c:rich>
      </c:tx>
      <c:layout>
        <c:manualLayout>
          <c:xMode val="edge"/>
          <c:yMode val="edge"/>
          <c:x val="0.15084987615984621"/>
          <c:y val="5.10641851586733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10 (g)</c:v>
              </c:pt>
              <c:pt idx="1">
                <c:v>Abertura de Tamiz No. 10 (mm)</c:v>
              </c:pt>
              <c:pt idx="2">
                <c:v>M total (g)</c:v>
              </c:pt>
              <c:pt idx="3">
                <c:v>Factor de presición No. 10</c:v>
              </c:pt>
            </c:strLit>
          </c:cat>
          <c:val>
            <c:numRef>
              <c:f>Incertidumbre!$K$182:$K$185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2-4430-9936-1640ACC9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30608"/>
        <c:axId val="1"/>
      </c:barChart>
      <c:catAx>
        <c:axId val="103533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3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16  </a:t>
            </a:r>
          </a:p>
        </c:rich>
      </c:tx>
      <c:layout>
        <c:manualLayout>
          <c:xMode val="edge"/>
          <c:yMode val="edge"/>
          <c:x val="0.15084967320261439"/>
          <c:y val="5.106346081739782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16 (g)</c:v>
              </c:pt>
              <c:pt idx="1">
                <c:v>Abertura de Tamiz No. 16 (mm)</c:v>
              </c:pt>
              <c:pt idx="2">
                <c:v>M total (g)</c:v>
              </c:pt>
              <c:pt idx="3">
                <c:v>Factor de presición No. 16</c:v>
              </c:pt>
            </c:strLit>
          </c:cat>
          <c:val>
            <c:numRef>
              <c:f>Incertidumbre!$K$196:$K$199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4B80-9E9B-D92C4FAA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3520"/>
        <c:axId val="1"/>
      </c:barChart>
      <c:catAx>
        <c:axId val="157294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435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40</a:t>
            </a:r>
          </a:p>
        </c:rich>
      </c:tx>
      <c:layout>
        <c:manualLayout>
          <c:xMode val="edge"/>
          <c:yMode val="edge"/>
          <c:x val="0.15084967320261439"/>
          <c:y val="5.106392950881139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40 (g)</c:v>
              </c:pt>
              <c:pt idx="1">
                <c:v>Abertura de Tamiz No. 40 (mm)</c:v>
              </c:pt>
              <c:pt idx="2">
                <c:v>M total (g)</c:v>
              </c:pt>
              <c:pt idx="3">
                <c:v>Factor de presición No. 40</c:v>
              </c:pt>
            </c:strLit>
          </c:cat>
          <c:val>
            <c:numRef>
              <c:f>Incertidumbre!$K$224:$K$227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A-4A53-9146-4C2CFC43C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7360"/>
        <c:axId val="1"/>
      </c:barChart>
      <c:catAx>
        <c:axId val="15729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4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50</a:t>
            </a:r>
          </a:p>
        </c:rich>
      </c:tx>
      <c:layout>
        <c:manualLayout>
          <c:xMode val="edge"/>
          <c:yMode val="edge"/>
          <c:x val="0.15084967320261439"/>
          <c:y val="5.10637079455977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185211875477769"/>
          <c:y val="0.18072727272727274"/>
          <c:w val="0.45265494229165792"/>
          <c:h val="0.64926270579813883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50 (g)</c:v>
              </c:pt>
              <c:pt idx="1">
                <c:v>Abertura de Tamiz No. 50 (mm)</c:v>
              </c:pt>
              <c:pt idx="2">
                <c:v>M total (g)</c:v>
              </c:pt>
              <c:pt idx="3">
                <c:v>Factor de presición No. 50</c:v>
              </c:pt>
            </c:strLit>
          </c:cat>
          <c:val>
            <c:numRef>
              <c:f>Incertidumbre!$K$238:$K$241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9-4B5B-8774-7741F25C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32000"/>
        <c:axId val="1"/>
      </c:barChart>
      <c:catAx>
        <c:axId val="15729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32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 No. 100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140 (g)</c:v>
              </c:pt>
              <c:pt idx="1">
                <c:v>Abertura de Tamiz No. 140 (mm)</c:v>
              </c:pt>
              <c:pt idx="2">
                <c:v>M total (g)</c:v>
              </c:pt>
              <c:pt idx="3">
                <c:v>Factor de presición No. 140</c:v>
              </c:pt>
            </c:strLit>
          </c:cat>
          <c:val>
            <c:numRef>
              <c:f>Incertidumbre!$K$252:$K$255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9-458E-835E-0CCBFE4C2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3600"/>
        <c:axId val="1"/>
      </c:barChart>
      <c:catAx>
        <c:axId val="157295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36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200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200 (g)</c:v>
              </c:pt>
              <c:pt idx="1">
                <c:v>Abertura de Tamiz No. 200 (mm)</c:v>
              </c:pt>
              <c:pt idx="2">
                <c:v>M total (g)</c:v>
              </c:pt>
              <c:pt idx="3">
                <c:v>Factor de presición No. 200</c:v>
              </c:pt>
            </c:strLit>
          </c:cat>
          <c:val>
            <c:numRef>
              <c:f>Incertidumbre!$K$266:$K$269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A-474C-BC51-C9313D12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0720"/>
        <c:axId val="1"/>
      </c:barChart>
      <c:catAx>
        <c:axId val="157295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07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1/2 in</a:t>
            </a:r>
          </a:p>
        </c:rich>
      </c:tx>
      <c:layout>
        <c:manualLayout>
          <c:xMode val="edge"/>
          <c:yMode val="edge"/>
          <c:x val="0.15084978863623355"/>
          <c:y val="5.106390272644491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1/2 in (g)</c:v>
              </c:pt>
              <c:pt idx="1">
                <c:v>Abertura de Tamiz  2 1/2 in (mm)</c:v>
              </c:pt>
              <c:pt idx="2">
                <c:v>M total (g)</c:v>
              </c:pt>
              <c:pt idx="3">
                <c:v>Factor de presición 2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0.01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6A9-416E-850B-D31A1B64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960"/>
        <c:axId val="1"/>
      </c:barChart>
      <c:catAx>
        <c:axId val="157295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69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1/2  in</a:t>
            </a:r>
          </a:p>
        </c:rich>
      </c:tx>
      <c:layout>
        <c:manualLayout>
          <c:xMode val="edge"/>
          <c:yMode val="edge"/>
          <c:x val="0.15084956485702444"/>
          <c:y val="5.106406781119573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1/2 in (g)</c:v>
              </c:pt>
              <c:pt idx="1">
                <c:v>Abertura de Tamiz 1/2 in (mm)</c:v>
              </c:pt>
              <c:pt idx="2">
                <c:v>M total (g)</c:v>
              </c:pt>
              <c:pt idx="3">
                <c:v>Factor de presición 1/2 in</c:v>
              </c:pt>
            </c:strLit>
          </c:cat>
          <c:val>
            <c:numLit>
              <c:formatCode>General</c:formatCode>
              <c:ptCount val="4"/>
              <c:pt idx="0">
                <c:v>5.1292881016080901E-3</c:v>
              </c:pt>
              <c:pt idx="1">
                <c:v>1.0500000000000001E-2</c:v>
              </c:pt>
              <c:pt idx="2">
                <c:v>4.3760417526472004E-3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D27-4684-879F-4E10C3D8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000"/>
        <c:axId val="1"/>
      </c:barChart>
      <c:catAx>
        <c:axId val="157295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6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No.8 </a:t>
            </a:r>
          </a:p>
        </c:rich>
      </c:tx>
      <c:layout>
        <c:manualLayout>
          <c:xMode val="edge"/>
          <c:yMode val="edge"/>
          <c:x val="0.15084967320261439"/>
          <c:y val="5.106381972523704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8 (g)</c:v>
              </c:pt>
              <c:pt idx="1">
                <c:v>Abertura de Tamiz No. 8 (mm)</c:v>
              </c:pt>
              <c:pt idx="2">
                <c:v>M total (g)</c:v>
              </c:pt>
              <c:pt idx="3">
                <c:v>Factor de presición No. 8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2.5000000000000001E-5</c:v>
              </c:pt>
              <c:pt idx="2">
                <c:v>0.33550911513819698</c:v>
              </c:pt>
              <c:pt idx="3">
                <c:v>1.3181784836271999</c:v>
              </c:pt>
            </c:numLit>
          </c:val>
          <c:extLst>
            <c:ext xmlns:c16="http://schemas.microsoft.com/office/drawing/2014/chart" uri="{C3380CC4-5D6E-409C-BE32-E72D297353CC}">
              <c16:uniqueId val="{00000000-5C0C-4A2E-B472-B5777548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60800"/>
        <c:axId val="1"/>
      </c:barChart>
      <c:catAx>
        <c:axId val="157296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608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30  </a:t>
            </a:r>
          </a:p>
        </c:rich>
      </c:tx>
      <c:layout>
        <c:manualLayout>
          <c:xMode val="edge"/>
          <c:yMode val="edge"/>
          <c:x val="0.1508496269426996"/>
          <c:y val="5.10635728056116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30 (g)</c:v>
              </c:pt>
              <c:pt idx="1">
                <c:v>Abertura de Tamiz No. 30 (mm)</c:v>
              </c:pt>
              <c:pt idx="2">
                <c:v>M total (g)</c:v>
              </c:pt>
              <c:pt idx="3">
                <c:v>Factor de presición No.  30</c:v>
              </c:pt>
            </c:strLit>
          </c:cat>
          <c:val>
            <c:numRef>
              <c:f>Incertidumbre!$K$210:$K$213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7-4EB8-9B06-418ECCC1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874128"/>
        <c:axId val="1"/>
      </c:barChart>
      <c:catAx>
        <c:axId val="15658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65874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2694274911271E-2"/>
          <c:y val="0.10997456188878917"/>
          <c:w val="0.9163304923805623"/>
          <c:h val="0.69354220507176767"/>
        </c:manualLayout>
      </c:layout>
      <c:scatterChart>
        <c:scatterStyle val="lineMarker"/>
        <c:varyColors val="0"/>
        <c:ser>
          <c:idx val="0"/>
          <c:order val="0"/>
          <c:tx>
            <c:v>Curva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Lit>
              <c:formatCode>General</c:formatCode>
              <c:ptCount val="10"/>
              <c:pt idx="0">
                <c:v>38.1</c:v>
              </c:pt>
              <c:pt idx="1">
                <c:v>25.4</c:v>
              </c:pt>
              <c:pt idx="2">
                <c:v>19.05</c:v>
              </c:pt>
              <c:pt idx="3">
                <c:v>12.7</c:v>
              </c:pt>
              <c:pt idx="4">
                <c:v>9.5250000000000004</c:v>
              </c:pt>
              <c:pt idx="5">
                <c:v>4.76</c:v>
              </c:pt>
              <c:pt idx="6">
                <c:v>2</c:v>
              </c:pt>
              <c:pt idx="7">
                <c:v>0.42499999999999899</c:v>
              </c:pt>
              <c:pt idx="8">
                <c:v>0</c:v>
              </c:pt>
              <c:pt idx="9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DE9-48E6-8C30-ADA9A20D431F}"/>
            </c:ext>
          </c:extLst>
        </c:ser>
        <c:ser>
          <c:idx val="7"/>
          <c:order val="1"/>
          <c:tx>
            <c:v>1"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9303589480407203E-2"/>
                  <c:y val="-3.4867924176757097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25.4</c:v>
              </c:pt>
              <c:pt idx="1">
                <c:v>25.4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DE9-48E6-8C30-ADA9A20D431F}"/>
            </c:ext>
          </c:extLst>
        </c:ser>
        <c:ser>
          <c:idx val="8"/>
          <c:order val="2"/>
          <c:tx>
            <c:v>3/4"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0"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E9-48E6-8C30-ADA9A20D431F}"/>
                </c:ext>
              </c:extLst>
            </c:dLbl>
            <c:dLbl>
              <c:idx val="1"/>
              <c:layout>
                <c:manualLayout>
                  <c:x val="-2.1721445568889261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19.05</c:v>
              </c:pt>
              <c:pt idx="1">
                <c:v>19.05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DE9-48E6-8C30-ADA9A20D431F}"/>
            </c:ext>
          </c:extLst>
        </c:ser>
        <c:ser>
          <c:idx val="9"/>
          <c:order val="3"/>
          <c:tx>
            <c:v>1/2"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726597492403693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12.7</c:v>
              </c:pt>
              <c:pt idx="1">
                <c:v>12.7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EDE9-48E6-8C30-ADA9A20D431F}"/>
            </c:ext>
          </c:extLst>
        </c:ser>
        <c:ser>
          <c:idx val="10"/>
          <c:order val="4"/>
          <c:tx>
            <c:v>3/8"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EDE9-48E6-8C30-ADA9A20D431F}"/>
            </c:ext>
          </c:extLst>
        </c:ser>
        <c:ser>
          <c:idx val="11"/>
          <c:order val="5"/>
          <c:tx>
            <c:v>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496900561408142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4.76</c:v>
              </c:pt>
              <c:pt idx="1">
                <c:v>4.76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EDE9-48E6-8C30-ADA9A20D431F}"/>
            </c:ext>
          </c:extLst>
        </c:ser>
        <c:ser>
          <c:idx val="12"/>
          <c:order val="6"/>
          <c:tx>
            <c:v>10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690053377123030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EDE9-48E6-8C30-ADA9A20D431F}"/>
            </c:ext>
          </c:extLst>
        </c:ser>
        <c:ser>
          <c:idx val="13"/>
          <c:order val="7"/>
          <c:tx>
            <c:v>40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3404122778995175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0.42499999999999899</c:v>
              </c:pt>
              <c:pt idx="1">
                <c:v>0.42499999999999899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EDE9-48E6-8C30-ADA9A20D431F}"/>
            </c:ext>
          </c:extLst>
        </c:ser>
        <c:ser>
          <c:idx val="14"/>
          <c:order val="8"/>
          <c:tx>
            <c:v>80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025094122080558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0.18</c:v>
              </c:pt>
              <c:pt idx="1">
                <c:v>0.18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EDE9-48E6-8C30-ADA9A20D431F}"/>
            </c:ext>
          </c:extLst>
        </c:ser>
        <c:ser>
          <c:idx val="15"/>
          <c:order val="9"/>
          <c:tx>
            <c:v>200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535134170638268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7.3999999999999899E-2</c:v>
              </c:pt>
              <c:pt idx="1">
                <c:v>7.3999999999999899E-2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EDE9-48E6-8C30-ADA9A20D431F}"/>
            </c:ext>
          </c:extLst>
        </c:ser>
        <c:ser>
          <c:idx val="1"/>
          <c:order val="10"/>
          <c:tx>
            <c:v>MIN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80</c:v>
              </c:pt>
              <c:pt idx="2">
                <c:v>70</c:v>
              </c:pt>
              <c:pt idx="3">
                <c:v>51</c:v>
              </c:pt>
              <c:pt idx="4">
                <c:v>38</c:v>
              </c:pt>
              <c:pt idx="5">
                <c:v>17</c:v>
              </c:pt>
              <c:pt idx="6">
                <c:v>8</c:v>
              </c:pt>
              <c:pt idx="7">
                <c:v>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EDE9-48E6-8C30-ADA9A20D431F}"/>
            </c:ext>
          </c:extLst>
        </c:ser>
        <c:ser>
          <c:idx val="2"/>
          <c:order val="11"/>
          <c:tx>
            <c:v>MAX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100</c:v>
              </c:pt>
              <c:pt idx="2">
                <c:v>88</c:v>
              </c:pt>
              <c:pt idx="3">
                <c:v>68</c:v>
              </c:pt>
              <c:pt idx="4">
                <c:v>52</c:v>
              </c:pt>
              <c:pt idx="5">
                <c:v>28</c:v>
              </c:pt>
              <c:pt idx="6">
                <c:v>17</c:v>
              </c:pt>
              <c:pt idx="7">
                <c:v>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EDE9-48E6-8C30-ADA9A20D431F}"/>
            </c:ext>
          </c:extLst>
        </c:ser>
        <c:ser>
          <c:idx val="3"/>
          <c:order val="12"/>
          <c:tx>
            <c:v>MIN-TRABAJO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EDE9-48E6-8C30-ADA9A20D431F}"/>
            </c:ext>
          </c:extLst>
        </c:ser>
        <c:ser>
          <c:idx val="4"/>
          <c:order val="13"/>
          <c:tx>
            <c:v>MAX-TRABAJO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7-EDE9-48E6-8C30-ADA9A20D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44192"/>
        <c:axId val="1"/>
      </c:scatterChart>
      <c:valAx>
        <c:axId val="1574344192"/>
        <c:scaling>
          <c:logBase val="10"/>
          <c:orientation val="minMax"/>
          <c:max val="100"/>
          <c:min val="0.0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en mm  ( escala logarítmica )</a:t>
                </a:r>
              </a:p>
            </c:rich>
          </c:tx>
          <c:layout>
            <c:manualLayout>
              <c:xMode val="edge"/>
              <c:yMode val="edge"/>
              <c:x val="0.4116064981168952"/>
              <c:y val="0.932415902140672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At val="0"/>
        <c:crossBetween val="midCat"/>
        <c:majorUnit val="10"/>
        <c:minorUnit val="1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PORCENTAJE QUE PASA</a:t>
                </a:r>
              </a:p>
            </c:rich>
          </c:tx>
          <c:layout>
            <c:manualLayout>
              <c:xMode val="edge"/>
              <c:yMode val="edge"/>
              <c:x val="2.5599847794972913E-3"/>
              <c:y val="0.179052228563172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44192"/>
        <c:crossesAt val="1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022" r="0.75000000000000022" t="1" header="0" footer="0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B-404C-B7F7-130BEA94E15E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B-404C-B7F7-130BEA94E15E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D5B-404C-B7F7-130BEA94E1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D5B-404C-B7F7-130BEA94E1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5B-404C-B7F7-130BEA94E1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D5B-404C-B7F7-130BEA94E1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5B-404C-B7F7-130BEA94E1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D5B-404C-B7F7-130BEA94E1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D5B-404C-B7F7-130BEA94E1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D5B-404C-B7F7-130BEA94E1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5B-404C-B7F7-130BEA94E1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D5B-404C-B7F7-130BEA94E1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5B-404C-B7F7-130BEA94E1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D5B-404C-B7F7-130BEA94E15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5B-404C-B7F7-130BEA94E15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D5B-404C-B7F7-130BEA94E15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5B-404C-B7F7-130BEA94E15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D5B-404C-B7F7-130BEA94E15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5B-404C-B7F7-130BEA94E15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D5B-404C-B7F7-130BEA94E15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D5B-404C-B7F7-130BEA94E15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D5B-404C-B7F7-130BEA94E15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D5B-404C-B7F7-130BEA94E15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5B-404C-B7F7-130BEA94E15E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5B-404C-B7F7-130BEA94E15E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5B-404C-B7F7-130BEA94E15E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5B-404C-B7F7-130BEA94E15E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ED5B-404C-B7F7-130BEA94E15E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ED5B-404C-B7F7-130BEA94E15E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D-ED5B-404C-B7F7-130BEA94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2352"/>
        <c:axId val="1"/>
      </c:scatterChart>
      <c:valAx>
        <c:axId val="157435235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52352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7-456D-9079-88FCFDDDD71D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7-456D-9079-88FCFDDDD71D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BE7-456D-9079-88FCFDDDD7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E7-456D-9079-88FCFDDDD7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BE7-456D-9079-88FCFDDDD7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BE7-456D-9079-88FCFDDDD7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BE7-456D-9079-88FCFDDDD7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BE7-456D-9079-88FCFDDDD7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BE7-456D-9079-88FCFDDDD7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BE7-456D-9079-88FCFDDDD7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BE7-456D-9079-88FCFDDDD7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BE7-456D-9079-88FCFDDDD7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BE7-456D-9079-88FCFDDDD7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BE7-456D-9079-88FCFDDDD7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BE7-456D-9079-88FCFDDDD7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BE7-456D-9079-88FCFDDDD7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BE7-456D-9079-88FCFDDDD7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BE7-456D-9079-88FCFDDDD7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BE7-456D-9079-88FCFDDDD7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BE7-456D-9079-88FCFDDDD7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BE7-456D-9079-88FCFDDDD7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BE7-456D-9079-88FCFDDDD7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BE7-456D-9079-88FCFDDDD71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BE7-456D-9079-88FCFDDDD71D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BE7-456D-9079-88FCFDDDD71D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BE7-456D-9079-88FCFDDDD71D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BE7-456D-9079-88FCFDDDD71D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63.5</c:v>
              </c:pt>
              <c:pt idx="1">
                <c:v>50.6</c:v>
              </c:pt>
              <c:pt idx="2">
                <c:v>38.1</c:v>
              </c:pt>
              <c:pt idx="3">
                <c:v>25.4</c:v>
              </c:pt>
              <c:pt idx="4">
                <c:v>19.05</c:v>
              </c:pt>
              <c:pt idx="5">
                <c:v>12.7</c:v>
              </c:pt>
              <c:pt idx="6">
                <c:v>9.5250000000000004</c:v>
              </c:pt>
              <c:pt idx="7">
                <c:v>4.76</c:v>
              </c:pt>
              <c:pt idx="8">
                <c:v>2.36</c:v>
              </c:pt>
            </c:numLit>
          </c:xVal>
          <c:yVal>
            <c:numLit>
              <c:formatCode>General</c:formatCode>
              <c:ptCount val="9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98.973176865046</c:v>
              </c:pt>
              <c:pt idx="5">
                <c:v>44.991617770326897</c:v>
              </c:pt>
              <c:pt idx="6">
                <c:v>15.7585917854149</c:v>
              </c:pt>
              <c:pt idx="7">
                <c:v>0.20955574182733</c:v>
              </c:pt>
              <c:pt idx="8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8BE7-456D-9079-88FCFDDDD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8528"/>
        <c:axId val="1"/>
      </c:scatterChart>
      <c:valAx>
        <c:axId val="1035308528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35308528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4.png"/><Relationship Id="rId1" Type="http://schemas.openxmlformats.org/officeDocument/2006/relationships/chart" Target="../charts/chart2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image" Target="../media/image10.png"/><Relationship Id="rId3" Type="http://schemas.openxmlformats.org/officeDocument/2006/relationships/chart" Target="../charts/chart5.xml"/><Relationship Id="rId21" Type="http://schemas.openxmlformats.org/officeDocument/2006/relationships/image" Target="../media/image13.png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image" Target="../media/image12.png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19" Type="http://schemas.openxmlformats.org/officeDocument/2006/relationships/image" Target="../media/image11.png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9.png"/><Relationship Id="rId1" Type="http://schemas.openxmlformats.org/officeDocument/2006/relationships/chart" Target="../charts/chart22.xml"/><Relationship Id="rId4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53</xdr:row>
      <xdr:rowOff>169545</xdr:rowOff>
    </xdr:from>
    <xdr:to>
      <xdr:col>9</xdr:col>
      <xdr:colOff>0</xdr:colOff>
      <xdr:row>53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BD8BB617-4E5D-4243-9240-5873F6619B7C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51920"/>
          <a:ext cx="65646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</xdr:col>
      <xdr:colOff>78105</xdr:colOff>
      <xdr:row>35</xdr:row>
      <xdr:rowOff>190500</xdr:rowOff>
    </xdr:from>
    <xdr:to>
      <xdr:col>8</xdr:col>
      <xdr:colOff>859994</xdr:colOff>
      <xdr:row>45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4111E-ED8D-4669-A8FA-F8E23C090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7" r="5541"/>
        <a:stretch/>
      </xdr:blipFill>
      <xdr:spPr>
        <a:xfrm>
          <a:off x="3773805" y="7372350"/>
          <a:ext cx="2667839" cy="21812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1181100</xdr:colOff>
      <xdr:row>48</xdr:row>
      <xdr:rowOff>312421</xdr:rowOff>
    </xdr:from>
    <xdr:to>
      <xdr:col>4</xdr:col>
      <xdr:colOff>381000</xdr:colOff>
      <xdr:row>52</xdr:row>
      <xdr:rowOff>28576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D8784AB-6F48-4AD7-9618-DDFFD725DA90}"/>
            </a:ext>
          </a:extLst>
        </xdr:cNvPr>
        <xdr:cNvSpPr txBox="1"/>
      </xdr:nvSpPr>
      <xdr:spPr>
        <a:xfrm>
          <a:off x="1162050" y="10580371"/>
          <a:ext cx="2162175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3809</xdr:colOff>
      <xdr:row>48</xdr:row>
      <xdr:rowOff>304800</xdr:rowOff>
    </xdr:from>
    <xdr:to>
      <xdr:col>8</xdr:col>
      <xdr:colOff>137160</xdr:colOff>
      <xdr:row>52</xdr:row>
      <xdr:rowOff>38100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7B333CF3-A4C7-46BB-8A59-D022ADFBAA41}"/>
            </a:ext>
          </a:extLst>
        </xdr:cNvPr>
        <xdr:cNvSpPr txBox="1"/>
      </xdr:nvSpPr>
      <xdr:spPr>
        <a:xfrm>
          <a:off x="3366134" y="10572750"/>
          <a:ext cx="2352676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495300</xdr:colOff>
      <xdr:row>0</xdr:row>
      <xdr:rowOff>57151</xdr:rowOff>
    </xdr:from>
    <xdr:to>
      <xdr:col>6</xdr:col>
      <xdr:colOff>9525</xdr:colOff>
      <xdr:row>4</xdr:row>
      <xdr:rowOff>90095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00AC690F-59C4-4EE0-B60F-A7DA1D42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57151"/>
          <a:ext cx="923925" cy="528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42</xdr:row>
      <xdr:rowOff>38100</xdr:rowOff>
    </xdr:from>
    <xdr:to>
      <xdr:col>12</xdr:col>
      <xdr:colOff>257175</xdr:colOff>
      <xdr:row>54</xdr:row>
      <xdr:rowOff>104775</xdr:rowOff>
    </xdr:to>
    <xdr:graphicFrame macro="">
      <xdr:nvGraphicFramePr>
        <xdr:cNvPr id="9067802" name="Chart 4">
          <a:extLst>
            <a:ext uri="{FF2B5EF4-FFF2-40B4-BE49-F238E27FC236}">
              <a16:creationId xmlns:a16="http://schemas.microsoft.com/office/drawing/2014/main" id="{EBABD9B1-96B9-765A-5B6A-3874936F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489585</xdr:colOff>
      <xdr:row>42</xdr:row>
      <xdr:rowOff>97154</xdr:rowOff>
    </xdr:from>
    <xdr:to>
      <xdr:col>9</xdr:col>
      <xdr:colOff>3816</xdr:colOff>
      <xdr:row>43</xdr:row>
      <xdr:rowOff>115001</xdr:rowOff>
    </xdr:to>
    <xdr:sp macro="" textlink="">
      <xdr:nvSpPr>
        <xdr:cNvPr id="3" name="Texto 38">
          <a:extLst>
            <a:ext uri="{FF2B5EF4-FFF2-40B4-BE49-F238E27FC236}">
              <a16:creationId xmlns:a16="http://schemas.microsoft.com/office/drawing/2014/main" id="{C9AB1E36-DB36-E0FC-D671-172EF9573A1B}"/>
            </a:ext>
          </a:extLst>
        </xdr:cNvPr>
        <xdr:cNvSpPr txBox="1">
          <a:spLocks noChangeArrowheads="1"/>
        </xdr:cNvSpPr>
      </xdr:nvSpPr>
      <xdr:spPr bwMode="auto">
        <a:xfrm>
          <a:off x="2326005" y="7435214"/>
          <a:ext cx="2849904" cy="234317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16</xdr:col>
      <xdr:colOff>866775</xdr:colOff>
      <xdr:row>61</xdr:row>
      <xdr:rowOff>123825</xdr:rowOff>
    </xdr:from>
    <xdr:to>
      <xdr:col>18</xdr:col>
      <xdr:colOff>257175</xdr:colOff>
      <xdr:row>65</xdr:row>
      <xdr:rowOff>47625</xdr:rowOff>
    </xdr:to>
    <xdr:pic>
      <xdr:nvPicPr>
        <xdr:cNvPr id="9067804" name="Imagen 1">
          <a:extLst>
            <a:ext uri="{FF2B5EF4-FFF2-40B4-BE49-F238E27FC236}">
              <a16:creationId xmlns:a16="http://schemas.microsoft.com/office/drawing/2014/main" id="{D055CE1B-3E03-E9BA-9506-FA1557A5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11220450" y="10877550"/>
          <a:ext cx="11620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85725</xdr:colOff>
      <xdr:row>62</xdr:row>
      <xdr:rowOff>95250</xdr:rowOff>
    </xdr:from>
    <xdr:to>
      <xdr:col>10</xdr:col>
      <xdr:colOff>523875</xdr:colOff>
      <xdr:row>65</xdr:row>
      <xdr:rowOff>76200</xdr:rowOff>
    </xdr:to>
    <xdr:pic>
      <xdr:nvPicPr>
        <xdr:cNvPr id="9067805" name="Imagen 4">
          <a:extLst>
            <a:ext uri="{FF2B5EF4-FFF2-40B4-BE49-F238E27FC236}">
              <a16:creationId xmlns:a16="http://schemas.microsoft.com/office/drawing/2014/main" id="{62BCBCFF-2D28-E734-199D-FA7F91C5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5572" r="70973" b="23639"/>
        <a:stretch>
          <a:fillRect/>
        </a:stretch>
      </xdr:blipFill>
      <xdr:spPr bwMode="auto">
        <a:xfrm rot="170050">
          <a:off x="5572125" y="11134725"/>
          <a:ext cx="10572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514350</xdr:colOff>
      <xdr:row>62</xdr:row>
      <xdr:rowOff>76200</xdr:rowOff>
    </xdr:from>
    <xdr:to>
      <xdr:col>8</xdr:col>
      <xdr:colOff>85725</xdr:colOff>
      <xdr:row>65</xdr:row>
      <xdr:rowOff>85725</xdr:rowOff>
    </xdr:to>
    <xdr:pic>
      <xdr:nvPicPr>
        <xdr:cNvPr id="9067806" name="Imagen 5">
          <a:extLst>
            <a:ext uri="{FF2B5EF4-FFF2-40B4-BE49-F238E27FC236}">
              <a16:creationId xmlns:a16="http://schemas.microsoft.com/office/drawing/2014/main" id="{A1E43CA4-FC3B-4049-D5F0-81ECDA53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4048125" y="11115675"/>
          <a:ext cx="1400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42</xdr:row>
      <xdr:rowOff>47625</xdr:rowOff>
    </xdr:from>
    <xdr:to>
      <xdr:col>11</xdr:col>
      <xdr:colOff>447675</xdr:colOff>
      <xdr:row>54</xdr:row>
      <xdr:rowOff>104775</xdr:rowOff>
    </xdr:to>
    <xdr:grpSp>
      <xdr:nvGrpSpPr>
        <xdr:cNvPr id="9433590" name="Grupo 26">
          <a:extLst>
            <a:ext uri="{FF2B5EF4-FFF2-40B4-BE49-F238E27FC236}">
              <a16:creationId xmlns:a16="http://schemas.microsoft.com/office/drawing/2014/main" id="{D49A53C1-DB56-411B-8DA0-7D4EB564BA9E}"/>
            </a:ext>
          </a:extLst>
        </xdr:cNvPr>
        <xdr:cNvGrpSpPr>
          <a:grpSpLocks/>
        </xdr:cNvGrpSpPr>
      </xdr:nvGrpSpPr>
      <xdr:grpSpPr bwMode="auto">
        <a:xfrm>
          <a:off x="428625" y="7149465"/>
          <a:ext cx="6991350" cy="2396490"/>
          <a:chOff x="442633" y="7244603"/>
          <a:chExt cx="6781240" cy="2474258"/>
        </a:xfrm>
      </xdr:grpSpPr>
      <xdr:sp macro="" textlink="">
        <xdr:nvSpPr>
          <xdr:cNvPr id="8" name="Rectángulo 39">
            <a:extLst>
              <a:ext uri="{FF2B5EF4-FFF2-40B4-BE49-F238E27FC236}">
                <a16:creationId xmlns:a16="http://schemas.microsoft.com/office/drawing/2014/main" id="{729248B1-1BFC-B8AF-4E97-4681210354A1}"/>
              </a:ext>
            </a:extLst>
          </xdr:cNvPr>
          <xdr:cNvSpPr>
            <a:spLocks noChangeArrowheads="1"/>
          </xdr:cNvSpPr>
        </xdr:nvSpPr>
        <xdr:spPr bwMode="auto">
          <a:xfrm>
            <a:off x="461655" y="7244603"/>
            <a:ext cx="6762218" cy="2474258"/>
          </a:xfrm>
          <a:prstGeom prst="roundRect">
            <a:avLst>
              <a:gd name="adj" fmla="val 16667"/>
            </a:avLst>
          </a:prstGeom>
          <a:noFill/>
          <a:ln w="9525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/>
          <a:lstStyle/>
          <a:p>
            <a:endParaRPr lang="es-ES"/>
          </a:p>
        </xdr:txBody>
      </xdr:sp>
      <xdr:graphicFrame macro="">
        <xdr:nvGraphicFramePr>
          <xdr:cNvPr id="9433596" name="Gráfico 34">
            <a:extLst>
              <a:ext uri="{FF2B5EF4-FFF2-40B4-BE49-F238E27FC236}">
                <a16:creationId xmlns:a16="http://schemas.microsoft.com/office/drawing/2014/main" id="{A5C78001-7F95-2A91-FE65-FEEECA7AEF98}"/>
              </a:ext>
            </a:extLst>
          </xdr:cNvPr>
          <xdr:cNvGraphicFramePr>
            <a:graphicFrameLocks/>
          </xdr:cNvGraphicFramePr>
        </xdr:nvGraphicFramePr>
        <xdr:xfrm>
          <a:off x="442633" y="7328645"/>
          <a:ext cx="6736379" cy="22747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Texto 63">
            <a:extLst>
              <a:ext uri="{FF2B5EF4-FFF2-40B4-BE49-F238E27FC236}">
                <a16:creationId xmlns:a16="http://schemas.microsoft.com/office/drawing/2014/main" id="{B324C79F-5EE7-0469-A962-62C00A2C11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3386" y="7589848"/>
            <a:ext cx="551630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 mm</a:t>
            </a:r>
          </a:p>
        </xdr:txBody>
      </xdr:sp>
      <xdr:sp macro="" textlink="">
        <xdr:nvSpPr>
          <xdr:cNvPr id="11" name="Texto 62">
            <a:extLst>
              <a:ext uri="{FF2B5EF4-FFF2-40B4-BE49-F238E27FC236}">
                <a16:creationId xmlns:a16="http://schemas.microsoft.com/office/drawing/2014/main" id="{D5A5C1FD-6227-0564-9638-4205810471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51323" y="7589848"/>
            <a:ext cx="69429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 mm</a:t>
            </a:r>
          </a:p>
        </xdr:txBody>
      </xdr:sp>
      <xdr:sp macro="" textlink="">
        <xdr:nvSpPr>
          <xdr:cNvPr id="12" name="Texto 61">
            <a:extLst>
              <a:ext uri="{FF2B5EF4-FFF2-40B4-BE49-F238E27FC236}">
                <a16:creationId xmlns:a16="http://schemas.microsoft.com/office/drawing/2014/main" id="{F49989FA-849E-2E4E-5286-71C00CA63A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5835" y="7589848"/>
            <a:ext cx="46603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 mm</a:t>
            </a:r>
          </a:p>
        </xdr:txBody>
      </xdr:sp>
      <xdr:sp macro="" textlink="">
        <xdr:nvSpPr>
          <xdr:cNvPr id="13" name="Texto 60">
            <a:extLst>
              <a:ext uri="{FF2B5EF4-FFF2-40B4-BE49-F238E27FC236}">
                <a16:creationId xmlns:a16="http://schemas.microsoft.com/office/drawing/2014/main" id="{D794E70E-F887-1BE6-DD9D-9C0B57B3FD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63010" y="7580258"/>
            <a:ext cx="808423" cy="1726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425 µm</a:t>
            </a:r>
          </a:p>
        </xdr:txBody>
      </xdr:sp>
      <xdr:sp macro="" textlink="">
        <xdr:nvSpPr>
          <xdr:cNvPr id="14" name="Texto 59">
            <a:extLst>
              <a:ext uri="{FF2B5EF4-FFF2-40B4-BE49-F238E27FC236}">
                <a16:creationId xmlns:a16="http://schemas.microsoft.com/office/drawing/2014/main" id="{81CF4ED3-5131-ED3E-8DE0-929A16754F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2413" y="7589848"/>
            <a:ext cx="608695" cy="1822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 µm</a:t>
            </a:r>
          </a:p>
        </xdr:txBody>
      </xdr:sp>
      <xdr:sp macro="" textlink="">
        <xdr:nvSpPr>
          <xdr:cNvPr id="24" name="Texto 64">
            <a:extLst>
              <a:ext uri="{FF2B5EF4-FFF2-40B4-BE49-F238E27FC236}">
                <a16:creationId xmlns:a16="http://schemas.microsoft.com/office/drawing/2014/main" id="{3CBFCB42-2EE2-F45D-70F8-E0BF059A3E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8874" y="7589848"/>
            <a:ext cx="504075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 mm</a:t>
            </a:r>
          </a:p>
        </xdr:txBody>
      </xdr:sp>
    </xdr:grpSp>
    <xdr:clientData/>
  </xdr:twoCellAnchor>
  <xdr:twoCellAnchor>
    <xdr:from>
      <xdr:col>4</xdr:col>
      <xdr:colOff>434340</xdr:colOff>
      <xdr:row>42</xdr:row>
      <xdr:rowOff>104775</xdr:rowOff>
    </xdr:from>
    <xdr:to>
      <xdr:col>8</xdr:col>
      <xdr:colOff>68929</xdr:colOff>
      <xdr:row>43</xdr:row>
      <xdr:rowOff>116647</xdr:rowOff>
    </xdr:to>
    <xdr:sp macro="" textlink="">
      <xdr:nvSpPr>
        <xdr:cNvPr id="15" name="Texto 38">
          <a:extLst>
            <a:ext uri="{FF2B5EF4-FFF2-40B4-BE49-F238E27FC236}">
              <a16:creationId xmlns:a16="http://schemas.microsoft.com/office/drawing/2014/main" id="{D509F75D-7FF7-1B36-7B74-2B0E1702F499}"/>
            </a:ext>
          </a:extLst>
        </xdr:cNvPr>
        <xdr:cNvSpPr txBox="1">
          <a:spLocks noChangeArrowheads="1"/>
        </xdr:cNvSpPr>
      </xdr:nvSpPr>
      <xdr:spPr bwMode="auto">
        <a:xfrm>
          <a:off x="2362200" y="7267575"/>
          <a:ext cx="3069308" cy="240472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6</xdr:col>
      <xdr:colOff>135255</xdr:colOff>
      <xdr:row>63</xdr:row>
      <xdr:rowOff>7620</xdr:rowOff>
    </xdr:from>
    <xdr:to>
      <xdr:col>7</xdr:col>
      <xdr:colOff>573405</xdr:colOff>
      <xdr:row>63</xdr:row>
      <xdr:rowOff>1087755</xdr:rowOff>
    </xdr:to>
    <xdr:pic>
      <xdr:nvPicPr>
        <xdr:cNvPr id="9433593" name="Imagen 16">
          <a:extLst>
            <a:ext uri="{FF2B5EF4-FFF2-40B4-BE49-F238E27FC236}">
              <a16:creationId xmlns:a16="http://schemas.microsoft.com/office/drawing/2014/main" id="{CFB8C1E4-5171-0660-4109-7D448532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3777615" y="11094720"/>
          <a:ext cx="1375410" cy="1080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285414</xdr:colOff>
      <xdr:row>63</xdr:row>
      <xdr:rowOff>121056</xdr:rowOff>
    </xdr:from>
    <xdr:to>
      <xdr:col>11</xdr:col>
      <xdr:colOff>721977</xdr:colOff>
      <xdr:row>63</xdr:row>
      <xdr:rowOff>1105306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85143AEC-3773-F616-883A-804B9AF8E94F}"/>
            </a:ext>
          </a:extLst>
        </xdr:cNvPr>
        <xdr:cNvSpPr/>
      </xdr:nvSpPr>
      <xdr:spPr bwMode="auto">
        <a:xfrm>
          <a:off x="6390939" y="113700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822960</xdr:colOff>
      <xdr:row>63</xdr:row>
      <xdr:rowOff>30480</xdr:rowOff>
    </xdr:from>
    <xdr:to>
      <xdr:col>10</xdr:col>
      <xdr:colOff>213413</xdr:colOff>
      <xdr:row>63</xdr:row>
      <xdr:rowOff>1125953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8F46869-FEE1-4EB0-BAC4-63BE7E62F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402580" y="111175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670560</xdr:colOff>
      <xdr:row>63</xdr:row>
      <xdr:rowOff>144780</xdr:rowOff>
    </xdr:from>
    <xdr:to>
      <xdr:col>16</xdr:col>
      <xdr:colOff>574131</xdr:colOff>
      <xdr:row>65</xdr:row>
      <xdr:rowOff>53034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E9CE2D5-FF00-49A3-94AF-0AB1FE24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3080" y="112318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38100</xdr:rowOff>
    </xdr:from>
    <xdr:to>
      <xdr:col>12</xdr:col>
      <xdr:colOff>104775</xdr:colOff>
      <xdr:row>24</xdr:row>
      <xdr:rowOff>76200</xdr:rowOff>
    </xdr:to>
    <xdr:sp macro="" textlink="">
      <xdr:nvSpPr>
        <xdr:cNvPr id="9509672" name="Text Box 28">
          <a:extLst>
            <a:ext uri="{FF2B5EF4-FFF2-40B4-BE49-F238E27FC236}">
              <a16:creationId xmlns:a16="http://schemas.microsoft.com/office/drawing/2014/main" id="{47BAD009-5176-EF87-9025-4A0519AE3BB3}"/>
            </a:ext>
          </a:extLst>
        </xdr:cNvPr>
        <xdr:cNvSpPr txBox="1">
          <a:spLocks noChangeArrowheads="1"/>
        </xdr:cNvSpPr>
      </xdr:nvSpPr>
      <xdr:spPr bwMode="auto">
        <a:xfrm>
          <a:off x="10829925" y="446722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295275</xdr:colOff>
      <xdr:row>39</xdr:row>
      <xdr:rowOff>142875</xdr:rowOff>
    </xdr:from>
    <xdr:to>
      <xdr:col>11</xdr:col>
      <xdr:colOff>114300</xdr:colOff>
      <xdr:row>49</xdr:row>
      <xdr:rowOff>171450</xdr:rowOff>
    </xdr:to>
    <xdr:graphicFrame macro="">
      <xdr:nvGraphicFramePr>
        <xdr:cNvPr id="9509673" name="4 Gráfico">
          <a:extLst>
            <a:ext uri="{FF2B5EF4-FFF2-40B4-BE49-F238E27FC236}">
              <a16:creationId xmlns:a16="http://schemas.microsoft.com/office/drawing/2014/main" id="{45A2338B-980A-2FFC-146E-C1FEA09E3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67</xdr:row>
      <xdr:rowOff>171450</xdr:rowOff>
    </xdr:from>
    <xdr:to>
      <xdr:col>10</xdr:col>
      <xdr:colOff>876300</xdr:colOff>
      <xdr:row>76</xdr:row>
      <xdr:rowOff>180975</xdr:rowOff>
    </xdr:to>
    <xdr:graphicFrame macro="">
      <xdr:nvGraphicFramePr>
        <xdr:cNvPr id="9509674" name="4 Gráfico">
          <a:extLst>
            <a:ext uri="{FF2B5EF4-FFF2-40B4-BE49-F238E27FC236}">
              <a16:creationId xmlns:a16="http://schemas.microsoft.com/office/drawing/2014/main" id="{1B0B8FEC-B0E3-FCD8-92FB-DC43CA7F3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285750</xdr:colOff>
      <xdr:row>82</xdr:row>
      <xdr:rowOff>28575</xdr:rowOff>
    </xdr:from>
    <xdr:to>
      <xdr:col>10</xdr:col>
      <xdr:colOff>571500</xdr:colOff>
      <xdr:row>90</xdr:row>
      <xdr:rowOff>57150</xdr:rowOff>
    </xdr:to>
    <xdr:graphicFrame macro="">
      <xdr:nvGraphicFramePr>
        <xdr:cNvPr id="9509675" name="4 Gráfico">
          <a:extLst>
            <a:ext uri="{FF2B5EF4-FFF2-40B4-BE49-F238E27FC236}">
              <a16:creationId xmlns:a16="http://schemas.microsoft.com/office/drawing/2014/main" id="{3EBBAD3B-9B8F-8873-1D83-4CB5842CB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114300</xdr:colOff>
      <xdr:row>95</xdr:row>
      <xdr:rowOff>133350</xdr:rowOff>
    </xdr:from>
    <xdr:to>
      <xdr:col>10</xdr:col>
      <xdr:colOff>1009650</xdr:colOff>
      <xdr:row>104</xdr:row>
      <xdr:rowOff>161925</xdr:rowOff>
    </xdr:to>
    <xdr:graphicFrame macro="">
      <xdr:nvGraphicFramePr>
        <xdr:cNvPr id="9509676" name="4 Gráfico">
          <a:extLst>
            <a:ext uri="{FF2B5EF4-FFF2-40B4-BE49-F238E27FC236}">
              <a16:creationId xmlns:a16="http://schemas.microsoft.com/office/drawing/2014/main" id="{89A767B7-FA7A-E243-1916-4928C396F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123825</xdr:colOff>
      <xdr:row>109</xdr:row>
      <xdr:rowOff>133350</xdr:rowOff>
    </xdr:from>
    <xdr:to>
      <xdr:col>11</xdr:col>
      <xdr:colOff>38100</xdr:colOff>
      <xdr:row>119</xdr:row>
      <xdr:rowOff>123825</xdr:rowOff>
    </xdr:to>
    <xdr:graphicFrame macro="">
      <xdr:nvGraphicFramePr>
        <xdr:cNvPr id="9509677" name="4 Gráfico">
          <a:extLst>
            <a:ext uri="{FF2B5EF4-FFF2-40B4-BE49-F238E27FC236}">
              <a16:creationId xmlns:a16="http://schemas.microsoft.com/office/drawing/2014/main" id="{4F1228F2-6BCD-1035-F20F-486D91A28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66675</xdr:colOff>
      <xdr:row>137</xdr:row>
      <xdr:rowOff>95250</xdr:rowOff>
    </xdr:from>
    <xdr:to>
      <xdr:col>11</xdr:col>
      <xdr:colOff>28575</xdr:colOff>
      <xdr:row>146</xdr:row>
      <xdr:rowOff>219075</xdr:rowOff>
    </xdr:to>
    <xdr:graphicFrame macro="">
      <xdr:nvGraphicFramePr>
        <xdr:cNvPr id="9509678" name="4 Gráfico">
          <a:extLst>
            <a:ext uri="{FF2B5EF4-FFF2-40B4-BE49-F238E27FC236}">
              <a16:creationId xmlns:a16="http://schemas.microsoft.com/office/drawing/2014/main" id="{4524F443-BAA1-8619-C4F1-E8A62CAC4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161925</xdr:colOff>
      <xdr:row>151</xdr:row>
      <xdr:rowOff>142875</xdr:rowOff>
    </xdr:from>
    <xdr:to>
      <xdr:col>11</xdr:col>
      <xdr:colOff>19050</xdr:colOff>
      <xdr:row>160</xdr:row>
      <xdr:rowOff>76200</xdr:rowOff>
    </xdr:to>
    <xdr:graphicFrame macro="">
      <xdr:nvGraphicFramePr>
        <xdr:cNvPr id="9509679" name="4 Gráfico">
          <a:extLst>
            <a:ext uri="{FF2B5EF4-FFF2-40B4-BE49-F238E27FC236}">
              <a16:creationId xmlns:a16="http://schemas.microsoft.com/office/drawing/2014/main" id="{CE923D9C-9B4C-57A9-DD88-0BDF8678C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619125</xdr:colOff>
      <xdr:row>179</xdr:row>
      <xdr:rowOff>171450</xdr:rowOff>
    </xdr:from>
    <xdr:to>
      <xdr:col>11</xdr:col>
      <xdr:colOff>457200</xdr:colOff>
      <xdr:row>188</xdr:row>
      <xdr:rowOff>76200</xdr:rowOff>
    </xdr:to>
    <xdr:graphicFrame macro="">
      <xdr:nvGraphicFramePr>
        <xdr:cNvPr id="9509680" name="4 Gráfico">
          <a:extLst>
            <a:ext uri="{FF2B5EF4-FFF2-40B4-BE49-F238E27FC236}">
              <a16:creationId xmlns:a16="http://schemas.microsoft.com/office/drawing/2014/main" id="{7499C46E-498F-9A1E-D2FF-C8906E495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523875</xdr:colOff>
      <xdr:row>193</xdr:row>
      <xdr:rowOff>104775</xdr:rowOff>
    </xdr:from>
    <xdr:to>
      <xdr:col>11</xdr:col>
      <xdr:colOff>381000</xdr:colOff>
      <xdr:row>202</xdr:row>
      <xdr:rowOff>47625</xdr:rowOff>
    </xdr:to>
    <xdr:graphicFrame macro="">
      <xdr:nvGraphicFramePr>
        <xdr:cNvPr id="9509681" name="4 Gráfico">
          <a:extLst>
            <a:ext uri="{FF2B5EF4-FFF2-40B4-BE49-F238E27FC236}">
              <a16:creationId xmlns:a16="http://schemas.microsoft.com/office/drawing/2014/main" id="{49C8BDF4-AF99-AA5F-DCC2-FB3892BB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657225</xdr:colOff>
      <xdr:row>221</xdr:row>
      <xdr:rowOff>200025</xdr:rowOff>
    </xdr:from>
    <xdr:to>
      <xdr:col>11</xdr:col>
      <xdr:colOff>514350</xdr:colOff>
      <xdr:row>230</xdr:row>
      <xdr:rowOff>142875</xdr:rowOff>
    </xdr:to>
    <xdr:graphicFrame macro="">
      <xdr:nvGraphicFramePr>
        <xdr:cNvPr id="9509682" name="4 Gráfico">
          <a:extLst>
            <a:ext uri="{FF2B5EF4-FFF2-40B4-BE49-F238E27FC236}">
              <a16:creationId xmlns:a16="http://schemas.microsoft.com/office/drawing/2014/main" id="{2D5E7824-2FB4-394E-00E8-60CC5D3A9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590550</xdr:colOff>
      <xdr:row>235</xdr:row>
      <xdr:rowOff>190500</xdr:rowOff>
    </xdr:from>
    <xdr:to>
      <xdr:col>11</xdr:col>
      <xdr:colOff>447675</xdr:colOff>
      <xdr:row>244</xdr:row>
      <xdr:rowOff>95250</xdr:rowOff>
    </xdr:to>
    <xdr:graphicFrame macro="">
      <xdr:nvGraphicFramePr>
        <xdr:cNvPr id="9509683" name="4 Gráfico">
          <a:extLst>
            <a:ext uri="{FF2B5EF4-FFF2-40B4-BE49-F238E27FC236}">
              <a16:creationId xmlns:a16="http://schemas.microsoft.com/office/drawing/2014/main" id="{A088629C-CDF7-468D-78DA-25D369FA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581025</xdr:colOff>
      <xdr:row>249</xdr:row>
      <xdr:rowOff>66675</xdr:rowOff>
    </xdr:from>
    <xdr:to>
      <xdr:col>11</xdr:col>
      <xdr:colOff>438150</xdr:colOff>
      <xdr:row>257</xdr:row>
      <xdr:rowOff>209550</xdr:rowOff>
    </xdr:to>
    <xdr:graphicFrame macro="">
      <xdr:nvGraphicFramePr>
        <xdr:cNvPr id="9509684" name="4 Gráfico">
          <a:extLst>
            <a:ext uri="{FF2B5EF4-FFF2-40B4-BE49-F238E27FC236}">
              <a16:creationId xmlns:a16="http://schemas.microsoft.com/office/drawing/2014/main" id="{278BF873-9CCA-7558-654B-B1F47D97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600075</xdr:colOff>
      <xdr:row>263</xdr:row>
      <xdr:rowOff>66675</xdr:rowOff>
    </xdr:from>
    <xdr:to>
      <xdr:col>11</xdr:col>
      <xdr:colOff>457200</xdr:colOff>
      <xdr:row>271</xdr:row>
      <xdr:rowOff>209550</xdr:rowOff>
    </xdr:to>
    <xdr:graphicFrame macro="">
      <xdr:nvGraphicFramePr>
        <xdr:cNvPr id="9509685" name="4 Gráfico">
          <a:extLst>
            <a:ext uri="{FF2B5EF4-FFF2-40B4-BE49-F238E27FC236}">
              <a16:creationId xmlns:a16="http://schemas.microsoft.com/office/drawing/2014/main" id="{F32BF29F-EFA1-2D46-4749-7492D99E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304800</xdr:colOff>
      <xdr:row>53</xdr:row>
      <xdr:rowOff>104775</xdr:rowOff>
    </xdr:from>
    <xdr:to>
      <xdr:col>10</xdr:col>
      <xdr:colOff>857250</xdr:colOff>
      <xdr:row>63</xdr:row>
      <xdr:rowOff>9525</xdr:rowOff>
    </xdr:to>
    <xdr:graphicFrame macro="">
      <xdr:nvGraphicFramePr>
        <xdr:cNvPr id="9509686" name="4 Gráfico">
          <a:extLst>
            <a:ext uri="{FF2B5EF4-FFF2-40B4-BE49-F238E27FC236}">
              <a16:creationId xmlns:a16="http://schemas.microsoft.com/office/drawing/2014/main" id="{1985B8CB-7DE6-BA7A-947E-CF5294142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342900</xdr:colOff>
      <xdr:row>123</xdr:row>
      <xdr:rowOff>76200</xdr:rowOff>
    </xdr:from>
    <xdr:to>
      <xdr:col>11</xdr:col>
      <xdr:colOff>238125</xdr:colOff>
      <xdr:row>132</xdr:row>
      <xdr:rowOff>209550</xdr:rowOff>
    </xdr:to>
    <xdr:graphicFrame macro="">
      <xdr:nvGraphicFramePr>
        <xdr:cNvPr id="9509687" name="4 Gráfico">
          <a:extLst>
            <a:ext uri="{FF2B5EF4-FFF2-40B4-BE49-F238E27FC236}">
              <a16:creationId xmlns:a16="http://schemas.microsoft.com/office/drawing/2014/main" id="{975578B3-C5E8-8C51-EE99-9F7D8EAA1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295275</xdr:colOff>
      <xdr:row>165</xdr:row>
      <xdr:rowOff>142875</xdr:rowOff>
    </xdr:from>
    <xdr:to>
      <xdr:col>11</xdr:col>
      <xdr:colOff>152400</xdr:colOff>
      <xdr:row>174</xdr:row>
      <xdr:rowOff>66675</xdr:rowOff>
    </xdr:to>
    <xdr:graphicFrame macro="">
      <xdr:nvGraphicFramePr>
        <xdr:cNvPr id="9509688" name="4 Gráfico">
          <a:extLst>
            <a:ext uri="{FF2B5EF4-FFF2-40B4-BE49-F238E27FC236}">
              <a16:creationId xmlns:a16="http://schemas.microsoft.com/office/drawing/2014/main" id="{9CD3A070-E745-B5A7-D6C8-FFB288FA6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628650</xdr:colOff>
      <xdr:row>207</xdr:row>
      <xdr:rowOff>114300</xdr:rowOff>
    </xdr:from>
    <xdr:to>
      <xdr:col>11</xdr:col>
      <xdr:colOff>476250</xdr:colOff>
      <xdr:row>216</xdr:row>
      <xdr:rowOff>76200</xdr:rowOff>
    </xdr:to>
    <xdr:graphicFrame macro="">
      <xdr:nvGraphicFramePr>
        <xdr:cNvPr id="9509689" name="4 Gráfico">
          <a:extLst>
            <a:ext uri="{FF2B5EF4-FFF2-40B4-BE49-F238E27FC236}">
              <a16:creationId xmlns:a16="http://schemas.microsoft.com/office/drawing/2014/main" id="{BB992C1D-5C5B-08CA-4AAF-46D40C65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5</xdr:col>
      <xdr:colOff>704850</xdr:colOff>
      <xdr:row>11</xdr:row>
      <xdr:rowOff>161925</xdr:rowOff>
    </xdr:from>
    <xdr:to>
      <xdr:col>8</xdr:col>
      <xdr:colOff>590550</xdr:colOff>
      <xdr:row>15</xdr:row>
      <xdr:rowOff>114300</xdr:rowOff>
    </xdr:to>
    <xdr:pic>
      <xdr:nvPicPr>
        <xdr:cNvPr id="9509690" name="Imagen 1">
          <a:extLst>
            <a:ext uri="{FF2B5EF4-FFF2-40B4-BE49-F238E27FC236}">
              <a16:creationId xmlns:a16="http://schemas.microsoft.com/office/drawing/2014/main" id="{E54CA604-6948-DE12-284C-DDC9623D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72" b="10526"/>
        <a:stretch>
          <a:fillRect/>
        </a:stretch>
      </xdr:blipFill>
      <xdr:spPr bwMode="auto">
        <a:xfrm>
          <a:off x="5686425" y="2647950"/>
          <a:ext cx="22002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104775</xdr:rowOff>
    </xdr:from>
    <xdr:to>
      <xdr:col>3</xdr:col>
      <xdr:colOff>57150</xdr:colOff>
      <xdr:row>33</xdr:row>
      <xdr:rowOff>142876</xdr:rowOff>
    </xdr:to>
    <xdr:pic>
      <xdr:nvPicPr>
        <xdr:cNvPr id="9509691" name="Imagen 1">
          <a:extLst>
            <a:ext uri="{FF2B5EF4-FFF2-40B4-BE49-F238E27FC236}">
              <a16:creationId xmlns:a16="http://schemas.microsoft.com/office/drawing/2014/main" id="{44B39327-8F4A-2BFA-C6DE-F9D2F52B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" t="2612" r="3557" b="5724"/>
        <a:stretch>
          <a:fillRect/>
        </a:stretch>
      </xdr:blipFill>
      <xdr:spPr bwMode="auto">
        <a:xfrm>
          <a:off x="76200" y="4695825"/>
          <a:ext cx="34290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16</xdr:row>
      <xdr:rowOff>114300</xdr:rowOff>
    </xdr:from>
    <xdr:to>
      <xdr:col>8</xdr:col>
      <xdr:colOff>714375</xdr:colOff>
      <xdr:row>19</xdr:row>
      <xdr:rowOff>152400</xdr:rowOff>
    </xdr:to>
    <xdr:pic>
      <xdr:nvPicPr>
        <xdr:cNvPr id="9509692" name="Imagen 28">
          <a:extLst>
            <a:ext uri="{FF2B5EF4-FFF2-40B4-BE49-F238E27FC236}">
              <a16:creationId xmlns:a16="http://schemas.microsoft.com/office/drawing/2014/main" id="{688E0BF1-4172-A321-947D-846C1D89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539" b="-4167"/>
        <a:stretch>
          <a:fillRect/>
        </a:stretch>
      </xdr:blipFill>
      <xdr:spPr bwMode="auto">
        <a:xfrm>
          <a:off x="5762625" y="3409950"/>
          <a:ext cx="2247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486833</xdr:colOff>
      <xdr:row>0</xdr:row>
      <xdr:rowOff>42333</xdr:rowOff>
    </xdr:from>
    <xdr:to>
      <xdr:col>0</xdr:col>
      <xdr:colOff>1439333</xdr:colOff>
      <xdr:row>3</xdr:row>
      <xdr:rowOff>140825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E16F1560-BADB-4B0F-A91A-BCC3504C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833" y="42333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209550</xdr:colOff>
      <xdr:row>49</xdr:row>
      <xdr:rowOff>0</xdr:rowOff>
    </xdr:from>
    <xdr:to>
      <xdr:col>35</xdr:col>
      <xdr:colOff>352425</xdr:colOff>
      <xdr:row>59</xdr:row>
      <xdr:rowOff>70485</xdr:rowOff>
    </xdr:to>
    <xdr:pic>
      <xdr:nvPicPr>
        <xdr:cNvPr id="8108" name="Imagen 1">
          <a:extLst>
            <a:ext uri="{FF2B5EF4-FFF2-40B4-BE49-F238E27FC236}">
              <a16:creationId xmlns:a16="http://schemas.microsoft.com/office/drawing/2014/main" id="{8349054A-27AF-4FC4-FE26-174FA76A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4875" y="13058775"/>
          <a:ext cx="40005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76200</xdr:rowOff>
    </xdr:from>
    <xdr:to>
      <xdr:col>6</xdr:col>
      <xdr:colOff>807720</xdr:colOff>
      <xdr:row>5</xdr:row>
      <xdr:rowOff>57024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94AC4A-60CA-4E78-A916-170939B8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238125"/>
          <a:ext cx="5810250" cy="628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38</xdr:row>
      <xdr:rowOff>19050</xdr:rowOff>
    </xdr:from>
    <xdr:to>
      <xdr:col>10</xdr:col>
      <xdr:colOff>266700</xdr:colOff>
      <xdr:row>49</xdr:row>
      <xdr:rowOff>104775</xdr:rowOff>
    </xdr:to>
    <xdr:graphicFrame macro="">
      <xdr:nvGraphicFramePr>
        <xdr:cNvPr id="8459945" name="Chart 1">
          <a:extLst>
            <a:ext uri="{FF2B5EF4-FFF2-40B4-BE49-F238E27FC236}">
              <a16:creationId xmlns:a16="http://schemas.microsoft.com/office/drawing/2014/main" id="{4CEAAE85-713F-507E-3E13-06C104A76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81915</xdr:colOff>
      <xdr:row>49</xdr:row>
      <xdr:rowOff>36195</xdr:rowOff>
    </xdr:from>
    <xdr:to>
      <xdr:col>20</xdr:col>
      <xdr:colOff>182940</xdr:colOff>
      <xdr:row>49</xdr:row>
      <xdr:rowOff>167640</xdr:rowOff>
    </xdr:to>
    <xdr:sp macro="" textlink="">
      <xdr:nvSpPr>
        <xdr:cNvPr id="3" name="Text Box 20">
          <a:extLst>
            <a:ext uri="{FF2B5EF4-FFF2-40B4-BE49-F238E27FC236}">
              <a16:creationId xmlns:a16="http://schemas.microsoft.com/office/drawing/2014/main" id="{39947B42-B184-2F03-DCAD-4136DD3F9512}"/>
            </a:ext>
          </a:extLst>
        </xdr:cNvPr>
        <xdr:cNvSpPr txBox="1">
          <a:spLocks noChangeArrowheads="1"/>
        </xdr:cNvSpPr>
      </xdr:nvSpPr>
      <xdr:spPr bwMode="auto">
        <a:xfrm>
          <a:off x="9578340" y="8913495"/>
          <a:ext cx="929640" cy="131445"/>
        </a:xfrm>
        <a:prstGeom prst="rect">
          <a:avLst/>
        </a:prstGeom>
        <a:solidFill>
          <a:srgbClr val="FFFFFF"/>
        </a:solidFill>
        <a:ln w="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ESPECIFICACIÓN</a:t>
          </a:r>
        </a:p>
      </xdr:txBody>
    </xdr:sp>
    <xdr:clientData/>
  </xdr:twoCellAnchor>
  <xdr:twoCellAnchor>
    <xdr:from>
      <xdr:col>16</xdr:col>
      <xdr:colOff>28575</xdr:colOff>
      <xdr:row>49</xdr:row>
      <xdr:rowOff>171450</xdr:rowOff>
    </xdr:from>
    <xdr:to>
      <xdr:col>18</xdr:col>
      <xdr:colOff>95250</xdr:colOff>
      <xdr:row>49</xdr:row>
      <xdr:rowOff>171450</xdr:rowOff>
    </xdr:to>
    <xdr:sp macro="" textlink="">
      <xdr:nvSpPr>
        <xdr:cNvPr id="8459947" name="Line 23">
          <a:extLst>
            <a:ext uri="{FF2B5EF4-FFF2-40B4-BE49-F238E27FC236}">
              <a16:creationId xmlns:a16="http://schemas.microsoft.com/office/drawing/2014/main" id="{E9F51067-9A4A-3E5E-8C31-F23EC438788D}"/>
            </a:ext>
          </a:extLst>
        </xdr:cNvPr>
        <xdr:cNvSpPr>
          <a:spLocks noChangeShapeType="1"/>
        </xdr:cNvSpPr>
      </xdr:nvSpPr>
      <xdr:spPr bwMode="auto">
        <a:xfrm flipH="1">
          <a:off x="9020175" y="9334500"/>
          <a:ext cx="11144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510540</xdr:colOff>
      <xdr:row>37</xdr:row>
      <xdr:rowOff>0</xdr:rowOff>
    </xdr:from>
    <xdr:to>
      <xdr:col>7</xdr:col>
      <xdr:colOff>117713</xdr:colOff>
      <xdr:row>38</xdr:row>
      <xdr:rowOff>0</xdr:rowOff>
    </xdr:to>
    <xdr:sp macro="" textlink="">
      <xdr:nvSpPr>
        <xdr:cNvPr id="8" name="Texto 38">
          <a:extLst>
            <a:ext uri="{FF2B5EF4-FFF2-40B4-BE49-F238E27FC236}">
              <a16:creationId xmlns:a16="http://schemas.microsoft.com/office/drawing/2014/main" id="{BF30C9EF-14E7-01F9-A061-D5764EF7B753}"/>
            </a:ext>
          </a:extLst>
        </xdr:cNvPr>
        <xdr:cNvSpPr txBox="1">
          <a:spLocks noChangeArrowheads="1"/>
        </xdr:cNvSpPr>
      </xdr:nvSpPr>
      <xdr:spPr bwMode="auto">
        <a:xfrm>
          <a:off x="1950720" y="7178040"/>
          <a:ext cx="246655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>
    <xdr:from>
      <xdr:col>0</xdr:col>
      <xdr:colOff>152400</xdr:colOff>
      <xdr:row>36</xdr:row>
      <xdr:rowOff>95250</xdr:rowOff>
    </xdr:from>
    <xdr:to>
      <xdr:col>10</xdr:col>
      <xdr:colOff>704850</xdr:colOff>
      <xdr:row>50</xdr:row>
      <xdr:rowOff>19050</xdr:rowOff>
    </xdr:to>
    <xdr:sp macro="" textlink="">
      <xdr:nvSpPr>
        <xdr:cNvPr id="8459949" name="Rectángulo redondeado 9">
          <a:extLst>
            <a:ext uri="{FF2B5EF4-FFF2-40B4-BE49-F238E27FC236}">
              <a16:creationId xmlns:a16="http://schemas.microsoft.com/office/drawing/2014/main" id="{6AA329AD-50E9-BE6E-CAA7-A5DB0E534F18}"/>
            </a:ext>
          </a:extLst>
        </xdr:cNvPr>
        <xdr:cNvSpPr>
          <a:spLocks noChangeArrowheads="1"/>
        </xdr:cNvSpPr>
      </xdr:nvSpPr>
      <xdr:spPr bwMode="auto">
        <a:xfrm>
          <a:off x="152400" y="6905625"/>
          <a:ext cx="6438900" cy="245745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390525</xdr:colOff>
      <xdr:row>51</xdr:row>
      <xdr:rowOff>66675</xdr:rowOff>
    </xdr:from>
    <xdr:to>
      <xdr:col>8</xdr:col>
      <xdr:colOff>133350</xdr:colOff>
      <xdr:row>57</xdr:row>
      <xdr:rowOff>171450</xdr:rowOff>
    </xdr:to>
    <xdr:pic>
      <xdr:nvPicPr>
        <xdr:cNvPr id="8459950" name="Imagen 6">
          <a:extLst>
            <a:ext uri="{FF2B5EF4-FFF2-40B4-BE49-F238E27FC236}">
              <a16:creationId xmlns:a16="http://schemas.microsoft.com/office/drawing/2014/main" id="{29894544-344A-D1C7-0FA0-EA9ED8F22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448050" y="95916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285750</xdr:colOff>
      <xdr:row>51</xdr:row>
      <xdr:rowOff>28575</xdr:rowOff>
    </xdr:from>
    <xdr:to>
      <xdr:col>10</xdr:col>
      <xdr:colOff>419100</xdr:colOff>
      <xdr:row>57</xdr:row>
      <xdr:rowOff>180975</xdr:rowOff>
    </xdr:to>
    <xdr:pic>
      <xdr:nvPicPr>
        <xdr:cNvPr id="8459951" name="Imagen 8">
          <a:extLst>
            <a:ext uri="{FF2B5EF4-FFF2-40B4-BE49-F238E27FC236}">
              <a16:creationId xmlns:a16="http://schemas.microsoft.com/office/drawing/2014/main" id="{8D1808A0-C96A-59D7-EC70-ED3F463AD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762500" y="95535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200025</xdr:colOff>
      <xdr:row>5</xdr:row>
      <xdr:rowOff>104775</xdr:rowOff>
    </xdr:from>
    <xdr:to>
      <xdr:col>28</xdr:col>
      <xdr:colOff>295275</xdr:colOff>
      <xdr:row>7</xdr:row>
      <xdr:rowOff>200025</xdr:rowOff>
    </xdr:to>
    <xdr:pic>
      <xdr:nvPicPr>
        <xdr:cNvPr id="8459952" name="Imagen 10">
          <a:extLst>
            <a:ext uri="{FF2B5EF4-FFF2-40B4-BE49-F238E27FC236}">
              <a16:creationId xmlns:a16="http://schemas.microsoft.com/office/drawing/2014/main" id="{FBD148CB-751C-FCD5-4297-AB37406B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36</xdr:row>
      <xdr:rowOff>85725</xdr:rowOff>
    </xdr:from>
    <xdr:to>
      <xdr:col>10</xdr:col>
      <xdr:colOff>571500</xdr:colOff>
      <xdr:row>48</xdr:row>
      <xdr:rowOff>85725</xdr:rowOff>
    </xdr:to>
    <xdr:graphicFrame macro="">
      <xdr:nvGraphicFramePr>
        <xdr:cNvPr id="5704533" name="Chart 4">
          <a:extLst>
            <a:ext uri="{FF2B5EF4-FFF2-40B4-BE49-F238E27FC236}">
              <a16:creationId xmlns:a16="http://schemas.microsoft.com/office/drawing/2014/main" id="{83FE9309-7373-2BD4-55B0-9954C7407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276225</xdr:colOff>
      <xdr:row>45</xdr:row>
      <xdr:rowOff>19050</xdr:rowOff>
    </xdr:from>
    <xdr:to>
      <xdr:col>9</xdr:col>
      <xdr:colOff>85725</xdr:colOff>
      <xdr:row>52</xdr:row>
      <xdr:rowOff>123825</xdr:rowOff>
    </xdr:to>
    <xdr:pic>
      <xdr:nvPicPr>
        <xdr:cNvPr id="5704534" name="Imagen 2">
          <a:extLst>
            <a:ext uri="{FF2B5EF4-FFF2-40B4-BE49-F238E27FC236}">
              <a16:creationId xmlns:a16="http://schemas.microsoft.com/office/drawing/2014/main" id="{44B66FC3-CA04-FDB9-9F16-ED893C95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886200" y="86772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485775</xdr:colOff>
      <xdr:row>44</xdr:row>
      <xdr:rowOff>200025</xdr:rowOff>
    </xdr:from>
    <xdr:to>
      <xdr:col>11</xdr:col>
      <xdr:colOff>85725</xdr:colOff>
      <xdr:row>52</xdr:row>
      <xdr:rowOff>152400</xdr:rowOff>
    </xdr:to>
    <xdr:pic>
      <xdr:nvPicPr>
        <xdr:cNvPr id="5704535" name="Imagen 4">
          <a:extLst>
            <a:ext uri="{FF2B5EF4-FFF2-40B4-BE49-F238E27FC236}">
              <a16:creationId xmlns:a16="http://schemas.microsoft.com/office/drawing/2014/main" id="{7E3D4FAE-DBBC-6097-5A92-CB5FBAC1B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933950" y="865822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200025</xdr:colOff>
      <xdr:row>50</xdr:row>
      <xdr:rowOff>104775</xdr:rowOff>
    </xdr:from>
    <xdr:to>
      <xdr:col>32</xdr:col>
      <xdr:colOff>552450</xdr:colOff>
      <xdr:row>53</xdr:row>
      <xdr:rowOff>85725</xdr:rowOff>
    </xdr:to>
    <xdr:pic>
      <xdr:nvPicPr>
        <xdr:cNvPr id="5704536" name="Imagen 5">
          <a:extLst>
            <a:ext uri="{FF2B5EF4-FFF2-40B4-BE49-F238E27FC236}">
              <a16:creationId xmlns:a16="http://schemas.microsoft.com/office/drawing/2014/main" id="{34B085B0-0DBC-3E9C-16A9-DA4E6E3E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825" y="9648825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35</xdr:row>
      <xdr:rowOff>85725</xdr:rowOff>
    </xdr:from>
    <xdr:to>
      <xdr:col>10</xdr:col>
      <xdr:colOff>571500</xdr:colOff>
      <xdr:row>47</xdr:row>
      <xdr:rowOff>85725</xdr:rowOff>
    </xdr:to>
    <xdr:graphicFrame macro="">
      <xdr:nvGraphicFramePr>
        <xdr:cNvPr id="9022762" name="Chart 4">
          <a:extLst>
            <a:ext uri="{FF2B5EF4-FFF2-40B4-BE49-F238E27FC236}">
              <a16:creationId xmlns:a16="http://schemas.microsoft.com/office/drawing/2014/main" id="{551026F3-EAD8-FF03-CEF3-9B16532D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476250</xdr:colOff>
      <xdr:row>49</xdr:row>
      <xdr:rowOff>190500</xdr:rowOff>
    </xdr:from>
    <xdr:to>
      <xdr:col>18</xdr:col>
      <xdr:colOff>333375</xdr:colOff>
      <xdr:row>54</xdr:row>
      <xdr:rowOff>314325</xdr:rowOff>
    </xdr:to>
    <xdr:pic>
      <xdr:nvPicPr>
        <xdr:cNvPr id="9022763" name="3 Imagen">
          <a:extLst>
            <a:ext uri="{FF2B5EF4-FFF2-40B4-BE49-F238E27FC236}">
              <a16:creationId xmlns:a16="http://schemas.microsoft.com/office/drawing/2014/main" id="{46909CAE-E6CC-145F-76C6-D96DA55C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9991725"/>
          <a:ext cx="14001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152400</xdr:colOff>
      <xdr:row>46</xdr:row>
      <xdr:rowOff>47625</xdr:rowOff>
    </xdr:from>
    <xdr:to>
      <xdr:col>7</xdr:col>
      <xdr:colOff>209550</xdr:colOff>
      <xdr:row>52</xdr:row>
      <xdr:rowOff>152400</xdr:rowOff>
    </xdr:to>
    <xdr:pic>
      <xdr:nvPicPr>
        <xdr:cNvPr id="9022764" name="Imagen 6">
          <a:extLst>
            <a:ext uri="{FF2B5EF4-FFF2-40B4-BE49-F238E27FC236}">
              <a16:creationId xmlns:a16="http://schemas.microsoft.com/office/drawing/2014/main" id="{62ACC01A-A9A3-81F0-37D1-72D96000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209925" y="92487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46</xdr:row>
      <xdr:rowOff>9525</xdr:rowOff>
    </xdr:from>
    <xdr:to>
      <xdr:col>10</xdr:col>
      <xdr:colOff>590550</xdr:colOff>
      <xdr:row>52</xdr:row>
      <xdr:rowOff>161925</xdr:rowOff>
    </xdr:to>
    <xdr:pic>
      <xdr:nvPicPr>
        <xdr:cNvPr id="9022765" name="Imagen 7">
          <a:extLst>
            <a:ext uri="{FF2B5EF4-FFF2-40B4-BE49-F238E27FC236}">
              <a16:creationId xmlns:a16="http://schemas.microsoft.com/office/drawing/2014/main" id="{B95650FC-2D0F-CB0C-D5BF-677A1B271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524375" y="92106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200025</xdr:colOff>
      <xdr:row>5</xdr:row>
      <xdr:rowOff>104775</xdr:rowOff>
    </xdr:from>
    <xdr:to>
      <xdr:col>26</xdr:col>
      <xdr:colOff>533400</xdr:colOff>
      <xdr:row>8</xdr:row>
      <xdr:rowOff>0</xdr:rowOff>
    </xdr:to>
    <xdr:pic>
      <xdr:nvPicPr>
        <xdr:cNvPr id="9022766" name="Imagen 5">
          <a:extLst>
            <a:ext uri="{FF2B5EF4-FFF2-40B4-BE49-F238E27FC236}">
              <a16:creationId xmlns:a16="http://schemas.microsoft.com/office/drawing/2014/main" id="{94D03414-F97F-C174-0CF1-6B01DB26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LABORATORIO\Suelo\Densidades\@Laboratorio\5%20Asfalto\AGOST%201998\granulometria1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ucana9\c\LABORATORIO\'A%20S%20F%20A%20L%20T%20O\DISE&#209;O%20DE%20ASFALTO\MARSHALL%20D-35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Informe%20de%20Enero\Materiales\WINDOWS\Escritorio\LABORATORIO\Suelo\Densidades\@Laboratorio\5%20Asfalto\AGOST%201998\granulometria1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Users\PC%206\Desktop\GR-686-19-SU%20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Laboratorio%20Suelos%20Pavimentos\Informe%20Mensual%20de%20%20Junio\Material%20de%20Mejoramientos\280698-CG-MATERIALES%20DE%20MEJORAMIENTO%20-%20kM120+310-120+450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Geofal%202019\1.0%20Trabajos%202019\1.-Ensayos\9.%20Setiembre\1.%20Construcciones%20Diez%20SAC\1.%20Arena%20Gruesa\GR-575-19%20Arena%20Gru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RANULOMETRIA DE MEZCLA"/>
      <sheetName val="MUESTRA N°1"/>
      <sheetName val="MUESTRA N°2"/>
      <sheetName val="MUESTRA N°3"/>
      <sheetName val="MUESTRA N°4"/>
      <sheetName val="MUESTRA N°5"/>
      <sheetName val="GRAFICOS REPRESENTATIVOS"/>
      <sheetName val="CONFIRMACION real"/>
      <sheetName val="CONFIRMACION 2"/>
      <sheetName val="EXTRACCION N1"/>
      <sheetName val="MARSHALL N1"/>
      <sheetName val="RICE"/>
      <sheetName val="ESTABILIDAD RETENIDA"/>
      <sheetName val="COMPACTIB N1"/>
    </sheetNames>
    <sheetDataSet>
      <sheetData sheetId="0" refreshError="1">
        <row r="2">
          <cell r="A2">
            <v>444</v>
          </cell>
          <cell r="B2">
            <v>456</v>
          </cell>
          <cell r="C2">
            <v>456.9</v>
          </cell>
          <cell r="D2">
            <v>1.25</v>
          </cell>
        </row>
        <row r="3">
          <cell r="A3">
            <v>425</v>
          </cell>
          <cell r="B3">
            <v>435</v>
          </cell>
          <cell r="C3">
            <v>434.9</v>
          </cell>
          <cell r="D3">
            <v>135</v>
          </cell>
        </row>
        <row r="4">
          <cell r="A4">
            <v>435</v>
          </cell>
          <cell r="B4">
            <v>443</v>
          </cell>
          <cell r="C4">
            <v>439.9</v>
          </cell>
          <cell r="D4">
            <v>1.3</v>
          </cell>
        </row>
        <row r="5">
          <cell r="A5">
            <v>457</v>
          </cell>
          <cell r="B5">
            <v>470</v>
          </cell>
          <cell r="C5">
            <v>470.9</v>
          </cell>
          <cell r="D5">
            <v>1.19</v>
          </cell>
        </row>
        <row r="6">
          <cell r="A6">
            <v>471</v>
          </cell>
          <cell r="B6">
            <v>482</v>
          </cell>
          <cell r="C6">
            <v>482.9</v>
          </cell>
          <cell r="D6">
            <v>1.1399999999999999</v>
          </cell>
        </row>
        <row r="7">
          <cell r="A7">
            <v>483</v>
          </cell>
          <cell r="B7">
            <v>495</v>
          </cell>
          <cell r="C7">
            <v>495.9</v>
          </cell>
          <cell r="D7">
            <v>1.0900000000000001</v>
          </cell>
        </row>
        <row r="8">
          <cell r="A8">
            <v>496</v>
          </cell>
          <cell r="B8">
            <v>508</v>
          </cell>
          <cell r="C8">
            <v>508.9</v>
          </cell>
          <cell r="D8">
            <v>1.04</v>
          </cell>
        </row>
        <row r="9">
          <cell r="A9">
            <v>509</v>
          </cell>
          <cell r="B9">
            <v>521</v>
          </cell>
          <cell r="C9">
            <v>521.9</v>
          </cell>
          <cell r="D9">
            <v>1</v>
          </cell>
        </row>
        <row r="10">
          <cell r="A10">
            <v>522</v>
          </cell>
          <cell r="B10">
            <v>535</v>
          </cell>
          <cell r="C10">
            <v>535.9</v>
          </cell>
          <cell r="D10">
            <v>0.96</v>
          </cell>
        </row>
        <row r="11">
          <cell r="A11">
            <v>536</v>
          </cell>
          <cell r="B11">
            <v>546</v>
          </cell>
          <cell r="C11">
            <v>546.9</v>
          </cell>
          <cell r="D11">
            <v>0.93</v>
          </cell>
        </row>
        <row r="12">
          <cell r="A12">
            <v>547</v>
          </cell>
          <cell r="B12">
            <v>559</v>
          </cell>
          <cell r="C12">
            <v>559.9</v>
          </cell>
          <cell r="D12">
            <v>0.89</v>
          </cell>
        </row>
        <row r="13">
          <cell r="A13">
            <v>560</v>
          </cell>
          <cell r="B13">
            <v>573</v>
          </cell>
          <cell r="C13">
            <v>573.9</v>
          </cell>
          <cell r="D13">
            <v>0.86</v>
          </cell>
        </row>
        <row r="14">
          <cell r="A14">
            <v>574</v>
          </cell>
          <cell r="B14">
            <v>585</v>
          </cell>
          <cell r="C14">
            <v>585.9</v>
          </cell>
          <cell r="D14">
            <v>0.83</v>
          </cell>
        </row>
        <row r="15">
          <cell r="A15">
            <v>586</v>
          </cell>
          <cell r="B15">
            <v>598</v>
          </cell>
          <cell r="C15">
            <v>598.9</v>
          </cell>
          <cell r="D15">
            <v>0.81</v>
          </cell>
        </row>
        <row r="16">
          <cell r="A16">
            <v>599</v>
          </cell>
          <cell r="B16">
            <v>610</v>
          </cell>
          <cell r="C16">
            <v>610.9</v>
          </cell>
          <cell r="D16">
            <v>0.78</v>
          </cell>
        </row>
        <row r="17">
          <cell r="A17">
            <v>611</v>
          </cell>
          <cell r="B17">
            <v>625</v>
          </cell>
          <cell r="C17">
            <v>625.9</v>
          </cell>
          <cell r="D17">
            <v>0.76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CS (2)"/>
      <sheetName val="SUCS"/>
      <sheetName val="C-01 - Integral"/>
      <sheetName val="C-01 &lt; 2&quot;"/>
      <sheetName val="Limite"/>
      <sheetName val="proctor "/>
      <sheetName val="MORG"/>
      <sheetName val="cbr datos "/>
      <sheetName val="cbr graficos"/>
      <sheetName val="equivalente"/>
      <sheetName val="peso especifico"/>
      <sheetName val="durabilidad"/>
      <sheetName val="terr arc y part desm"/>
      <sheetName val="angularidad"/>
      <sheetName val="abrasion"/>
      <sheetName val="sales solubles"/>
      <sheetName val="Módulo1"/>
    </sheetNames>
    <sheetDataSet>
      <sheetData sheetId="0" refreshError="1"/>
      <sheetData sheetId="1">
        <row r="6">
          <cell r="L6">
            <v>0.47448537278033492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>
        <row r="51">
          <cell r="Q51">
            <v>0</v>
          </cell>
          <cell r="R51">
            <v>0</v>
          </cell>
        </row>
        <row r="52">
          <cell r="Q52">
            <v>0</v>
          </cell>
          <cell r="R52">
            <v>0</v>
          </cell>
        </row>
        <row r="53">
          <cell r="Q53">
            <v>0</v>
          </cell>
          <cell r="R53">
            <v>0</v>
          </cell>
        </row>
        <row r="56">
          <cell r="Q56">
            <v>0</v>
          </cell>
          <cell r="R56">
            <v>0</v>
          </cell>
        </row>
        <row r="57">
          <cell r="Q57">
            <v>0</v>
          </cell>
          <cell r="R57">
            <v>0</v>
          </cell>
        </row>
        <row r="58">
          <cell r="Q58">
            <v>0</v>
          </cell>
          <cell r="R58">
            <v>0</v>
          </cell>
        </row>
        <row r="61">
          <cell r="Q61">
            <v>0</v>
          </cell>
          <cell r="R61">
            <v>0</v>
          </cell>
        </row>
        <row r="62">
          <cell r="Q62">
            <v>0</v>
          </cell>
          <cell r="R62">
            <v>0</v>
          </cell>
        </row>
        <row r="63">
          <cell r="Q63">
            <v>0</v>
          </cell>
          <cell r="R6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>
            <v>76.2</v>
          </cell>
          <cell r="B1">
            <v>0</v>
          </cell>
          <cell r="D1">
            <v>76.2</v>
          </cell>
          <cell r="E1">
            <v>0</v>
          </cell>
          <cell r="F1">
            <v>100</v>
          </cell>
        </row>
        <row r="2">
          <cell r="A2">
            <v>76.2</v>
          </cell>
          <cell r="B2">
            <v>100</v>
          </cell>
          <cell r="D2">
            <v>63.5</v>
          </cell>
          <cell r="E2">
            <v>0</v>
          </cell>
          <cell r="F2">
            <v>100</v>
          </cell>
        </row>
        <row r="3">
          <cell r="A3">
            <v>0</v>
          </cell>
          <cell r="B3">
            <v>0</v>
          </cell>
          <cell r="D3">
            <v>50.6</v>
          </cell>
          <cell r="E3">
            <v>0</v>
          </cell>
          <cell r="F3">
            <v>100</v>
          </cell>
        </row>
        <row r="4">
          <cell r="A4">
            <v>63.5</v>
          </cell>
          <cell r="B4">
            <v>0</v>
          </cell>
          <cell r="D4">
            <v>38.1</v>
          </cell>
          <cell r="E4">
            <v>0</v>
          </cell>
          <cell r="F4">
            <v>100</v>
          </cell>
        </row>
        <row r="5">
          <cell r="A5">
            <v>63.5</v>
          </cell>
          <cell r="B5">
            <v>100</v>
          </cell>
          <cell r="D5">
            <v>25.4</v>
          </cell>
          <cell r="E5">
            <v>0</v>
          </cell>
          <cell r="F5">
            <v>100</v>
          </cell>
        </row>
        <row r="6">
          <cell r="A6">
            <v>0</v>
          </cell>
          <cell r="B6">
            <v>0</v>
          </cell>
          <cell r="D6">
            <v>19.05</v>
          </cell>
          <cell r="E6">
            <v>0</v>
          </cell>
          <cell r="F6">
            <v>100</v>
          </cell>
        </row>
        <row r="7">
          <cell r="A7">
            <v>50.6</v>
          </cell>
          <cell r="B7">
            <v>0</v>
          </cell>
          <cell r="D7">
            <v>12.7</v>
          </cell>
          <cell r="E7">
            <v>0</v>
          </cell>
          <cell r="F7">
            <v>100</v>
          </cell>
        </row>
        <row r="8">
          <cell r="A8">
            <v>50.6</v>
          </cell>
          <cell r="B8">
            <v>100</v>
          </cell>
          <cell r="D8">
            <v>9.5250000000000004</v>
          </cell>
          <cell r="E8">
            <v>0</v>
          </cell>
          <cell r="F8">
            <v>100</v>
          </cell>
        </row>
        <row r="9">
          <cell r="A9">
            <v>0</v>
          </cell>
          <cell r="B9">
            <v>0</v>
          </cell>
          <cell r="D9">
            <v>6.35</v>
          </cell>
          <cell r="E9">
            <v>0</v>
          </cell>
          <cell r="F9">
            <v>100</v>
          </cell>
        </row>
        <row r="10">
          <cell r="A10">
            <v>38.1</v>
          </cell>
          <cell r="B10">
            <v>0</v>
          </cell>
          <cell r="D10">
            <v>4.76</v>
          </cell>
          <cell r="E10">
            <v>0</v>
          </cell>
          <cell r="F10">
            <v>100</v>
          </cell>
        </row>
        <row r="11">
          <cell r="A11">
            <v>38.1</v>
          </cell>
          <cell r="B11">
            <v>100</v>
          </cell>
          <cell r="D11">
            <v>2.38</v>
          </cell>
          <cell r="E11">
            <v>0</v>
          </cell>
          <cell r="F11">
            <v>100</v>
          </cell>
        </row>
        <row r="12">
          <cell r="A12">
            <v>0</v>
          </cell>
          <cell r="B12">
            <v>0</v>
          </cell>
          <cell r="D12">
            <v>2</v>
          </cell>
          <cell r="E12">
            <v>0</v>
          </cell>
          <cell r="F12">
            <v>100</v>
          </cell>
        </row>
        <row r="13">
          <cell r="A13">
            <v>25.4</v>
          </cell>
          <cell r="B13">
            <v>0</v>
          </cell>
          <cell r="D13">
            <v>1.19</v>
          </cell>
          <cell r="E13">
            <v>0</v>
          </cell>
          <cell r="F13">
            <v>100</v>
          </cell>
        </row>
        <row r="14">
          <cell r="A14">
            <v>25.4</v>
          </cell>
          <cell r="B14">
            <v>100</v>
          </cell>
          <cell r="D14">
            <v>0.84</v>
          </cell>
          <cell r="E14">
            <v>0</v>
          </cell>
          <cell r="F14">
            <v>100</v>
          </cell>
        </row>
        <row r="15">
          <cell r="A15">
            <v>0</v>
          </cell>
          <cell r="B15">
            <v>0</v>
          </cell>
          <cell r="D15">
            <v>0.59</v>
          </cell>
          <cell r="E15">
            <v>0</v>
          </cell>
          <cell r="F15">
            <v>100</v>
          </cell>
        </row>
        <row r="16">
          <cell r="A16">
            <v>19.05</v>
          </cell>
          <cell r="B16">
            <v>0</v>
          </cell>
          <cell r="D16">
            <v>0.42</v>
          </cell>
          <cell r="E16">
            <v>0</v>
          </cell>
          <cell r="F16">
            <v>100</v>
          </cell>
        </row>
        <row r="17">
          <cell r="A17">
            <v>19.05</v>
          </cell>
          <cell r="B17">
            <v>100</v>
          </cell>
          <cell r="D17">
            <v>0.3</v>
          </cell>
          <cell r="E17">
            <v>0</v>
          </cell>
          <cell r="F17">
            <v>100</v>
          </cell>
        </row>
        <row r="18">
          <cell r="A18">
            <v>0</v>
          </cell>
          <cell r="B18">
            <v>0</v>
          </cell>
          <cell r="D18">
            <v>0.25</v>
          </cell>
          <cell r="E18">
            <v>0</v>
          </cell>
          <cell r="F18">
            <v>100</v>
          </cell>
        </row>
        <row r="19">
          <cell r="A19">
            <v>12.7</v>
          </cell>
          <cell r="B19">
            <v>0</v>
          </cell>
          <cell r="D19">
            <v>0.18</v>
          </cell>
          <cell r="E19">
            <v>0</v>
          </cell>
          <cell r="F19">
            <v>100</v>
          </cell>
        </row>
        <row r="20">
          <cell r="A20">
            <v>12.7</v>
          </cell>
          <cell r="B20">
            <v>100</v>
          </cell>
          <cell r="D20">
            <v>0.14899999999999999</v>
          </cell>
          <cell r="E20">
            <v>0</v>
          </cell>
          <cell r="F20">
            <v>100</v>
          </cell>
        </row>
        <row r="21">
          <cell r="A21">
            <v>0</v>
          </cell>
          <cell r="B21">
            <v>0</v>
          </cell>
          <cell r="D21">
            <v>7.3999999999999996E-2</v>
          </cell>
          <cell r="E21">
            <v>0</v>
          </cell>
          <cell r="F21">
            <v>100</v>
          </cell>
        </row>
        <row r="22">
          <cell r="A22">
            <v>9.5250000000000004</v>
          </cell>
          <cell r="B22">
            <v>0</v>
          </cell>
        </row>
        <row r="23">
          <cell r="A23">
            <v>9.5250000000000004</v>
          </cell>
          <cell r="B23">
            <v>100</v>
          </cell>
        </row>
        <row r="24">
          <cell r="A24">
            <v>0</v>
          </cell>
          <cell r="B24">
            <v>0</v>
          </cell>
        </row>
        <row r="25">
          <cell r="A25">
            <v>6.35</v>
          </cell>
          <cell r="B25">
            <v>0</v>
          </cell>
        </row>
        <row r="26">
          <cell r="A26">
            <v>6.35</v>
          </cell>
          <cell r="B26">
            <v>100</v>
          </cell>
        </row>
        <row r="27">
          <cell r="A27">
            <v>0</v>
          </cell>
          <cell r="B27">
            <v>0</v>
          </cell>
        </row>
        <row r="28">
          <cell r="A28">
            <v>4.76</v>
          </cell>
          <cell r="B28">
            <v>0</v>
          </cell>
        </row>
        <row r="29">
          <cell r="A29">
            <v>4.76</v>
          </cell>
          <cell r="B29">
            <v>100</v>
          </cell>
        </row>
        <row r="30">
          <cell r="A30">
            <v>0</v>
          </cell>
          <cell r="B30">
            <v>0</v>
          </cell>
        </row>
        <row r="31">
          <cell r="A31">
            <v>2.38</v>
          </cell>
          <cell r="B31">
            <v>0</v>
          </cell>
        </row>
        <row r="32">
          <cell r="A32">
            <v>2.38</v>
          </cell>
          <cell r="B32">
            <v>100</v>
          </cell>
        </row>
        <row r="33">
          <cell r="A33">
            <v>0</v>
          </cell>
          <cell r="B33">
            <v>0</v>
          </cell>
        </row>
        <row r="34">
          <cell r="A34">
            <v>2</v>
          </cell>
          <cell r="B34">
            <v>0</v>
          </cell>
        </row>
        <row r="35">
          <cell r="A35">
            <v>2</v>
          </cell>
          <cell r="B35">
            <v>100</v>
          </cell>
        </row>
        <row r="36">
          <cell r="A36">
            <v>0</v>
          </cell>
          <cell r="B36">
            <v>0</v>
          </cell>
        </row>
        <row r="37">
          <cell r="A37">
            <v>1.19</v>
          </cell>
          <cell r="B37">
            <v>0</v>
          </cell>
        </row>
        <row r="38">
          <cell r="A38">
            <v>1.19</v>
          </cell>
          <cell r="B38">
            <v>100</v>
          </cell>
        </row>
        <row r="39">
          <cell r="A39">
            <v>0</v>
          </cell>
          <cell r="B39">
            <v>0</v>
          </cell>
        </row>
        <row r="40">
          <cell r="A40">
            <v>0.84</v>
          </cell>
          <cell r="B40">
            <v>0</v>
          </cell>
        </row>
        <row r="41">
          <cell r="A41">
            <v>0.84</v>
          </cell>
          <cell r="B41">
            <v>100</v>
          </cell>
        </row>
        <row r="42">
          <cell r="A42">
            <v>0</v>
          </cell>
          <cell r="B42">
            <v>0</v>
          </cell>
        </row>
        <row r="43">
          <cell r="A43">
            <v>0.59</v>
          </cell>
          <cell r="B43">
            <v>0</v>
          </cell>
        </row>
        <row r="44">
          <cell r="A44">
            <v>0.59</v>
          </cell>
          <cell r="B44">
            <v>100</v>
          </cell>
        </row>
        <row r="45">
          <cell r="A45">
            <v>0</v>
          </cell>
          <cell r="B45">
            <v>0</v>
          </cell>
        </row>
        <row r="46">
          <cell r="A46">
            <v>0.42</v>
          </cell>
          <cell r="B46">
            <v>0</v>
          </cell>
        </row>
        <row r="47">
          <cell r="A47">
            <v>0.42</v>
          </cell>
          <cell r="B47">
            <v>100</v>
          </cell>
        </row>
        <row r="48">
          <cell r="A48">
            <v>0</v>
          </cell>
          <cell r="B48">
            <v>0</v>
          </cell>
        </row>
        <row r="49">
          <cell r="A49">
            <v>0.3</v>
          </cell>
          <cell r="B49">
            <v>0</v>
          </cell>
        </row>
        <row r="50">
          <cell r="A50">
            <v>0.3</v>
          </cell>
          <cell r="B50">
            <v>100</v>
          </cell>
        </row>
        <row r="51">
          <cell r="A51">
            <v>0</v>
          </cell>
          <cell r="B51">
            <v>0</v>
          </cell>
        </row>
        <row r="52">
          <cell r="A52">
            <v>0.25</v>
          </cell>
          <cell r="B52">
            <v>0</v>
          </cell>
        </row>
        <row r="53">
          <cell r="A53">
            <v>0.25</v>
          </cell>
          <cell r="B53">
            <v>100</v>
          </cell>
        </row>
        <row r="54">
          <cell r="A54">
            <v>0</v>
          </cell>
          <cell r="B54">
            <v>0</v>
          </cell>
        </row>
        <row r="55">
          <cell r="A55">
            <v>0.18</v>
          </cell>
          <cell r="B55">
            <v>0</v>
          </cell>
        </row>
        <row r="56">
          <cell r="A56">
            <v>0.18</v>
          </cell>
          <cell r="B56">
            <v>100</v>
          </cell>
        </row>
        <row r="57">
          <cell r="A57">
            <v>0</v>
          </cell>
          <cell r="B57">
            <v>0</v>
          </cell>
        </row>
        <row r="58">
          <cell r="A58">
            <v>0.14899999999999999</v>
          </cell>
          <cell r="B58">
            <v>0</v>
          </cell>
        </row>
        <row r="59">
          <cell r="A59">
            <v>0.14899999999999999</v>
          </cell>
          <cell r="B59">
            <v>100</v>
          </cell>
        </row>
        <row r="60">
          <cell r="A60">
            <v>0</v>
          </cell>
          <cell r="B60">
            <v>0</v>
          </cell>
        </row>
        <row r="61">
          <cell r="A61">
            <v>7.3999999999999996E-2</v>
          </cell>
          <cell r="B61">
            <v>0</v>
          </cell>
        </row>
        <row r="62">
          <cell r="A62">
            <v>7.3999999999999996E-2</v>
          </cell>
          <cell r="B62">
            <v>100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E5C0-9D5B-45C2-900A-E8F19CDB3B1B}">
  <dimension ref="A1:N57"/>
  <sheetViews>
    <sheetView showGridLines="0" topLeftCell="A34" zoomScaleNormal="100" zoomScaleSheetLayoutView="100" workbookViewId="0">
      <selection activeCell="H33" sqref="H33"/>
    </sheetView>
  </sheetViews>
  <sheetFormatPr baseColWidth="10" defaultColWidth="10.33203125" defaultRowHeight="13.8" x14ac:dyDescent="0.25"/>
  <cols>
    <col min="1" max="1" width="17.44140625" style="200" customWidth="1"/>
    <col min="2" max="2" width="14.33203125" style="200" customWidth="1"/>
    <col min="3" max="3" width="2.5546875" style="200" customWidth="1"/>
    <col min="4" max="4" width="9.88671875" style="200" customWidth="1"/>
    <col min="5" max="5" width="6.33203125" style="200" customWidth="1"/>
    <col min="6" max="6" width="5" style="200" customWidth="1"/>
    <col min="7" max="7" width="12.5546875" style="200" customWidth="1"/>
    <col min="8" max="8" width="15.6640625" style="200" customWidth="1"/>
    <col min="9" max="9" width="15.109375" style="200" customWidth="1"/>
    <col min="10" max="10" width="6.44140625" style="200" customWidth="1"/>
    <col min="11" max="16384" width="10.33203125" style="200"/>
  </cols>
  <sheetData>
    <row r="1" spans="1:14" ht="9.75" customHeight="1" thickTop="1" x14ac:dyDescent="0.25">
      <c r="A1" s="726"/>
      <c r="B1" s="727"/>
      <c r="C1" s="728"/>
      <c r="D1" s="728"/>
      <c r="E1" s="728"/>
      <c r="F1" s="728"/>
      <c r="G1" s="728"/>
      <c r="H1" s="728"/>
      <c r="I1" s="729"/>
    </row>
    <row r="2" spans="1:14" ht="9.75" customHeight="1" x14ac:dyDescent="0.25">
      <c r="A2" s="730"/>
      <c r="B2" s="176"/>
      <c r="C2" s="177"/>
      <c r="D2" s="177"/>
      <c r="E2" s="177"/>
      <c r="F2" s="177"/>
      <c r="G2" s="177"/>
      <c r="H2" s="177"/>
      <c r="I2" s="731"/>
      <c r="L2" s="281" t="s">
        <v>106</v>
      </c>
      <c r="M2" s="775"/>
    </row>
    <row r="3" spans="1:14" ht="9.75" customHeight="1" x14ac:dyDescent="0.25">
      <c r="A3" s="730"/>
      <c r="B3" s="176"/>
      <c r="C3" s="177"/>
      <c r="D3" s="177"/>
      <c r="E3" s="177"/>
      <c r="F3" s="177"/>
      <c r="G3" s="177"/>
      <c r="H3" s="177"/>
      <c r="I3" s="731"/>
      <c r="L3" s="281" t="s">
        <v>299</v>
      </c>
      <c r="M3" s="776"/>
    </row>
    <row r="4" spans="1:14" ht="9.75" customHeight="1" x14ac:dyDescent="0.25">
      <c r="A4" s="730"/>
      <c r="B4" s="176"/>
      <c r="C4" s="177"/>
      <c r="D4" s="177"/>
      <c r="E4" s="177"/>
      <c r="F4" s="177"/>
      <c r="G4" s="177"/>
      <c r="H4" s="177"/>
      <c r="I4" s="731"/>
      <c r="L4" s="281" t="s">
        <v>109</v>
      </c>
      <c r="M4" s="776"/>
    </row>
    <row r="5" spans="1:14" ht="9.75" customHeight="1" thickBot="1" x14ac:dyDescent="0.3">
      <c r="A5" s="732"/>
      <c r="B5" s="733"/>
      <c r="C5" s="733"/>
      <c r="D5" s="733"/>
      <c r="E5" s="733"/>
      <c r="F5" s="733"/>
      <c r="G5" s="733"/>
      <c r="H5" s="733"/>
      <c r="I5" s="734"/>
      <c r="L5" s="281" t="s">
        <v>110</v>
      </c>
      <c r="M5" s="776"/>
    </row>
    <row r="6" spans="1:14" ht="6" customHeight="1" thickTop="1" x14ac:dyDescent="0.25">
      <c r="A6" s="735"/>
      <c r="B6" s="735"/>
      <c r="C6" s="735"/>
      <c r="D6" s="735"/>
      <c r="E6" s="735"/>
      <c r="F6" s="735"/>
      <c r="G6" s="735"/>
      <c r="H6" s="735"/>
      <c r="I6" s="735"/>
      <c r="L6" s="777"/>
      <c r="M6" s="778"/>
    </row>
    <row r="7" spans="1:14" ht="11.25" customHeight="1" x14ac:dyDescent="0.25">
      <c r="A7" s="829" t="s">
        <v>2</v>
      </c>
      <c r="B7" s="829"/>
      <c r="C7" s="829"/>
      <c r="D7" s="829"/>
      <c r="E7" s="829"/>
      <c r="F7" s="829"/>
      <c r="G7" s="829"/>
      <c r="H7" s="829"/>
      <c r="I7" s="829"/>
      <c r="L7" s="285" t="s">
        <v>446</v>
      </c>
      <c r="M7" s="778"/>
    </row>
    <row r="8" spans="1:14" ht="11.25" customHeight="1" x14ac:dyDescent="0.25">
      <c r="A8" s="830" t="s">
        <v>384</v>
      </c>
      <c r="B8" s="830"/>
      <c r="C8" s="830"/>
      <c r="D8" s="830"/>
      <c r="E8" s="830"/>
      <c r="F8" s="830"/>
      <c r="G8" s="830"/>
      <c r="H8" s="830"/>
      <c r="I8" s="830"/>
      <c r="L8" s="285" t="s">
        <v>447</v>
      </c>
      <c r="M8" s="779"/>
    </row>
    <row r="9" spans="1:14" ht="9.6" customHeight="1" x14ac:dyDescent="0.25">
      <c r="A9" s="725"/>
      <c r="B9" s="725"/>
      <c r="C9" s="725"/>
      <c r="D9" s="725"/>
      <c r="E9" s="725"/>
      <c r="F9" s="725"/>
      <c r="G9" s="725"/>
      <c r="H9" s="725"/>
      <c r="I9" s="725"/>
      <c r="L9" s="285" t="s">
        <v>448</v>
      </c>
      <c r="M9" s="778"/>
    </row>
    <row r="10" spans="1:14" ht="19.2" customHeight="1" x14ac:dyDescent="0.25">
      <c r="A10" s="725"/>
      <c r="B10" s="824" t="s">
        <v>385</v>
      </c>
      <c r="C10" s="824"/>
      <c r="D10" s="831" t="s">
        <v>386</v>
      </c>
      <c r="E10" s="832"/>
      <c r="F10" s="831" t="s">
        <v>387</v>
      </c>
      <c r="G10" s="832"/>
      <c r="H10" s="736" t="s">
        <v>388</v>
      </c>
      <c r="I10" s="725"/>
      <c r="L10" s="777"/>
      <c r="M10" s="778"/>
    </row>
    <row r="11" spans="1:14" ht="19.2" customHeight="1" x14ac:dyDescent="0.25">
      <c r="A11" s="725"/>
      <c r="B11" s="826"/>
      <c r="C11" s="826"/>
      <c r="D11" s="827"/>
      <c r="E11" s="828"/>
      <c r="F11" s="827"/>
      <c r="G11" s="828"/>
      <c r="H11" s="737" t="inlineStr">
        <is>
          <t>-</t>
        </is>
      </c>
      <c r="I11" s="725"/>
      <c r="L11" s="285" t="s">
        <v>449</v>
      </c>
      <c r="M11" s="778"/>
    </row>
    <row r="12" spans="1:14" ht="15" customHeight="1" x14ac:dyDescent="0.25">
      <c r="A12" s="725"/>
      <c r="B12" s="725"/>
      <c r="C12" s="725"/>
      <c r="D12" s="725"/>
      <c r="E12" s="725"/>
      <c r="F12" s="725"/>
      <c r="G12" s="725"/>
      <c r="H12" s="725"/>
      <c r="I12" s="725"/>
      <c r="L12" s="285" t="s">
        <v>450</v>
      </c>
      <c r="M12" s="779"/>
    </row>
    <row r="13" spans="1:14" ht="14.25" customHeight="1" x14ac:dyDescent="0.25">
      <c r="A13" s="816" t="s">
        <v>128</v>
      </c>
      <c r="B13" s="817"/>
      <c r="C13" s="817"/>
      <c r="D13" s="817"/>
      <c r="E13" s="817"/>
      <c r="F13" s="817"/>
      <c r="G13" s="817"/>
      <c r="H13" s="817"/>
      <c r="I13" s="818"/>
      <c r="J13" s="166"/>
      <c r="L13" s="285" t="s">
        <v>451</v>
      </c>
      <c r="M13" s="779"/>
      <c r="N13"/>
    </row>
    <row r="14" spans="1:14" x14ac:dyDescent="0.25">
      <c r="A14" s="819" t="s">
        <v>389</v>
      </c>
      <c r="B14" s="820"/>
      <c r="C14" s="820"/>
      <c r="D14" s="820"/>
      <c r="E14" s="820"/>
      <c r="F14" s="820"/>
      <c r="G14" s="820"/>
      <c r="H14" s="820"/>
      <c r="I14" s="821"/>
      <c r="J14" s="166"/>
      <c r="L14" s="777"/>
      <c r="M14" s="778"/>
    </row>
    <row r="15" spans="1:14" ht="15.6" customHeight="1" x14ac:dyDescent="0.25">
      <c r="A15" s="738"/>
      <c r="B15" s="195"/>
      <c r="C15" s="195"/>
      <c r="D15" s="195"/>
      <c r="E15" s="195"/>
      <c r="F15" s="195"/>
      <c r="G15" s="195"/>
      <c r="H15" s="195"/>
      <c r="I15" s="195"/>
      <c r="J15" s="166"/>
      <c r="L15" s="285" t="s">
        <v>452</v>
      </c>
      <c r="M15" s="780"/>
    </row>
    <row r="16" spans="1:14" ht="20.25" customHeight="1" x14ac:dyDescent="0.25">
      <c r="A16" s="739" t="s">
        <v>390</v>
      </c>
      <c r="B16" s="803"/>
      <c r="C16" s="803"/>
      <c r="D16" s="803"/>
      <c r="E16" s="803"/>
      <c r="F16" s="231"/>
      <c r="G16" s="213" t="s">
        <v>9</v>
      </c>
      <c r="H16" s="244" t="s">
        <v>391</v>
      </c>
      <c r="I16" s="244" t="s">
        <v>392</v>
      </c>
      <c r="L16" s="285" t="s">
        <v>115</v>
      </c>
      <c r="M16" s="780"/>
    </row>
    <row r="17" spans="1:13" ht="20.25" customHeight="1" x14ac:dyDescent="0.25">
      <c r="A17" s="822" t="s">
        <v>393</v>
      </c>
      <c r="B17" s="822"/>
      <c r="C17" s="822"/>
      <c r="D17" s="823"/>
      <c r="E17" s="823"/>
      <c r="F17" s="231"/>
      <c r="G17" s="213" t="s">
        <v>11</v>
      </c>
      <c r="H17" s="244" t="s">
        <v>394</v>
      </c>
      <c r="I17" s="244" t="s">
        <v>395</v>
      </c>
      <c r="L17" s="285" t="s">
        <v>116</v>
      </c>
      <c r="M17" s="781"/>
    </row>
    <row r="18" spans="1:13" ht="20.25" customHeight="1" x14ac:dyDescent="0.25">
      <c r="A18" s="739" t="s">
        <v>396</v>
      </c>
      <c r="B18" s="803"/>
      <c r="C18" s="803"/>
      <c r="D18" s="803"/>
      <c r="E18" s="803"/>
      <c r="F18" s="740"/>
      <c r="G18" s="77" t="s">
        <v>397</v>
      </c>
      <c r="H18" s="741">
        <v>75</v>
      </c>
      <c r="I18" s="69"/>
    </row>
    <row r="19" spans="1:13" ht="16.2" customHeight="1" x14ac:dyDescent="0.25">
      <c r="E19" s="231"/>
      <c r="F19" s="231"/>
      <c r="G19" s="220" t="s">
        <v>398</v>
      </c>
      <c r="H19" s="741">
        <v>63</v>
      </c>
      <c r="I19" s="69"/>
    </row>
    <row r="20" spans="1:13" ht="18" customHeight="1" x14ac:dyDescent="0.25">
      <c r="A20" s="824" t="s">
        <v>399</v>
      </c>
      <c r="B20" s="824"/>
      <c r="C20" s="824"/>
      <c r="D20" s="824"/>
      <c r="E20" s="824"/>
      <c r="F20" s="742"/>
      <c r="G20" s="77" t="s">
        <v>400</v>
      </c>
      <c r="H20" s="741">
        <v>50</v>
      </c>
      <c r="I20" s="69"/>
      <c r="J20" s="773"/>
    </row>
    <row r="21" spans="1:13" ht="20.25" customHeight="1" x14ac:dyDescent="0.25">
      <c r="A21" s="743" t="s">
        <v>401</v>
      </c>
      <c r="B21" s="744"/>
      <c r="C21" s="745" t="s">
        <v>402</v>
      </c>
      <c r="D21" s="825"/>
      <c r="E21" s="825"/>
      <c r="F21" s="746"/>
      <c r="G21" s="77" t="s">
        <v>403</v>
      </c>
      <c r="H21" s="741">
        <v>37.5</v>
      </c>
      <c r="I21" s="69"/>
      <c r="J21" s="166"/>
    </row>
    <row r="22" spans="1:13" ht="20.25" customHeight="1" x14ac:dyDescent="0.25">
      <c r="A22" s="743" t="s">
        <v>404</v>
      </c>
      <c r="B22" s="744"/>
      <c r="C22" s="745" t="s">
        <v>402</v>
      </c>
      <c r="D22" s="825"/>
      <c r="E22" s="825"/>
      <c r="F22" s="746"/>
      <c r="G22" s="77" t="s">
        <v>405</v>
      </c>
      <c r="H22" s="741">
        <v>25</v>
      </c>
      <c r="I22" s="69"/>
    </row>
    <row r="23" spans="1:13" ht="20.25" customHeight="1" x14ac:dyDescent="0.25">
      <c r="A23" s="743" t="s">
        <v>406</v>
      </c>
      <c r="B23" s="744"/>
      <c r="C23" s="745" t="s">
        <v>402</v>
      </c>
      <c r="D23" s="825"/>
      <c r="E23" s="825"/>
      <c r="F23" s="746"/>
      <c r="G23" s="77" t="s">
        <v>407</v>
      </c>
      <c r="H23" s="741">
        <v>19</v>
      </c>
      <c r="I23" s="69"/>
    </row>
    <row r="24" spans="1:13" ht="20.25" customHeight="1" x14ac:dyDescent="0.25">
      <c r="A24" s="743" t="s">
        <v>408</v>
      </c>
      <c r="B24" s="744"/>
      <c r="C24" s="745" t="s">
        <v>402</v>
      </c>
      <c r="D24" s="825"/>
      <c r="E24" s="825"/>
      <c r="F24" s="746"/>
      <c r="G24" s="220" t="s">
        <v>409</v>
      </c>
      <c r="H24" s="741">
        <v>12.5</v>
      </c>
      <c r="I24" s="69"/>
    </row>
    <row r="25" spans="1:13" ht="19.2" customHeight="1" x14ac:dyDescent="0.25">
      <c r="A25" s="47"/>
      <c r="B25" s="742"/>
      <c r="C25" s="747"/>
      <c r="D25" s="742"/>
      <c r="E25" s="742"/>
      <c r="F25" s="742"/>
      <c r="G25" s="77" t="s">
        <v>410</v>
      </c>
      <c r="H25" s="741">
        <v>9.5</v>
      </c>
      <c r="I25" s="69"/>
    </row>
    <row r="26" spans="1:13" ht="17.25" customHeight="1" x14ac:dyDescent="0.25">
      <c r="A26" s="815" t="s">
        <v>411</v>
      </c>
      <c r="B26" s="815"/>
      <c r="C26" s="815"/>
      <c r="D26" s="815"/>
      <c r="E26" s="815"/>
      <c r="F26" s="5"/>
      <c r="G26" s="77" t="s">
        <v>412</v>
      </c>
      <c r="H26" s="741">
        <v>4.75</v>
      </c>
      <c r="I26" s="69"/>
    </row>
    <row r="27" spans="1:13" ht="20.25" customHeight="1" x14ac:dyDescent="0.25">
      <c r="A27" s="748" t="s">
        <v>401</v>
      </c>
      <c r="B27" s="749"/>
      <c r="C27" s="750" t="s">
        <v>402</v>
      </c>
      <c r="D27" s="811"/>
      <c r="E27" s="811"/>
      <c r="G27" s="220" t="s">
        <v>413</v>
      </c>
      <c r="H27" s="188">
        <v>2.36</v>
      </c>
      <c r="I27" s="69"/>
    </row>
    <row r="28" spans="1:13" ht="20.25" customHeight="1" x14ac:dyDescent="0.25">
      <c r="A28" s="748" t="s">
        <v>414</v>
      </c>
      <c r="B28" s="751"/>
      <c r="C28" s="752" t="s">
        <v>402</v>
      </c>
      <c r="D28" s="803"/>
      <c r="E28" s="803"/>
      <c r="G28" s="77" t="s">
        <v>415</v>
      </c>
      <c r="H28" s="188">
        <v>2</v>
      </c>
      <c r="I28" s="69"/>
    </row>
    <row r="29" spans="1:13" ht="20.25" customHeight="1" x14ac:dyDescent="0.25">
      <c r="A29" s="812" t="s">
        <v>416</v>
      </c>
      <c r="B29" s="813"/>
      <c r="C29" s="813"/>
      <c r="D29" s="813"/>
      <c r="E29" s="814"/>
      <c r="G29" s="220" t="s">
        <v>417</v>
      </c>
      <c r="H29" s="188">
        <v>1.18</v>
      </c>
      <c r="I29" s="69"/>
      <c r="J29" s="166"/>
    </row>
    <row r="30" spans="1:13" ht="20.25" customHeight="1" x14ac:dyDescent="0.25">
      <c r="A30" s="743" t="s">
        <v>404</v>
      </c>
      <c r="B30" s="753"/>
      <c r="C30" s="752" t="s">
        <v>402</v>
      </c>
      <c r="D30" s="803"/>
      <c r="E30" s="803"/>
      <c r="G30" s="220" t="s">
        <v>161</v>
      </c>
      <c r="H30" s="188">
        <v>0.6</v>
      </c>
      <c r="I30" s="69"/>
      <c r="J30" s="166"/>
    </row>
    <row r="31" spans="1:13" ht="20.25" customHeight="1" x14ac:dyDescent="0.25">
      <c r="A31" s="748" t="s">
        <v>406</v>
      </c>
      <c r="B31" s="753"/>
      <c r="C31" s="752" t="s">
        <v>402</v>
      </c>
      <c r="D31" s="803"/>
      <c r="E31" s="803"/>
      <c r="G31" s="220" t="s">
        <v>418</v>
      </c>
      <c r="H31" s="188">
        <v>0.42499999999999999</v>
      </c>
      <c r="I31" s="69"/>
      <c r="J31" s="166"/>
    </row>
    <row r="32" spans="1:13" ht="20.25" customHeight="1" x14ac:dyDescent="0.25">
      <c r="A32" s="812" t="s">
        <v>419</v>
      </c>
      <c r="B32" s="813"/>
      <c r="C32" s="813"/>
      <c r="D32" s="813"/>
      <c r="E32" s="814"/>
      <c r="G32" s="220" t="s">
        <v>420</v>
      </c>
      <c r="H32" s="188">
        <v>0.3</v>
      </c>
      <c r="I32" s="69"/>
      <c r="J32" s="166"/>
    </row>
    <row r="33" spans="1:10" ht="20.25" customHeight="1" x14ac:dyDescent="0.25">
      <c r="A33" s="743" t="s">
        <v>421</v>
      </c>
      <c r="B33" s="753"/>
      <c r="C33" s="752" t="s">
        <v>402</v>
      </c>
      <c r="D33" s="803"/>
      <c r="E33" s="803"/>
      <c r="F33" s="740"/>
      <c r="G33" s="220" t="s">
        <v>422</v>
      </c>
      <c r="H33" s="188">
        <v>0.15</v>
      </c>
      <c r="I33" s="69"/>
      <c r="J33" s="166"/>
    </row>
    <row r="34" spans="1:10" ht="20.25" customHeight="1" x14ac:dyDescent="0.25">
      <c r="A34" s="754" t="s">
        <v>423</v>
      </c>
      <c r="C34" s="747" t="s">
        <v>402</v>
      </c>
      <c r="D34" s="803"/>
      <c r="E34" s="803"/>
      <c r="F34" s="740"/>
      <c r="G34" s="220" t="s">
        <v>424</v>
      </c>
      <c r="H34" s="188">
        <v>7.4999999999999997E-2</v>
      </c>
      <c r="I34" s="69"/>
      <c r="J34" s="166"/>
    </row>
    <row r="35" spans="1:10" ht="20.25" customHeight="1" x14ac:dyDescent="0.25">
      <c r="A35" s="743" t="s">
        <v>425</v>
      </c>
      <c r="B35" s="753"/>
      <c r="C35" s="752" t="s">
        <v>402</v>
      </c>
      <c r="D35" s="803"/>
      <c r="E35" s="803"/>
      <c r="F35" s="740"/>
      <c r="G35" s="230" t="s">
        <v>34</v>
      </c>
      <c r="H35" s="230">
        <v>0.01</v>
      </c>
      <c r="I35" s="230"/>
      <c r="J35" s="166"/>
    </row>
    <row r="36" spans="1:10" ht="20.25" customHeight="1" x14ac:dyDescent="0.25">
      <c r="A36" s="754" t="s">
        <v>426</v>
      </c>
      <c r="C36" s="747" t="s">
        <v>402</v>
      </c>
      <c r="D36" s="803"/>
      <c r="E36" s="803"/>
      <c r="F36" s="740"/>
      <c r="H36" s="755" t="s">
        <v>427</v>
      </c>
      <c r="J36" s="166"/>
    </row>
    <row r="37" spans="1:10" ht="20.25" customHeight="1" x14ac:dyDescent="0.25">
      <c r="A37" s="743" t="s">
        <v>428</v>
      </c>
      <c r="B37" s="753"/>
      <c r="C37" s="752" t="s">
        <v>402</v>
      </c>
      <c r="D37" s="803"/>
      <c r="E37" s="803"/>
      <c r="F37" s="740"/>
      <c r="J37" s="166"/>
    </row>
    <row r="38" spans="1:10" ht="20.25" customHeight="1" x14ac:dyDescent="0.25">
      <c r="A38" s="748" t="s">
        <v>429</v>
      </c>
      <c r="B38" s="756"/>
      <c r="C38" s="750" t="s">
        <v>430</v>
      </c>
      <c r="D38" s="803"/>
      <c r="E38" s="803"/>
      <c r="F38" s="740"/>
      <c r="I38" s="757"/>
      <c r="J38" s="166"/>
    </row>
    <row r="39" spans="1:10" ht="20.25" customHeight="1" x14ac:dyDescent="0.25">
      <c r="A39" s="748" t="s">
        <v>431</v>
      </c>
      <c r="B39" s="756"/>
      <c r="C39" s="750" t="s">
        <v>402</v>
      </c>
      <c r="D39" s="803"/>
      <c r="E39" s="803"/>
      <c r="F39" s="740"/>
      <c r="G39" s="758"/>
      <c r="H39" s="759"/>
      <c r="I39" s="757"/>
      <c r="J39" s="166"/>
    </row>
    <row r="40" spans="1:10" ht="6.75" customHeight="1" x14ac:dyDescent="0.25">
      <c r="E40" s="740"/>
      <c r="F40" s="740"/>
      <c r="G40" s="758"/>
      <c r="H40" s="759"/>
      <c r="I40" s="757"/>
      <c r="J40" s="166"/>
    </row>
    <row r="41" spans="1:10" ht="15.75" customHeight="1" x14ac:dyDescent="0.25">
      <c r="A41" s="804" t="s">
        <v>432</v>
      </c>
      <c r="B41" s="804"/>
      <c r="C41" s="804"/>
      <c r="D41" s="804"/>
      <c r="E41" s="760"/>
      <c r="F41" s="760"/>
      <c r="J41" s="166"/>
    </row>
    <row r="42" spans="1:10" ht="20.25" customHeight="1" x14ac:dyDescent="0.25">
      <c r="A42" s="761" t="s">
        <v>433</v>
      </c>
      <c r="B42" s="762"/>
      <c r="C42" s="805"/>
      <c r="D42" s="805"/>
      <c r="E42" s="806"/>
      <c r="F42" s="806"/>
      <c r="J42" s="166"/>
    </row>
    <row r="43" spans="1:10" ht="20.25" customHeight="1" x14ac:dyDescent="0.25">
      <c r="A43" s="761" t="s">
        <v>434</v>
      </c>
      <c r="B43" s="763"/>
      <c r="C43" s="805"/>
      <c r="D43" s="805"/>
      <c r="E43" s="806"/>
      <c r="F43" s="806"/>
      <c r="J43" s="166"/>
    </row>
    <row r="44" spans="1:10" ht="21" customHeight="1" x14ac:dyDescent="0.25">
      <c r="A44" s="764" t="s">
        <v>435</v>
      </c>
      <c r="B44" s="763"/>
      <c r="C44" s="805"/>
      <c r="D44" s="805"/>
      <c r="E44" s="806"/>
      <c r="F44" s="806"/>
      <c r="J44" s="166"/>
    </row>
    <row r="45" spans="1:10" ht="6.75" customHeight="1" x14ac:dyDescent="0.25">
      <c r="J45" s="166"/>
    </row>
    <row r="46" spans="1:10" ht="20.25" customHeight="1" x14ac:dyDescent="0.25">
      <c r="A46" s="765" t="s">
        <v>436</v>
      </c>
      <c r="B46" s="766" t="s">
        <v>437</v>
      </c>
      <c r="C46" s="767"/>
      <c r="D46" s="768"/>
      <c r="E46" s="281"/>
      <c r="F46" s="281"/>
      <c r="J46" s="166"/>
    </row>
    <row r="47" spans="1:10" ht="25.5" customHeight="1" x14ac:dyDescent="0.25">
      <c r="A47" s="769" t="s">
        <v>438</v>
      </c>
      <c r="B47" s="807"/>
      <c r="C47" s="808"/>
      <c r="D47" s="809"/>
      <c r="E47" s="247"/>
      <c r="F47" s="247"/>
      <c r="G47" s="810" t="s">
        <v>439</v>
      </c>
      <c r="H47" s="810"/>
      <c r="I47" s="810"/>
      <c r="J47" s="166"/>
    </row>
    <row r="48" spans="1:10" ht="25.5" customHeight="1" x14ac:dyDescent="0.25">
      <c r="A48" s="770" t="s">
        <v>440</v>
      </c>
      <c r="B48" s="807"/>
      <c r="C48" s="808"/>
      <c r="D48" s="809"/>
      <c r="E48" s="247"/>
      <c r="F48" s="247"/>
      <c r="G48" s="4" t="s">
        <v>441</v>
      </c>
      <c r="J48" s="166"/>
    </row>
    <row r="49" spans="1:10" ht="28.5" customHeight="1" x14ac:dyDescent="0.25">
      <c r="A49" s="771" t="s">
        <v>442</v>
      </c>
      <c r="E49" s="247"/>
      <c r="F49" s="247"/>
      <c r="G49" s="247"/>
      <c r="H49" s="247"/>
      <c r="J49" s="166"/>
    </row>
    <row r="50" spans="1:10" ht="19.5" customHeight="1" x14ac:dyDescent="0.25">
      <c r="A50" s="771"/>
      <c r="E50" s="247"/>
      <c r="F50" s="247"/>
      <c r="G50" s="247"/>
      <c r="H50" s="247"/>
      <c r="J50" s="166"/>
    </row>
    <row r="51" spans="1:10" ht="19.5" customHeight="1" x14ac:dyDescent="0.25">
      <c r="A51" s="771"/>
      <c r="E51" s="247"/>
      <c r="F51" s="247"/>
      <c r="G51" s="247"/>
      <c r="H51" s="247"/>
      <c r="J51" s="166"/>
    </row>
    <row r="52" spans="1:10" ht="15.9" customHeight="1" x14ac:dyDescent="0.25">
      <c r="A52" s="16" t="s">
        <v>4</v>
      </c>
      <c r="B52" s="239"/>
      <c r="C52" s="239"/>
      <c r="D52" s="239"/>
      <c r="E52" s="239"/>
      <c r="F52" s="239"/>
      <c r="G52" s="239"/>
      <c r="H52" s="239"/>
      <c r="J52" s="166"/>
    </row>
    <row r="53" spans="1:10" ht="14.25" customHeight="1" x14ac:dyDescent="0.25">
      <c r="A53" s="16" t="s">
        <v>443</v>
      </c>
      <c r="B53" s="239"/>
      <c r="C53" s="239"/>
      <c r="D53" s="772" t="s">
        <v>444</v>
      </c>
      <c r="E53" s="772"/>
      <c r="F53" s="772"/>
      <c r="G53" s="239"/>
      <c r="H53" s="239"/>
      <c r="I53" s="239"/>
      <c r="J53" s="166"/>
    </row>
    <row r="54" spans="1:10" ht="3.75" customHeight="1" x14ac:dyDescent="0.25"/>
    <row r="55" spans="1:10" ht="25.5" customHeight="1" x14ac:dyDescent="0.25">
      <c r="A55" s="802" t="s">
        <v>445</v>
      </c>
      <c r="B55" s="802"/>
      <c r="C55" s="802"/>
      <c r="D55" s="802"/>
      <c r="E55" s="802"/>
      <c r="F55" s="802"/>
      <c r="G55" s="802"/>
      <c r="H55" s="802"/>
      <c r="I55" s="802"/>
    </row>
    <row r="56" spans="1:10" ht="15.9" customHeight="1" x14ac:dyDescent="0.25"/>
    <row r="57" spans="1:10" ht="15.9" customHeight="1" x14ac:dyDescent="0.25"/>
  </sheetData>
  <sheetProtection algorithmName="SHA-512" hashValue="mIWhJnxyN3XPvacsgWk9ewyIoJ34+YfI7gB/PE3y3zbMfMuX2E1GZruPXE95kMlpgXtXNntC/2FXyMKYR5LwLQ==" saltValue="wi9Lpn9BfQ3nbJB8EnVKXQ==" spinCount="100000" sheet="1" objects="1" scenarios="1"/>
  <protectedRanges>
    <protectedRange sqref="B15" name="Rango3_3_1_1_1_1_1_1_1_1"/>
  </protectedRanges>
  <mergeCells count="44">
    <mergeCell ref="B11:C11"/>
    <mergeCell ref="D11:E11"/>
    <mergeCell ref="F11:G11"/>
    <mergeCell ref="A7:I7"/>
    <mergeCell ref="A8:I8"/>
    <mergeCell ref="B10:C10"/>
    <mergeCell ref="D10:E10"/>
    <mergeCell ref="F10:G10"/>
    <mergeCell ref="A26:E26"/>
    <mergeCell ref="A13:I13"/>
    <mergeCell ref="A14:I14"/>
    <mergeCell ref="B16:E16"/>
    <mergeCell ref="A17:C17"/>
    <mergeCell ref="D17:E17"/>
    <mergeCell ref="B18:E18"/>
    <mergeCell ref="A20:E20"/>
    <mergeCell ref="D21:E21"/>
    <mergeCell ref="D22:E22"/>
    <mergeCell ref="D23:E23"/>
    <mergeCell ref="D24:E24"/>
    <mergeCell ref="D38:E38"/>
    <mergeCell ref="D27:E27"/>
    <mergeCell ref="D28:E28"/>
    <mergeCell ref="A29:E29"/>
    <mergeCell ref="D30:E30"/>
    <mergeCell ref="D31:E31"/>
    <mergeCell ref="A32:E32"/>
    <mergeCell ref="D33:E33"/>
    <mergeCell ref="D34:E34"/>
    <mergeCell ref="D35:E35"/>
    <mergeCell ref="D36:E36"/>
    <mergeCell ref="D37:E37"/>
    <mergeCell ref="A55:I55"/>
    <mergeCell ref="D39:E39"/>
    <mergeCell ref="A41:D41"/>
    <mergeCell ref="C42:D42"/>
    <mergeCell ref="E42:F42"/>
    <mergeCell ref="C43:D43"/>
    <mergeCell ref="E43:F43"/>
    <mergeCell ref="C44:D44"/>
    <mergeCell ref="E44:F44"/>
    <mergeCell ref="B47:D47"/>
    <mergeCell ref="G47:I47"/>
    <mergeCell ref="B48:D48"/>
  </mergeCells>
  <printOptions horizontalCentered="1" verticalCentered="1"/>
  <pageMargins left="0" right="0.59055118110236227" top="0.78740157480314965" bottom="0" header="0" footer="0"/>
  <pageSetup paperSize="9" scale="8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0878-9EC1-4D80-A674-4904E367EFB9}">
  <dimension ref="A1:AC69"/>
  <sheetViews>
    <sheetView showGridLines="0" view="pageBreakPreview" topLeftCell="A22" zoomScale="170" zoomScaleNormal="100" zoomScaleSheetLayoutView="170" workbookViewId="0">
      <selection activeCell="E10" sqref="E10"/>
    </sheetView>
  </sheetViews>
  <sheetFormatPr baseColWidth="10" defaultColWidth="10.33203125" defaultRowHeight="13.8" x14ac:dyDescent="0.25"/>
  <cols>
    <col min="1" max="1" width="10.88671875" style="314" customWidth="1"/>
    <col min="2" max="2" width="2.33203125" style="314" customWidth="1"/>
    <col min="3" max="3" width="5.5546875" style="314" customWidth="1"/>
    <col min="4" max="5" width="10.33203125" style="314" customWidth="1"/>
    <col min="6" max="8" width="13.6640625" style="314" customWidth="1"/>
    <col min="9" max="9" width="1.88671875" style="314" customWidth="1"/>
    <col min="10" max="10" width="9.33203125" style="314" customWidth="1"/>
    <col min="11" max="11" width="10" style="314" customWidth="1"/>
    <col min="12" max="12" width="6.88671875" style="314" customWidth="1"/>
    <col min="13" max="13" width="7" style="314" customWidth="1"/>
    <col min="14" max="26" width="13.33203125" style="314" customWidth="1"/>
    <col min="27" max="16384" width="10.33203125" style="314"/>
  </cols>
  <sheetData>
    <row r="1" spans="1:26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M1" s="337"/>
      <c r="Z1" s="315"/>
    </row>
    <row r="2" spans="1:26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M2" s="337"/>
      <c r="Z2" s="315"/>
    </row>
    <row r="3" spans="1:26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M3" s="337"/>
      <c r="Z3" s="315"/>
    </row>
    <row r="4" spans="1:26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M4" s="337"/>
      <c r="Z4" s="315"/>
    </row>
    <row r="5" spans="1:26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Z5" s="315"/>
    </row>
    <row r="6" spans="1:26" ht="15.75" customHeight="1" x14ac:dyDescent="0.25">
      <c r="A6" s="833" t="s">
        <v>2</v>
      </c>
      <c r="B6" s="833"/>
      <c r="C6" s="833"/>
      <c r="D6" s="833"/>
      <c r="E6" s="833"/>
      <c r="F6" s="833"/>
      <c r="G6" s="833"/>
      <c r="H6" s="833"/>
      <c r="I6" s="833"/>
      <c r="J6" s="833"/>
      <c r="K6" s="833"/>
      <c r="L6" s="833"/>
      <c r="M6" s="833"/>
      <c r="Z6" s="315"/>
    </row>
    <row r="7" spans="1:26" ht="15.75" customHeight="1" x14ac:dyDescent="0.25">
      <c r="A7" s="834">
        <v>1</v>
      </c>
      <c r="B7" s="834"/>
      <c r="C7" s="834"/>
      <c r="D7" s="834"/>
      <c r="E7" s="834"/>
      <c r="F7" s="834"/>
      <c r="G7" s="834"/>
      <c r="H7" s="834"/>
      <c r="I7" s="834"/>
      <c r="J7" s="834"/>
      <c r="K7" s="834"/>
      <c r="L7" s="834"/>
      <c r="M7" s="834"/>
    </row>
    <row r="8" spans="1:26" ht="8.25" customHeight="1" x14ac:dyDescent="0.25"/>
    <row r="9" spans="1:26" ht="15" customHeight="1" x14ac:dyDescent="0.25">
      <c r="A9" s="281" t="s">
        <v>357</v>
      </c>
      <c r="B9" s="247" t="s">
        <v>0</v>
      </c>
      <c r="C9" s="644"/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6" ht="15" customHeight="1" x14ac:dyDescent="0.25">
      <c r="A10" s="281" t="s">
        <v>299</v>
      </c>
      <c r="B10" s="247" t="s">
        <v>0</v>
      </c>
      <c r="C10" s="318"/>
      <c r="D10" s="318"/>
      <c r="E10" s="318"/>
      <c r="F10" s="318"/>
      <c r="G10" s="318"/>
      <c r="H10" s="318"/>
      <c r="I10" s="319"/>
      <c r="J10" s="339"/>
      <c r="K10" s="285" t="s">
        <v>356</v>
      </c>
      <c r="L10" s="835">
        <v>1</v>
      </c>
      <c r="M10" s="835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</row>
    <row r="11" spans="1:26" ht="15" customHeight="1" x14ac:dyDescent="0.25">
      <c r="A11" s="281" t="s">
        <v>109</v>
      </c>
      <c r="B11" s="247" t="s">
        <v>0</v>
      </c>
      <c r="C11" s="318"/>
      <c r="D11" s="318"/>
      <c r="E11" s="319"/>
      <c r="F11" s="318"/>
      <c r="G11" s="318"/>
      <c r="H11" s="318"/>
      <c r="I11" s="319"/>
      <c r="J11" s="339"/>
      <c r="K11" s="285" t="s">
        <v>127</v>
      </c>
      <c r="L11" s="836"/>
      <c r="M11" s="836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</row>
    <row r="12" spans="1:26" x14ac:dyDescent="0.25">
      <c r="A12" s="281" t="s">
        <v>110</v>
      </c>
      <c r="B12" s="247" t="s">
        <v>0</v>
      </c>
      <c r="C12" s="318"/>
      <c r="D12" s="318"/>
      <c r="E12" s="319"/>
      <c r="F12" s="318"/>
      <c r="G12" s="318"/>
      <c r="H12" s="318"/>
      <c r="I12" s="319"/>
      <c r="J12" s="339"/>
      <c r="K12" s="337"/>
      <c r="L12" s="337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</row>
    <row r="13" spans="1:26" ht="11.25" customHeight="1" x14ac:dyDescent="0.25">
      <c r="A13" s="647" t="s">
        <v>358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4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</row>
    <row r="14" spans="1:26" ht="15" customHeight="1" x14ac:dyDescent="0.25">
      <c r="A14" s="846" t="s">
        <v>128</v>
      </c>
      <c r="B14" s="847"/>
      <c r="C14" s="847"/>
      <c r="D14" s="847"/>
      <c r="E14" s="847"/>
      <c r="F14" s="847"/>
      <c r="G14" s="847"/>
      <c r="H14" s="847"/>
      <c r="I14" s="847"/>
      <c r="J14" s="847"/>
      <c r="K14" s="847"/>
      <c r="L14" s="847"/>
      <c r="M14" s="848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</row>
    <row r="15" spans="1:26" ht="13.5" customHeight="1" x14ac:dyDescent="0.25">
      <c r="A15" s="849" t="s">
        <v>131</v>
      </c>
      <c r="B15" s="850"/>
      <c r="C15" s="850"/>
      <c r="D15" s="850"/>
      <c r="E15" s="850"/>
      <c r="F15" s="850"/>
      <c r="G15" s="850"/>
      <c r="H15" s="850"/>
      <c r="I15" s="850"/>
      <c r="J15" s="850"/>
      <c r="K15" s="850"/>
      <c r="L15" s="850"/>
      <c r="M15" s="851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</row>
    <row r="16" spans="1:26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344"/>
      <c r="M16" s="345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</row>
    <row r="17" spans="1:29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291"/>
      <c r="M17" s="349"/>
      <c r="Y17" s="320"/>
    </row>
    <row r="18" spans="1:29" ht="15" customHeight="1" x14ac:dyDescent="0.25">
      <c r="A18" s="350" t="s">
        <v>300</v>
      </c>
      <c r="B18" s="281"/>
      <c r="C18" s="281"/>
      <c r="D18" s="318"/>
      <c r="E18" s="318"/>
      <c r="F18" s="325"/>
      <c r="G18" s="326"/>
      <c r="H18" s="327"/>
      <c r="I18" s="327"/>
      <c r="J18" s="291"/>
      <c r="K18" s="285" t="s">
        <v>153</v>
      </c>
      <c r="L18" s="856">
        <v>1</v>
      </c>
      <c r="M18" s="857"/>
      <c r="Y18" s="320"/>
    </row>
    <row r="19" spans="1:29" ht="15" customHeight="1" x14ac:dyDescent="0.25">
      <c r="A19" s="350" t="s">
        <v>359</v>
      </c>
      <c r="B19" s="281"/>
      <c r="C19" s="281"/>
      <c r="D19" s="318"/>
      <c r="E19" s="318"/>
      <c r="F19" s="325"/>
      <c r="G19" s="326"/>
      <c r="H19" s="327"/>
      <c r="I19" s="327"/>
      <c r="J19" s="291"/>
      <c r="K19" s="285" t="s">
        <v>125</v>
      </c>
      <c r="L19" s="836"/>
      <c r="M19" s="858"/>
      <c r="Y19" s="320"/>
    </row>
    <row r="20" spans="1:29" ht="15" customHeight="1" x14ac:dyDescent="0.25">
      <c r="A20" s="350" t="s">
        <v>360</v>
      </c>
      <c r="B20" s="281"/>
      <c r="C20" s="281"/>
      <c r="D20" s="318"/>
      <c r="E20" s="318"/>
      <c r="F20" s="325"/>
      <c r="G20" s="326"/>
      <c r="H20" s="327"/>
      <c r="I20" s="327"/>
      <c r="J20" s="291"/>
      <c r="K20" s="285" t="s">
        <v>126</v>
      </c>
      <c r="L20" s="836"/>
      <c r="M20" s="858"/>
      <c r="Y20" s="320"/>
    </row>
    <row r="21" spans="1:29" ht="15" customHeight="1" x14ac:dyDescent="0.25">
      <c r="A21" s="351" t="s">
        <v>361</v>
      </c>
      <c r="B21" s="485"/>
      <c r="C21" s="485"/>
      <c r="D21" s="534" t="s">
        <v>342</v>
      </c>
      <c r="E21" s="328"/>
      <c r="F21" s="329"/>
      <c r="G21" s="329"/>
      <c r="H21" s="329"/>
      <c r="I21" s="329"/>
      <c r="J21" s="352"/>
      <c r="K21" s="352"/>
      <c r="L21" s="352"/>
      <c r="M21" s="330"/>
      <c r="Y21" s="320"/>
    </row>
    <row r="22" spans="1:29" ht="4.95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5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31"/>
      <c r="Z22" s="316"/>
    </row>
    <row r="23" spans="1:29" ht="25.5" customHeight="1" x14ac:dyDescent="0.25">
      <c r="A23" s="356"/>
      <c r="B23" s="364"/>
      <c r="C23" s="364"/>
      <c r="D23" s="852" t="s">
        <v>353</v>
      </c>
      <c r="E23" s="853"/>
      <c r="F23" s="843" t="s">
        <v>276</v>
      </c>
      <c r="G23" s="843" t="s">
        <v>346</v>
      </c>
      <c r="H23" s="843" t="s">
        <v>275</v>
      </c>
      <c r="I23" s="337"/>
      <c r="J23" s="838" t="s">
        <v>146</v>
      </c>
      <c r="K23" s="839"/>
      <c r="L23" s="497"/>
      <c r="M23" s="357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32"/>
      <c r="AA23" s="854" t="s">
        <v>278</v>
      </c>
      <c r="AB23" s="855"/>
      <c r="AC23" s="843" t="s">
        <v>275</v>
      </c>
    </row>
    <row r="24" spans="1:29" ht="25.5" customHeight="1" x14ac:dyDescent="0.25">
      <c r="A24" s="356"/>
      <c r="B24" s="364"/>
      <c r="C24" s="364"/>
      <c r="D24" s="187" t="s">
        <v>279</v>
      </c>
      <c r="E24" s="500" t="s">
        <v>380</v>
      </c>
      <c r="F24" s="844"/>
      <c r="G24" s="844"/>
      <c r="H24" s="844"/>
      <c r="I24" s="337"/>
      <c r="J24" s="840"/>
      <c r="K24" s="841"/>
      <c r="L24" s="497"/>
      <c r="M24" s="358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33"/>
      <c r="AA24" s="380" t="s">
        <v>267</v>
      </c>
      <c r="AB24" s="380" t="s">
        <v>12</v>
      </c>
      <c r="AC24" s="844"/>
    </row>
    <row r="25" spans="1:29" ht="12" customHeight="1" x14ac:dyDescent="0.25">
      <c r="A25" s="356"/>
      <c r="B25" s="364"/>
      <c r="C25" s="364"/>
      <c r="D25" s="230" t="s">
        <v>259</v>
      </c>
      <c r="E25" s="303" t="s">
        <v>368</v>
      </c>
      <c r="F25" s="359" t="e">
        <f>+datos!F28</f>
        <v>#DIV/0!</v>
      </c>
      <c r="G25" s="359" t="e">
        <f>+datos!G28</f>
        <v>#DIV/0!</v>
      </c>
      <c r="H25" s="359" t="e">
        <f>+AC25</f>
        <v>#DIV/0!</v>
      </c>
      <c r="I25" s="337"/>
      <c r="J25" s="360" t="s">
        <v>268</v>
      </c>
      <c r="K25" s="361" t="e">
        <f>+datos!I19</f>
        <v>#DIV/0!</v>
      </c>
      <c r="L25" s="498"/>
      <c r="M25" s="496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3"/>
      <c r="AA25" s="381">
        <v>3</v>
      </c>
      <c r="AB25" s="303">
        <v>75</v>
      </c>
      <c r="AC25" s="383" t="e">
        <f>+datos!H28</f>
        <v>#DIV/0!</v>
      </c>
    </row>
    <row r="26" spans="1:29" ht="12" customHeight="1" x14ac:dyDescent="0.25">
      <c r="A26" s="356"/>
      <c r="B26" s="364"/>
      <c r="C26" s="364"/>
      <c r="D26" s="230" t="s">
        <v>260</v>
      </c>
      <c r="E26" s="303" t="s">
        <v>369</v>
      </c>
      <c r="F26" s="359" t="e">
        <f>+datos!F29</f>
        <v>#DIV/0!</v>
      </c>
      <c r="G26" s="359" t="e">
        <f>+datos!G29</f>
        <v>#DIV/0!</v>
      </c>
      <c r="H26" s="359" t="e">
        <f t="shared" ref="H26:H40" si="0">+AC26</f>
        <v>#DIV/0!</v>
      </c>
      <c r="I26" s="337"/>
      <c r="J26" s="360" t="s">
        <v>269</v>
      </c>
      <c r="K26" s="361" t="e">
        <f>+datos!I20</f>
        <v>#DIV/0!</v>
      </c>
      <c r="L26" s="498"/>
      <c r="M26" s="496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AA26" s="382">
        <v>2.5</v>
      </c>
      <c r="AB26" s="303">
        <v>63</v>
      </c>
      <c r="AC26" s="383" t="e">
        <f>+datos!H29</f>
        <v>#DIV/0!</v>
      </c>
    </row>
    <row r="27" spans="1:29" ht="12" customHeight="1" x14ac:dyDescent="0.25">
      <c r="A27" s="356"/>
      <c r="B27" s="364"/>
      <c r="C27" s="364"/>
      <c r="D27" s="230" t="s">
        <v>261</v>
      </c>
      <c r="E27" s="303" t="s">
        <v>370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360" t="s">
        <v>37</v>
      </c>
      <c r="K27" s="362" t="e">
        <f>+datos!I21</f>
        <v>#DIV/0!</v>
      </c>
      <c r="L27" s="499"/>
      <c r="M27" s="358"/>
      <c r="N27" s="320"/>
      <c r="O27" s="360" t="s">
        <v>149</v>
      </c>
      <c r="P27" s="303" t="e">
        <f>+datos!I22</f>
        <v>#DIV/0!</v>
      </c>
      <c r="Q27" s="320"/>
      <c r="R27" s="320"/>
      <c r="S27" s="320"/>
      <c r="T27" s="320"/>
      <c r="U27" s="320"/>
      <c r="V27" s="320"/>
      <c r="W27" s="320"/>
      <c r="X27" s="320"/>
      <c r="Y27" s="320"/>
      <c r="AA27" s="381">
        <v>2</v>
      </c>
      <c r="AB27" s="303">
        <v>50</v>
      </c>
      <c r="AC27" s="383" t="e">
        <f>+datos!H30</f>
        <v>#DIV/0!</v>
      </c>
    </row>
    <row r="28" spans="1:29" ht="12" customHeight="1" x14ac:dyDescent="0.25">
      <c r="A28" s="356"/>
      <c r="B28" s="364"/>
      <c r="C28" s="364"/>
      <c r="D28" s="230" t="s">
        <v>262</v>
      </c>
      <c r="E28" s="215" t="s">
        <v>371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45"/>
      <c r="L28" s="645"/>
      <c r="M28" s="358"/>
      <c r="N28" s="320"/>
      <c r="O28" s="360" t="s">
        <v>147</v>
      </c>
      <c r="P28" s="303" t="e">
        <f>+datos!I23</f>
        <v>#DIV/0!</v>
      </c>
      <c r="Q28" s="320"/>
      <c r="R28" s="320"/>
      <c r="S28" s="320"/>
      <c r="T28" s="320"/>
      <c r="U28" s="320"/>
      <c r="V28" s="320"/>
      <c r="W28" s="320"/>
      <c r="X28" s="320"/>
      <c r="Y28" s="320"/>
      <c r="AA28" s="382">
        <v>1.5</v>
      </c>
      <c r="AB28" s="215">
        <v>37.5</v>
      </c>
      <c r="AC28" s="383" t="e">
        <f>+datos!H31</f>
        <v>#DIV/0!</v>
      </c>
    </row>
    <row r="29" spans="1:29" ht="12" customHeight="1" x14ac:dyDescent="0.25">
      <c r="A29" s="356"/>
      <c r="B29" s="364"/>
      <c r="C29" s="364"/>
      <c r="D29" s="230" t="s">
        <v>263</v>
      </c>
      <c r="E29" s="303" t="s">
        <v>372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45"/>
      <c r="L29" s="645"/>
      <c r="M29" s="357"/>
      <c r="N29" s="320"/>
      <c r="O29" s="360" t="s">
        <v>148</v>
      </c>
      <c r="P29" s="363" t="e">
        <f>+datos!I24</f>
        <v>#DIV/0!</v>
      </c>
      <c r="Q29" s="320"/>
      <c r="R29" s="320"/>
      <c r="S29" s="320"/>
      <c r="T29" s="320"/>
      <c r="U29" s="320"/>
      <c r="V29" s="320"/>
      <c r="W29" s="320"/>
      <c r="X29" s="320"/>
      <c r="Y29" s="320"/>
      <c r="AA29" s="381">
        <v>1</v>
      </c>
      <c r="AB29" s="303">
        <v>25</v>
      </c>
      <c r="AC29" s="383" t="e">
        <f>+datos!H32</f>
        <v>#DIV/0!</v>
      </c>
    </row>
    <row r="30" spans="1:29" ht="12" customHeight="1" x14ac:dyDescent="0.25">
      <c r="A30" s="356"/>
      <c r="B30" s="364"/>
      <c r="C30" s="364"/>
      <c r="D30" s="230" t="s">
        <v>264</v>
      </c>
      <c r="E30" s="303" t="s">
        <v>373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46"/>
      <c r="L30" s="646"/>
      <c r="M30" s="357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AA30" s="382">
        <v>0.75</v>
      </c>
      <c r="AB30" s="303">
        <v>19</v>
      </c>
      <c r="AC30" s="383" t="e">
        <f>+datos!H33</f>
        <v>#DIV/0!</v>
      </c>
    </row>
    <row r="31" spans="1:29" ht="12" customHeight="1" x14ac:dyDescent="0.25">
      <c r="A31" s="356"/>
      <c r="B31" s="364"/>
      <c r="C31" s="364"/>
      <c r="D31" s="230" t="s">
        <v>265</v>
      </c>
      <c r="E31" s="215" t="s">
        <v>374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18"/>
      <c r="M31" s="357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AA31" s="382">
        <v>0.5</v>
      </c>
      <c r="AB31" s="215">
        <v>12.5</v>
      </c>
      <c r="AC31" s="383" t="e">
        <f>+datos!H34</f>
        <v>#DIV/0!</v>
      </c>
    </row>
    <row r="32" spans="1:29" ht="12" customHeight="1" x14ac:dyDescent="0.25">
      <c r="A32" s="356"/>
      <c r="B32" s="364"/>
      <c r="C32" s="364"/>
      <c r="D32" s="230" t="s">
        <v>266</v>
      </c>
      <c r="E32" s="215" t="s">
        <v>375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298"/>
      <c r="M32" s="845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AA32" s="382">
        <v>0.375</v>
      </c>
      <c r="AB32" s="215">
        <v>9.5</v>
      </c>
      <c r="AC32" s="383" t="e">
        <f>+datos!H35</f>
        <v>#DIV/0!</v>
      </c>
    </row>
    <row r="33" spans="1:29" ht="12" customHeight="1" x14ac:dyDescent="0.25">
      <c r="A33" s="356"/>
      <c r="B33" s="364"/>
      <c r="C33" s="364"/>
      <c r="D33" s="230" t="s">
        <v>155</v>
      </c>
      <c r="E33" s="362" t="s">
        <v>376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298"/>
      <c r="M33" s="845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AA33" s="381" t="s">
        <v>20</v>
      </c>
      <c r="AB33" s="362">
        <v>4.75</v>
      </c>
      <c r="AC33" s="383" t="e">
        <f>+datos!H36</f>
        <v>#DIV/0!</v>
      </c>
    </row>
    <row r="34" spans="1:29" ht="12" customHeight="1" x14ac:dyDescent="0.25">
      <c r="A34" s="356"/>
      <c r="B34" s="364"/>
      <c r="C34" s="364"/>
      <c r="D34" s="230" t="s">
        <v>156</v>
      </c>
      <c r="E34" s="362" t="s">
        <v>377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37"/>
      <c r="M34" s="357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AA34" s="381">
        <v>8</v>
      </c>
      <c r="AB34" s="362">
        <v>2.36</v>
      </c>
      <c r="AC34" s="383" t="e">
        <f>+datos!H37</f>
        <v>#DIV/0!</v>
      </c>
    </row>
    <row r="35" spans="1:29" ht="12" customHeight="1" x14ac:dyDescent="0.25">
      <c r="A35" s="356"/>
      <c r="B35" s="364"/>
      <c r="C35" s="364"/>
      <c r="D35" s="230" t="s">
        <v>160</v>
      </c>
      <c r="E35" s="303" t="s">
        <v>378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64"/>
      <c r="M35" s="357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AA35" s="381">
        <v>10</v>
      </c>
      <c r="AB35" s="303">
        <v>2</v>
      </c>
      <c r="AC35" s="383" t="e">
        <f>+datos!H38</f>
        <v>#DIV/0!</v>
      </c>
    </row>
    <row r="36" spans="1:29" ht="12" customHeight="1" x14ac:dyDescent="0.25">
      <c r="A36" s="365"/>
      <c r="B36" s="337"/>
      <c r="C36" s="337"/>
      <c r="D36" s="230" t="s">
        <v>157</v>
      </c>
      <c r="E36" s="362" t="s">
        <v>379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37"/>
      <c r="M36" s="366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AA36" s="381">
        <v>16</v>
      </c>
      <c r="AB36" s="362">
        <v>1.18</v>
      </c>
      <c r="AC36" s="383" t="e">
        <f>+datos!H39</f>
        <v>#DIV/0!</v>
      </c>
    </row>
    <row r="37" spans="1:29" ht="12" customHeight="1" x14ac:dyDescent="0.25">
      <c r="A37" s="365"/>
      <c r="B37" s="337"/>
      <c r="C37" s="337"/>
      <c r="D37" s="230" t="s">
        <v>161</v>
      </c>
      <c r="E37" s="367" t="s">
        <v>363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37"/>
      <c r="M37" s="366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AA37" s="381">
        <v>30</v>
      </c>
      <c r="AB37" s="367">
        <v>0.6</v>
      </c>
      <c r="AC37" s="383" t="e">
        <f>+datos!H40</f>
        <v>#DIV/0!</v>
      </c>
    </row>
    <row r="38" spans="1:29" ht="12" customHeight="1" x14ac:dyDescent="0.25">
      <c r="A38" s="365"/>
      <c r="B38" s="337"/>
      <c r="C38" s="337"/>
      <c r="D38" s="230" t="s">
        <v>162</v>
      </c>
      <c r="E38" s="367" t="s">
        <v>364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37"/>
      <c r="M38" s="366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AA38" s="381">
        <v>40</v>
      </c>
      <c r="AB38" s="367">
        <v>0.42499999999999999</v>
      </c>
      <c r="AC38" s="383" t="e">
        <f>+datos!H41</f>
        <v>#DIV/0!</v>
      </c>
    </row>
    <row r="39" spans="1:29" ht="12" customHeight="1" x14ac:dyDescent="0.25">
      <c r="A39" s="365"/>
      <c r="B39" s="337"/>
      <c r="C39" s="337"/>
      <c r="D39" s="230" t="s">
        <v>158</v>
      </c>
      <c r="E39" s="367" t="s">
        <v>365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37"/>
      <c r="M39" s="366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AA39" s="381">
        <v>50</v>
      </c>
      <c r="AB39" s="367">
        <v>0.3</v>
      </c>
      <c r="AC39" s="383" t="e">
        <f>+datos!H42</f>
        <v>#DIV/0!</v>
      </c>
    </row>
    <row r="40" spans="1:29" ht="12" customHeight="1" x14ac:dyDescent="0.25">
      <c r="A40" s="365"/>
      <c r="B40" s="337"/>
      <c r="C40" s="337"/>
      <c r="D40" s="230" t="s">
        <v>159</v>
      </c>
      <c r="E40" s="367" t="s">
        <v>366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37"/>
      <c r="M40" s="366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AA40" s="381">
        <v>100</v>
      </c>
      <c r="AB40" s="367">
        <v>0.15</v>
      </c>
      <c r="AC40" s="383" t="e">
        <f>+datos!H43</f>
        <v>#DIV/0!</v>
      </c>
    </row>
    <row r="41" spans="1:29" ht="12" customHeight="1" x14ac:dyDescent="0.25">
      <c r="A41" s="365"/>
      <c r="B41" s="337"/>
      <c r="C41" s="337"/>
      <c r="D41" s="230" t="s">
        <v>163</v>
      </c>
      <c r="E41" s="367" t="s">
        <v>367</v>
      </c>
      <c r="F41" s="359" t="b">
        <f>+datos!F44</f>
        <v>0</v>
      </c>
      <c r="G41" s="359" t="e">
        <f>+datos!G44</f>
        <v>#DIV/0!</v>
      </c>
      <c r="H41" s="359" t="e">
        <f>IF($AC$41&lt;10,FIXED((AC41),1),FIXED((AC41),0))</f>
        <v>#DIV/0!</v>
      </c>
      <c r="I41" s="337"/>
      <c r="J41" s="337"/>
      <c r="K41" s="337"/>
      <c r="L41" s="337"/>
      <c r="M41" s="366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AA41" s="381">
        <v>200</v>
      </c>
      <c r="AB41" s="367">
        <v>7.4999999999999997E-2</v>
      </c>
      <c r="AC41" s="383" t="e">
        <f>+datos!H44</f>
        <v>#DIV/0!</v>
      </c>
    </row>
    <row r="42" spans="1:29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69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16"/>
    </row>
    <row r="43" spans="1:29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5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</row>
    <row r="44" spans="1:29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57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84"/>
    </row>
    <row r="45" spans="1:29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57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84"/>
    </row>
    <row r="46" spans="1:29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2"/>
      <c r="M46" s="373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85"/>
    </row>
    <row r="47" spans="1:29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2"/>
      <c r="M47" s="373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85"/>
    </row>
    <row r="48" spans="1:29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2"/>
      <c r="M48" s="373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85"/>
    </row>
    <row r="49" spans="1:26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2"/>
      <c r="M49" s="373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85"/>
    </row>
    <row r="50" spans="1:26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2"/>
      <c r="M50" s="373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86"/>
    </row>
    <row r="51" spans="1:26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2"/>
      <c r="M51" s="373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86"/>
    </row>
    <row r="52" spans="1:26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2"/>
      <c r="M52" s="373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86"/>
    </row>
    <row r="53" spans="1:26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2"/>
      <c r="M53" s="373"/>
      <c r="Z53" s="386"/>
    </row>
    <row r="54" spans="1:26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2"/>
      <c r="M54" s="373"/>
      <c r="Z54" s="386"/>
    </row>
    <row r="55" spans="1:26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6"/>
      <c r="M55" s="377"/>
      <c r="Z55" s="386"/>
    </row>
    <row r="56" spans="1:26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M56" s="379"/>
      <c r="Z56" s="386"/>
    </row>
    <row r="57" spans="1:26" ht="13.5" customHeight="1" x14ac:dyDescent="0.25">
      <c r="A57" s="517" t="s">
        <v>307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M57" s="379"/>
      <c r="Z57" s="386"/>
    </row>
    <row r="58" spans="1:26" ht="14.25" customHeight="1" x14ac:dyDescent="0.25">
      <c r="A58" s="643" t="s">
        <v>308</v>
      </c>
      <c r="B58" s="378"/>
      <c r="C58" s="378"/>
      <c r="D58" s="335"/>
      <c r="E58" s="335"/>
      <c r="F58" s="335"/>
      <c r="G58" s="335"/>
      <c r="H58" s="335"/>
      <c r="I58" s="335"/>
      <c r="J58" s="379"/>
      <c r="K58" s="379"/>
      <c r="L58" s="379"/>
      <c r="M58" s="379"/>
      <c r="Z58" s="386"/>
    </row>
    <row r="59" spans="1:26" ht="14.25" customHeight="1" x14ac:dyDescent="0.25">
      <c r="A59" s="643" t="s">
        <v>295</v>
      </c>
      <c r="B59" s="643"/>
      <c r="C59" s="643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480"/>
      <c r="Z59" s="480"/>
    </row>
    <row r="60" spans="1:26" ht="22.5" customHeight="1" x14ac:dyDescent="0.25">
      <c r="A60" s="842" t="s">
        <v>296</v>
      </c>
      <c r="B60" s="842"/>
      <c r="C60" s="842"/>
      <c r="D60" s="842"/>
      <c r="E60" s="842"/>
      <c r="F60" s="842"/>
      <c r="G60" s="842"/>
      <c r="H60" s="842"/>
      <c r="I60" s="842"/>
      <c r="J60" s="842"/>
      <c r="K60" s="842"/>
      <c r="L60" s="842"/>
      <c r="M60" s="842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</row>
    <row r="61" spans="1:26" ht="14.25" customHeight="1" x14ac:dyDescent="0.25">
      <c r="A61" s="643" t="s">
        <v>297</v>
      </c>
      <c r="B61" s="643"/>
      <c r="C61" s="643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480"/>
      <c r="Z61" s="480"/>
    </row>
    <row r="62" spans="1:26" ht="22.5" customHeight="1" x14ac:dyDescent="0.25">
      <c r="A62" s="842" t="s">
        <v>355</v>
      </c>
      <c r="B62" s="842"/>
      <c r="C62" s="842"/>
      <c r="D62" s="842"/>
      <c r="E62" s="842"/>
      <c r="F62" s="842"/>
      <c r="G62" s="842"/>
      <c r="H62" s="842"/>
      <c r="I62" s="842"/>
      <c r="J62" s="842"/>
      <c r="K62" s="842"/>
      <c r="L62" s="842"/>
      <c r="M62" s="842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480"/>
      <c r="Z62" s="480"/>
    </row>
    <row r="63" spans="1:26" ht="16.5" customHeight="1" x14ac:dyDescent="0.25">
      <c r="A63" s="518" t="s">
        <v>309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536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480"/>
      <c r="Z63" s="480"/>
    </row>
    <row r="64" spans="1:26" ht="49.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</row>
    <row r="65" spans="1:13" ht="21.75" customHeight="1" x14ac:dyDescent="0.25">
      <c r="A65" s="837" t="s">
        <v>362</v>
      </c>
      <c r="B65" s="837"/>
      <c r="C65" s="837"/>
      <c r="D65" s="837"/>
      <c r="E65" s="337"/>
      <c r="F65" s="337"/>
      <c r="G65" s="337"/>
      <c r="H65" s="337"/>
      <c r="I65" s="337"/>
      <c r="J65" s="337"/>
      <c r="K65" s="337"/>
      <c r="L65" s="482" t="s">
        <v>298</v>
      </c>
      <c r="M65" s="337"/>
    </row>
    <row r="66" spans="1:13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</row>
    <row r="67" spans="1:13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</row>
    <row r="68" spans="1:13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</row>
    <row r="69" spans="1:13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</row>
  </sheetData>
  <sheetProtection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mergeCells count="20">
    <mergeCell ref="AC23:AC24"/>
    <mergeCell ref="A14:M14"/>
    <mergeCell ref="A15:M15"/>
    <mergeCell ref="D23:E23"/>
    <mergeCell ref="F23:F24"/>
    <mergeCell ref="AA23:AB23"/>
    <mergeCell ref="L18:M18"/>
    <mergeCell ref="L19:M19"/>
    <mergeCell ref="L20:M20"/>
    <mergeCell ref="A6:M6"/>
    <mergeCell ref="A7:M7"/>
    <mergeCell ref="L10:M10"/>
    <mergeCell ref="L11:M11"/>
    <mergeCell ref="A65:D65"/>
    <mergeCell ref="J23:K24"/>
    <mergeCell ref="A60:M60"/>
    <mergeCell ref="G23:G24"/>
    <mergeCell ref="H23:H24"/>
    <mergeCell ref="A62:M62"/>
    <mergeCell ref="M32:M33"/>
  </mergeCells>
  <printOptions horizontalCentered="1"/>
  <pageMargins left="0" right="0" top="0.59055118110236227" bottom="0" header="0.11811023622047245" footer="0"/>
  <pageSetup paperSize="274" scale="85" orientation="portrait" r:id="rId1"/>
  <headerFooter scaleWithDoc="0">
    <oddHeader>&amp;C&amp;G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8C66-EA7A-4253-9722-9A41637B80DE}">
  <dimension ref="A1:AB69"/>
  <sheetViews>
    <sheetView showGridLines="0" zoomScaleNormal="100" zoomScaleSheetLayoutView="100" workbookViewId="0">
      <selection activeCell="G17" sqref="G17"/>
    </sheetView>
  </sheetViews>
  <sheetFormatPr baseColWidth="10" defaultColWidth="10.33203125" defaultRowHeight="13.8" x14ac:dyDescent="0.25"/>
  <cols>
    <col min="1" max="1" width="10.88671875" style="314" customWidth="1"/>
    <col min="2" max="2" width="2.33203125" style="314" customWidth="1"/>
    <col min="3" max="3" width="5.5546875" style="314" customWidth="1"/>
    <col min="4" max="5" width="10.33203125" style="314" customWidth="1"/>
    <col min="6" max="8" width="13.6640625" style="314" customWidth="1"/>
    <col min="9" max="9" width="1.88671875" style="314" customWidth="1"/>
    <col min="10" max="10" width="9.33203125" style="314" customWidth="1"/>
    <col min="11" max="11" width="10" style="314" customWidth="1"/>
    <col min="12" max="12" width="12.33203125" style="314" customWidth="1"/>
    <col min="13" max="25" width="13.33203125" style="314" customWidth="1"/>
    <col min="26" max="16384" width="10.33203125" style="314"/>
  </cols>
  <sheetData>
    <row r="1" spans="1:25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Y1" s="315"/>
    </row>
    <row r="2" spans="1:25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Y2" s="315"/>
    </row>
    <row r="3" spans="1:25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Y3" s="315"/>
    </row>
    <row r="4" spans="1:25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Y4" s="315"/>
    </row>
    <row r="5" spans="1:25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Y5" s="315"/>
    </row>
    <row r="6" spans="1:25" ht="15.75" customHeight="1" x14ac:dyDescent="0.25">
      <c r="A6" s="833" t="s">
        <v>2</v>
      </c>
      <c r="B6" s="833"/>
      <c r="C6" s="833"/>
      <c r="D6" s="833"/>
      <c r="E6" s="833"/>
      <c r="F6" s="833"/>
      <c r="G6" s="833"/>
      <c r="H6" s="833"/>
      <c r="I6" s="833"/>
      <c r="J6" s="833"/>
      <c r="K6" s="833"/>
      <c r="L6" s="833"/>
      <c r="Y6" s="315"/>
    </row>
    <row r="7" spans="1:25" ht="15.75" customHeight="1" x14ac:dyDescent="0.25">
      <c r="A7" s="859">
        <v>1</v>
      </c>
      <c r="B7" s="859"/>
      <c r="C7" s="859"/>
      <c r="D7" s="859"/>
      <c r="E7" s="859"/>
      <c r="F7" s="859"/>
      <c r="G7" s="859"/>
      <c r="H7" s="859"/>
      <c r="I7" s="859"/>
      <c r="J7" s="859"/>
      <c r="K7" s="859"/>
      <c r="L7" s="859"/>
    </row>
    <row r="8" spans="1:25" ht="8.25" customHeight="1" x14ac:dyDescent="0.25"/>
    <row r="9" spans="1:25" ht="15" customHeight="1" x14ac:dyDescent="0.25">
      <c r="A9" s="281" t="s">
        <v>357</v>
      </c>
      <c r="B9" s="247" t="s">
        <v>0</v>
      </c>
      <c r="C9" s="644">
        <f>+FORMATO!M2</f>
        <v>0</v>
      </c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5" ht="15" customHeight="1" x14ac:dyDescent="0.25">
      <c r="A10" s="281" t="s">
        <v>299</v>
      </c>
      <c r="B10" s="247" t="s">
        <v>0</v>
      </c>
      <c r="C10" s="644">
        <f>+FORMATO!M3</f>
        <v>0</v>
      </c>
      <c r="D10" s="318"/>
      <c r="E10" s="318"/>
      <c r="F10" s="318"/>
      <c r="G10" s="318"/>
      <c r="H10" s="318"/>
      <c r="I10" s="319"/>
      <c r="J10" s="339"/>
      <c r="K10" s="285" t="s">
        <v>356</v>
      </c>
      <c r="L10" s="723">
        <f>+FORMATO!M7</f>
        <v>0</v>
      </c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</row>
    <row r="11" spans="1:25" ht="15" customHeight="1" x14ac:dyDescent="0.25">
      <c r="A11" s="281" t="s">
        <v>109</v>
      </c>
      <c r="B11" s="247" t="s">
        <v>0</v>
      </c>
      <c r="C11" s="644">
        <f>+FORMATO!M4</f>
        <v>0</v>
      </c>
      <c r="D11" s="318"/>
      <c r="E11" s="319"/>
      <c r="F11" s="318"/>
      <c r="G11" s="318"/>
      <c r="H11" s="318"/>
      <c r="I11" s="319"/>
      <c r="J11" s="339"/>
      <c r="K11" s="285" t="s">
        <v>382</v>
      </c>
      <c r="L11" s="723">
        <f>+FORMATO!M9</f>
        <v>0</v>
      </c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</row>
    <row r="12" spans="1:25" x14ac:dyDescent="0.25">
      <c r="A12" s="281" t="s">
        <v>110</v>
      </c>
      <c r="B12" s="247" t="s">
        <v>0</v>
      </c>
      <c r="C12" s="644">
        <f>+FORMATO!M5</f>
        <v>0</v>
      </c>
      <c r="D12" s="318"/>
      <c r="E12" s="319"/>
      <c r="F12" s="318"/>
      <c r="G12" s="318"/>
      <c r="H12" s="318"/>
      <c r="I12" s="319"/>
      <c r="J12" s="339"/>
      <c r="K12" s="285" t="s">
        <v>127</v>
      </c>
      <c r="L12" s="701">
        <f>+FORMATO!M8</f>
        <v>0</v>
      </c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</row>
    <row r="13" spans="1:25" ht="11.25" customHeight="1" x14ac:dyDescent="0.25">
      <c r="A13" s="647" t="s">
        <v>358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</row>
    <row r="14" spans="1:25" ht="15" customHeight="1" x14ac:dyDescent="0.25">
      <c r="A14" s="846" t="s">
        <v>128</v>
      </c>
      <c r="B14" s="847"/>
      <c r="C14" s="847"/>
      <c r="D14" s="847"/>
      <c r="E14" s="847"/>
      <c r="F14" s="847"/>
      <c r="G14" s="847"/>
      <c r="H14" s="847"/>
      <c r="I14" s="847"/>
      <c r="J14" s="847"/>
      <c r="K14" s="847"/>
      <c r="L14" s="848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</row>
    <row r="15" spans="1:25" ht="13.5" customHeight="1" x14ac:dyDescent="0.25">
      <c r="A15" s="849" t="s">
        <v>466</v>
      </c>
      <c r="B15" s="850"/>
      <c r="C15" s="850"/>
      <c r="D15" s="850"/>
      <c r="E15" s="850"/>
      <c r="F15" s="850"/>
      <c r="G15" s="850"/>
      <c r="H15" s="850"/>
      <c r="I15" s="850"/>
      <c r="J15" s="850"/>
      <c r="K15" s="850"/>
      <c r="L15" s="851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</row>
    <row r="16" spans="1:25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649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</row>
    <row r="17" spans="1:28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650"/>
      <c r="X17" s="320"/>
    </row>
    <row r="18" spans="1:28" ht="15" customHeight="1" x14ac:dyDescent="0.25">
      <c r="A18" s="350" t="s">
        <v>300</v>
      </c>
      <c r="B18" s="281"/>
      <c r="C18" s="281"/>
      <c r="D18" s="318">
        <f>+FORMATO!M15</f>
        <v>0</v>
      </c>
      <c r="E18" s="318"/>
      <c r="F18" s="325"/>
      <c r="G18" s="326"/>
      <c r="H18" s="327"/>
      <c r="I18" s="327"/>
      <c r="J18" s="291"/>
      <c r="K18" s="285" t="s">
        <v>153</v>
      </c>
      <c r="L18" s="724">
        <f>+FORMATO!M11</f>
        <v>0</v>
      </c>
      <c r="X18" s="320"/>
    </row>
    <row r="19" spans="1:28" ht="15" customHeight="1" x14ac:dyDescent="0.25">
      <c r="A19" s="350" t="s">
        <v>359</v>
      </c>
      <c r="B19" s="281"/>
      <c r="C19" s="281"/>
      <c r="D19" s="318">
        <f>+FORMATO!M16</f>
        <v>0</v>
      </c>
      <c r="E19" s="318"/>
      <c r="F19" s="325"/>
      <c r="G19" s="326"/>
      <c r="H19" s="327"/>
      <c r="I19" s="327"/>
      <c r="J19" s="291"/>
      <c r="K19" s="285" t="s">
        <v>125</v>
      </c>
      <c r="L19" s="703">
        <f>+FORMATO!M12</f>
        <v>0</v>
      </c>
      <c r="X19" s="320"/>
    </row>
    <row r="20" spans="1:28" ht="15" customHeight="1" x14ac:dyDescent="0.25">
      <c r="A20" s="350" t="s">
        <v>360</v>
      </c>
      <c r="B20" s="281"/>
      <c r="C20" s="281"/>
      <c r="D20" s="318">
        <f>+FORMATO!B16</f>
        <v>0</v>
      </c>
      <c r="E20" s="318"/>
      <c r="F20" s="325"/>
      <c r="G20" s="326"/>
      <c r="H20" s="327"/>
      <c r="I20" s="327"/>
      <c r="J20" s="291"/>
      <c r="K20" s="285" t="s">
        <v>126</v>
      </c>
      <c r="L20" s="703">
        <f>+FORMATO!M13</f>
        <v>0</v>
      </c>
      <c r="M20" s="314">
        <f>+FORMATO!F11</f>
        <v>0</v>
      </c>
      <c r="X20" s="320"/>
    </row>
    <row r="21" spans="1:28" ht="15" customHeight="1" x14ac:dyDescent="0.25">
      <c r="A21" s="351" t="s">
        <v>361</v>
      </c>
      <c r="B21" s="485"/>
      <c r="C21" s="485"/>
      <c r="D21" s="534" t="s">
        <v>342</v>
      </c>
      <c r="E21" s="328"/>
      <c r="F21" s="329"/>
      <c r="G21" s="329"/>
      <c r="H21" s="329"/>
      <c r="I21" s="329"/>
      <c r="J21" s="352"/>
      <c r="K21" s="352"/>
      <c r="L21" s="369"/>
      <c r="X21" s="320"/>
    </row>
    <row r="22" spans="1:28" ht="4.95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5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31"/>
      <c r="Y22" s="316"/>
    </row>
    <row r="23" spans="1:28" ht="25.5" customHeight="1" x14ac:dyDescent="0.25">
      <c r="A23" s="356"/>
      <c r="B23" s="364"/>
      <c r="C23" s="364"/>
      <c r="D23" s="852" t="s">
        <v>353</v>
      </c>
      <c r="E23" s="853"/>
      <c r="F23" s="843" t="s">
        <v>276</v>
      </c>
      <c r="G23" s="843" t="s">
        <v>346</v>
      </c>
      <c r="H23" s="843" t="s">
        <v>275</v>
      </c>
      <c r="I23" s="337"/>
      <c r="J23" s="838" t="s">
        <v>146</v>
      </c>
      <c r="K23" s="839"/>
      <c r="L23" s="651"/>
      <c r="M23" s="320"/>
      <c r="N23" s="838" t="s">
        <v>146</v>
      </c>
      <c r="O23" s="839"/>
      <c r="P23" s="320"/>
      <c r="Q23" s="320"/>
      <c r="R23" s="320"/>
      <c r="S23" s="320"/>
      <c r="T23" s="320"/>
      <c r="U23" s="320"/>
      <c r="V23" s="320"/>
      <c r="W23" s="320"/>
      <c r="X23" s="332"/>
      <c r="Z23" s="854" t="s">
        <v>278</v>
      </c>
      <c r="AA23" s="855"/>
      <c r="AB23" s="843" t="s">
        <v>275</v>
      </c>
    </row>
    <row r="24" spans="1:28" ht="25.5" customHeight="1" x14ac:dyDescent="0.25">
      <c r="A24" s="356"/>
      <c r="B24" s="364"/>
      <c r="C24" s="364"/>
      <c r="D24" s="187" t="s">
        <v>279</v>
      </c>
      <c r="E24" s="500" t="s">
        <v>380</v>
      </c>
      <c r="F24" s="844"/>
      <c r="G24" s="844"/>
      <c r="H24" s="844"/>
      <c r="I24" s="337"/>
      <c r="J24" s="840"/>
      <c r="K24" s="841"/>
      <c r="L24" s="651"/>
      <c r="M24" s="320"/>
      <c r="N24" s="840"/>
      <c r="O24" s="841"/>
      <c r="P24" s="320"/>
      <c r="Q24" s="320"/>
      <c r="R24" s="320"/>
      <c r="S24" s="320"/>
      <c r="T24" s="320"/>
      <c r="U24" s="320"/>
      <c r="V24" s="320"/>
      <c r="W24" s="320"/>
      <c r="X24" s="333"/>
      <c r="Z24" s="380" t="s">
        <v>267</v>
      </c>
      <c r="AA24" s="380" t="s">
        <v>12</v>
      </c>
      <c r="AB24" s="844"/>
    </row>
    <row r="25" spans="1:28" ht="12" customHeight="1" x14ac:dyDescent="0.25">
      <c r="A25" s="356"/>
      <c r="B25" s="364"/>
      <c r="C25" s="364"/>
      <c r="D25" s="230" t="s">
        <v>259</v>
      </c>
      <c r="E25" s="303" t="s">
        <v>368</v>
      </c>
      <c r="F25" s="359" t="e">
        <f>+datos!F28</f>
        <v>#DIV/0!</v>
      </c>
      <c r="G25" s="359" t="e">
        <f>+datos!G28</f>
        <v>#DIV/0!</v>
      </c>
      <c r="H25" s="359" t="e">
        <f>+AB25</f>
        <v>#DIV/0!</v>
      </c>
      <c r="I25" s="337"/>
      <c r="J25" s="861" t="s">
        <v>381</v>
      </c>
      <c r="K25" s="864" t="e">
        <f>+datos!I21</f>
        <v>#DIV/0!</v>
      </c>
      <c r="L25" s="652"/>
      <c r="M25" s="334"/>
      <c r="N25" s="360" t="s">
        <v>268</v>
      </c>
      <c r="O25" s="361" t="e">
        <f>+datos!I19</f>
        <v>#DIV/0!</v>
      </c>
      <c r="P25" s="334"/>
      <c r="Q25" s="334"/>
      <c r="R25" s="334"/>
      <c r="S25" s="334"/>
      <c r="T25" s="334"/>
      <c r="U25" s="334"/>
      <c r="V25" s="334"/>
      <c r="W25" s="334"/>
      <c r="X25" s="333"/>
      <c r="Z25" s="381">
        <v>3</v>
      </c>
      <c r="AA25" s="303">
        <v>75</v>
      </c>
      <c r="AB25" s="383" t="e">
        <f>+datos!H28</f>
        <v>#DIV/0!</v>
      </c>
    </row>
    <row r="26" spans="1:28" ht="12" customHeight="1" x14ac:dyDescent="0.25">
      <c r="A26" s="356"/>
      <c r="B26" s="364"/>
      <c r="C26" s="364"/>
      <c r="D26" s="230" t="s">
        <v>260</v>
      </c>
      <c r="E26" s="303" t="s">
        <v>369</v>
      </c>
      <c r="F26" s="359" t="e">
        <f>+datos!F29</f>
        <v>#DIV/0!</v>
      </c>
      <c r="G26" s="359" t="e">
        <f>+datos!G29</f>
        <v>#DIV/0!</v>
      </c>
      <c r="H26" s="359" t="e">
        <f t="shared" ref="H26:H40" si="0">+AB26</f>
        <v>#DIV/0!</v>
      </c>
      <c r="I26" s="337"/>
      <c r="J26" s="862"/>
      <c r="K26" s="865"/>
      <c r="L26" s="652"/>
      <c r="M26" s="320"/>
      <c r="N26" s="360" t="s">
        <v>269</v>
      </c>
      <c r="O26" s="361" t="e">
        <f>+datos!I20</f>
        <v>#DIV/0!</v>
      </c>
      <c r="P26" s="320"/>
      <c r="Q26" s="320"/>
      <c r="R26" s="320"/>
      <c r="S26" s="320"/>
      <c r="T26" s="320"/>
      <c r="U26" s="320"/>
      <c r="V26" s="320"/>
      <c r="W26" s="320"/>
      <c r="X26" s="320"/>
      <c r="Z26" s="382">
        <v>2.5</v>
      </c>
      <c r="AA26" s="303">
        <v>63</v>
      </c>
      <c r="AB26" s="383" t="e">
        <f>+datos!H29</f>
        <v>#DIV/0!</v>
      </c>
    </row>
    <row r="27" spans="1:28" ht="12" customHeight="1" x14ac:dyDescent="0.25">
      <c r="A27" s="356"/>
      <c r="B27" s="364"/>
      <c r="C27" s="364"/>
      <c r="D27" s="230" t="s">
        <v>261</v>
      </c>
      <c r="E27" s="303" t="s">
        <v>370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863"/>
      <c r="K27" s="866"/>
      <c r="L27" s="648"/>
      <c r="M27" s="320"/>
      <c r="N27" s="360" t="s">
        <v>149</v>
      </c>
      <c r="O27" s="303" t="e">
        <f>+datos!I22</f>
        <v>#DIV/0!</v>
      </c>
      <c r="P27" s="320"/>
      <c r="Q27" s="320"/>
      <c r="R27" s="320"/>
      <c r="S27" s="320"/>
      <c r="T27" s="320"/>
      <c r="U27" s="320"/>
      <c r="V27" s="320"/>
      <c r="W27" s="320"/>
      <c r="X27" s="320"/>
      <c r="Z27" s="381">
        <v>2</v>
      </c>
      <c r="AA27" s="303">
        <v>50</v>
      </c>
      <c r="AB27" s="383" t="e">
        <f>+datos!H30</f>
        <v>#DIV/0!</v>
      </c>
    </row>
    <row r="28" spans="1:28" ht="12" customHeight="1" x14ac:dyDescent="0.25">
      <c r="A28" s="356"/>
      <c r="B28" s="364"/>
      <c r="C28" s="364"/>
      <c r="D28" s="230" t="s">
        <v>262</v>
      </c>
      <c r="E28" s="215" t="s">
        <v>371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45"/>
      <c r="L28" s="653"/>
      <c r="M28" s="320"/>
      <c r="N28" s="360" t="s">
        <v>147</v>
      </c>
      <c r="O28" s="303" t="e">
        <f>+datos!I23</f>
        <v>#DIV/0!</v>
      </c>
      <c r="P28" s="320"/>
      <c r="Q28" s="320"/>
      <c r="R28" s="320"/>
      <c r="S28" s="320"/>
      <c r="T28" s="320"/>
      <c r="U28" s="320"/>
      <c r="V28" s="320"/>
      <c r="W28" s="320"/>
      <c r="X28" s="320"/>
      <c r="Z28" s="382">
        <v>1.5</v>
      </c>
      <c r="AA28" s="215">
        <v>37.5</v>
      </c>
      <c r="AB28" s="383" t="e">
        <f>+datos!H31</f>
        <v>#DIV/0!</v>
      </c>
    </row>
    <row r="29" spans="1:28" ht="12" customHeight="1" x14ac:dyDescent="0.25">
      <c r="A29" s="356"/>
      <c r="B29" s="364"/>
      <c r="C29" s="364"/>
      <c r="D29" s="230" t="s">
        <v>263</v>
      </c>
      <c r="E29" s="303" t="s">
        <v>372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45"/>
      <c r="L29" s="653"/>
      <c r="M29" s="320"/>
      <c r="N29" s="360" t="s">
        <v>148</v>
      </c>
      <c r="O29" s="303" t="e">
        <f>+datos!I24</f>
        <v>#DIV/0!</v>
      </c>
      <c r="P29" s="320"/>
      <c r="Q29" s="320"/>
      <c r="R29" s="320"/>
      <c r="S29" s="320"/>
      <c r="T29" s="320"/>
      <c r="U29" s="320"/>
      <c r="V29" s="320"/>
      <c r="W29" s="320"/>
      <c r="X29" s="320"/>
      <c r="Z29" s="381">
        <v>1</v>
      </c>
      <c r="AA29" s="303">
        <v>25</v>
      </c>
      <c r="AB29" s="383" t="e">
        <f>+datos!H32</f>
        <v>#DIV/0!</v>
      </c>
    </row>
    <row r="30" spans="1:28" ht="12" customHeight="1" x14ac:dyDescent="0.25">
      <c r="A30" s="356"/>
      <c r="B30" s="364"/>
      <c r="C30" s="364"/>
      <c r="D30" s="230" t="s">
        <v>264</v>
      </c>
      <c r="E30" s="303" t="s">
        <v>373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46"/>
      <c r="L30" s="654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Z30" s="382">
        <v>0.75</v>
      </c>
      <c r="AA30" s="303">
        <v>19</v>
      </c>
      <c r="AB30" s="383" t="e">
        <f>+datos!H33</f>
        <v>#DIV/0!</v>
      </c>
    </row>
    <row r="31" spans="1:28" ht="12" customHeight="1" x14ac:dyDescent="0.25">
      <c r="A31" s="356"/>
      <c r="B31" s="364"/>
      <c r="C31" s="364"/>
      <c r="D31" s="230" t="s">
        <v>265</v>
      </c>
      <c r="E31" s="215" t="s">
        <v>374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655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Z31" s="382">
        <v>0.5</v>
      </c>
      <c r="AA31" s="215">
        <v>12.5</v>
      </c>
      <c r="AB31" s="383" t="e">
        <f>+datos!H34</f>
        <v>#DIV/0!</v>
      </c>
    </row>
    <row r="32" spans="1:28" ht="12" customHeight="1" x14ac:dyDescent="0.25">
      <c r="A32" s="356"/>
      <c r="B32" s="364"/>
      <c r="C32" s="364"/>
      <c r="D32" s="230" t="s">
        <v>266</v>
      </c>
      <c r="E32" s="215" t="s">
        <v>375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656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Z32" s="382">
        <v>0.375</v>
      </c>
      <c r="AA32" s="215">
        <v>9.5</v>
      </c>
      <c r="AB32" s="383" t="e">
        <f>+datos!H35</f>
        <v>#DIV/0!</v>
      </c>
    </row>
    <row r="33" spans="1:28" ht="12" customHeight="1" x14ac:dyDescent="0.25">
      <c r="A33" s="356"/>
      <c r="B33" s="364"/>
      <c r="C33" s="364"/>
      <c r="D33" s="230" t="s">
        <v>155</v>
      </c>
      <c r="E33" s="362" t="s">
        <v>376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656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Z33" s="381" t="s">
        <v>20</v>
      </c>
      <c r="AA33" s="362">
        <v>4.75</v>
      </c>
      <c r="AB33" s="383" t="e">
        <f>+datos!H36</f>
        <v>#DIV/0!</v>
      </c>
    </row>
    <row r="34" spans="1:28" ht="12" customHeight="1" x14ac:dyDescent="0.25">
      <c r="A34" s="356"/>
      <c r="B34" s="364"/>
      <c r="C34" s="364"/>
      <c r="D34" s="230" t="s">
        <v>156</v>
      </c>
      <c r="E34" s="362" t="s">
        <v>377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66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Z34" s="381">
        <v>8</v>
      </c>
      <c r="AA34" s="362">
        <v>2.36</v>
      </c>
      <c r="AB34" s="383" t="e">
        <f>+datos!H37</f>
        <v>#DIV/0!</v>
      </c>
    </row>
    <row r="35" spans="1:28" ht="12" customHeight="1" x14ac:dyDescent="0.25">
      <c r="A35" s="356"/>
      <c r="B35" s="364"/>
      <c r="C35" s="364"/>
      <c r="D35" s="230" t="s">
        <v>160</v>
      </c>
      <c r="E35" s="303" t="s">
        <v>378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57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Z35" s="381">
        <v>10</v>
      </c>
      <c r="AA35" s="303">
        <v>2</v>
      </c>
      <c r="AB35" s="383" t="e">
        <f>+datos!H38</f>
        <v>#DIV/0!</v>
      </c>
    </row>
    <row r="36" spans="1:28" ht="12" customHeight="1" x14ac:dyDescent="0.25">
      <c r="A36" s="365"/>
      <c r="B36" s="337"/>
      <c r="C36" s="337"/>
      <c r="D36" s="230" t="s">
        <v>157</v>
      </c>
      <c r="E36" s="362" t="s">
        <v>379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66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Z36" s="381">
        <v>16</v>
      </c>
      <c r="AA36" s="362">
        <v>1.18</v>
      </c>
      <c r="AB36" s="383" t="e">
        <f>+datos!H39</f>
        <v>#DIV/0!</v>
      </c>
    </row>
    <row r="37" spans="1:28" ht="12" customHeight="1" x14ac:dyDescent="0.25">
      <c r="A37" s="365"/>
      <c r="B37" s="337"/>
      <c r="C37" s="337"/>
      <c r="D37" s="230" t="s">
        <v>161</v>
      </c>
      <c r="E37" s="367" t="s">
        <v>363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66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Z37" s="381">
        <v>30</v>
      </c>
      <c r="AA37" s="367">
        <v>0.6</v>
      </c>
      <c r="AB37" s="383" t="e">
        <f>+datos!H40</f>
        <v>#DIV/0!</v>
      </c>
    </row>
    <row r="38" spans="1:28" ht="12" customHeight="1" x14ac:dyDescent="0.25">
      <c r="A38" s="365"/>
      <c r="B38" s="337"/>
      <c r="C38" s="337"/>
      <c r="D38" s="230" t="s">
        <v>162</v>
      </c>
      <c r="E38" s="367" t="s">
        <v>364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66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Z38" s="381">
        <v>40</v>
      </c>
      <c r="AA38" s="367">
        <v>0.42499999999999999</v>
      </c>
      <c r="AB38" s="383" t="e">
        <f>+datos!H41</f>
        <v>#DIV/0!</v>
      </c>
    </row>
    <row r="39" spans="1:28" ht="12" customHeight="1" x14ac:dyDescent="0.25">
      <c r="A39" s="365"/>
      <c r="B39" s="337"/>
      <c r="C39" s="337"/>
      <c r="D39" s="230" t="s">
        <v>158</v>
      </c>
      <c r="E39" s="367" t="s">
        <v>365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66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Z39" s="381">
        <v>50</v>
      </c>
      <c r="AA39" s="367">
        <v>0.3</v>
      </c>
      <c r="AB39" s="383" t="e">
        <f>+datos!H42</f>
        <v>#DIV/0!</v>
      </c>
    </row>
    <row r="40" spans="1:28" ht="12" customHeight="1" x14ac:dyDescent="0.25">
      <c r="A40" s="365"/>
      <c r="B40" s="337"/>
      <c r="C40" s="337"/>
      <c r="D40" s="230" t="s">
        <v>159</v>
      </c>
      <c r="E40" s="367" t="s">
        <v>366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66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Z40" s="381">
        <v>100</v>
      </c>
      <c r="AA40" s="367">
        <v>0.15</v>
      </c>
      <c r="AB40" s="383" t="e">
        <f>+datos!H43</f>
        <v>#DIV/0!</v>
      </c>
    </row>
    <row r="41" spans="1:28" ht="12" customHeight="1" x14ac:dyDescent="0.25">
      <c r="A41" s="365"/>
      <c r="B41" s="337"/>
      <c r="C41" s="337"/>
      <c r="D41" s="230" t="s">
        <v>163</v>
      </c>
      <c r="E41" s="367" t="s">
        <v>367</v>
      </c>
      <c r="F41" s="359" t="b">
        <f>+datos!F44</f>
        <v>0</v>
      </c>
      <c r="G41" s="359" t="e">
        <f>+datos!G44</f>
        <v>#DIV/0!</v>
      </c>
      <c r="H41" s="359" t="e">
        <f>IF($AB$41&lt;10,FIXED((AB41),1),FIXED((AB41),0))</f>
        <v>#DIV/0!</v>
      </c>
      <c r="I41" s="337"/>
      <c r="J41" s="337"/>
      <c r="K41" s="337"/>
      <c r="L41" s="366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Z41" s="381">
        <v>200</v>
      </c>
      <c r="AA41" s="367">
        <v>7.4999999999999997E-2</v>
      </c>
      <c r="AB41" s="383" t="e">
        <f>+datos!H44</f>
        <v>#DIV/0!</v>
      </c>
    </row>
    <row r="42" spans="1:28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69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16"/>
    </row>
    <row r="43" spans="1:28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5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</row>
    <row r="44" spans="1:28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57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84"/>
    </row>
    <row r="45" spans="1:28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57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84"/>
    </row>
    <row r="46" spans="1:28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3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85"/>
    </row>
    <row r="47" spans="1:28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3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85"/>
    </row>
    <row r="48" spans="1:28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3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85"/>
    </row>
    <row r="49" spans="1:25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3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85"/>
    </row>
    <row r="50" spans="1:25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3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86"/>
    </row>
    <row r="51" spans="1:25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3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86"/>
    </row>
    <row r="52" spans="1:25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3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86"/>
    </row>
    <row r="53" spans="1:25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3"/>
      <c r="Y53" s="386"/>
    </row>
    <row r="54" spans="1:25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3"/>
      <c r="Y54" s="386"/>
    </row>
    <row r="55" spans="1:25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7"/>
      <c r="Y55" s="386"/>
    </row>
    <row r="56" spans="1:25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Y56" s="386"/>
    </row>
    <row r="57" spans="1:25" ht="13.5" customHeight="1" x14ac:dyDescent="0.25">
      <c r="A57" s="517" t="s">
        <v>307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Y57" s="386"/>
    </row>
    <row r="58" spans="1:25" ht="14.25" customHeight="1" x14ac:dyDescent="0.25">
      <c r="A58" s="867" t="s">
        <v>467</v>
      </c>
      <c r="B58" s="867"/>
      <c r="C58" s="867"/>
      <c r="D58" s="867"/>
      <c r="E58" s="867"/>
      <c r="F58" s="867"/>
      <c r="G58" s="867"/>
      <c r="H58" s="867"/>
      <c r="I58" s="867"/>
      <c r="J58" s="867"/>
      <c r="K58" s="867"/>
      <c r="L58" s="867"/>
      <c r="Y58" s="386"/>
    </row>
    <row r="59" spans="1:25" ht="26.4" customHeight="1" x14ac:dyDescent="0.25">
      <c r="A59" s="860" t="s">
        <v>468</v>
      </c>
      <c r="B59" s="860"/>
      <c r="C59" s="860"/>
      <c r="D59" s="860"/>
      <c r="E59" s="860"/>
      <c r="F59" s="860"/>
      <c r="G59" s="860"/>
      <c r="H59" s="860"/>
      <c r="I59" s="860"/>
      <c r="J59" s="860"/>
      <c r="K59" s="860"/>
      <c r="L59" s="860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480"/>
      <c r="Y59" s="480"/>
    </row>
    <row r="60" spans="1:25" ht="18.600000000000001" customHeight="1" x14ac:dyDescent="0.25">
      <c r="A60" s="860" t="s">
        <v>469</v>
      </c>
      <c r="B60" s="860"/>
      <c r="C60" s="860"/>
      <c r="D60" s="860"/>
      <c r="E60" s="860"/>
      <c r="F60" s="860"/>
      <c r="G60" s="860"/>
      <c r="H60" s="860"/>
      <c r="I60" s="860"/>
      <c r="J60" s="860"/>
      <c r="K60" s="860"/>
      <c r="L60" s="860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</row>
    <row r="61" spans="1:25" ht="22.95" customHeight="1" x14ac:dyDescent="0.25">
      <c r="A61" s="860" t="s">
        <v>470</v>
      </c>
      <c r="B61" s="860"/>
      <c r="C61" s="860"/>
      <c r="D61" s="860"/>
      <c r="E61" s="860"/>
      <c r="F61" s="860"/>
      <c r="G61" s="860"/>
      <c r="H61" s="860"/>
      <c r="I61" s="860"/>
      <c r="J61" s="860"/>
      <c r="K61" s="860"/>
      <c r="L61" s="860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480"/>
      <c r="Y61" s="480"/>
    </row>
    <row r="62" spans="1:25" ht="26.4" customHeight="1" x14ac:dyDescent="0.25">
      <c r="A62" s="842" t="s">
        <v>471</v>
      </c>
      <c r="B62" s="842"/>
      <c r="C62" s="842"/>
      <c r="D62" s="842"/>
      <c r="E62" s="842"/>
      <c r="F62" s="842"/>
      <c r="G62" s="842"/>
      <c r="H62" s="842"/>
      <c r="I62" s="842"/>
      <c r="J62" s="842"/>
      <c r="K62" s="842"/>
      <c r="L62" s="842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480"/>
      <c r="Y62" s="480"/>
    </row>
    <row r="63" spans="1:25" ht="16.5" customHeight="1" x14ac:dyDescent="0.25">
      <c r="A63" s="518" t="s">
        <v>309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480"/>
      <c r="Y63" s="480"/>
    </row>
    <row r="64" spans="1:25" ht="89.2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</row>
    <row r="65" spans="1:12" ht="21.75" customHeight="1" x14ac:dyDescent="0.25">
      <c r="A65" s="837" t="s">
        <v>472</v>
      </c>
      <c r="B65" s="837"/>
      <c r="C65" s="837"/>
      <c r="D65" s="837"/>
      <c r="E65" s="337"/>
      <c r="F65" s="337"/>
      <c r="G65" s="337"/>
      <c r="H65" s="337"/>
      <c r="I65" s="337"/>
      <c r="J65" s="337"/>
      <c r="K65" s="337"/>
      <c r="L65" s="700" t="s">
        <v>298</v>
      </c>
    </row>
    <row r="66" spans="1:12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</row>
    <row r="67" spans="1:12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</row>
    <row r="68" spans="1:12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</row>
    <row r="69" spans="1:12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</row>
  </sheetData>
  <sheetProtection algorithmName="SHA-512" hashValue="KjtFbqj+awez3nmatvXTUhptncqa0fiqLEcNeKt9ZefP5nQ0wKPn4zyew27CVx8kYZExrWI41Hc5CswZkRF15g==" saltValue="BBTqcofuNsnULRTF5jK1Lw==" spinCount="100000" sheet="1"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dataConsolidate/>
  <mergeCells count="20">
    <mergeCell ref="AB23:AB24"/>
    <mergeCell ref="A60:L60"/>
    <mergeCell ref="A62:L62"/>
    <mergeCell ref="A65:D65"/>
    <mergeCell ref="N23:O24"/>
    <mergeCell ref="J25:J27"/>
    <mergeCell ref="K25:K27"/>
    <mergeCell ref="D23:E23"/>
    <mergeCell ref="F23:F24"/>
    <mergeCell ref="G23:G24"/>
    <mergeCell ref="H23:H24"/>
    <mergeCell ref="J23:K24"/>
    <mergeCell ref="A61:L61"/>
    <mergeCell ref="A59:L59"/>
    <mergeCell ref="A58:L58"/>
    <mergeCell ref="A6:L6"/>
    <mergeCell ref="A7:L7"/>
    <mergeCell ref="A14:L14"/>
    <mergeCell ref="A15:L15"/>
    <mergeCell ref="Z23:AA23"/>
  </mergeCells>
  <printOptions horizontalCentered="1"/>
  <pageMargins left="0" right="0" top="0.59055118110236227" bottom="0" header="0" footer="0"/>
  <pageSetup paperSize="274" scale="79" orientation="portrait" r:id="rId1"/>
  <headerFooter scaleWithDoc="0">
    <oddHeader>&amp;C&amp;G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23A9-A3B7-48A9-92EF-B48C66251EB4}">
  <dimension ref="A1:V89"/>
  <sheetViews>
    <sheetView showGridLines="0" tabSelected="1" topLeftCell="A2" zoomScale="115" zoomScaleNormal="115" zoomScaleSheetLayoutView="100" workbookViewId="0">
      <selection activeCell="C10" sqref="C10:D10"/>
    </sheetView>
  </sheetViews>
  <sheetFormatPr baseColWidth="10" defaultColWidth="10.33203125" defaultRowHeight="13.8" x14ac:dyDescent="0.25"/>
  <cols>
    <col min="1" max="1" width="4.88671875" style="438" customWidth="1"/>
    <col min="2" max="5" width="11.33203125" style="438" customWidth="1"/>
    <col min="6" max="6" width="13.5546875" style="438" customWidth="1"/>
    <col min="7" max="8" width="11.33203125" style="438" customWidth="1"/>
    <col min="9" max="12" width="11.5546875" style="438" customWidth="1"/>
    <col min="13" max="21" width="8.6640625" style="438" customWidth="1"/>
    <col min="22" max="16384" width="10.33203125" style="438"/>
  </cols>
  <sheetData>
    <row r="1" spans="1:14" ht="18" customHeight="1" x14ac:dyDescent="0.25">
      <c r="A1" s="470"/>
      <c r="B1" s="846" t="s">
        <v>128</v>
      </c>
      <c r="C1" s="847"/>
      <c r="D1" s="847"/>
      <c r="E1" s="847"/>
      <c r="F1" s="847"/>
      <c r="G1" s="847"/>
      <c r="H1" s="847"/>
      <c r="I1" s="847"/>
      <c r="J1" s="847"/>
      <c r="K1" s="847"/>
      <c r="L1" s="848"/>
    </row>
    <row r="2" spans="1:14" ht="18" customHeight="1" x14ac:dyDescent="0.25">
      <c r="A2" s="470"/>
      <c r="B2" s="849" t="s">
        <v>383</v>
      </c>
      <c r="C2" s="850"/>
      <c r="D2" s="850"/>
      <c r="E2" s="850"/>
      <c r="F2" s="850"/>
      <c r="G2" s="850"/>
      <c r="H2" s="850"/>
      <c r="I2" s="850"/>
      <c r="J2" s="850"/>
      <c r="K2" s="850"/>
      <c r="L2" s="851"/>
    </row>
    <row r="3" spans="1:14" ht="18" customHeight="1" x14ac:dyDescent="0.25">
      <c r="A3" s="470"/>
      <c r="B3" s="720" t="s">
        <v>304</v>
      </c>
      <c r="C3" s="608"/>
      <c r="D3" s="609"/>
      <c r="E3" s="609"/>
      <c r="F3" s="609"/>
      <c r="G3" s="609"/>
      <c r="H3" s="609"/>
      <c r="I3" s="540"/>
      <c r="J3" s="540"/>
      <c r="K3" s="540"/>
      <c r="L3" s="541"/>
    </row>
    <row r="4" spans="1:14" ht="18" customHeight="1" x14ac:dyDescent="0.25">
      <c r="A4" s="470"/>
      <c r="B4" s="721" t="s">
        <v>305</v>
      </c>
      <c r="C4" s="790"/>
      <c r="D4" s="47"/>
      <c r="E4" s="790"/>
      <c r="F4" s="790"/>
      <c r="G4" s="791"/>
      <c r="H4" s="790"/>
      <c r="I4" s="792"/>
      <c r="J4" s="792"/>
      <c r="K4" s="792"/>
      <c r="L4" s="490"/>
    </row>
    <row r="5" spans="1:14" ht="18" customHeight="1" x14ac:dyDescent="0.25">
      <c r="A5" s="470"/>
      <c r="B5" s="721" t="s">
        <v>306</v>
      </c>
      <c r="C5" s="790"/>
      <c r="D5" s="793">
        <f>+Balanza!B8</f>
        <v>-3.2899999999999998E-6</v>
      </c>
      <c r="E5" s="790"/>
      <c r="F5" s="790"/>
      <c r="G5" s="791"/>
      <c r="H5" s="790"/>
      <c r="I5" s="792"/>
      <c r="J5" s="792"/>
      <c r="K5" s="792"/>
      <c r="L5" s="490"/>
    </row>
    <row r="6" spans="1:14" ht="18" customHeight="1" x14ac:dyDescent="0.25">
      <c r="A6" s="470"/>
      <c r="B6" s="721" t="s">
        <v>104</v>
      </c>
      <c r="C6" s="47"/>
      <c r="D6" s="794" t="str">
        <f>+Balanza!B12</f>
        <v>EQP-0046</v>
      </c>
      <c r="E6" s="795"/>
      <c r="F6" s="795"/>
      <c r="G6" s="47"/>
      <c r="H6" s="790"/>
      <c r="I6" s="792"/>
      <c r="J6" s="792"/>
      <c r="K6" s="792"/>
      <c r="L6" s="490"/>
    </row>
    <row r="7" spans="1:14" ht="18" customHeight="1" x14ac:dyDescent="0.25">
      <c r="A7" s="470"/>
      <c r="B7" s="722" t="s">
        <v>105</v>
      </c>
      <c r="C7" s="610"/>
      <c r="D7" s="796">
        <v>46132</v>
      </c>
      <c r="E7" s="611"/>
      <c r="F7" s="611"/>
      <c r="G7" s="612"/>
      <c r="H7" s="612"/>
      <c r="I7" s="788"/>
      <c r="J7" s="788"/>
      <c r="K7" s="788"/>
      <c r="L7" s="789"/>
    </row>
    <row r="8" spans="1:14" ht="8.4" customHeight="1" x14ac:dyDescent="0.25">
      <c r="A8" s="470"/>
      <c r="B8" s="470"/>
      <c r="C8" s="613"/>
      <c r="D8" s="613"/>
      <c r="E8" s="614"/>
      <c r="F8" s="614"/>
      <c r="G8" s="614"/>
      <c r="H8" s="614"/>
      <c r="I8" s="614"/>
      <c r="J8" s="614"/>
      <c r="K8" s="614"/>
      <c r="L8" s="614"/>
    </row>
    <row r="9" spans="1:14" ht="18" customHeight="1" x14ac:dyDescent="0.25">
      <c r="A9" s="470"/>
      <c r="B9" s="439" t="s">
        <v>332</v>
      </c>
      <c r="C9" s="883" t="inlineStr">
        <is>
          <t>-</t>
        </is>
      </c>
      <c r="D9" s="884"/>
      <c r="F9" s="579" t="s">
        <v>354</v>
      </c>
      <c r="G9" s="470"/>
      <c r="H9" s="470"/>
      <c r="I9" s="470"/>
      <c r="J9" s="470"/>
      <c r="K9" s="470"/>
      <c r="L9" s="470"/>
      <c r="M9" s="440"/>
    </row>
    <row r="10" spans="1:14" ht="18" customHeight="1" x14ac:dyDescent="0.25">
      <c r="A10" s="470"/>
      <c r="B10" s="439" t="s">
        <v>35</v>
      </c>
      <c r="C10" s="883" t="inlineStr">
        <is>
          <t>-</t>
        </is>
      </c>
      <c r="D10" s="884"/>
      <c r="F10" s="707" t="inlineStr">
        <is>
          <t>-</t>
        </is>
      </c>
      <c r="G10" s="470">
        <f>+FORMATO!H11</f>
        <v>0</v>
      </c>
      <c r="H10" s="470"/>
      <c r="I10" s="470"/>
      <c r="J10" s="470"/>
      <c r="K10" s="470"/>
      <c r="L10" s="470"/>
      <c r="M10" s="440"/>
      <c r="N10" s="440"/>
    </row>
    <row r="11" spans="1:14" ht="7.2" customHeight="1" x14ac:dyDescent="0.25">
      <c r="A11" s="470"/>
      <c r="B11" s="441"/>
      <c r="C11" s="615"/>
      <c r="D11" s="615"/>
      <c r="E11" s="470"/>
      <c r="F11" s="470"/>
      <c r="G11" s="470"/>
      <c r="H11" s="470"/>
      <c r="I11" s="470"/>
      <c r="J11" s="470"/>
      <c r="K11" s="470"/>
      <c r="L11" s="616"/>
      <c r="M11" s="440"/>
      <c r="N11" s="440"/>
    </row>
    <row r="12" spans="1:14" ht="18" customHeight="1" x14ac:dyDescent="0.25">
      <c r="A12" s="470"/>
      <c r="B12" s="874" t="s">
        <v>282</v>
      </c>
      <c r="C12" s="875"/>
      <c r="D12" s="875"/>
      <c r="E12" s="876"/>
      <c r="F12" s="470"/>
      <c r="G12" s="877" t="s">
        <v>21</v>
      </c>
      <c r="H12" s="878"/>
      <c r="I12" s="879"/>
      <c r="J12" s="470"/>
      <c r="K12" s="470"/>
      <c r="L12" s="616"/>
      <c r="M12" s="440"/>
      <c r="N12" s="440"/>
    </row>
    <row r="13" spans="1:14" ht="18" customHeight="1" x14ac:dyDescent="0.25">
      <c r="A13" s="470"/>
      <c r="B13" s="617"/>
      <c r="C13" s="542" t="s">
        <v>280</v>
      </c>
      <c r="D13" s="542" t="s">
        <v>257</v>
      </c>
      <c r="E13" s="542" t="s">
        <v>281</v>
      </c>
      <c r="F13" s="616"/>
      <c r="G13" s="473"/>
      <c r="H13" s="474" t="s">
        <v>283</v>
      </c>
      <c r="I13" s="474" t="s">
        <v>257</v>
      </c>
      <c r="J13" s="470"/>
      <c r="K13" s="470"/>
      <c r="L13" s="616"/>
      <c r="M13" s="440"/>
      <c r="N13" s="440"/>
    </row>
    <row r="14" spans="1:14" ht="18" customHeight="1" x14ac:dyDescent="0.25">
      <c r="B14" s="580" t="s">
        <v>22</v>
      </c>
      <c r="C14" s="560">
        <f>+FORMATO!D30</f>
        <v>0</v>
      </c>
      <c r="D14" s="561">
        <f>C14+($D$5*C14)</f>
        <v>0</v>
      </c>
      <c r="E14" s="562">
        <f>D14</f>
        <v>0</v>
      </c>
      <c r="F14" s="618">
        <f>SUM(E28:E45)</f>
        <v>0</v>
      </c>
      <c r="G14" s="581" t="s">
        <v>284</v>
      </c>
      <c r="H14" s="538">
        <f>+IF(C10="Global",FORMATO!D21,FORMATO!D35)</f>
        <v>0</v>
      </c>
      <c r="I14" s="442">
        <f>H14+($D$5*H14)</f>
        <v>0</v>
      </c>
      <c r="J14" s="616"/>
      <c r="K14" s="616"/>
      <c r="L14" s="616"/>
      <c r="M14" s="443"/>
      <c r="N14" s="440"/>
    </row>
    <row r="15" spans="1:14" ht="18" customHeight="1" x14ac:dyDescent="0.25">
      <c r="B15" s="582" t="s">
        <v>23</v>
      </c>
      <c r="C15" s="563">
        <f>+FORMATO!D33</f>
        <v>0</v>
      </c>
      <c r="D15" s="564">
        <f>C15+($D$5*C15)</f>
        <v>0</v>
      </c>
      <c r="E15" s="565" t="e">
        <f>D15/(1+I16/100)</f>
        <v>#DIV/0!</v>
      </c>
      <c r="F15" s="619"/>
      <c r="G15" s="583" t="s">
        <v>285</v>
      </c>
      <c r="H15" s="538">
        <f>+IF(C10="Global",FORMATO!D22,FORMATO!D36)</f>
        <v>0</v>
      </c>
      <c r="I15" s="444">
        <f>H15+($D$5*H15)</f>
        <v>0</v>
      </c>
      <c r="J15" s="616"/>
      <c r="K15" s="621"/>
      <c r="L15" s="621"/>
      <c r="M15" s="445"/>
      <c r="N15" s="440"/>
    </row>
    <row r="16" spans="1:14" ht="18" customHeight="1" x14ac:dyDescent="0.25">
      <c r="B16" s="584" t="s">
        <v>24</v>
      </c>
      <c r="C16" s="447"/>
      <c r="D16" s="448"/>
      <c r="E16" s="559" t="e">
        <f>SUM(E14:E15)</f>
        <v>#DIV/0!</v>
      </c>
      <c r="F16" s="620" t="b">
        <f>IF(C10="Global",H15,IF(C10="Fraccionada",E16))</f>
        <v>0</v>
      </c>
      <c r="G16" s="585" t="s">
        <v>286</v>
      </c>
      <c r="H16" s="586" t="e">
        <f>((H14-H15)/H15)*100</f>
        <v>#DIV/0!</v>
      </c>
      <c r="I16" s="450" t="e">
        <f>((I14-I15)/I15)*100</f>
        <v>#DIV/0!</v>
      </c>
      <c r="J16" s="616"/>
      <c r="K16" s="621"/>
      <c r="L16" s="616"/>
      <c r="M16" s="445"/>
    </row>
    <row r="17" spans="1:22" ht="6.6" customHeight="1" x14ac:dyDescent="0.25">
      <c r="A17" s="622"/>
      <c r="B17" s="470"/>
      <c r="C17" s="470"/>
      <c r="D17" s="470"/>
      <c r="E17" s="470"/>
      <c r="F17" s="470"/>
      <c r="G17" s="470"/>
      <c r="H17" s="470"/>
      <c r="I17" s="470"/>
      <c r="J17" s="616"/>
      <c r="K17" s="621"/>
      <c r="L17" s="616"/>
      <c r="M17" s="440"/>
    </row>
    <row r="18" spans="1:22" ht="21" customHeight="1" x14ac:dyDescent="0.25">
      <c r="A18" s="622"/>
      <c r="B18" s="874" t="s">
        <v>25</v>
      </c>
      <c r="C18" s="875"/>
      <c r="D18" s="875"/>
      <c r="E18" s="876"/>
      <c r="F18" s="470"/>
      <c r="G18" s="470"/>
      <c r="H18" s="881" t="s">
        <v>146</v>
      </c>
      <c r="I18" s="882"/>
      <c r="J18" s="616"/>
      <c r="K18" s="621"/>
      <c r="L18" s="616"/>
    </row>
    <row r="19" spans="1:22" ht="18" customHeight="1" x14ac:dyDescent="0.25">
      <c r="A19" s="622"/>
      <c r="B19" s="452" t="s">
        <v>290</v>
      </c>
      <c r="C19" s="475"/>
      <c r="D19" s="475"/>
      <c r="E19" s="453" t="b">
        <f>IF(C9="Grueso",F14,F16)</f>
        <v>0</v>
      </c>
      <c r="F19" s="470"/>
      <c r="G19" s="470"/>
      <c r="H19" s="458" t="s">
        <v>268</v>
      </c>
      <c r="I19" s="459" t="e">
        <f>IF(C9="Fino","- -",T39)</f>
        <v>#DIV/0!</v>
      </c>
      <c r="J19" s="616"/>
      <c r="K19" s="471"/>
      <c r="L19" s="616"/>
      <c r="N19" s="440"/>
    </row>
    <row r="20" spans="1:22" ht="18" customHeight="1" x14ac:dyDescent="0.25">
      <c r="A20" s="622"/>
      <c r="B20" s="455" t="s">
        <v>289</v>
      </c>
      <c r="C20" s="456"/>
      <c r="D20" s="456"/>
      <c r="E20" s="457" t="b">
        <f>IF(C10="Global","--",IF(C10="Fraccionada",I15))</f>
        <v>0</v>
      </c>
      <c r="F20" s="470"/>
      <c r="G20" s="470"/>
      <c r="H20" s="458" t="s">
        <v>269</v>
      </c>
      <c r="I20" s="459" t="e">
        <f>IF(C9="Fino","- -",P39)</f>
        <v>#DIV/0!</v>
      </c>
      <c r="J20" s="470"/>
      <c r="K20" s="470"/>
      <c r="L20" s="623"/>
    </row>
    <row r="21" spans="1:22" ht="18" customHeight="1" x14ac:dyDescent="0.25">
      <c r="A21" s="451"/>
      <c r="B21" s="587" t="s">
        <v>303</v>
      </c>
      <c r="C21" s="588"/>
      <c r="D21" s="588"/>
      <c r="E21" s="537">
        <f>+IF(C10="Global",FORMATO!D24,FORMATO!D39)</f>
        <v>0</v>
      </c>
      <c r="F21" s="774"/>
      <c r="G21" s="470"/>
      <c r="H21" s="458" t="s">
        <v>37</v>
      </c>
      <c r="I21" s="461" t="e">
        <f>(G43+G42+G40+G39+G37+G36+G35+G33+G31)/100</f>
        <v>#DIV/0!</v>
      </c>
      <c r="J21" s="470"/>
      <c r="K21" s="470"/>
      <c r="L21" s="616"/>
    </row>
    <row r="22" spans="1:22" ht="18" customHeight="1" x14ac:dyDescent="0.25">
      <c r="A22" s="622"/>
      <c r="B22" s="455" t="s">
        <v>302</v>
      </c>
      <c r="C22" s="624"/>
      <c r="D22" s="624"/>
      <c r="E22" s="457">
        <f>IF(C10="Global",SUM(E28:E45),SUM(E37:E45))</f>
        <v>0</v>
      </c>
      <c r="F22" s="470"/>
      <c r="G22" s="470"/>
      <c r="H22" s="458" t="s">
        <v>149</v>
      </c>
      <c r="I22" s="462" t="e">
        <f>+G36</f>
        <v>#DIV/0!</v>
      </c>
      <c r="J22" s="470"/>
      <c r="K22" s="470"/>
      <c r="L22" s="470"/>
    </row>
    <row r="23" spans="1:22" ht="18" customHeight="1" x14ac:dyDescent="0.25">
      <c r="A23" s="622"/>
      <c r="B23" s="460" t="s">
        <v>287</v>
      </c>
      <c r="C23" s="625"/>
      <c r="D23" s="625"/>
      <c r="E23" s="626">
        <f>ABS(E21-E22)</f>
        <v>0</v>
      </c>
      <c r="F23" s="470"/>
      <c r="G23" s="470"/>
      <c r="H23" s="458" t="s">
        <v>147</v>
      </c>
      <c r="I23" s="462" t="e">
        <f>100-(I22+I24)</f>
        <v>#DIV/0!</v>
      </c>
      <c r="J23" s="470"/>
      <c r="K23" s="470"/>
      <c r="L23" s="470"/>
    </row>
    <row r="24" spans="1:22" ht="18" customHeight="1" x14ac:dyDescent="0.25">
      <c r="A24" s="622"/>
      <c r="B24" s="446" t="s">
        <v>301</v>
      </c>
      <c r="C24" s="627"/>
      <c r="D24" s="627"/>
      <c r="E24" s="628" t="e">
        <f>E23/E21*100</f>
        <v>#DIV/0!</v>
      </c>
      <c r="F24" s="629" t="e">
        <f>+IF(E24&lt;=0.3,"cumple","no cumple")</f>
        <v>#DIV/0!</v>
      </c>
      <c r="G24" s="470"/>
      <c r="H24" s="458" t="s">
        <v>148</v>
      </c>
      <c r="I24" s="463" t="e">
        <f>+H44</f>
        <v>#DIV/0!</v>
      </c>
      <c r="J24" s="470"/>
      <c r="K24" s="470"/>
      <c r="L24" s="470"/>
    </row>
    <row r="25" spans="1:22" ht="8.4" customHeight="1" x14ac:dyDescent="0.25">
      <c r="A25" s="622"/>
      <c r="B25" s="477"/>
      <c r="C25" s="470"/>
      <c r="D25" s="470"/>
      <c r="E25" s="630"/>
      <c r="F25" s="470"/>
      <c r="G25" s="488"/>
      <c r="H25" s="489"/>
      <c r="I25" s="470"/>
      <c r="J25" s="470"/>
      <c r="K25" s="470"/>
      <c r="L25" s="470"/>
    </row>
    <row r="26" spans="1:22" ht="23.25" customHeight="1" x14ac:dyDescent="0.25">
      <c r="A26" s="631"/>
      <c r="B26" s="880" t="s">
        <v>278</v>
      </c>
      <c r="C26" s="880"/>
      <c r="D26" s="632" t="s">
        <v>277</v>
      </c>
      <c r="E26" s="873" t="s">
        <v>100</v>
      </c>
      <c r="F26" s="871" t="s">
        <v>288</v>
      </c>
      <c r="G26" s="871" t="s">
        <v>345</v>
      </c>
      <c r="H26" s="871" t="s">
        <v>275</v>
      </c>
      <c r="I26" s="470"/>
      <c r="J26" s="470"/>
      <c r="K26" s="633"/>
      <c r="L26" s="633"/>
    </row>
    <row r="27" spans="1:22" ht="31.5" customHeight="1" x14ac:dyDescent="0.25">
      <c r="A27" s="634"/>
      <c r="B27" s="476" t="s">
        <v>267</v>
      </c>
      <c r="C27" s="476" t="s">
        <v>12</v>
      </c>
      <c r="D27" s="476" t="s">
        <v>28</v>
      </c>
      <c r="E27" s="873"/>
      <c r="F27" s="872"/>
      <c r="G27" s="872"/>
      <c r="H27" s="872"/>
      <c r="I27" s="470"/>
      <c r="J27" s="635"/>
      <c r="K27" s="633"/>
      <c r="L27" s="633"/>
      <c r="M27" s="708"/>
      <c r="N27" s="709"/>
      <c r="O27" s="709"/>
      <c r="P27" s="709"/>
      <c r="Q27" s="709"/>
      <c r="R27" s="709"/>
      <c r="S27" s="709"/>
      <c r="T27" s="709"/>
      <c r="U27" s="709"/>
      <c r="V27" s="710"/>
    </row>
    <row r="28" spans="1:22" ht="18" customHeight="1" x14ac:dyDescent="0.3">
      <c r="A28" s="634"/>
      <c r="B28" s="465">
        <v>3</v>
      </c>
      <c r="C28" s="462">
        <v>75</v>
      </c>
      <c r="D28" s="539">
        <f>+FORMATO!I18</f>
        <v>0</v>
      </c>
      <c r="E28" s="449">
        <f>D28+($D$5*D28)</f>
        <v>0</v>
      </c>
      <c r="F28" s="501" t="e">
        <f t="shared" ref="F28:F36" si="0">E28/$E$19*100</f>
        <v>#DIV/0!</v>
      </c>
      <c r="G28" s="502" t="e">
        <f>F28</f>
        <v>#DIV/0!</v>
      </c>
      <c r="H28" s="501" t="e">
        <f>100-G28</f>
        <v>#DIV/0!</v>
      </c>
      <c r="I28" s="470"/>
      <c r="J28" s="470"/>
      <c r="K28" s="470"/>
      <c r="L28" s="470"/>
      <c r="M28" s="711"/>
      <c r="N28" s="589" t="e">
        <f t="shared" ref="N28:N36" si="1">IF(G28&gt;=5,1,0)</f>
        <v>#DIV/0!</v>
      </c>
      <c r="O28" s="589" t="e">
        <f>IF(N28=0,1,-0.5)</f>
        <v>#DIV/0!</v>
      </c>
      <c r="P28" s="589" t="e">
        <f>O28</f>
        <v>#DIV/0!</v>
      </c>
      <c r="Q28" s="590">
        <f t="shared" ref="Q28:Q36" si="2">+B28</f>
        <v>3</v>
      </c>
      <c r="R28" s="589">
        <f t="shared" ref="R28:R34" si="3">IF(D28&lt;100,1,0)</f>
        <v>1</v>
      </c>
      <c r="S28" s="589" t="e">
        <f t="shared" ref="S28:S36" si="4">IF(H28=100,1,-0.5)</f>
        <v>#DIV/0!</v>
      </c>
      <c r="T28" s="589" t="e">
        <f>S28</f>
        <v>#DIV/0!</v>
      </c>
      <c r="U28" s="590">
        <f>+Q28</f>
        <v>3</v>
      </c>
      <c r="V28" s="712"/>
    </row>
    <row r="29" spans="1:22" ht="18" customHeight="1" x14ac:dyDescent="0.3">
      <c r="A29" s="622"/>
      <c r="B29" s="466">
        <v>2.5</v>
      </c>
      <c r="C29" s="462">
        <v>63</v>
      </c>
      <c r="D29" s="539">
        <f>+FORMATO!I19</f>
        <v>0</v>
      </c>
      <c r="E29" s="449">
        <f t="shared" ref="E29:E45" si="5">D29+($D$5*D29)</f>
        <v>0</v>
      </c>
      <c r="F29" s="501" t="e">
        <f t="shared" si="0"/>
        <v>#DIV/0!</v>
      </c>
      <c r="G29" s="502" t="e">
        <f t="shared" ref="G29:G34" si="6">+G28+F29</f>
        <v>#DIV/0!</v>
      </c>
      <c r="H29" s="501" t="e">
        <f t="shared" ref="H29:H44" si="7">100-G29</f>
        <v>#DIV/0!</v>
      </c>
      <c r="I29" s="470"/>
      <c r="J29" s="470"/>
      <c r="K29" s="470"/>
      <c r="L29" s="470"/>
      <c r="M29" s="711"/>
      <c r="N29" s="589" t="e">
        <f t="shared" si="1"/>
        <v>#DIV/0!</v>
      </c>
      <c r="O29" s="589" t="e">
        <f t="shared" ref="O29:O36" si="8">IF(N29=0,1,-0.5)</f>
        <v>#DIV/0!</v>
      </c>
      <c r="P29" s="589" t="e">
        <f t="shared" ref="P29:P36" si="9">P28+O29</f>
        <v>#DIV/0!</v>
      </c>
      <c r="Q29" s="590">
        <f t="shared" si="2"/>
        <v>2.5</v>
      </c>
      <c r="R29" s="589">
        <f t="shared" si="3"/>
        <v>1</v>
      </c>
      <c r="S29" s="589" t="e">
        <f t="shared" si="4"/>
        <v>#DIV/0!</v>
      </c>
      <c r="T29" s="589" t="e">
        <f t="shared" ref="T29:T36" si="10">T28+S29</f>
        <v>#DIV/0!</v>
      </c>
      <c r="U29" s="590">
        <f t="shared" ref="U29:U36" si="11">+Q29</f>
        <v>2.5</v>
      </c>
      <c r="V29" s="712"/>
    </row>
    <row r="30" spans="1:22" ht="18" customHeight="1" x14ac:dyDescent="0.3">
      <c r="A30" s="622"/>
      <c r="B30" s="465">
        <v>2</v>
      </c>
      <c r="C30" s="462">
        <v>50</v>
      </c>
      <c r="D30" s="539">
        <f>+FORMATO!I20</f>
        <v>0</v>
      </c>
      <c r="E30" s="449">
        <f t="shared" si="5"/>
        <v>0</v>
      </c>
      <c r="F30" s="501" t="e">
        <f t="shared" si="0"/>
        <v>#DIV/0!</v>
      </c>
      <c r="G30" s="502" t="e">
        <f t="shared" si="6"/>
        <v>#DIV/0!</v>
      </c>
      <c r="H30" s="501" t="e">
        <f t="shared" si="7"/>
        <v>#DIV/0!</v>
      </c>
      <c r="I30" s="470"/>
      <c r="J30" s="470"/>
      <c r="K30" s="470"/>
      <c r="L30" s="470"/>
      <c r="M30" s="711"/>
      <c r="N30" s="589" t="e">
        <f t="shared" si="1"/>
        <v>#DIV/0!</v>
      </c>
      <c r="O30" s="589" t="e">
        <f t="shared" si="8"/>
        <v>#DIV/0!</v>
      </c>
      <c r="P30" s="589" t="e">
        <f t="shared" si="9"/>
        <v>#DIV/0!</v>
      </c>
      <c r="Q30" s="590">
        <f t="shared" si="2"/>
        <v>2</v>
      </c>
      <c r="R30" s="589">
        <f t="shared" si="3"/>
        <v>1</v>
      </c>
      <c r="S30" s="589" t="e">
        <f t="shared" si="4"/>
        <v>#DIV/0!</v>
      </c>
      <c r="T30" s="589" t="e">
        <f t="shared" si="10"/>
        <v>#DIV/0!</v>
      </c>
      <c r="U30" s="590">
        <f t="shared" si="11"/>
        <v>2</v>
      </c>
      <c r="V30" s="712"/>
    </row>
    <row r="31" spans="1:22" ht="18" customHeight="1" x14ac:dyDescent="0.3">
      <c r="A31" s="622"/>
      <c r="B31" s="466">
        <v>1.5</v>
      </c>
      <c r="C31" s="467">
        <v>37.5</v>
      </c>
      <c r="D31" s="539">
        <f>+FORMATO!I21</f>
        <v>0</v>
      </c>
      <c r="E31" s="449">
        <f t="shared" si="5"/>
        <v>0</v>
      </c>
      <c r="F31" s="501" t="e">
        <f t="shared" si="0"/>
        <v>#DIV/0!</v>
      </c>
      <c r="G31" s="502" t="e">
        <f>+G30+F31</f>
        <v>#DIV/0!</v>
      </c>
      <c r="H31" s="501" t="e">
        <f t="shared" si="7"/>
        <v>#DIV/0!</v>
      </c>
      <c r="I31" s="470"/>
      <c r="J31" s="470"/>
      <c r="K31" s="470"/>
      <c r="L31" s="470"/>
      <c r="M31" s="711"/>
      <c r="N31" s="589" t="e">
        <f t="shared" si="1"/>
        <v>#DIV/0!</v>
      </c>
      <c r="O31" s="589" t="e">
        <f t="shared" si="8"/>
        <v>#DIV/0!</v>
      </c>
      <c r="P31" s="589" t="e">
        <f t="shared" si="9"/>
        <v>#DIV/0!</v>
      </c>
      <c r="Q31" s="590">
        <f t="shared" si="2"/>
        <v>1.5</v>
      </c>
      <c r="R31" s="589">
        <f t="shared" si="3"/>
        <v>1</v>
      </c>
      <c r="S31" s="589" t="e">
        <f t="shared" si="4"/>
        <v>#DIV/0!</v>
      </c>
      <c r="T31" s="589" t="e">
        <f t="shared" si="10"/>
        <v>#DIV/0!</v>
      </c>
      <c r="U31" s="590">
        <f t="shared" si="11"/>
        <v>1.5</v>
      </c>
      <c r="V31" s="712"/>
    </row>
    <row r="32" spans="1:22" ht="18" customHeight="1" x14ac:dyDescent="0.3">
      <c r="A32" s="622"/>
      <c r="B32" s="465">
        <v>1</v>
      </c>
      <c r="C32" s="462">
        <v>25</v>
      </c>
      <c r="D32" s="539">
        <f>+FORMATO!I22</f>
        <v>0</v>
      </c>
      <c r="E32" s="449">
        <f t="shared" si="5"/>
        <v>0</v>
      </c>
      <c r="F32" s="501" t="e">
        <f>E32/$E$19*100</f>
        <v>#DIV/0!</v>
      </c>
      <c r="G32" s="502" t="e">
        <f t="shared" si="6"/>
        <v>#DIV/0!</v>
      </c>
      <c r="H32" s="501" t="e">
        <f t="shared" si="7"/>
        <v>#DIV/0!</v>
      </c>
      <c r="I32" s="470"/>
      <c r="J32" s="470"/>
      <c r="K32" s="470"/>
      <c r="L32" s="470"/>
      <c r="M32" s="711"/>
      <c r="N32" s="589" t="e">
        <f t="shared" si="1"/>
        <v>#DIV/0!</v>
      </c>
      <c r="O32" s="589" t="e">
        <f t="shared" si="8"/>
        <v>#DIV/0!</v>
      </c>
      <c r="P32" s="589" t="e">
        <f t="shared" si="9"/>
        <v>#DIV/0!</v>
      </c>
      <c r="Q32" s="590">
        <f t="shared" si="2"/>
        <v>1</v>
      </c>
      <c r="R32" s="589">
        <f t="shared" si="3"/>
        <v>1</v>
      </c>
      <c r="S32" s="589" t="e">
        <f t="shared" si="4"/>
        <v>#DIV/0!</v>
      </c>
      <c r="T32" s="589" t="e">
        <f t="shared" si="10"/>
        <v>#DIV/0!</v>
      </c>
      <c r="U32" s="590">
        <f t="shared" si="11"/>
        <v>1</v>
      </c>
      <c r="V32" s="712"/>
    </row>
    <row r="33" spans="1:22" ht="18" customHeight="1" x14ac:dyDescent="0.3">
      <c r="A33" s="622"/>
      <c r="B33" s="466">
        <v>0.75</v>
      </c>
      <c r="C33" s="462">
        <v>19</v>
      </c>
      <c r="D33" s="539">
        <f>+FORMATO!I23</f>
        <v>0</v>
      </c>
      <c r="E33" s="449">
        <f t="shared" si="5"/>
        <v>0</v>
      </c>
      <c r="F33" s="501" t="e">
        <f t="shared" si="0"/>
        <v>#DIV/0!</v>
      </c>
      <c r="G33" s="502" t="e">
        <f t="shared" si="6"/>
        <v>#DIV/0!</v>
      </c>
      <c r="H33" s="501" t="e">
        <f t="shared" si="7"/>
        <v>#DIV/0!</v>
      </c>
      <c r="I33" s="470"/>
      <c r="J33" s="470"/>
      <c r="K33" s="470"/>
      <c r="L33" s="470"/>
      <c r="M33" s="711"/>
      <c r="N33" s="589" t="e">
        <f t="shared" si="1"/>
        <v>#DIV/0!</v>
      </c>
      <c r="O33" s="589" t="e">
        <f t="shared" si="8"/>
        <v>#DIV/0!</v>
      </c>
      <c r="P33" s="589" t="e">
        <f t="shared" si="9"/>
        <v>#DIV/0!</v>
      </c>
      <c r="Q33" s="591">
        <f t="shared" si="2"/>
        <v>0.75</v>
      </c>
      <c r="R33" s="589">
        <f t="shared" si="3"/>
        <v>1</v>
      </c>
      <c r="S33" s="589" t="e">
        <f t="shared" si="4"/>
        <v>#DIV/0!</v>
      </c>
      <c r="T33" s="589" t="e">
        <f t="shared" si="10"/>
        <v>#DIV/0!</v>
      </c>
      <c r="U33" s="591">
        <f t="shared" si="11"/>
        <v>0.75</v>
      </c>
      <c r="V33" s="712"/>
    </row>
    <row r="34" spans="1:22" ht="18" customHeight="1" x14ac:dyDescent="0.3">
      <c r="A34" s="622"/>
      <c r="B34" s="466">
        <v>0.5</v>
      </c>
      <c r="C34" s="467">
        <v>12.5</v>
      </c>
      <c r="D34" s="539">
        <f>+FORMATO!I24</f>
        <v>0</v>
      </c>
      <c r="E34" s="449">
        <f t="shared" si="5"/>
        <v>0</v>
      </c>
      <c r="F34" s="501" t="e">
        <f t="shared" si="0"/>
        <v>#DIV/0!</v>
      </c>
      <c r="G34" s="502" t="e">
        <f t="shared" si="6"/>
        <v>#DIV/0!</v>
      </c>
      <c r="H34" s="501" t="e">
        <f t="shared" si="7"/>
        <v>#DIV/0!</v>
      </c>
      <c r="I34" s="637"/>
      <c r="J34" s="470"/>
      <c r="K34" s="470"/>
      <c r="L34" s="470"/>
      <c r="M34" s="711"/>
      <c r="N34" s="589" t="e">
        <f t="shared" si="1"/>
        <v>#DIV/0!</v>
      </c>
      <c r="O34" s="589" t="e">
        <f t="shared" si="8"/>
        <v>#DIV/0!</v>
      </c>
      <c r="P34" s="589" t="e">
        <f t="shared" si="9"/>
        <v>#DIV/0!</v>
      </c>
      <c r="Q34" s="591">
        <f t="shared" si="2"/>
        <v>0.5</v>
      </c>
      <c r="R34" s="589">
        <f t="shared" si="3"/>
        <v>1</v>
      </c>
      <c r="S34" s="589" t="e">
        <f t="shared" si="4"/>
        <v>#DIV/0!</v>
      </c>
      <c r="T34" s="589" t="e">
        <f t="shared" si="10"/>
        <v>#DIV/0!</v>
      </c>
      <c r="U34" s="591">
        <f t="shared" si="11"/>
        <v>0.5</v>
      </c>
      <c r="V34" s="712"/>
    </row>
    <row r="35" spans="1:22" ht="18" customHeight="1" x14ac:dyDescent="0.3">
      <c r="A35" s="622"/>
      <c r="B35" s="466">
        <v>0.375</v>
      </c>
      <c r="C35" s="467">
        <v>9.5</v>
      </c>
      <c r="D35" s="539">
        <f>+FORMATO!I25</f>
        <v>0</v>
      </c>
      <c r="E35" s="449">
        <f t="shared" si="5"/>
        <v>0</v>
      </c>
      <c r="F35" s="501" t="e">
        <f t="shared" si="0"/>
        <v>#DIV/0!</v>
      </c>
      <c r="G35" s="502" t="e">
        <f t="shared" ref="G35:G44" si="12">+G34+F35</f>
        <v>#DIV/0!</v>
      </c>
      <c r="H35" s="501" t="e">
        <f t="shared" si="7"/>
        <v>#DIV/0!</v>
      </c>
      <c r="I35" s="470"/>
      <c r="J35" s="470"/>
      <c r="K35" s="470"/>
      <c r="L35" s="470"/>
      <c r="M35" s="711"/>
      <c r="N35" s="589" t="e">
        <f t="shared" si="1"/>
        <v>#DIV/0!</v>
      </c>
      <c r="O35" s="589" t="e">
        <f t="shared" si="8"/>
        <v>#DIV/0!</v>
      </c>
      <c r="P35" s="589" t="e">
        <f t="shared" si="9"/>
        <v>#DIV/0!</v>
      </c>
      <c r="Q35" s="591">
        <f t="shared" si="2"/>
        <v>0.375</v>
      </c>
      <c r="R35" s="589"/>
      <c r="S35" s="589" t="e">
        <f t="shared" si="4"/>
        <v>#DIV/0!</v>
      </c>
      <c r="T35" s="589" t="e">
        <f t="shared" si="10"/>
        <v>#DIV/0!</v>
      </c>
      <c r="U35" s="591">
        <f t="shared" si="11"/>
        <v>0.375</v>
      </c>
      <c r="V35" s="712"/>
    </row>
    <row r="36" spans="1:22" ht="18" customHeight="1" x14ac:dyDescent="0.3">
      <c r="A36" s="622"/>
      <c r="B36" s="465" t="s">
        <v>20</v>
      </c>
      <c r="C36" s="461">
        <v>4.75</v>
      </c>
      <c r="D36" s="539">
        <f>+FORMATO!I26</f>
        <v>0</v>
      </c>
      <c r="E36" s="449">
        <f t="shared" si="5"/>
        <v>0</v>
      </c>
      <c r="F36" s="501" t="e">
        <f t="shared" si="0"/>
        <v>#DIV/0!</v>
      </c>
      <c r="G36" s="502" t="e">
        <f t="shared" si="12"/>
        <v>#DIV/0!</v>
      </c>
      <c r="H36" s="501" t="e">
        <f t="shared" si="7"/>
        <v>#DIV/0!</v>
      </c>
      <c r="I36" s="470"/>
      <c r="J36" s="470"/>
      <c r="K36" s="470"/>
      <c r="L36" s="470"/>
      <c r="M36" s="711"/>
      <c r="N36" s="589" t="e">
        <f t="shared" si="1"/>
        <v>#DIV/0!</v>
      </c>
      <c r="O36" s="589" t="e">
        <f t="shared" si="8"/>
        <v>#DIV/0!</v>
      </c>
      <c r="P36" s="589" t="e">
        <f t="shared" si="9"/>
        <v>#DIV/0!</v>
      </c>
      <c r="Q36" s="590" t="str">
        <f t="shared" si="2"/>
        <v>No4</v>
      </c>
      <c r="R36" s="589"/>
      <c r="S36" s="589" t="e">
        <f t="shared" si="4"/>
        <v>#DIV/0!</v>
      </c>
      <c r="T36" s="589" t="e">
        <f t="shared" si="10"/>
        <v>#DIV/0!</v>
      </c>
      <c r="U36" s="590" t="str">
        <f t="shared" si="11"/>
        <v>No4</v>
      </c>
      <c r="V36" s="712"/>
    </row>
    <row r="37" spans="1:22" ht="18" customHeight="1" x14ac:dyDescent="0.3">
      <c r="A37" s="622"/>
      <c r="B37" s="465">
        <v>8</v>
      </c>
      <c r="C37" s="461">
        <v>2.36</v>
      </c>
      <c r="D37" s="539">
        <f>+FORMATO!I27</f>
        <v>0</v>
      </c>
      <c r="E37" s="449">
        <f t="shared" si="5"/>
        <v>0</v>
      </c>
      <c r="F37" s="501" t="b">
        <f>IF($C$10="Fraccionada",E37*$H$36/E$20,IF($C$10="Global",E37/$E$19*100))</f>
        <v>0</v>
      </c>
      <c r="G37" s="502" t="e">
        <f t="shared" si="12"/>
        <v>#DIV/0!</v>
      </c>
      <c r="H37" s="501" t="e">
        <f t="shared" si="7"/>
        <v>#DIV/0!</v>
      </c>
      <c r="I37" s="470"/>
      <c r="J37" s="639"/>
      <c r="K37" s="470"/>
      <c r="L37" s="470"/>
      <c r="M37" s="711"/>
      <c r="N37" s="589" t="e">
        <f>SUM(N28:N36)</f>
        <v>#DIV/0!</v>
      </c>
      <c r="O37" s="589"/>
      <c r="P37" s="589"/>
      <c r="Q37" s="590"/>
      <c r="R37" s="589"/>
      <c r="S37" s="589"/>
      <c r="T37" s="589"/>
      <c r="U37" s="590"/>
      <c r="V37" s="712"/>
    </row>
    <row r="38" spans="1:22" ht="18" customHeight="1" x14ac:dyDescent="0.3">
      <c r="A38" s="622"/>
      <c r="B38" s="465">
        <v>10</v>
      </c>
      <c r="C38" s="462">
        <v>2</v>
      </c>
      <c r="D38" s="539">
        <f>+FORMATO!I28</f>
        <v>0</v>
      </c>
      <c r="E38" s="449">
        <f t="shared" si="5"/>
        <v>0</v>
      </c>
      <c r="F38" s="501" t="b">
        <f>IF($C$10="Fraccionada",E38*$H$36/E$20,IF($C$10="Global",E38/$E$19*100))</f>
        <v>0</v>
      </c>
      <c r="G38" s="502" t="e">
        <f>+G37+F38</f>
        <v>#DIV/0!</v>
      </c>
      <c r="H38" s="501" t="e">
        <f t="shared" si="7"/>
        <v>#DIV/0!</v>
      </c>
      <c r="I38" s="470"/>
      <c r="J38" s="470"/>
      <c r="K38" s="470"/>
      <c r="L38" s="470"/>
      <c r="M38" s="711"/>
      <c r="N38" s="713"/>
      <c r="O38" s="589" t="s">
        <v>72</v>
      </c>
      <c r="P38" s="589" t="e">
        <f>MAX(P28:P36)</f>
        <v>#DIV/0!</v>
      </c>
      <c r="Q38" s="713"/>
      <c r="R38" s="714"/>
      <c r="S38" s="589" t="s">
        <v>72</v>
      </c>
      <c r="T38" s="589" t="e">
        <f>MAX(T28:T36)</f>
        <v>#DIV/0!</v>
      </c>
      <c r="U38" s="714"/>
      <c r="V38" s="712"/>
    </row>
    <row r="39" spans="1:22" ht="18" customHeight="1" x14ac:dyDescent="0.3">
      <c r="A39" s="622"/>
      <c r="B39" s="465">
        <v>16</v>
      </c>
      <c r="C39" s="461">
        <v>1.18</v>
      </c>
      <c r="D39" s="539">
        <f>+FORMATO!I29</f>
        <v>0</v>
      </c>
      <c r="E39" s="449">
        <f t="shared" si="5"/>
        <v>0</v>
      </c>
      <c r="F39" s="501" t="b">
        <f t="shared" ref="F39:F45" si="13">IF($C$10="Fraccionada",E39*$H$36/E$20,IF($C$10="Global",E39/$E$19*100))</f>
        <v>0</v>
      </c>
      <c r="G39" s="502" t="e">
        <f t="shared" si="12"/>
        <v>#DIV/0!</v>
      </c>
      <c r="H39" s="501" t="e">
        <f>100-G39</f>
        <v>#DIV/0!</v>
      </c>
      <c r="I39" s="470"/>
      <c r="J39" s="470"/>
      <c r="K39" s="470"/>
      <c r="L39" s="470"/>
      <c r="M39" s="711"/>
      <c r="N39" s="713"/>
      <c r="O39" s="589" t="s">
        <v>65</v>
      </c>
      <c r="P39" s="589" t="e">
        <f>IF(N37=0,"&lt;No .4",VLOOKUP(1,N28:Q36,4,0))</f>
        <v>#DIV/0!</v>
      </c>
      <c r="Q39" s="713"/>
      <c r="R39" s="714"/>
      <c r="S39" s="589" t="s">
        <v>73</v>
      </c>
      <c r="T39" s="589" t="e">
        <f>VLOOKUP(T38,T28:U36,2,0)</f>
        <v>#DIV/0!</v>
      </c>
      <c r="U39" s="714"/>
      <c r="V39" s="712"/>
    </row>
    <row r="40" spans="1:22" ht="18" customHeight="1" x14ac:dyDescent="0.25">
      <c r="A40" s="622"/>
      <c r="B40" s="465">
        <v>30</v>
      </c>
      <c r="C40" s="468">
        <v>0.6</v>
      </c>
      <c r="D40" s="539">
        <f>+FORMATO!I30</f>
        <v>0</v>
      </c>
      <c r="E40" s="449">
        <f t="shared" si="5"/>
        <v>0</v>
      </c>
      <c r="F40" s="501" t="b">
        <f t="shared" si="13"/>
        <v>0</v>
      </c>
      <c r="G40" s="502" t="e">
        <f t="shared" si="12"/>
        <v>#DIV/0!</v>
      </c>
      <c r="H40" s="501" t="e">
        <f t="shared" si="7"/>
        <v>#DIV/0!</v>
      </c>
      <c r="I40" s="470"/>
      <c r="J40" s="633"/>
      <c r="K40" s="470"/>
      <c r="L40" s="470"/>
      <c r="M40" s="715"/>
      <c r="N40" s="716"/>
      <c r="Q40" s="716"/>
      <c r="V40" s="712"/>
    </row>
    <row r="41" spans="1:22" ht="18" customHeight="1" x14ac:dyDescent="0.3">
      <c r="A41" s="622"/>
      <c r="B41" s="465">
        <v>40</v>
      </c>
      <c r="C41" s="468">
        <v>0.42499999999999999</v>
      </c>
      <c r="D41" s="539">
        <f>+FORMATO!I31</f>
        <v>0</v>
      </c>
      <c r="E41" s="449">
        <f t="shared" si="5"/>
        <v>0</v>
      </c>
      <c r="F41" s="501" t="b">
        <f t="shared" si="13"/>
        <v>0</v>
      </c>
      <c r="G41" s="502" t="e">
        <f t="shared" si="12"/>
        <v>#DIV/0!</v>
      </c>
      <c r="H41" s="501" t="e">
        <f t="shared" si="7"/>
        <v>#DIV/0!</v>
      </c>
      <c r="I41" s="470"/>
      <c r="J41" s="633"/>
      <c r="K41" s="83"/>
      <c r="L41" s="85"/>
      <c r="M41" s="717"/>
      <c r="N41" s="718"/>
      <c r="O41" s="718"/>
      <c r="P41" s="718"/>
      <c r="Q41" s="718"/>
      <c r="R41" s="718"/>
      <c r="S41" s="718"/>
      <c r="T41" s="718"/>
      <c r="U41" s="718"/>
      <c r="V41" s="719"/>
    </row>
    <row r="42" spans="1:22" ht="18" customHeight="1" x14ac:dyDescent="0.25">
      <c r="A42" s="622"/>
      <c r="B42" s="465">
        <v>50</v>
      </c>
      <c r="C42" s="468">
        <v>0.3</v>
      </c>
      <c r="D42" s="539">
        <f>+FORMATO!I32</f>
        <v>0</v>
      </c>
      <c r="E42" s="449">
        <f t="shared" si="5"/>
        <v>0</v>
      </c>
      <c r="F42" s="501" t="b">
        <f t="shared" si="13"/>
        <v>0</v>
      </c>
      <c r="G42" s="502" t="e">
        <f t="shared" si="12"/>
        <v>#DIV/0!</v>
      </c>
      <c r="H42" s="501" t="e">
        <f t="shared" si="7"/>
        <v>#DIV/0!</v>
      </c>
      <c r="I42" s="470"/>
      <c r="J42" s="616"/>
      <c r="K42" s="616"/>
      <c r="L42" s="470"/>
    </row>
    <row r="43" spans="1:22" ht="18" customHeight="1" x14ac:dyDescent="0.25">
      <c r="A43" s="622"/>
      <c r="B43" s="465">
        <v>100</v>
      </c>
      <c r="C43" s="468">
        <v>0.15</v>
      </c>
      <c r="D43" s="539">
        <f>+FORMATO!I33</f>
        <v>0</v>
      </c>
      <c r="E43" s="449">
        <f t="shared" si="5"/>
        <v>0</v>
      </c>
      <c r="F43" s="501" t="b">
        <f t="shared" si="13"/>
        <v>0</v>
      </c>
      <c r="G43" s="502" t="e">
        <f t="shared" si="12"/>
        <v>#DIV/0!</v>
      </c>
      <c r="H43" s="501" t="e">
        <f t="shared" si="7"/>
        <v>#DIV/0!</v>
      </c>
      <c r="I43" s="470"/>
      <c r="J43" s="616"/>
      <c r="K43" s="638"/>
      <c r="L43" s="616"/>
    </row>
    <row r="44" spans="1:22" ht="18" customHeight="1" x14ac:dyDescent="0.25">
      <c r="A44" s="622"/>
      <c r="B44" s="465">
        <v>200</v>
      </c>
      <c r="C44" s="468">
        <v>7.4999999999999997E-2</v>
      </c>
      <c r="D44" s="539">
        <f>+FORMATO!I34</f>
        <v>0</v>
      </c>
      <c r="E44" s="449">
        <f t="shared" si="5"/>
        <v>0</v>
      </c>
      <c r="F44" s="501" t="b">
        <f t="shared" si="13"/>
        <v>0</v>
      </c>
      <c r="G44" s="502" t="e">
        <f t="shared" si="12"/>
        <v>#DIV/0!</v>
      </c>
      <c r="H44" s="501" t="e">
        <f t="shared" si="7"/>
        <v>#DIV/0!</v>
      </c>
      <c r="I44" s="470"/>
      <c r="J44" s="639"/>
      <c r="K44" s="621"/>
      <c r="L44" s="616"/>
    </row>
    <row r="45" spans="1:22" ht="18" customHeight="1" x14ac:dyDescent="0.25">
      <c r="A45" s="622"/>
      <c r="B45" s="636" t="s">
        <v>34</v>
      </c>
      <c r="C45" s="465"/>
      <c r="D45" s="539">
        <f>+FORMATO!I35</f>
        <v>0</v>
      </c>
      <c r="E45" s="449">
        <f t="shared" si="5"/>
        <v>0</v>
      </c>
      <c r="F45" s="501" t="b">
        <f t="shared" si="13"/>
        <v>0</v>
      </c>
      <c r="G45" s="502" t="e">
        <f>+G44+H44</f>
        <v>#DIV/0!</v>
      </c>
      <c r="H45" s="501"/>
      <c r="I45" s="470"/>
      <c r="J45" s="616"/>
      <c r="K45" s="621"/>
      <c r="L45" s="640"/>
    </row>
    <row r="46" spans="1:22" ht="18" customHeight="1" x14ac:dyDescent="0.25">
      <c r="A46" s="622"/>
      <c r="B46" s="477"/>
      <c r="C46" s="477"/>
      <c r="D46" s="464"/>
      <c r="E46" s="477"/>
      <c r="F46" s="641"/>
      <c r="G46" s="641"/>
      <c r="H46" s="642"/>
      <c r="I46" s="616"/>
      <c r="J46" s="616"/>
      <c r="K46" s="621"/>
      <c r="L46" s="616"/>
    </row>
    <row r="47" spans="1:22" ht="18" customHeight="1" x14ac:dyDescent="0.25">
      <c r="A47" s="451"/>
      <c r="B47" s="464"/>
      <c r="C47" s="868" t="s">
        <v>293</v>
      </c>
      <c r="D47" s="868"/>
      <c r="E47" s="868"/>
      <c r="H47" s="469"/>
      <c r="I47" s="440"/>
      <c r="J47" s="440"/>
      <c r="K47" s="445"/>
      <c r="L47" s="440"/>
    </row>
    <row r="48" spans="1:22" ht="33" customHeight="1" x14ac:dyDescent="0.25">
      <c r="A48" s="451"/>
      <c r="B48" s="464"/>
      <c r="C48" s="592" t="s">
        <v>258</v>
      </c>
      <c r="D48" s="479" t="s">
        <v>292</v>
      </c>
      <c r="E48" s="479" t="s">
        <v>291</v>
      </c>
      <c r="H48" s="464"/>
    </row>
    <row r="49" spans="1:12" ht="18" customHeight="1" x14ac:dyDescent="0.25">
      <c r="A49" s="451"/>
      <c r="B49" s="464"/>
      <c r="C49" s="593">
        <v>0.375</v>
      </c>
      <c r="D49" s="594">
        <v>1000</v>
      </c>
      <c r="E49" s="539"/>
      <c r="G49" s="595"/>
      <c r="H49" s="464"/>
      <c r="I49" s="440"/>
      <c r="J49" s="440"/>
      <c r="L49" s="440"/>
    </row>
    <row r="50" spans="1:12" ht="18" customHeight="1" x14ac:dyDescent="0.25">
      <c r="A50" s="451"/>
      <c r="B50" s="454"/>
      <c r="C50" s="593">
        <v>0.5</v>
      </c>
      <c r="D50" s="594">
        <v>2000</v>
      </c>
      <c r="E50" s="539"/>
      <c r="G50" s="595"/>
      <c r="H50" s="464"/>
      <c r="I50" s="440"/>
      <c r="J50" s="440"/>
      <c r="L50" s="440"/>
    </row>
    <row r="51" spans="1:12" ht="18" customHeight="1" x14ac:dyDescent="0.25">
      <c r="A51" s="451"/>
      <c r="B51" s="454"/>
      <c r="C51" s="593">
        <v>0.75</v>
      </c>
      <c r="D51" s="594">
        <v>5000</v>
      </c>
      <c r="E51" s="539"/>
      <c r="G51" s="464"/>
      <c r="H51" s="464"/>
      <c r="I51" s="440"/>
      <c r="J51" s="440"/>
      <c r="K51" s="440"/>
      <c r="L51" s="440"/>
    </row>
    <row r="52" spans="1:12" ht="18" customHeight="1" x14ac:dyDescent="0.25">
      <c r="A52" s="451"/>
      <c r="B52" s="454"/>
      <c r="C52" s="593">
        <v>1</v>
      </c>
      <c r="D52" s="594">
        <v>10000</v>
      </c>
      <c r="E52" s="539"/>
      <c r="G52" s="464"/>
      <c r="H52" s="464"/>
      <c r="I52" s="440"/>
      <c r="J52" s="440"/>
      <c r="K52" s="440"/>
      <c r="L52" s="440"/>
    </row>
    <row r="53" spans="1:12" ht="18" customHeight="1" x14ac:dyDescent="0.25">
      <c r="B53" s="454"/>
      <c r="C53" s="593">
        <v>1.5</v>
      </c>
      <c r="D53" s="594">
        <v>15000</v>
      </c>
      <c r="E53" s="539"/>
      <c r="G53" s="464"/>
      <c r="H53" s="464"/>
      <c r="I53" s="440"/>
      <c r="J53" s="440"/>
      <c r="K53" s="440"/>
      <c r="L53" s="440"/>
    </row>
    <row r="54" spans="1:12" ht="18" customHeight="1" x14ac:dyDescent="0.25">
      <c r="B54" s="454"/>
      <c r="C54" s="593">
        <v>2</v>
      </c>
      <c r="D54" s="594">
        <v>20000</v>
      </c>
      <c r="E54" s="539"/>
      <c r="G54" s="464"/>
      <c r="H54" s="464"/>
      <c r="I54" s="440"/>
      <c r="J54" s="440"/>
      <c r="K54" s="440"/>
      <c r="L54" s="440"/>
    </row>
    <row r="55" spans="1:12" ht="18" customHeight="1" x14ac:dyDescent="0.25">
      <c r="B55" s="454"/>
      <c r="C55" s="593">
        <v>2.5</v>
      </c>
      <c r="D55" s="594">
        <v>35000</v>
      </c>
      <c r="E55" s="539"/>
      <c r="H55" s="464"/>
      <c r="I55" s="440"/>
      <c r="J55" s="440"/>
      <c r="K55" s="440"/>
      <c r="L55" s="440"/>
    </row>
    <row r="56" spans="1:12" ht="18" customHeight="1" x14ac:dyDescent="0.25">
      <c r="B56" s="454"/>
      <c r="C56" s="596">
        <v>3</v>
      </c>
      <c r="D56" s="597">
        <v>60000</v>
      </c>
      <c r="E56" s="539"/>
      <c r="H56" s="464"/>
      <c r="I56" s="440"/>
      <c r="J56" s="440"/>
      <c r="K56" s="440"/>
      <c r="L56" s="440"/>
    </row>
    <row r="57" spans="1:12" ht="18" customHeight="1" x14ac:dyDescent="0.25">
      <c r="B57" s="454"/>
      <c r="C57" s="598"/>
      <c r="D57" s="599" t="s">
        <v>150</v>
      </c>
      <c r="E57" s="600" t="str">
        <f>IF(AND(E49="",E50="",E51="",E52="",E53="",E54="",E55="",E56=""),"",IF(E49&lt;&gt;"","3/8",IF(E50&lt;&gt;"","1/2",IF(E51&lt;&gt;"","3/4",IF(E52&lt;&gt;"","1",IF(E53&lt;&gt;"","1 1/2",IF(E54&lt;&gt;"","2",IF(E55&lt;&gt;"","2 1/2","3"))))))))</f>
        <v/>
      </c>
      <c r="H57" s="472"/>
      <c r="I57" s="440"/>
      <c r="J57" s="440"/>
      <c r="K57" s="440"/>
      <c r="L57" s="440"/>
    </row>
    <row r="58" spans="1:12" ht="18" customHeight="1" x14ac:dyDescent="0.25">
      <c r="B58" s="454"/>
      <c r="C58" s="601"/>
      <c r="D58" s="602" t="s">
        <v>151</v>
      </c>
      <c r="E58" s="603" t="str">
        <f>IF(E57="","",IF(E57="3",60000,IF(E57="2 1/2",35000,IF(E57="2",20000,IF(E57="1 1/2",15000,IF(E57="1",10000,IF(E57="3/4",5000,IF(E57="1/2",2000,1000))))))))</f>
        <v/>
      </c>
      <c r="G58" s="464"/>
      <c r="H58" s="464"/>
      <c r="I58" s="440"/>
      <c r="J58" s="440"/>
      <c r="K58" s="440"/>
      <c r="L58" s="440"/>
    </row>
    <row r="59" spans="1:12" ht="18" customHeight="1" x14ac:dyDescent="0.25">
      <c r="B59" s="454"/>
      <c r="C59" s="604"/>
      <c r="D59" s="605" t="s">
        <v>152</v>
      </c>
      <c r="E59" s="606" t="e">
        <f>IF(E16="","",IF(AND(E49="",E50="",E51="",E52="",E53="",E54="",E55="",E56=""),"Falta Especificar Tmax",IF(E16="","",IF(E16&gt;=E58,"Cumple","No cumple- Repetir ensayo"))))</f>
        <v>#DIV/0!</v>
      </c>
      <c r="G59" s="607"/>
      <c r="I59" s="440"/>
      <c r="J59" s="440"/>
      <c r="K59" s="440"/>
      <c r="L59" s="440"/>
    </row>
    <row r="60" spans="1:12" ht="15.75" customHeight="1" x14ac:dyDescent="0.25">
      <c r="B60" s="454"/>
      <c r="C60" s="469"/>
      <c r="E60" s="438" t="s">
        <v>312</v>
      </c>
      <c r="I60" s="440"/>
      <c r="J60" s="440"/>
      <c r="K60" s="440"/>
      <c r="L60" s="440"/>
    </row>
    <row r="61" spans="1:12" ht="16.5" customHeight="1" x14ac:dyDescent="0.25">
      <c r="B61" s="454"/>
      <c r="C61" s="869" t="s">
        <v>294</v>
      </c>
      <c r="D61" s="870"/>
      <c r="E61" s="606" t="str">
        <f>IF(E19&gt;=300,"Cumple","No cumple")</f>
        <v>Cumple</v>
      </c>
      <c r="I61" s="440"/>
      <c r="J61" s="440"/>
      <c r="K61" s="440"/>
      <c r="L61" s="440"/>
    </row>
    <row r="62" spans="1:12" ht="32.25" customHeight="1" x14ac:dyDescent="0.25">
      <c r="B62" s="454"/>
      <c r="C62" s="469"/>
      <c r="D62" s="469"/>
      <c r="E62" s="464"/>
      <c r="I62" s="440"/>
      <c r="J62" s="440"/>
      <c r="K62" s="440"/>
      <c r="L62" s="440"/>
    </row>
    <row r="63" spans="1:12" ht="22.5" customHeight="1" x14ac:dyDescent="0.25">
      <c r="B63" s="454"/>
      <c r="C63" s="469"/>
      <c r="D63" s="469"/>
      <c r="E63" s="464"/>
      <c r="I63" s="440"/>
      <c r="J63" s="440"/>
      <c r="K63" s="440"/>
      <c r="L63" s="440"/>
    </row>
    <row r="64" spans="1:12" ht="22.5" customHeight="1" x14ac:dyDescent="0.25">
      <c r="B64" s="454"/>
      <c r="C64" s="469"/>
      <c r="D64" s="469"/>
      <c r="E64" s="464"/>
      <c r="I64" s="440"/>
      <c r="J64" s="440"/>
      <c r="K64" s="440"/>
      <c r="L64" s="440"/>
    </row>
    <row r="65" spans="1:12" ht="32.25" customHeight="1" x14ac:dyDescent="0.25">
      <c r="B65" s="454"/>
      <c r="C65" s="469"/>
      <c r="D65" s="469"/>
      <c r="E65" s="464"/>
      <c r="I65" s="440"/>
      <c r="J65" s="440"/>
      <c r="K65" s="440"/>
      <c r="L65" s="440"/>
    </row>
    <row r="66" spans="1:12" ht="19.5" customHeight="1" x14ac:dyDescent="0.25">
      <c r="B66" s="454"/>
      <c r="C66" s="469"/>
      <c r="D66" s="469"/>
      <c r="E66" s="464"/>
    </row>
    <row r="67" spans="1:12" ht="19.5" customHeight="1" x14ac:dyDescent="0.25"/>
    <row r="68" spans="1:12" ht="19.5" customHeight="1" x14ac:dyDescent="0.25"/>
    <row r="69" spans="1:12" ht="19.5" customHeight="1" x14ac:dyDescent="0.25"/>
    <row r="70" spans="1:12" ht="19.5" customHeight="1" x14ac:dyDescent="0.25"/>
    <row r="71" spans="1:12" ht="27" customHeight="1" x14ac:dyDescent="0.25"/>
    <row r="72" spans="1:12" ht="27.75" customHeight="1" x14ac:dyDescent="0.25"/>
    <row r="73" spans="1:12" ht="15.75" customHeight="1" x14ac:dyDescent="0.25"/>
    <row r="74" spans="1:12" ht="36" customHeight="1" x14ac:dyDescent="0.25"/>
    <row r="75" spans="1:12" ht="15.75" customHeight="1" x14ac:dyDescent="0.25"/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>
      <c r="A79" s="478"/>
      <c r="B79" s="478"/>
    </row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</sheetData>
  <sheetProtection algorithmName="SHA-512" hashValue="PhSjsJrvoH6nY17GGGXQbM6919a0pS0xFYS8BjkTuVmW528wUwejdzF3ex+AFMUD6QoE8jLqA43PhA/Jz5a1lw==" saltValue="q1DYuEWj9QoKvOAlnxc1DA==" spinCount="100000" sheet="1" selectLockedCells="1" selectUnlockedCells="1"/>
  <mergeCells count="15">
    <mergeCell ref="C47:E47"/>
    <mergeCell ref="C61:D61"/>
    <mergeCell ref="F26:F27"/>
    <mergeCell ref="G26:G27"/>
    <mergeCell ref="B1:L1"/>
    <mergeCell ref="B2:L2"/>
    <mergeCell ref="H26:H27"/>
    <mergeCell ref="E26:E27"/>
    <mergeCell ref="B12:E12"/>
    <mergeCell ref="G12:I12"/>
    <mergeCell ref="B26:C26"/>
    <mergeCell ref="B18:E18"/>
    <mergeCell ref="H18:I18"/>
    <mergeCell ref="C9:D9"/>
    <mergeCell ref="C10:D10"/>
  </mergeCells>
  <dataValidations count="3">
    <dataValidation type="list" allowBlank="1" showInputMessage="1" showErrorMessage="1" sqref="C9" xr:uid="{8D2F0166-136D-4D34-BF4A-52E3CCA39914}">
      <formula1>"-, Grueso, Fino, Mezcla Grueso y Fino"</formula1>
    </dataValidation>
    <dataValidation type="list" allowBlank="1" showInputMessage="1" showErrorMessage="1" sqref="C10" xr:uid="{63C38253-0ABE-4AE4-A03E-6F4CD9DA10E8}">
      <formula1>"-, Fraccionada, Global"</formula1>
    </dataValidation>
    <dataValidation type="list" allowBlank="1" showInputMessage="1" showErrorMessage="1" sqref="F10" xr:uid="{802FFD6C-7083-4810-9603-B12FDE74FC7D}">
      <formula1>"-, IVAN, BEATRIZ, DEYVI"</formula1>
    </dataValidation>
  </dataValidations>
  <printOptions horizontalCentered="1"/>
  <pageMargins left="0" right="0" top="0.59055118110236227" bottom="0" header="0.11811023622047245" footer="0"/>
  <pageSetup paperSize="274" scale="82" orientation="portrait" r:id="rId1"/>
  <headerFooter scaleWithDoc="0">
    <oddHeader>&amp;C&amp;G</oddHeader>
  </headerFooter>
  <rowBreaks count="1" manualBreakCount="1">
    <brk id="61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032E-1F32-4934-885E-494CF4F3E44D}">
  <dimension ref="A1:N281"/>
  <sheetViews>
    <sheetView topLeftCell="A225" zoomScale="90" zoomScaleNormal="90" workbookViewId="0">
      <selection activeCell="I245" sqref="I245"/>
    </sheetView>
  </sheetViews>
  <sheetFormatPr baseColWidth="10" defaultColWidth="11.44140625" defaultRowHeight="11.4" x14ac:dyDescent="0.2"/>
  <cols>
    <col min="1" max="1" width="28.5546875" style="390" customWidth="1"/>
    <col min="2" max="2" width="11.5546875" style="390" bestFit="1" customWidth="1"/>
    <col min="3" max="3" width="11.5546875" style="390" customWidth="1"/>
    <col min="4" max="4" width="11.44140625" style="390"/>
    <col min="5" max="8" width="11.5546875" style="390" bestFit="1" customWidth="1"/>
    <col min="9" max="9" width="14.44140625" style="390" bestFit="1" customWidth="1"/>
    <col min="10" max="10" width="11.5546875" style="390" bestFit="1" customWidth="1"/>
    <col min="11" max="11" width="15.5546875" style="390" customWidth="1"/>
    <col min="12" max="16384" width="11.44140625" style="390"/>
  </cols>
  <sheetData>
    <row r="1" spans="1:11" ht="12.75" customHeight="1" x14ac:dyDescent="0.2">
      <c r="A1" s="898"/>
      <c r="B1" s="889" t="s">
        <v>234</v>
      </c>
      <c r="C1" s="890"/>
      <c r="D1" s="890"/>
      <c r="E1" s="890"/>
      <c r="F1" s="890"/>
      <c r="G1" s="890"/>
      <c r="H1" s="890"/>
      <c r="I1" s="891"/>
      <c r="J1" s="400" t="s">
        <v>233</v>
      </c>
      <c r="K1" s="400" t="s">
        <v>232</v>
      </c>
    </row>
    <row r="2" spans="1:11" ht="12.75" customHeight="1" x14ac:dyDescent="0.2">
      <c r="A2" s="899"/>
      <c r="B2" s="892"/>
      <c r="C2" s="893"/>
      <c r="D2" s="893"/>
      <c r="E2" s="893"/>
      <c r="F2" s="893"/>
      <c r="G2" s="893"/>
      <c r="H2" s="893"/>
      <c r="I2" s="894"/>
      <c r="J2" s="400" t="s">
        <v>231</v>
      </c>
      <c r="K2" s="401">
        <v>3</v>
      </c>
    </row>
    <row r="3" spans="1:11" ht="12.75" customHeight="1" x14ac:dyDescent="0.2">
      <c r="A3" s="899"/>
      <c r="B3" s="892"/>
      <c r="C3" s="893"/>
      <c r="D3" s="893"/>
      <c r="E3" s="893"/>
      <c r="F3" s="893"/>
      <c r="G3" s="893"/>
      <c r="H3" s="893"/>
      <c r="I3" s="894"/>
      <c r="J3" s="400" t="s">
        <v>230</v>
      </c>
      <c r="K3" s="784">
        <v>46146</v>
      </c>
    </row>
    <row r="4" spans="1:11" ht="12.75" customHeight="1" x14ac:dyDescent="0.2">
      <c r="A4" s="900"/>
      <c r="B4" s="895"/>
      <c r="C4" s="896"/>
      <c r="D4" s="896"/>
      <c r="E4" s="896"/>
      <c r="F4" s="896"/>
      <c r="G4" s="896"/>
      <c r="H4" s="896"/>
      <c r="I4" s="897"/>
      <c r="J4" s="400" t="s">
        <v>229</v>
      </c>
      <c r="K4" s="400" t="s">
        <v>228</v>
      </c>
    </row>
    <row r="6" spans="1:11" ht="18" customHeight="1" x14ac:dyDescent="0.2">
      <c r="A6" s="574" t="s">
        <v>227</v>
      </c>
      <c r="B6" s="575" t="s">
        <v>128</v>
      </c>
      <c r="C6" s="576"/>
      <c r="D6" s="402"/>
      <c r="E6" s="402"/>
      <c r="F6" s="402"/>
      <c r="G6" s="388"/>
      <c r="H6" s="388"/>
      <c r="I6" s="388"/>
      <c r="J6" s="388"/>
      <c r="K6" s="398"/>
    </row>
    <row r="7" spans="1:11" ht="18" customHeight="1" x14ac:dyDescent="0.2">
      <c r="A7" s="574" t="s">
        <v>226</v>
      </c>
      <c r="B7" s="575" t="s">
        <v>352</v>
      </c>
      <c r="C7" s="576"/>
      <c r="D7" s="402"/>
      <c r="E7" s="402"/>
      <c r="F7" s="402"/>
      <c r="G7" s="388"/>
      <c r="H7" s="388"/>
      <c r="I7" s="388"/>
      <c r="J7" s="388"/>
      <c r="K7" s="398"/>
    </row>
    <row r="8" spans="1:11" ht="18" customHeight="1" x14ac:dyDescent="0.2">
      <c r="A8" s="574" t="s">
        <v>225</v>
      </c>
      <c r="B8" s="575" t="s">
        <v>235</v>
      </c>
      <c r="C8" s="576"/>
      <c r="D8" s="402"/>
      <c r="E8" s="402"/>
      <c r="F8" s="402"/>
      <c r="G8" s="388"/>
      <c r="H8" s="388"/>
      <c r="I8" s="388"/>
      <c r="J8" s="388"/>
      <c r="K8" s="398"/>
    </row>
    <row r="9" spans="1:11" ht="18" customHeight="1" x14ac:dyDescent="0.2">
      <c r="A9" s="577" t="s">
        <v>463</v>
      </c>
      <c r="B9" s="575" t="s">
        <v>272</v>
      </c>
      <c r="C9" s="576"/>
      <c r="D9" s="402"/>
      <c r="E9" s="402"/>
      <c r="F9" s="402"/>
      <c r="G9" s="388"/>
      <c r="H9" s="388"/>
      <c r="I9" s="388"/>
      <c r="J9" s="388"/>
      <c r="K9" s="398"/>
    </row>
    <row r="11" spans="1:11" ht="13.2" x14ac:dyDescent="0.25">
      <c r="A11" s="492" t="s">
        <v>464</v>
      </c>
      <c r="B11" s="491"/>
      <c r="C11" s="491"/>
      <c r="D11" s="491"/>
      <c r="E11" s="491"/>
      <c r="F11" s="491"/>
      <c r="G11" s="491"/>
      <c r="H11" s="491"/>
      <c r="I11" s="491"/>
      <c r="J11" s="491"/>
      <c r="K11" s="491"/>
    </row>
    <row r="12" spans="1:11" ht="13.2" x14ac:dyDescent="0.25">
      <c r="A12" s="492"/>
      <c r="B12" s="491"/>
      <c r="C12" s="491"/>
      <c r="D12" s="491"/>
      <c r="E12" s="491"/>
      <c r="F12" s="491"/>
      <c r="G12" s="491"/>
      <c r="H12" s="491"/>
      <c r="I12" s="491"/>
      <c r="J12" s="491"/>
      <c r="K12" s="491"/>
    </row>
    <row r="13" spans="1:11" ht="13.2" x14ac:dyDescent="0.25">
      <c r="A13" s="571" t="s">
        <v>310</v>
      </c>
      <c r="B13" s="503"/>
      <c r="C13" s="399"/>
      <c r="D13" s="491"/>
      <c r="E13" s="491"/>
      <c r="F13" s="571" t="s">
        <v>311</v>
      </c>
      <c r="G13" s="491"/>
      <c r="H13" s="491"/>
      <c r="I13" s="491"/>
      <c r="J13" s="491"/>
      <c r="K13" s="491"/>
    </row>
    <row r="14" spans="1:11" ht="13.2" x14ac:dyDescent="0.25">
      <c r="A14" s="491"/>
      <c r="B14" s="503"/>
      <c r="C14" s="399"/>
      <c r="D14" s="491"/>
      <c r="E14" s="491"/>
      <c r="F14" s="491"/>
      <c r="G14" s="491"/>
      <c r="H14" s="491"/>
      <c r="I14" s="491"/>
      <c r="J14" s="491"/>
      <c r="K14" s="491"/>
    </row>
    <row r="15" spans="1:11" ht="13.2" x14ac:dyDescent="0.25">
      <c r="A15" s="572" t="s">
        <v>349</v>
      </c>
      <c r="B15" s="503"/>
      <c r="C15" s="399"/>
      <c r="D15" s="491"/>
      <c r="E15" s="491"/>
      <c r="F15" s="491"/>
      <c r="G15" s="491"/>
      <c r="H15" s="491"/>
      <c r="I15" s="491"/>
      <c r="J15" s="491"/>
      <c r="K15" s="491"/>
    </row>
    <row r="16" spans="1:11" ht="13.2" x14ac:dyDescent="0.25">
      <c r="A16" s="572" t="s">
        <v>350</v>
      </c>
      <c r="B16" s="503"/>
      <c r="C16" s="399"/>
      <c r="D16" s="491"/>
      <c r="E16" s="491"/>
      <c r="F16" s="491"/>
      <c r="G16" s="270"/>
      <c r="H16" s="491"/>
      <c r="I16" s="491"/>
      <c r="J16" s="491"/>
      <c r="K16" s="491"/>
    </row>
    <row r="17" spans="1:11" ht="13.2" x14ac:dyDescent="0.25">
      <c r="A17" s="572" t="s">
        <v>351</v>
      </c>
      <c r="B17" s="491"/>
      <c r="C17" s="491"/>
      <c r="D17" s="491"/>
      <c r="E17" s="491"/>
      <c r="F17" s="491"/>
      <c r="G17" s="491"/>
      <c r="H17" s="491"/>
      <c r="I17" s="491"/>
      <c r="J17" s="491"/>
      <c r="K17" s="491"/>
    </row>
    <row r="18" spans="1:11" ht="13.2" x14ac:dyDescent="0.25">
      <c r="A18" s="491"/>
      <c r="B18" s="491"/>
      <c r="C18" s="491"/>
      <c r="D18" s="491"/>
      <c r="E18" s="491"/>
      <c r="F18" s="491"/>
      <c r="G18" s="270"/>
      <c r="H18" s="491"/>
      <c r="I18" s="491"/>
      <c r="J18" s="491"/>
      <c r="K18" s="491"/>
    </row>
    <row r="19" spans="1:11" ht="13.2" x14ac:dyDescent="0.25">
      <c r="A19" s="571" t="s">
        <v>313</v>
      </c>
      <c r="B19" s="491"/>
      <c r="C19" s="491"/>
      <c r="D19" s="491"/>
      <c r="E19" s="491"/>
      <c r="F19" s="491"/>
      <c r="G19" s="270"/>
      <c r="H19" s="491"/>
      <c r="I19" s="491"/>
      <c r="J19" s="491"/>
      <c r="K19" s="491"/>
    </row>
    <row r="20" spans="1:11" ht="13.2" x14ac:dyDescent="0.25">
      <c r="A20" s="491"/>
      <c r="B20" s="491"/>
      <c r="C20" s="491"/>
      <c r="D20" s="491"/>
      <c r="E20" s="491"/>
      <c r="F20" s="491"/>
      <c r="G20" s="270"/>
      <c r="H20" s="491"/>
      <c r="I20" s="491"/>
      <c r="J20" s="491"/>
      <c r="K20" s="491"/>
    </row>
    <row r="21" spans="1:11" ht="13.2" x14ac:dyDescent="0.25">
      <c r="A21" s="573" t="s">
        <v>315</v>
      </c>
      <c r="B21" s="491"/>
      <c r="C21" s="491"/>
      <c r="D21" s="491"/>
      <c r="E21" s="491"/>
      <c r="F21" s="491"/>
      <c r="G21" s="491"/>
      <c r="H21" s="491"/>
      <c r="I21" s="491"/>
      <c r="J21" s="491"/>
      <c r="K21" s="491"/>
    </row>
    <row r="22" spans="1:11" ht="13.2" x14ac:dyDescent="0.25">
      <c r="A22" s="573" t="s">
        <v>316</v>
      </c>
      <c r="B22" s="491"/>
      <c r="C22" s="491"/>
      <c r="D22" s="491"/>
      <c r="E22" s="491"/>
      <c r="F22" s="491"/>
      <c r="G22" s="270"/>
      <c r="H22" s="491"/>
      <c r="I22" s="491"/>
      <c r="J22" s="491"/>
      <c r="K22" s="491"/>
    </row>
    <row r="23" spans="1:11" ht="13.2" x14ac:dyDescent="0.25">
      <c r="A23" s="491"/>
      <c r="B23" s="491"/>
      <c r="C23" s="491"/>
      <c r="D23" s="491"/>
      <c r="E23" s="491"/>
      <c r="F23" s="491"/>
      <c r="G23" s="491"/>
      <c r="H23" s="491"/>
      <c r="I23" s="491"/>
      <c r="J23" s="491"/>
      <c r="K23" s="491"/>
    </row>
    <row r="24" spans="1:11" ht="13.2" x14ac:dyDescent="0.25">
      <c r="A24" s="492" t="s">
        <v>314</v>
      </c>
      <c r="B24" s="491"/>
      <c r="C24" s="491"/>
      <c r="D24" s="491"/>
      <c r="E24" s="491"/>
      <c r="F24" s="491"/>
      <c r="G24" s="491"/>
      <c r="H24" s="491"/>
      <c r="I24" s="491"/>
      <c r="J24" s="491"/>
      <c r="K24" s="491"/>
    </row>
    <row r="25" spans="1:11" ht="13.2" x14ac:dyDescent="0.25">
      <c r="A25" s="491"/>
      <c r="B25" s="491"/>
      <c r="C25" s="491"/>
      <c r="D25" s="491"/>
      <c r="E25" s="491"/>
      <c r="F25" s="491"/>
      <c r="G25" s="491"/>
      <c r="H25" s="491"/>
      <c r="I25" s="491"/>
      <c r="J25" s="491"/>
      <c r="K25" s="491"/>
    </row>
    <row r="26" spans="1:11" ht="13.2" x14ac:dyDescent="0.25">
      <c r="A26" s="491"/>
      <c r="B26" s="491"/>
      <c r="C26" s="491"/>
      <c r="D26" s="491"/>
      <c r="E26" s="491"/>
      <c r="F26" s="491"/>
      <c r="G26" s="491"/>
      <c r="H26" s="491"/>
      <c r="I26" s="491"/>
      <c r="J26" s="491"/>
      <c r="K26" s="491"/>
    </row>
    <row r="27" spans="1:11" ht="13.2" x14ac:dyDescent="0.25">
      <c r="A27" s="491"/>
      <c r="B27" s="491"/>
      <c r="C27" s="491"/>
      <c r="D27" s="491"/>
      <c r="E27" s="491"/>
      <c r="F27" s="491"/>
      <c r="G27" s="491"/>
      <c r="H27" s="491"/>
      <c r="I27" s="491"/>
      <c r="J27" s="491"/>
      <c r="K27" s="491"/>
    </row>
    <row r="28" spans="1:11" ht="13.2" x14ac:dyDescent="0.25">
      <c r="A28" s="491"/>
      <c r="B28" s="491"/>
      <c r="C28" s="491"/>
      <c r="D28" s="491"/>
      <c r="E28" s="491"/>
      <c r="F28" s="491"/>
      <c r="G28" s="491"/>
      <c r="H28" s="491"/>
      <c r="I28" s="491"/>
      <c r="J28" s="491"/>
      <c r="K28" s="270"/>
    </row>
    <row r="29" spans="1:11" ht="13.2" x14ac:dyDescent="0.25">
      <c r="A29" s="491"/>
      <c r="B29" s="491"/>
      <c r="C29" s="491"/>
      <c r="D29" s="491"/>
      <c r="E29" s="491"/>
      <c r="F29" s="491"/>
      <c r="G29" s="491"/>
      <c r="H29" s="491"/>
      <c r="I29" s="491"/>
      <c r="J29" s="491"/>
      <c r="K29" s="491"/>
    </row>
    <row r="30" spans="1:11" ht="16.5" customHeight="1" x14ac:dyDescent="0.25">
      <c r="A30" s="491"/>
      <c r="B30" s="491"/>
      <c r="C30" s="491"/>
      <c r="D30" s="491"/>
      <c r="E30" s="491"/>
      <c r="F30" s="270"/>
      <c r="G30" s="491"/>
      <c r="H30" s="491"/>
      <c r="I30" s="491"/>
      <c r="J30" s="491"/>
      <c r="K30" s="491"/>
    </row>
    <row r="31" spans="1:11" ht="16.5" customHeight="1" x14ac:dyDescent="0.25">
      <c r="A31" s="491"/>
      <c r="B31" s="491"/>
      <c r="C31" s="491"/>
      <c r="D31" s="491"/>
      <c r="E31" s="491"/>
      <c r="F31" s="491"/>
      <c r="G31" s="491"/>
      <c r="H31" s="491"/>
      <c r="I31" s="491"/>
      <c r="J31" s="491"/>
      <c r="K31" s="491"/>
    </row>
    <row r="32" spans="1:11" ht="16.5" customHeight="1" x14ac:dyDescent="0.25">
      <c r="A32" s="491"/>
      <c r="B32" s="491"/>
      <c r="C32" s="491"/>
      <c r="D32" s="491"/>
      <c r="E32" s="491"/>
      <c r="F32" s="491"/>
      <c r="G32" s="491"/>
      <c r="H32" s="491"/>
      <c r="I32" s="491"/>
      <c r="J32" s="491"/>
      <c r="K32" s="491"/>
    </row>
    <row r="33" spans="1:14" ht="16.5" customHeight="1" x14ac:dyDescent="0.25">
      <c r="A33" s="491"/>
      <c r="B33" s="491"/>
      <c r="C33" s="491"/>
      <c r="D33" s="491"/>
      <c r="E33" s="491"/>
      <c r="F33" s="491"/>
      <c r="G33" s="491"/>
      <c r="H33" s="491"/>
      <c r="I33" s="491"/>
      <c r="J33" s="491"/>
      <c r="K33" s="491"/>
    </row>
    <row r="34" spans="1:14" ht="21.75" customHeight="1" x14ac:dyDescent="0.25">
      <c r="A34" s="491"/>
      <c r="B34" s="491"/>
      <c r="C34" s="491"/>
      <c r="D34" s="491"/>
      <c r="E34" s="491"/>
      <c r="F34" s="491"/>
      <c r="G34" s="491"/>
      <c r="H34" s="491"/>
      <c r="I34"/>
      <c r="J34" s="491"/>
      <c r="K34" s="491"/>
    </row>
    <row r="35" spans="1:14" x14ac:dyDescent="0.2">
      <c r="A35" s="888" t="s">
        <v>465</v>
      </c>
      <c r="B35" s="888"/>
      <c r="C35" s="888"/>
      <c r="D35" s="888"/>
      <c r="E35" s="888"/>
      <c r="F35" s="888"/>
      <c r="G35" s="888"/>
      <c r="H35" s="888"/>
      <c r="I35" s="888"/>
    </row>
    <row r="36" spans="1:14" ht="37.799999999999997" x14ac:dyDescent="0.25">
      <c r="A36" s="397" t="s">
        <v>224</v>
      </c>
      <c r="B36" s="397" t="s">
        <v>223</v>
      </c>
      <c r="C36" s="397" t="s">
        <v>348</v>
      </c>
      <c r="D36" s="397" t="s">
        <v>222</v>
      </c>
      <c r="E36" s="397" t="s">
        <v>273</v>
      </c>
      <c r="F36" s="397" t="s">
        <v>221</v>
      </c>
      <c r="G36" s="397" t="s">
        <v>274</v>
      </c>
      <c r="H36" s="397" t="s">
        <v>220</v>
      </c>
      <c r="I36" s="397" t="s">
        <v>219</v>
      </c>
      <c r="N36" s="568"/>
    </row>
    <row r="37" spans="1:14" ht="12" thickBot="1" x14ac:dyDescent="0.25">
      <c r="A37" s="387"/>
      <c r="B37" s="387"/>
      <c r="C37" s="387"/>
      <c r="D37" s="387"/>
      <c r="E37" s="387"/>
      <c r="F37" s="387"/>
      <c r="G37" s="387"/>
      <c r="H37" s="387"/>
      <c r="I37" s="387"/>
      <c r="J37" s="387"/>
    </row>
    <row r="38" spans="1:14" ht="19.5" customHeight="1" thickBot="1" x14ac:dyDescent="0.25">
      <c r="A38" s="426" t="s">
        <v>218</v>
      </c>
      <c r="B38" s="520" t="e">
        <f>+(1-(B40/B44))*100</f>
        <v>#DIV/0!</v>
      </c>
      <c r="C38" s="427"/>
      <c r="D38" s="428"/>
      <c r="E38" s="428"/>
      <c r="F38" s="433"/>
      <c r="G38" s="430"/>
      <c r="H38" s="431" t="e">
        <f>SQRT(G40*G40+(G48*G48)+(G44*G44)+(G50*G50))</f>
        <v>#DIV/0!</v>
      </c>
      <c r="I38" s="434" t="str">
        <f>IF(B40=0,"---",(H38*2))</f>
        <v>---</v>
      </c>
      <c r="J38" s="387"/>
    </row>
    <row r="39" spans="1:14" ht="19.5" customHeight="1" x14ac:dyDescent="0.2">
      <c r="A39" s="512"/>
      <c r="B39" s="507"/>
      <c r="C39" s="508"/>
      <c r="D39" s="509"/>
      <c r="E39" s="509"/>
      <c r="F39" s="510"/>
      <c r="G39" s="511"/>
      <c r="H39" s="504"/>
      <c r="I39" s="505"/>
      <c r="J39" s="387"/>
    </row>
    <row r="40" spans="1:14" ht="19.5" customHeight="1" x14ac:dyDescent="0.2">
      <c r="A40" s="567" t="s">
        <v>321</v>
      </c>
      <c r="B40" s="525">
        <f>+Balanza!D30</f>
        <v>0</v>
      </c>
      <c r="C40" s="404"/>
      <c r="D40" s="405" t="s">
        <v>188</v>
      </c>
      <c r="E40" s="406">
        <f>SQRT((E41*E41)+(E42*E42)+(E43*E43))</f>
        <v>7.0663521942607221E-2</v>
      </c>
      <c r="F40" s="407" t="e">
        <f>(100/B44)</f>
        <v>#DIV/0!</v>
      </c>
      <c r="G40" s="408" t="e">
        <f>(E40*F40)</f>
        <v>#DIV/0!</v>
      </c>
      <c r="H40" s="389"/>
      <c r="J40" s="387"/>
    </row>
    <row r="41" spans="1:14" ht="19.5" customHeight="1" x14ac:dyDescent="0.2">
      <c r="A41" s="409" t="s">
        <v>187</v>
      </c>
      <c r="B41" s="410"/>
      <c r="C41" s="411">
        <f>Balanza!E30</f>
        <v>0</v>
      </c>
      <c r="D41" s="412" t="s">
        <v>186</v>
      </c>
      <c r="E41" s="413">
        <f>C41</f>
        <v>0</v>
      </c>
      <c r="F41" s="414"/>
      <c r="G41" s="415"/>
      <c r="H41" s="387"/>
      <c r="I41" s="387"/>
      <c r="J41" s="387"/>
    </row>
    <row r="42" spans="1:14" ht="19.5" customHeight="1" x14ac:dyDescent="0.2">
      <c r="A42" s="409" t="s">
        <v>185</v>
      </c>
      <c r="B42" s="410"/>
      <c r="C42" s="416">
        <f>2*(SQRT(Balanza!$B$9+Balanza!$C$9*(POWER(B40,2))))</f>
        <v>0.12899612397277679</v>
      </c>
      <c r="D42" s="412" t="s">
        <v>184</v>
      </c>
      <c r="E42" s="413">
        <f>C42/2</f>
        <v>6.4498061986388397E-2</v>
      </c>
      <c r="F42" s="414"/>
      <c r="G42" s="415"/>
      <c r="H42" s="387"/>
      <c r="I42" s="391" t="str">
        <f>A40</f>
        <v>M ret acumulado 3 in (g)</v>
      </c>
      <c r="J42" s="392" t="e">
        <f>G40</f>
        <v>#DIV/0!</v>
      </c>
    </row>
    <row r="43" spans="1:14" ht="19.5" customHeight="1" x14ac:dyDescent="0.2">
      <c r="A43" s="409" t="s">
        <v>183</v>
      </c>
      <c r="B43" s="410"/>
      <c r="C43" s="411">
        <f>+Balanza!$B$11</f>
        <v>0.1</v>
      </c>
      <c r="D43" s="412" t="s">
        <v>182</v>
      </c>
      <c r="E43" s="413">
        <f>(C43/SQRT(3)/2)</f>
        <v>2.8867513459481291E-2</v>
      </c>
      <c r="F43" s="414"/>
      <c r="G43" s="415"/>
      <c r="H43" s="387"/>
      <c r="I43" s="393" t="str">
        <f>A48</f>
        <v>Abertura de Tamiz  3 in (mm)</v>
      </c>
      <c r="J43" s="394">
        <f>G48</f>
        <v>8.9999999999999993E-3</v>
      </c>
    </row>
    <row r="44" spans="1:14" ht="19.5" customHeight="1" x14ac:dyDescent="0.2">
      <c r="A44" s="403" t="s">
        <v>189</v>
      </c>
      <c r="B44" s="417" t="b">
        <f>+Balanza!$C$26</f>
        <v>0</v>
      </c>
      <c r="C44" s="417"/>
      <c r="D44" s="405" t="s">
        <v>188</v>
      </c>
      <c r="E44" s="406">
        <f>SQRT((E45*E45)+(E46*E46)+(E47*E47))</f>
        <v>7.0663521942607221E-2</v>
      </c>
      <c r="F44" s="407" t="e">
        <f>(100*B40)/POWER(B44,2)</f>
        <v>#DIV/0!</v>
      </c>
      <c r="G44" s="408" t="e">
        <f>(E44*F44)</f>
        <v>#DIV/0!</v>
      </c>
      <c r="H44" s="387"/>
      <c r="I44" s="393" t="str">
        <f>A44</f>
        <v>M total (g)</v>
      </c>
      <c r="J44" s="394" t="e">
        <f>G44</f>
        <v>#DIV/0!</v>
      </c>
    </row>
    <row r="45" spans="1:14" ht="19.5" customHeight="1" x14ac:dyDescent="0.2">
      <c r="A45" s="409" t="s">
        <v>187</v>
      </c>
      <c r="B45" s="410"/>
      <c r="C45" s="411">
        <f>+Balanza!$D$26</f>
        <v>0</v>
      </c>
      <c r="D45" s="412" t="s">
        <v>186</v>
      </c>
      <c r="E45" s="413">
        <f>C45</f>
        <v>0</v>
      </c>
      <c r="F45" s="410"/>
      <c r="G45" s="418"/>
      <c r="H45" s="387"/>
      <c r="I45" s="395" t="str">
        <f>A50</f>
        <v>Factor de presición 3 in</v>
      </c>
      <c r="J45" s="396">
        <f>G50</f>
        <v>0</v>
      </c>
    </row>
    <row r="46" spans="1:14" ht="19.5" customHeight="1" x14ac:dyDescent="0.2">
      <c r="A46" s="409" t="s">
        <v>185</v>
      </c>
      <c r="B46" s="410"/>
      <c r="C46" s="416">
        <f>2*(SQRT(Balanza!$B$9+Balanza!$C$9*(POWER(B44,2))))</f>
        <v>0.12899612397277679</v>
      </c>
      <c r="D46" s="412" t="s">
        <v>184</v>
      </c>
      <c r="E46" s="413">
        <f>C46/2</f>
        <v>6.4498061986388397E-2</v>
      </c>
      <c r="F46" s="410"/>
      <c r="G46" s="418"/>
      <c r="H46" s="387"/>
      <c r="I46" s="393"/>
      <c r="J46" s="394"/>
    </row>
    <row r="47" spans="1:14" ht="19.5" customHeight="1" x14ac:dyDescent="0.2">
      <c r="A47" s="409" t="s">
        <v>183</v>
      </c>
      <c r="B47" s="410"/>
      <c r="C47" s="411">
        <f>+Balanza!$B$11</f>
        <v>0.1</v>
      </c>
      <c r="D47" s="412" t="s">
        <v>182</v>
      </c>
      <c r="E47" s="413">
        <f>(C47/SQRT(3)/2)</f>
        <v>2.8867513459481291E-2</v>
      </c>
      <c r="F47" s="410"/>
      <c r="G47" s="418"/>
      <c r="H47" s="387"/>
      <c r="I47" s="393"/>
      <c r="J47" s="394"/>
    </row>
    <row r="48" spans="1:14" ht="19.5" customHeight="1" x14ac:dyDescent="0.2">
      <c r="A48" s="403" t="s">
        <v>217</v>
      </c>
      <c r="B48" s="404">
        <v>75</v>
      </c>
      <c r="C48" s="404"/>
      <c r="D48" s="405" t="s">
        <v>188</v>
      </c>
      <c r="E48" s="406">
        <f>+SQRT(E49^2)</f>
        <v>8.9999999999999993E-3</v>
      </c>
      <c r="F48" s="407">
        <v>1</v>
      </c>
      <c r="G48" s="408">
        <f>(E48*F48)</f>
        <v>8.9999999999999993E-3</v>
      </c>
      <c r="H48" s="387"/>
    </row>
    <row r="49" spans="1:10" ht="19.5" customHeight="1" x14ac:dyDescent="0.2">
      <c r="A49" s="409" t="s">
        <v>185</v>
      </c>
      <c r="B49" s="410"/>
      <c r="C49" s="419">
        <f>+Balanza!L28</f>
        <v>1.7999999999999999E-2</v>
      </c>
      <c r="D49" s="412" t="s">
        <v>184</v>
      </c>
      <c r="E49" s="413">
        <f>C49/2</f>
        <v>8.9999999999999993E-3</v>
      </c>
      <c r="F49" s="410"/>
      <c r="G49" s="418"/>
      <c r="H49" s="389"/>
    </row>
    <row r="50" spans="1:10" ht="19.5" customHeight="1" thickBot="1" x14ac:dyDescent="0.25">
      <c r="A50" s="420" t="s">
        <v>216</v>
      </c>
      <c r="B50" s="421">
        <f>+Balanza!B53</f>
        <v>0</v>
      </c>
      <c r="C50" s="421"/>
      <c r="D50" s="422" t="s">
        <v>180</v>
      </c>
      <c r="E50" s="423">
        <f>B50/SQRT(1)</f>
        <v>0</v>
      </c>
      <c r="F50" s="435">
        <v>1</v>
      </c>
      <c r="G50" s="425">
        <f>(E50*F50)</f>
        <v>0</v>
      </c>
      <c r="H50" s="389"/>
      <c r="I50" s="387"/>
      <c r="J50" s="387"/>
    </row>
    <row r="51" spans="1:10" ht="19.5" customHeight="1" thickBot="1" x14ac:dyDescent="0.25"/>
    <row r="52" spans="1:10" ht="19.5" customHeight="1" thickBot="1" x14ac:dyDescent="0.25">
      <c r="A52" s="426" t="s">
        <v>238</v>
      </c>
      <c r="B52" s="520" t="e">
        <f>+(1-(B54/B58))*100</f>
        <v>#DIV/0!</v>
      </c>
      <c r="C52" s="427"/>
      <c r="D52" s="428"/>
      <c r="E52" s="428"/>
      <c r="F52" s="433"/>
      <c r="G52" s="430"/>
      <c r="H52" s="431" t="e">
        <f>SQRT(G54*G54+(G62*G62)+(G58*G58)+(G64*G64))</f>
        <v>#DIV/0!</v>
      </c>
      <c r="I52" s="434" t="str">
        <f>IF(B54=0,"---",(H52*2))</f>
        <v>---</v>
      </c>
      <c r="J52" s="387"/>
    </row>
    <row r="53" spans="1:10" ht="19.5" customHeight="1" x14ac:dyDescent="0.2">
      <c r="A53" s="506"/>
      <c r="B53" s="507"/>
      <c r="C53" s="508"/>
      <c r="D53" s="509"/>
      <c r="E53" s="509"/>
      <c r="F53" s="510"/>
      <c r="G53" s="511"/>
      <c r="H53" s="504"/>
      <c r="I53" s="505"/>
      <c r="J53" s="387"/>
    </row>
    <row r="54" spans="1:10" ht="19.5" customHeight="1" x14ac:dyDescent="0.2">
      <c r="A54" s="527" t="s">
        <v>322</v>
      </c>
      <c r="B54" s="524">
        <f>+Balanza!D31</f>
        <v>0</v>
      </c>
      <c r="C54" s="404"/>
      <c r="D54" s="405" t="s">
        <v>188</v>
      </c>
      <c r="E54" s="406">
        <f>SQRT((E55*E55)+(E56*E56)+(E57*E57))</f>
        <v>7.0663521942607221E-2</v>
      </c>
      <c r="F54" s="407" t="e">
        <f>(100/B58)</f>
        <v>#DIV/0!</v>
      </c>
      <c r="G54" s="408" t="e">
        <f>(E54*F54)</f>
        <v>#DIV/0!</v>
      </c>
      <c r="H54" s="389"/>
      <c r="J54" s="387"/>
    </row>
    <row r="55" spans="1:10" ht="19.5" customHeight="1" x14ac:dyDescent="0.2">
      <c r="A55" s="409" t="s">
        <v>187</v>
      </c>
      <c r="B55" s="410"/>
      <c r="C55" s="411">
        <f>Balanza!E31</f>
        <v>0</v>
      </c>
      <c r="D55" s="412" t="s">
        <v>186</v>
      </c>
      <c r="E55" s="413">
        <f>C55</f>
        <v>0</v>
      </c>
      <c r="F55" s="414"/>
      <c r="G55" s="415"/>
      <c r="H55" s="387"/>
      <c r="I55" s="387"/>
      <c r="J55" s="387"/>
    </row>
    <row r="56" spans="1:10" ht="19.5" customHeight="1" x14ac:dyDescent="0.2">
      <c r="A56" s="409" t="s">
        <v>185</v>
      </c>
      <c r="B56" s="410"/>
      <c r="C56" s="416">
        <f>2*(SQRT(Balanza!$B$9+Balanza!$C$9*(POWER(B54,2))))</f>
        <v>0.12899612397277679</v>
      </c>
      <c r="D56" s="412" t="s">
        <v>184</v>
      </c>
      <c r="E56" s="413">
        <f>C56/2</f>
        <v>6.4498061986388397E-2</v>
      </c>
      <c r="F56" s="414"/>
      <c r="G56" s="415"/>
      <c r="H56" s="387"/>
      <c r="I56" s="391" t="str">
        <f>A54</f>
        <v>M ret acumulado 2 1/2 in (g)</v>
      </c>
      <c r="J56" s="392" t="e">
        <f>G54</f>
        <v>#DIV/0!</v>
      </c>
    </row>
    <row r="57" spans="1:10" ht="19.5" customHeight="1" x14ac:dyDescent="0.2">
      <c r="A57" s="409" t="s">
        <v>183</v>
      </c>
      <c r="B57" s="410"/>
      <c r="C57" s="411">
        <f>+Balanza!$B$11</f>
        <v>0.1</v>
      </c>
      <c r="D57" s="412" t="s">
        <v>182</v>
      </c>
      <c r="E57" s="413">
        <f>(C57/SQRT(3)/2)</f>
        <v>2.8867513459481291E-2</v>
      </c>
      <c r="F57" s="414"/>
      <c r="G57" s="415"/>
      <c r="H57" s="387"/>
      <c r="I57" s="393" t="str">
        <f>A62</f>
        <v>Abertura de Tamiz  2 1/2 in (mm)</v>
      </c>
      <c r="J57" s="394">
        <f>G62</f>
        <v>8.9999999999999993E-3</v>
      </c>
    </row>
    <row r="58" spans="1:10" ht="19.5" customHeight="1" x14ac:dyDescent="0.2">
      <c r="A58" s="403" t="s">
        <v>189</v>
      </c>
      <c r="B58" s="417" t="b">
        <f>+Balanza!$C$26</f>
        <v>0</v>
      </c>
      <c r="C58" s="417"/>
      <c r="D58" s="405" t="s">
        <v>188</v>
      </c>
      <c r="E58" s="406">
        <f>SQRT((E59*E59)+(E60*E60)+(E61*E61))</f>
        <v>7.0663521942607221E-2</v>
      </c>
      <c r="F58" s="407" t="e">
        <f>(100*B54)/POWER(B58,2)</f>
        <v>#DIV/0!</v>
      </c>
      <c r="G58" s="408" t="e">
        <f>(E58*F58)</f>
        <v>#DIV/0!</v>
      </c>
      <c r="H58" s="387"/>
      <c r="I58" s="393" t="str">
        <f>A58</f>
        <v>M total (g)</v>
      </c>
      <c r="J58" s="394" t="e">
        <f>G58</f>
        <v>#DIV/0!</v>
      </c>
    </row>
    <row r="59" spans="1:10" ht="19.5" customHeight="1" x14ac:dyDescent="0.2">
      <c r="A59" s="409" t="s">
        <v>187</v>
      </c>
      <c r="B59" s="410"/>
      <c r="C59" s="411">
        <f>+Balanza!$D$26</f>
        <v>0</v>
      </c>
      <c r="D59" s="412" t="s">
        <v>186</v>
      </c>
      <c r="E59" s="413">
        <f>C59</f>
        <v>0</v>
      </c>
      <c r="F59" s="410"/>
      <c r="G59" s="418"/>
      <c r="H59" s="387"/>
      <c r="I59" s="395" t="str">
        <f>A64</f>
        <v>Factor de presición 2 1/2 in</v>
      </c>
      <c r="J59" s="396">
        <f>G64</f>
        <v>0</v>
      </c>
    </row>
    <row r="60" spans="1:10" ht="19.5" customHeight="1" x14ac:dyDescent="0.2">
      <c r="A60" s="409" t="s">
        <v>185</v>
      </c>
      <c r="B60" s="410"/>
      <c r="C60" s="416">
        <f>2*(SQRT(Balanza!$B$9+Balanza!$C$9*(POWER(B58,2))))</f>
        <v>0.12899612397277679</v>
      </c>
      <c r="D60" s="412" t="s">
        <v>184</v>
      </c>
      <c r="E60" s="413">
        <f>C60/2</f>
        <v>6.4498061986388397E-2</v>
      </c>
      <c r="F60" s="410"/>
      <c r="G60" s="418"/>
      <c r="H60" s="387"/>
      <c r="I60" s="393"/>
      <c r="J60" s="394"/>
    </row>
    <row r="61" spans="1:10" ht="19.5" customHeight="1" x14ac:dyDescent="0.2">
      <c r="A61" s="409" t="s">
        <v>183</v>
      </c>
      <c r="B61" s="410"/>
      <c r="C61" s="411">
        <f>+Balanza!$B$11</f>
        <v>0.1</v>
      </c>
      <c r="D61" s="412" t="s">
        <v>182</v>
      </c>
      <c r="E61" s="413">
        <f>(C61/SQRT(3)/2)</f>
        <v>2.8867513459481291E-2</v>
      </c>
      <c r="F61" s="410"/>
      <c r="G61" s="418"/>
      <c r="H61" s="387"/>
      <c r="I61" s="393"/>
      <c r="J61" s="394"/>
    </row>
    <row r="62" spans="1:10" ht="19.5" customHeight="1" x14ac:dyDescent="0.2">
      <c r="A62" s="403" t="s">
        <v>239</v>
      </c>
      <c r="B62" s="404">
        <v>63.5</v>
      </c>
      <c r="C62" s="404"/>
      <c r="D62" s="405" t="s">
        <v>188</v>
      </c>
      <c r="E62" s="406">
        <f>+SQRT(E63^2)</f>
        <v>8.9999999999999993E-3</v>
      </c>
      <c r="F62" s="407">
        <v>1</v>
      </c>
      <c r="G62" s="408">
        <f>(E62*F62)</f>
        <v>8.9999999999999993E-3</v>
      </c>
      <c r="H62" s="387"/>
    </row>
    <row r="63" spans="1:10" ht="19.5" customHeight="1" x14ac:dyDescent="0.2">
      <c r="A63" s="409" t="s">
        <v>185</v>
      </c>
      <c r="B63" s="410"/>
      <c r="C63" s="419">
        <f>+Balanza!L29</f>
        <v>1.7999999999999999E-2</v>
      </c>
      <c r="D63" s="412" t="s">
        <v>184</v>
      </c>
      <c r="E63" s="413">
        <f>C63/2</f>
        <v>8.9999999999999993E-3</v>
      </c>
      <c r="F63" s="410"/>
      <c r="G63" s="418"/>
      <c r="H63" s="389"/>
    </row>
    <row r="64" spans="1:10" ht="19.5" customHeight="1" thickBot="1" x14ac:dyDescent="0.25">
      <c r="A64" s="420" t="s">
        <v>240</v>
      </c>
      <c r="B64" s="421">
        <f>+Balanza!B54</f>
        <v>0</v>
      </c>
      <c r="C64" s="421"/>
      <c r="D64" s="422" t="s">
        <v>180</v>
      </c>
      <c r="E64" s="423">
        <f>B64/SQRT(1)</f>
        <v>0</v>
      </c>
      <c r="F64" s="435">
        <v>1</v>
      </c>
      <c r="G64" s="425">
        <f>(E64*F64)</f>
        <v>0</v>
      </c>
      <c r="H64" s="389"/>
      <c r="I64" s="387"/>
      <c r="J64" s="387"/>
    </row>
    <row r="65" spans="1:10" ht="19.5" customHeight="1" thickBot="1" x14ac:dyDescent="0.25"/>
    <row r="66" spans="1:10" ht="19.5" customHeight="1" thickBot="1" x14ac:dyDescent="0.25">
      <c r="A66" s="426" t="s">
        <v>215</v>
      </c>
      <c r="B66" s="520" t="e">
        <f>+(1-(B68/B72))*100</f>
        <v>#DIV/0!</v>
      </c>
      <c r="C66" s="427"/>
      <c r="D66" s="428"/>
      <c r="E66" s="428"/>
      <c r="F66" s="433"/>
      <c r="G66" s="430"/>
      <c r="H66" s="431" t="e">
        <f>SQRT(G68*G68+(G76*G76)+(G72*G72)+(G78*G78))</f>
        <v>#DIV/0!</v>
      </c>
      <c r="I66" s="434" t="str">
        <f>IF(B68=0,"---",(H66*2))</f>
        <v>---</v>
      </c>
      <c r="J66" s="387"/>
    </row>
    <row r="67" spans="1:10" ht="19.5" customHeight="1" x14ac:dyDescent="0.2">
      <c r="A67" s="512"/>
      <c r="B67" s="507"/>
      <c r="C67" s="508"/>
      <c r="D67" s="509"/>
      <c r="E67" s="509"/>
      <c r="F67" s="510"/>
      <c r="G67" s="511"/>
      <c r="H67" s="504"/>
      <c r="I67" s="505"/>
      <c r="J67" s="387"/>
    </row>
    <row r="68" spans="1:10" ht="19.5" customHeight="1" x14ac:dyDescent="0.2">
      <c r="A68" s="526" t="s">
        <v>323</v>
      </c>
      <c r="B68" s="524">
        <f>+Balanza!D32</f>
        <v>0</v>
      </c>
      <c r="C68" s="404"/>
      <c r="D68" s="405" t="s">
        <v>188</v>
      </c>
      <c r="E68" s="406">
        <f>SQRT((E69*E69)+(E70*E70)+(E71*E71))</f>
        <v>7.0663521942607221E-2</v>
      </c>
      <c r="F68" s="407" t="e">
        <f>(100/B72)</f>
        <v>#DIV/0!</v>
      </c>
      <c r="G68" s="408" t="e">
        <f>(E68*F68)</f>
        <v>#DIV/0!</v>
      </c>
      <c r="H68" s="389"/>
      <c r="J68" s="387"/>
    </row>
    <row r="69" spans="1:10" ht="19.5" customHeight="1" x14ac:dyDescent="0.2">
      <c r="A69" s="409" t="s">
        <v>187</v>
      </c>
      <c r="B69" s="410"/>
      <c r="C69" s="411">
        <f>Balanza!E32</f>
        <v>0</v>
      </c>
      <c r="D69" s="412" t="s">
        <v>186</v>
      </c>
      <c r="E69" s="413">
        <f>C69</f>
        <v>0</v>
      </c>
      <c r="F69" s="414"/>
      <c r="G69" s="415"/>
      <c r="H69" s="387"/>
      <c r="I69" s="387"/>
      <c r="J69" s="387"/>
    </row>
    <row r="70" spans="1:10" ht="19.5" customHeight="1" x14ac:dyDescent="0.2">
      <c r="A70" s="409" t="s">
        <v>185</v>
      </c>
      <c r="B70" s="410"/>
      <c r="C70" s="416">
        <f>2*(SQRT(Balanza!$B$9+Balanza!$C$9*(POWER(B68,2))))</f>
        <v>0.12899612397277679</v>
      </c>
      <c r="D70" s="412" t="s">
        <v>184</v>
      </c>
      <c r="E70" s="413">
        <f>C70/2</f>
        <v>6.4498061986388397E-2</v>
      </c>
      <c r="F70" s="414"/>
      <c r="G70" s="415"/>
      <c r="H70" s="387"/>
      <c r="I70" s="391" t="str">
        <f>A68</f>
        <v>M ret acumulado 2 in (g)</v>
      </c>
      <c r="J70" s="392" t="e">
        <f>G68</f>
        <v>#DIV/0!</v>
      </c>
    </row>
    <row r="71" spans="1:10" ht="19.5" customHeight="1" x14ac:dyDescent="0.2">
      <c r="A71" s="409" t="s">
        <v>183</v>
      </c>
      <c r="B71" s="410"/>
      <c r="C71" s="411">
        <f>+Balanza!$B$11</f>
        <v>0.1</v>
      </c>
      <c r="D71" s="412" t="s">
        <v>182</v>
      </c>
      <c r="E71" s="413">
        <f>(C71/SQRT(3)/2)</f>
        <v>2.8867513459481291E-2</v>
      </c>
      <c r="F71" s="414"/>
      <c r="G71" s="415"/>
      <c r="H71" s="387"/>
      <c r="I71" s="393" t="str">
        <f>A76</f>
        <v>Abertura de Tamiz  2 in (mm)</v>
      </c>
      <c r="J71" s="394">
        <f>G76</f>
        <v>8.9999999999999993E-3</v>
      </c>
    </row>
    <row r="72" spans="1:10" ht="19.5" customHeight="1" x14ac:dyDescent="0.2">
      <c r="A72" s="403" t="s">
        <v>189</v>
      </c>
      <c r="B72" s="417" t="b">
        <f>+Balanza!$C$26</f>
        <v>0</v>
      </c>
      <c r="C72" s="417"/>
      <c r="D72" s="405" t="s">
        <v>188</v>
      </c>
      <c r="E72" s="406">
        <f>SQRT((E73*E73)+(E74*E74)+(E75*E75))</f>
        <v>7.0663521942607221E-2</v>
      </c>
      <c r="F72" s="407" t="e">
        <f>(100*B68)/POWER(B72,2)</f>
        <v>#DIV/0!</v>
      </c>
      <c r="G72" s="408" t="e">
        <f>(E72*F72)</f>
        <v>#DIV/0!</v>
      </c>
      <c r="H72" s="387"/>
      <c r="I72" s="393" t="str">
        <f>A72</f>
        <v>M total (g)</v>
      </c>
      <c r="J72" s="394" t="e">
        <f>G72</f>
        <v>#DIV/0!</v>
      </c>
    </row>
    <row r="73" spans="1:10" ht="19.5" customHeight="1" x14ac:dyDescent="0.2">
      <c r="A73" s="409" t="s">
        <v>187</v>
      </c>
      <c r="B73" s="410"/>
      <c r="C73" s="411">
        <f>+Balanza!$D$26</f>
        <v>0</v>
      </c>
      <c r="D73" s="412" t="s">
        <v>186</v>
      </c>
      <c r="E73" s="413">
        <f>C73</f>
        <v>0</v>
      </c>
      <c r="F73" s="410"/>
      <c r="G73" s="418"/>
      <c r="H73" s="387"/>
      <c r="I73" s="395" t="str">
        <f>A78</f>
        <v>Factor de presición 2 in</v>
      </c>
      <c r="J73" s="396">
        <f>G78</f>
        <v>0</v>
      </c>
    </row>
    <row r="74" spans="1:10" ht="19.5" customHeight="1" x14ac:dyDescent="0.2">
      <c r="A74" s="409" t="s">
        <v>185</v>
      </c>
      <c r="B74" s="410"/>
      <c r="C74" s="416">
        <f>2*(SQRT(Balanza!$B$9+Balanza!$C$9*(POWER(B72,2))))</f>
        <v>0.12899612397277679</v>
      </c>
      <c r="D74" s="412" t="s">
        <v>184</v>
      </c>
      <c r="E74" s="413">
        <f>C74/2</f>
        <v>6.4498061986388397E-2</v>
      </c>
      <c r="F74" s="410"/>
      <c r="G74" s="418"/>
      <c r="H74" s="387"/>
      <c r="I74" s="393"/>
      <c r="J74" s="394"/>
    </row>
    <row r="75" spans="1:10" ht="19.5" customHeight="1" x14ac:dyDescent="0.2">
      <c r="A75" s="409" t="s">
        <v>183</v>
      </c>
      <c r="B75" s="410"/>
      <c r="C75" s="411">
        <f>+Balanza!$B$11</f>
        <v>0.1</v>
      </c>
      <c r="D75" s="412" t="s">
        <v>182</v>
      </c>
      <c r="E75" s="413">
        <f>(C75/SQRT(3)/2)</f>
        <v>2.8867513459481291E-2</v>
      </c>
      <c r="F75" s="410"/>
      <c r="G75" s="418"/>
      <c r="H75" s="387"/>
      <c r="I75" s="393"/>
      <c r="J75" s="394"/>
    </row>
    <row r="76" spans="1:10" ht="19.5" customHeight="1" x14ac:dyDescent="0.2">
      <c r="A76" s="403" t="s">
        <v>214</v>
      </c>
      <c r="B76" s="404">
        <v>50</v>
      </c>
      <c r="C76" s="404"/>
      <c r="D76" s="405" t="s">
        <v>188</v>
      </c>
      <c r="E76" s="406">
        <f>+SQRT(E77^2)</f>
        <v>8.9999999999999993E-3</v>
      </c>
      <c r="F76" s="407">
        <v>1</v>
      </c>
      <c r="G76" s="408">
        <f>(E76*F76)</f>
        <v>8.9999999999999993E-3</v>
      </c>
      <c r="H76" s="387"/>
    </row>
    <row r="77" spans="1:10" ht="19.5" customHeight="1" x14ac:dyDescent="0.2">
      <c r="A77" s="409" t="s">
        <v>185</v>
      </c>
      <c r="B77" s="410"/>
      <c r="C77" s="419">
        <f>+Balanza!L30</f>
        <v>1.7999999999999999E-2</v>
      </c>
      <c r="D77" s="412" t="s">
        <v>184</v>
      </c>
      <c r="E77" s="413">
        <f>C77/2</f>
        <v>8.9999999999999993E-3</v>
      </c>
      <c r="F77" s="410"/>
      <c r="G77" s="418"/>
      <c r="H77" s="389"/>
    </row>
    <row r="78" spans="1:10" ht="19.5" customHeight="1" thickBot="1" x14ac:dyDescent="0.25">
      <c r="A78" s="420" t="s">
        <v>213</v>
      </c>
      <c r="B78" s="421">
        <f>+Balanza!B55</f>
        <v>0</v>
      </c>
      <c r="C78" s="421"/>
      <c r="D78" s="422" t="s">
        <v>180</v>
      </c>
      <c r="E78" s="423">
        <f>B78/SQRT(1)</f>
        <v>0</v>
      </c>
      <c r="F78" s="435">
        <v>1</v>
      </c>
      <c r="G78" s="425">
        <f>(E78*F78)</f>
        <v>0</v>
      </c>
      <c r="H78" s="389"/>
      <c r="I78" s="387"/>
      <c r="J78" s="387"/>
    </row>
    <row r="79" spans="1:10" ht="19.5" customHeight="1" thickBot="1" x14ac:dyDescent="0.25"/>
    <row r="80" spans="1:10" ht="19.5" customHeight="1" thickBot="1" x14ac:dyDescent="0.25">
      <c r="A80" s="426" t="s">
        <v>212</v>
      </c>
      <c r="B80" s="520" t="e">
        <f>+(1-(B82/B86))*100</f>
        <v>#DIV/0!</v>
      </c>
      <c r="C80" s="427"/>
      <c r="D80" s="428"/>
      <c r="E80" s="428"/>
      <c r="F80" s="433"/>
      <c r="G80" s="430"/>
      <c r="H80" s="431" t="e">
        <f>SQRT(G82*G82+(G90*G90)+(G86*G86)+(G92*G92))</f>
        <v>#DIV/0!</v>
      </c>
      <c r="I80" s="434" t="str">
        <f>IF(B82=0,"---",(H80*2))</f>
        <v>---</v>
      </c>
      <c r="J80" s="387"/>
    </row>
    <row r="81" spans="1:10" ht="19.5" customHeight="1" x14ac:dyDescent="0.2">
      <c r="A81" s="513"/>
      <c r="B81" s="507"/>
      <c r="C81" s="508"/>
      <c r="D81" s="509"/>
      <c r="E81" s="509"/>
      <c r="F81" s="510"/>
      <c r="G81" s="511"/>
      <c r="H81" s="504"/>
      <c r="I81" s="505"/>
      <c r="J81" s="387"/>
    </row>
    <row r="82" spans="1:10" ht="19.5" customHeight="1" x14ac:dyDescent="0.2">
      <c r="A82" s="523" t="s">
        <v>324</v>
      </c>
      <c r="B82" s="524">
        <f>+Balanza!D33</f>
        <v>0</v>
      </c>
      <c r="C82" s="404"/>
      <c r="D82" s="405" t="s">
        <v>188</v>
      </c>
      <c r="E82" s="406">
        <f>SQRT((E83*E83)+(E84*E84)+(E85*E85))</f>
        <v>7.0663521942607221E-2</v>
      </c>
      <c r="F82" s="407" t="e">
        <f>(100/B86)</f>
        <v>#DIV/0!</v>
      </c>
      <c r="G82" s="408" t="e">
        <f>(E82*F82)</f>
        <v>#DIV/0!</v>
      </c>
      <c r="H82" s="389"/>
      <c r="J82" s="387"/>
    </row>
    <row r="83" spans="1:10" ht="19.5" customHeight="1" x14ac:dyDescent="0.2">
      <c r="A83" s="409" t="s">
        <v>187</v>
      </c>
      <c r="B83" s="410"/>
      <c r="C83" s="411">
        <f>Balanza!E33</f>
        <v>0</v>
      </c>
      <c r="D83" s="412" t="s">
        <v>186</v>
      </c>
      <c r="E83" s="413">
        <f>C83</f>
        <v>0</v>
      </c>
      <c r="F83" s="414"/>
      <c r="G83" s="415"/>
      <c r="H83" s="387"/>
      <c r="I83" s="387"/>
      <c r="J83" s="387"/>
    </row>
    <row r="84" spans="1:10" ht="19.5" customHeight="1" x14ac:dyDescent="0.2">
      <c r="A84" s="409" t="s">
        <v>185</v>
      </c>
      <c r="B84" s="410"/>
      <c r="C84" s="416">
        <f>2*(SQRT(Balanza!$B$9+Balanza!$C$9*(POWER(B82,2))))</f>
        <v>0.12899612397277679</v>
      </c>
      <c r="D84" s="412" t="s">
        <v>184</v>
      </c>
      <c r="E84" s="413">
        <f>C84/2</f>
        <v>6.4498061986388397E-2</v>
      </c>
      <c r="F84" s="414"/>
      <c r="G84" s="415"/>
      <c r="H84" s="387"/>
      <c r="I84" s="391" t="str">
        <f>A82</f>
        <v>M ret acumulado 1 1/2 in (g)</v>
      </c>
      <c r="J84" s="392" t="e">
        <f>G82</f>
        <v>#DIV/0!</v>
      </c>
    </row>
    <row r="85" spans="1:10" ht="19.5" customHeight="1" x14ac:dyDescent="0.2">
      <c r="A85" s="409" t="s">
        <v>183</v>
      </c>
      <c r="B85" s="410"/>
      <c r="C85" s="411">
        <f>+Balanza!$B$11</f>
        <v>0.1</v>
      </c>
      <c r="D85" s="412" t="s">
        <v>182</v>
      </c>
      <c r="E85" s="413">
        <f>(C85/SQRT(3)/2)</f>
        <v>2.8867513459481291E-2</v>
      </c>
      <c r="F85" s="414"/>
      <c r="G85" s="415"/>
      <c r="H85" s="387"/>
      <c r="I85" s="393" t="str">
        <f>A90</f>
        <v>Abertura de Tamiz 1 1/2 in (mm)</v>
      </c>
      <c r="J85" s="394">
        <f>G90</f>
        <v>8.9999999999999993E-3</v>
      </c>
    </row>
    <row r="86" spans="1:10" ht="19.5" customHeight="1" x14ac:dyDescent="0.2">
      <c r="A86" s="403" t="s">
        <v>189</v>
      </c>
      <c r="B86" s="417" t="b">
        <f>+Balanza!$C$26</f>
        <v>0</v>
      </c>
      <c r="C86" s="417"/>
      <c r="D86" s="405" t="s">
        <v>188</v>
      </c>
      <c r="E86" s="406">
        <f>SQRT((E87*E87)+(E88*E88)+(E89*E89))</f>
        <v>7.0663521942607221E-2</v>
      </c>
      <c r="F86" s="407" t="e">
        <f>(100*B82)/POWER(B86,2)</f>
        <v>#DIV/0!</v>
      </c>
      <c r="G86" s="408" t="e">
        <f>(E86*F86)</f>
        <v>#DIV/0!</v>
      </c>
      <c r="H86" s="387"/>
      <c r="I86" s="393" t="str">
        <f>A86</f>
        <v>M total (g)</v>
      </c>
      <c r="J86" s="394" t="e">
        <f>G86</f>
        <v>#DIV/0!</v>
      </c>
    </row>
    <row r="87" spans="1:10" ht="19.5" customHeight="1" x14ac:dyDescent="0.2">
      <c r="A87" s="409" t="s">
        <v>187</v>
      </c>
      <c r="B87" s="410"/>
      <c r="C87" s="411">
        <f>+Balanza!$D$26</f>
        <v>0</v>
      </c>
      <c r="D87" s="412" t="s">
        <v>186</v>
      </c>
      <c r="E87" s="413">
        <f>C87</f>
        <v>0</v>
      </c>
      <c r="F87" s="410"/>
      <c r="G87" s="418"/>
      <c r="H87" s="387"/>
      <c r="I87" s="395" t="str">
        <f>A92</f>
        <v>Factor de presición 1 1/2 in</v>
      </c>
      <c r="J87" s="396">
        <f>G92</f>
        <v>0</v>
      </c>
    </row>
    <row r="88" spans="1:10" ht="19.5" customHeight="1" x14ac:dyDescent="0.2">
      <c r="A88" s="409" t="s">
        <v>185</v>
      </c>
      <c r="B88" s="410"/>
      <c r="C88" s="416">
        <f>2*(SQRT(Balanza!$B$9+Balanza!$C$9*(POWER(B86,2))))</f>
        <v>0.12899612397277679</v>
      </c>
      <c r="D88" s="412" t="s">
        <v>184</v>
      </c>
      <c r="E88" s="413">
        <f>C88/2</f>
        <v>6.4498061986388397E-2</v>
      </c>
      <c r="F88" s="410"/>
      <c r="G88" s="418"/>
      <c r="H88" s="387"/>
      <c r="I88" s="393"/>
      <c r="J88" s="394"/>
    </row>
    <row r="89" spans="1:10" ht="19.5" customHeight="1" x14ac:dyDescent="0.2">
      <c r="A89" s="409" t="s">
        <v>183</v>
      </c>
      <c r="B89" s="410"/>
      <c r="C89" s="411">
        <f>+Balanza!$B$11</f>
        <v>0.1</v>
      </c>
      <c r="D89" s="412" t="s">
        <v>182</v>
      </c>
      <c r="E89" s="413">
        <f>(C89/SQRT(3)/2)</f>
        <v>2.8867513459481291E-2</v>
      </c>
      <c r="F89" s="410"/>
      <c r="G89" s="418"/>
      <c r="H89" s="387"/>
      <c r="I89" s="393"/>
      <c r="J89" s="394"/>
    </row>
    <row r="90" spans="1:10" ht="19.5" customHeight="1" x14ac:dyDescent="0.2">
      <c r="A90" s="403" t="s">
        <v>211</v>
      </c>
      <c r="B90" s="404">
        <v>37.5</v>
      </c>
      <c r="C90" s="404"/>
      <c r="D90" s="405" t="s">
        <v>188</v>
      </c>
      <c r="E90" s="406">
        <f>+SQRT(E91^2)</f>
        <v>8.9999999999999993E-3</v>
      </c>
      <c r="F90" s="407">
        <v>1</v>
      </c>
      <c r="G90" s="408">
        <f>(E90*F90)</f>
        <v>8.9999999999999993E-3</v>
      </c>
      <c r="H90" s="387"/>
    </row>
    <row r="91" spans="1:10" ht="19.5" customHeight="1" x14ac:dyDescent="0.2">
      <c r="A91" s="409" t="s">
        <v>185</v>
      </c>
      <c r="B91" s="410"/>
      <c r="C91" s="419">
        <f>+Balanza!L31</f>
        <v>1.7999999999999999E-2</v>
      </c>
      <c r="D91" s="412" t="s">
        <v>184</v>
      </c>
      <c r="E91" s="413">
        <f>C91/2</f>
        <v>8.9999999999999993E-3</v>
      </c>
      <c r="F91" s="410"/>
      <c r="G91" s="418"/>
      <c r="H91" s="389"/>
    </row>
    <row r="92" spans="1:10" ht="19.5" customHeight="1" thickBot="1" x14ac:dyDescent="0.25">
      <c r="A92" s="420" t="s">
        <v>210</v>
      </c>
      <c r="B92" s="421">
        <f>+Balanza!B56</f>
        <v>0</v>
      </c>
      <c r="C92" s="421"/>
      <c r="D92" s="422" t="s">
        <v>180</v>
      </c>
      <c r="E92" s="423">
        <f>B92/SQRT(1)</f>
        <v>0</v>
      </c>
      <c r="F92" s="435">
        <v>1</v>
      </c>
      <c r="G92" s="425">
        <f>(E92*F92)</f>
        <v>0</v>
      </c>
      <c r="H92" s="389"/>
      <c r="I92" s="387"/>
      <c r="J92" s="387"/>
    </row>
    <row r="93" spans="1:10" ht="12" thickBot="1" x14ac:dyDescent="0.25"/>
    <row r="94" spans="1:10" ht="19.5" customHeight="1" thickBot="1" x14ac:dyDescent="0.25">
      <c r="A94" s="426" t="s">
        <v>209</v>
      </c>
      <c r="B94" s="520" t="e">
        <f>+(1-(B96/B100))*100</f>
        <v>#DIV/0!</v>
      </c>
      <c r="C94" s="427"/>
      <c r="D94" s="428"/>
      <c r="E94" s="428"/>
      <c r="F94" s="429"/>
      <c r="G94" s="430"/>
      <c r="H94" s="431" t="e">
        <f>SQRT(G96*G96+(G104*G104)+(G100*G100)+(G106*G106))</f>
        <v>#DIV/0!</v>
      </c>
      <c r="I94" s="432" t="str">
        <f>IF(B96=0,"---",(H94*2))</f>
        <v>---</v>
      </c>
      <c r="J94" s="387"/>
    </row>
    <row r="95" spans="1:10" ht="19.5" customHeight="1" x14ac:dyDescent="0.2">
      <c r="A95" s="513"/>
      <c r="B95" s="507"/>
      <c r="C95" s="508"/>
      <c r="D95" s="509"/>
      <c r="E95" s="509"/>
      <c r="F95" s="515"/>
      <c r="G95" s="511"/>
      <c r="H95" s="504"/>
      <c r="I95" s="514"/>
      <c r="J95" s="387"/>
    </row>
    <row r="96" spans="1:10" ht="19.5" customHeight="1" x14ac:dyDescent="0.2">
      <c r="A96" s="523" t="s">
        <v>325</v>
      </c>
      <c r="B96" s="524">
        <f>+Balanza!D34</f>
        <v>0</v>
      </c>
      <c r="C96" s="404"/>
      <c r="D96" s="405" t="s">
        <v>188</v>
      </c>
      <c r="E96" s="406">
        <f>SQRT((E97*E97)+(E98*E98)+(E99*E99))</f>
        <v>7.0663521942607221E-2</v>
      </c>
      <c r="F96" s="407" t="e">
        <f>(100/B100)</f>
        <v>#DIV/0!</v>
      </c>
      <c r="G96" s="408" t="e">
        <f>(E96*F96)</f>
        <v>#DIV/0!</v>
      </c>
      <c r="H96" s="389"/>
      <c r="J96" s="387"/>
    </row>
    <row r="97" spans="1:10" ht="19.5" customHeight="1" x14ac:dyDescent="0.2">
      <c r="A97" s="409" t="s">
        <v>187</v>
      </c>
      <c r="B97" s="410"/>
      <c r="C97" s="411">
        <f>Balanza!E34</f>
        <v>0</v>
      </c>
      <c r="D97" s="412" t="s">
        <v>186</v>
      </c>
      <c r="E97" s="413">
        <f>C97</f>
        <v>0</v>
      </c>
      <c r="F97" s="414"/>
      <c r="G97" s="415"/>
      <c r="H97" s="387"/>
      <c r="I97" s="387"/>
      <c r="J97" s="387"/>
    </row>
    <row r="98" spans="1:10" ht="19.5" customHeight="1" x14ac:dyDescent="0.2">
      <c r="A98" s="409" t="s">
        <v>185</v>
      </c>
      <c r="B98" s="410"/>
      <c r="C98" s="416">
        <f>2*(SQRT(Balanza!$B$9+Balanza!$C$9*(POWER(B96,2))))</f>
        <v>0.12899612397277679</v>
      </c>
      <c r="D98" s="412" t="s">
        <v>184</v>
      </c>
      <c r="E98" s="413">
        <f>C98/2</f>
        <v>6.4498061986388397E-2</v>
      </c>
      <c r="F98" s="414"/>
      <c r="G98" s="415"/>
      <c r="H98" s="387"/>
      <c r="I98" s="391" t="str">
        <f>A96</f>
        <v>M ret acumulado 1 in (g)</v>
      </c>
      <c r="J98" s="392" t="e">
        <f>G96</f>
        <v>#DIV/0!</v>
      </c>
    </row>
    <row r="99" spans="1:10" ht="19.5" customHeight="1" x14ac:dyDescent="0.2">
      <c r="A99" s="409" t="s">
        <v>183</v>
      </c>
      <c r="B99" s="410"/>
      <c r="C99" s="411">
        <f>+Balanza!$B$11</f>
        <v>0.1</v>
      </c>
      <c r="D99" s="412" t="s">
        <v>182</v>
      </c>
      <c r="E99" s="413">
        <f>(C99/SQRT(3)/2)</f>
        <v>2.8867513459481291E-2</v>
      </c>
      <c r="F99" s="414"/>
      <c r="G99" s="415"/>
      <c r="H99" s="387"/>
      <c r="I99" s="393" t="str">
        <f>A104</f>
        <v>Abertura de Tamiz 1 in (mm)</v>
      </c>
      <c r="J99" s="394">
        <f>G104</f>
        <v>8.9999999999999993E-3</v>
      </c>
    </row>
    <row r="100" spans="1:10" ht="19.5" customHeight="1" x14ac:dyDescent="0.2">
      <c r="A100" s="403" t="s">
        <v>189</v>
      </c>
      <c r="B100" s="417" t="b">
        <f>+Balanza!$C$26</f>
        <v>0</v>
      </c>
      <c r="C100" s="417"/>
      <c r="D100" s="405" t="s">
        <v>188</v>
      </c>
      <c r="E100" s="406">
        <f>SQRT((E101*E101)+(E102*E102)+(E103*E103))</f>
        <v>7.0663521942607221E-2</v>
      </c>
      <c r="F100" s="407" t="e">
        <f>(100*B96)/POWER(B100,2)</f>
        <v>#DIV/0!</v>
      </c>
      <c r="G100" s="408" t="e">
        <f>(E100*F100)</f>
        <v>#DIV/0!</v>
      </c>
      <c r="H100" s="387"/>
      <c r="I100" s="393" t="str">
        <f>A100</f>
        <v>M total (g)</v>
      </c>
      <c r="J100" s="394" t="e">
        <f>G100</f>
        <v>#DIV/0!</v>
      </c>
    </row>
    <row r="101" spans="1:10" ht="19.5" customHeight="1" x14ac:dyDescent="0.2">
      <c r="A101" s="409" t="s">
        <v>187</v>
      </c>
      <c r="B101" s="410"/>
      <c r="C101" s="411">
        <f>+Balanza!$D$26</f>
        <v>0</v>
      </c>
      <c r="D101" s="412" t="s">
        <v>186</v>
      </c>
      <c r="E101" s="413">
        <f>C101</f>
        <v>0</v>
      </c>
      <c r="F101" s="410"/>
      <c r="G101" s="418"/>
      <c r="H101" s="387"/>
      <c r="I101" s="395" t="str">
        <f>A106</f>
        <v>Factor de presición 1 in</v>
      </c>
      <c r="J101" s="396">
        <f>G106</f>
        <v>0</v>
      </c>
    </row>
    <row r="102" spans="1:10" ht="19.5" customHeight="1" x14ac:dyDescent="0.2">
      <c r="A102" s="409" t="s">
        <v>185</v>
      </c>
      <c r="B102" s="410"/>
      <c r="C102" s="416">
        <f>2*(SQRT(Balanza!$B$9+Balanza!$C$9*(POWER(B100,2))))</f>
        <v>0.12899612397277679</v>
      </c>
      <c r="D102" s="412" t="s">
        <v>184</v>
      </c>
      <c r="E102" s="413">
        <f>C102/2</f>
        <v>6.4498061986388397E-2</v>
      </c>
      <c r="F102" s="410"/>
      <c r="G102" s="418"/>
      <c r="H102" s="387"/>
    </row>
    <row r="103" spans="1:10" ht="19.5" customHeight="1" x14ac:dyDescent="0.2">
      <c r="A103" s="409" t="s">
        <v>183</v>
      </c>
      <c r="B103" s="410"/>
      <c r="C103" s="411">
        <f>+Balanza!$B$11</f>
        <v>0.1</v>
      </c>
      <c r="D103" s="412" t="s">
        <v>182</v>
      </c>
      <c r="E103" s="413">
        <f>(C103/SQRT(3)/2)</f>
        <v>2.8867513459481291E-2</v>
      </c>
      <c r="F103" s="410"/>
      <c r="G103" s="418"/>
      <c r="H103" s="387"/>
    </row>
    <row r="104" spans="1:10" ht="19.5" customHeight="1" x14ac:dyDescent="0.2">
      <c r="A104" s="403" t="s">
        <v>208</v>
      </c>
      <c r="B104" s="404">
        <v>25</v>
      </c>
      <c r="C104" s="404"/>
      <c r="D104" s="405" t="s">
        <v>188</v>
      </c>
      <c r="E104" s="406">
        <f>+SQRT(E105^2)</f>
        <v>8.9999999999999993E-3</v>
      </c>
      <c r="F104" s="407">
        <v>1</v>
      </c>
      <c r="G104" s="408">
        <f>(E104*F104)</f>
        <v>8.9999999999999993E-3</v>
      </c>
      <c r="H104" s="387"/>
    </row>
    <row r="105" spans="1:10" ht="19.5" customHeight="1" x14ac:dyDescent="0.2">
      <c r="A105" s="409" t="s">
        <v>185</v>
      </c>
      <c r="B105" s="410"/>
      <c r="C105" s="419">
        <f>+Balanza!L32</f>
        <v>1.7999999999999999E-2</v>
      </c>
      <c r="D105" s="412" t="s">
        <v>184</v>
      </c>
      <c r="E105" s="413">
        <f>C105/2</f>
        <v>8.9999999999999993E-3</v>
      </c>
      <c r="F105" s="410"/>
      <c r="G105" s="418"/>
      <c r="H105" s="389"/>
    </row>
    <row r="106" spans="1:10" ht="19.5" customHeight="1" thickBot="1" x14ac:dyDescent="0.25">
      <c r="A106" s="420" t="s">
        <v>207</v>
      </c>
      <c r="B106" s="421">
        <f>+Balanza!B57</f>
        <v>0</v>
      </c>
      <c r="C106" s="421"/>
      <c r="D106" s="422" t="s">
        <v>180</v>
      </c>
      <c r="E106" s="423">
        <f>B106/SQRT(1)</f>
        <v>0</v>
      </c>
      <c r="F106" s="424">
        <v>1</v>
      </c>
      <c r="G106" s="425">
        <f>(E106*F106)</f>
        <v>0</v>
      </c>
      <c r="H106" s="389"/>
      <c r="I106" s="387"/>
      <c r="J106" s="387"/>
    </row>
    <row r="107" spans="1:10" ht="19.5" customHeight="1" thickBot="1" x14ac:dyDescent="0.25"/>
    <row r="108" spans="1:10" ht="19.5" customHeight="1" thickBot="1" x14ac:dyDescent="0.25">
      <c r="A108" s="426" t="s">
        <v>206</v>
      </c>
      <c r="B108" s="520" t="e">
        <f>+(1-(B110/B114))*100</f>
        <v>#DIV/0!</v>
      </c>
      <c r="C108" s="427"/>
      <c r="D108" s="428"/>
      <c r="E108" s="428"/>
      <c r="F108" s="433"/>
      <c r="G108" s="430"/>
      <c r="H108" s="431" t="e">
        <f>SQRT(G110*G110+(G118*G118)+(G114*G114)+(G120*G120))</f>
        <v>#DIV/0!</v>
      </c>
      <c r="I108" s="434" t="str">
        <f>IF(B110=0,"---",(H108*2))</f>
        <v>---</v>
      </c>
      <c r="J108" s="387"/>
    </row>
    <row r="109" spans="1:10" ht="19.5" customHeight="1" x14ac:dyDescent="0.2">
      <c r="A109" s="513"/>
      <c r="B109" s="507"/>
      <c r="C109" s="508"/>
      <c r="D109" s="509"/>
      <c r="E109" s="509"/>
      <c r="F109" s="510"/>
      <c r="G109" s="511"/>
      <c r="H109" s="504"/>
      <c r="I109" s="505"/>
      <c r="J109" s="387"/>
    </row>
    <row r="110" spans="1:10" ht="19.5" customHeight="1" x14ac:dyDescent="0.2">
      <c r="A110" s="523" t="s">
        <v>326</v>
      </c>
      <c r="B110" s="524">
        <f>+Balanza!D35</f>
        <v>0</v>
      </c>
      <c r="C110" s="404"/>
      <c r="D110" s="405" t="s">
        <v>188</v>
      </c>
      <c r="E110" s="406">
        <f>SQRT((E111*E111)+(E112*E112)+(E113*E113))</f>
        <v>7.0663521942607221E-2</v>
      </c>
      <c r="F110" s="407" t="e">
        <f>(100/B114)</f>
        <v>#DIV/0!</v>
      </c>
      <c r="G110" s="408" t="e">
        <f>(E110*F110)</f>
        <v>#DIV/0!</v>
      </c>
      <c r="H110" s="389"/>
      <c r="J110" s="387"/>
    </row>
    <row r="111" spans="1:10" ht="19.5" customHeight="1" x14ac:dyDescent="0.2">
      <c r="A111" s="409" t="s">
        <v>187</v>
      </c>
      <c r="B111" s="410"/>
      <c r="C111" s="411">
        <f>Balanza!E35</f>
        <v>0</v>
      </c>
      <c r="D111" s="412" t="s">
        <v>186</v>
      </c>
      <c r="E111" s="413">
        <f>C111</f>
        <v>0</v>
      </c>
      <c r="F111" s="414"/>
      <c r="G111" s="415"/>
      <c r="H111" s="387"/>
      <c r="I111" s="387"/>
      <c r="J111" s="387"/>
    </row>
    <row r="112" spans="1:10" ht="19.5" customHeight="1" x14ac:dyDescent="0.2">
      <c r="A112" s="409" t="s">
        <v>185</v>
      </c>
      <c r="B112" s="410"/>
      <c r="C112" s="416">
        <f>2*(SQRT(Balanza!$B$9+Balanza!$C$9*(POWER(B110,2))))</f>
        <v>0.12899612397277679</v>
      </c>
      <c r="D112" s="412" t="s">
        <v>184</v>
      </c>
      <c r="E112" s="413">
        <f>C112/2</f>
        <v>6.4498061986388397E-2</v>
      </c>
      <c r="F112" s="414"/>
      <c r="G112" s="415"/>
      <c r="H112" s="387"/>
      <c r="I112" s="391" t="str">
        <f>A110</f>
        <v>M ret acumulado 3/4 in (g)</v>
      </c>
      <c r="J112" s="392" t="e">
        <f>G110</f>
        <v>#DIV/0!</v>
      </c>
    </row>
    <row r="113" spans="1:10" ht="19.5" customHeight="1" x14ac:dyDescent="0.2">
      <c r="A113" s="409" t="s">
        <v>183</v>
      </c>
      <c r="B113" s="410"/>
      <c r="C113" s="411">
        <f>+Balanza!$B$11</f>
        <v>0.1</v>
      </c>
      <c r="D113" s="412" t="s">
        <v>182</v>
      </c>
      <c r="E113" s="413">
        <f>(C113/SQRT(3)/2)</f>
        <v>2.8867513459481291E-2</v>
      </c>
      <c r="F113" s="414"/>
      <c r="G113" s="415"/>
      <c r="H113" s="387"/>
      <c r="I113" s="393" t="str">
        <f>A118</f>
        <v>Abertura de Tamiz 3/4 in (mm)</v>
      </c>
      <c r="J113" s="394">
        <f>G118</f>
        <v>8.9999999999999993E-3</v>
      </c>
    </row>
    <row r="114" spans="1:10" ht="19.5" customHeight="1" x14ac:dyDescent="0.2">
      <c r="A114" s="403" t="s">
        <v>189</v>
      </c>
      <c r="B114" s="417" t="b">
        <f>+Balanza!$C$26</f>
        <v>0</v>
      </c>
      <c r="C114" s="417"/>
      <c r="D114" s="405" t="s">
        <v>188</v>
      </c>
      <c r="E114" s="406">
        <f>SQRT((E115*E115)+(E116*E116)+(E117*E117))</f>
        <v>7.0663521942607221E-2</v>
      </c>
      <c r="F114" s="407" t="e">
        <f>(100*B110)/POWER(B114,2)</f>
        <v>#DIV/0!</v>
      </c>
      <c r="G114" s="408" t="e">
        <f>(E114*F114)</f>
        <v>#DIV/0!</v>
      </c>
      <c r="H114" s="387"/>
      <c r="I114" s="393" t="str">
        <f>A114</f>
        <v>M total (g)</v>
      </c>
      <c r="J114" s="394" t="e">
        <f>G114</f>
        <v>#DIV/0!</v>
      </c>
    </row>
    <row r="115" spans="1:10" ht="19.5" customHeight="1" x14ac:dyDescent="0.2">
      <c r="A115" s="409" t="s">
        <v>187</v>
      </c>
      <c r="B115" s="410"/>
      <c r="C115" s="411">
        <f>+Balanza!$D$26</f>
        <v>0</v>
      </c>
      <c r="D115" s="412" t="s">
        <v>186</v>
      </c>
      <c r="E115" s="413">
        <f>C115</f>
        <v>0</v>
      </c>
      <c r="F115" s="410"/>
      <c r="G115" s="418"/>
      <c r="H115" s="387"/>
      <c r="I115" s="395" t="str">
        <f>A120</f>
        <v>Factor de presición 3/4 in</v>
      </c>
      <c r="J115" s="396">
        <f>G120</f>
        <v>0</v>
      </c>
    </row>
    <row r="116" spans="1:10" ht="19.5" customHeight="1" x14ac:dyDescent="0.2">
      <c r="A116" s="409" t="s">
        <v>185</v>
      </c>
      <c r="B116" s="410"/>
      <c r="C116" s="416">
        <f>2*(SQRT(Balanza!$B$9+Balanza!$C$9*(POWER(B114,2))))</f>
        <v>0.12899612397277679</v>
      </c>
      <c r="D116" s="412" t="s">
        <v>184</v>
      </c>
      <c r="E116" s="413">
        <f>C116/2</f>
        <v>6.4498061986388397E-2</v>
      </c>
      <c r="F116" s="410"/>
      <c r="G116" s="418"/>
      <c r="H116" s="387"/>
      <c r="I116" s="393"/>
      <c r="J116" s="394"/>
    </row>
    <row r="117" spans="1:10" ht="19.5" customHeight="1" x14ac:dyDescent="0.2">
      <c r="A117" s="409" t="s">
        <v>183</v>
      </c>
      <c r="B117" s="410"/>
      <c r="C117" s="411">
        <f>+Balanza!$B$11</f>
        <v>0.1</v>
      </c>
      <c r="D117" s="412" t="s">
        <v>182</v>
      </c>
      <c r="E117" s="413">
        <f>(C117/SQRT(3)/2)</f>
        <v>2.8867513459481291E-2</v>
      </c>
      <c r="F117" s="410"/>
      <c r="G117" s="418"/>
      <c r="H117" s="387"/>
      <c r="I117" s="393"/>
      <c r="J117" s="394"/>
    </row>
    <row r="118" spans="1:10" ht="19.5" customHeight="1" x14ac:dyDescent="0.2">
      <c r="A118" s="403" t="s">
        <v>205</v>
      </c>
      <c r="B118" s="404">
        <v>19</v>
      </c>
      <c r="C118" s="404"/>
      <c r="D118" s="405" t="s">
        <v>188</v>
      </c>
      <c r="E118" s="406">
        <f>+SQRT(E119^2)</f>
        <v>8.9999999999999993E-3</v>
      </c>
      <c r="F118" s="407">
        <v>1</v>
      </c>
      <c r="G118" s="408">
        <f>(E118*F118)</f>
        <v>8.9999999999999993E-3</v>
      </c>
      <c r="H118" s="387"/>
    </row>
    <row r="119" spans="1:10" ht="19.5" customHeight="1" x14ac:dyDescent="0.2">
      <c r="A119" s="409" t="s">
        <v>185</v>
      </c>
      <c r="B119" s="410"/>
      <c r="C119" s="419">
        <f>+Balanza!L33</f>
        <v>1.7999999999999999E-2</v>
      </c>
      <c r="D119" s="412" t="s">
        <v>184</v>
      </c>
      <c r="E119" s="413">
        <f>C119/2</f>
        <v>8.9999999999999993E-3</v>
      </c>
      <c r="F119" s="410"/>
      <c r="G119" s="418"/>
      <c r="H119" s="389"/>
    </row>
    <row r="120" spans="1:10" ht="19.5" customHeight="1" thickBot="1" x14ac:dyDescent="0.25">
      <c r="A120" s="420" t="s">
        <v>204</v>
      </c>
      <c r="B120" s="421">
        <f>+Balanza!B58</f>
        <v>0</v>
      </c>
      <c r="C120" s="421"/>
      <c r="D120" s="422" t="s">
        <v>180</v>
      </c>
      <c r="E120" s="423">
        <f>B120/SQRT(1)</f>
        <v>0</v>
      </c>
      <c r="F120" s="435">
        <v>1</v>
      </c>
      <c r="G120" s="425">
        <f>(E120*F120)</f>
        <v>0</v>
      </c>
      <c r="H120" s="387"/>
      <c r="I120" s="387"/>
      <c r="J120" s="387"/>
    </row>
    <row r="121" spans="1:10" ht="19.5" customHeight="1" thickBot="1" x14ac:dyDescent="0.25"/>
    <row r="122" spans="1:10" ht="19.5" customHeight="1" thickBot="1" x14ac:dyDescent="0.25">
      <c r="A122" s="426" t="s">
        <v>241</v>
      </c>
      <c r="B122" s="520" t="e">
        <f>+(1-(B124/B128))*100</f>
        <v>#DIV/0!</v>
      </c>
      <c r="C122" s="427"/>
      <c r="D122" s="428"/>
      <c r="E122" s="428"/>
      <c r="F122" s="433"/>
      <c r="G122" s="430"/>
      <c r="H122" s="431" t="e">
        <f>SQRT(G124*G124+(G132*G132)+(G128*G128)+(G134*G134))</f>
        <v>#DIV/0!</v>
      </c>
      <c r="I122" s="434" t="str">
        <f>IF(B124=0,"---",(H122*2))</f>
        <v>---</v>
      </c>
      <c r="J122" s="387"/>
    </row>
    <row r="123" spans="1:10" ht="19.5" customHeight="1" x14ac:dyDescent="0.2">
      <c r="A123" s="513"/>
      <c r="B123" s="507"/>
      <c r="C123" s="508"/>
      <c r="D123" s="509"/>
      <c r="E123" s="509"/>
      <c r="F123" s="510"/>
      <c r="G123" s="511"/>
      <c r="H123" s="504"/>
      <c r="I123" s="505"/>
      <c r="J123" s="387"/>
    </row>
    <row r="124" spans="1:10" ht="19.5" customHeight="1" x14ac:dyDescent="0.2">
      <c r="A124" s="403" t="s">
        <v>327</v>
      </c>
      <c r="B124" s="525">
        <f>+Balanza!D36</f>
        <v>0</v>
      </c>
      <c r="C124" s="404"/>
      <c r="D124" s="405" t="s">
        <v>188</v>
      </c>
      <c r="E124" s="406">
        <f>SQRT((E125*E125)+(E126*E126)+(E127*E127))</f>
        <v>7.0663521942607221E-2</v>
      </c>
      <c r="F124" s="407" t="e">
        <f>(100/B128)</f>
        <v>#DIV/0!</v>
      </c>
      <c r="G124" s="408" t="e">
        <f>(E124*F124)</f>
        <v>#DIV/0!</v>
      </c>
      <c r="H124" s="389"/>
      <c r="J124" s="387"/>
    </row>
    <row r="125" spans="1:10" ht="19.5" customHeight="1" x14ac:dyDescent="0.2">
      <c r="A125" s="409" t="s">
        <v>187</v>
      </c>
      <c r="B125" s="410"/>
      <c r="C125" s="411">
        <f>Balanza!E36</f>
        <v>0</v>
      </c>
      <c r="D125" s="412" t="s">
        <v>186</v>
      </c>
      <c r="E125" s="413">
        <f>C125</f>
        <v>0</v>
      </c>
      <c r="F125" s="414"/>
      <c r="G125" s="415"/>
      <c r="H125" s="387"/>
      <c r="I125" s="387"/>
      <c r="J125" s="387"/>
    </row>
    <row r="126" spans="1:10" ht="19.5" customHeight="1" x14ac:dyDescent="0.2">
      <c r="A126" s="409" t="s">
        <v>185</v>
      </c>
      <c r="B126" s="410"/>
      <c r="C126" s="416">
        <f>2*(SQRT(Balanza!$B$9+Balanza!$C$9*(POWER(B124,2))))</f>
        <v>0.12899612397277679</v>
      </c>
      <c r="D126" s="412" t="s">
        <v>184</v>
      </c>
      <c r="E126" s="413">
        <f>C126/2</f>
        <v>6.4498061986388397E-2</v>
      </c>
      <c r="F126" s="414"/>
      <c r="G126" s="415"/>
      <c r="H126" s="387"/>
      <c r="I126" s="391" t="str">
        <f>A124</f>
        <v>M ret acumulado 1/2 in (g)</v>
      </c>
      <c r="J126" s="392" t="e">
        <f>G124</f>
        <v>#DIV/0!</v>
      </c>
    </row>
    <row r="127" spans="1:10" ht="19.5" customHeight="1" x14ac:dyDescent="0.2">
      <c r="A127" s="409" t="s">
        <v>183</v>
      </c>
      <c r="B127" s="410"/>
      <c r="C127" s="411">
        <f>+Balanza!$B$11</f>
        <v>0.1</v>
      </c>
      <c r="D127" s="412" t="s">
        <v>182</v>
      </c>
      <c r="E127" s="413">
        <f>(C127/SQRT(3)/2)</f>
        <v>2.8867513459481291E-2</v>
      </c>
      <c r="F127" s="414"/>
      <c r="G127" s="415"/>
      <c r="H127" s="387"/>
      <c r="I127" s="393" t="str">
        <f>A132</f>
        <v>Abertura de Tamiz 1/2 in (mm)</v>
      </c>
      <c r="J127" s="394">
        <f>G132</f>
        <v>8.9999999999999993E-3</v>
      </c>
    </row>
    <row r="128" spans="1:10" ht="19.5" customHeight="1" x14ac:dyDescent="0.2">
      <c r="A128" s="403" t="s">
        <v>189</v>
      </c>
      <c r="B128" s="417" t="b">
        <f>+Balanza!$C$26</f>
        <v>0</v>
      </c>
      <c r="C128" s="417"/>
      <c r="D128" s="405" t="s">
        <v>188</v>
      </c>
      <c r="E128" s="406">
        <f>SQRT((E129*E129)+(E130*E130)+(E131*E131))</f>
        <v>7.0663521942607221E-2</v>
      </c>
      <c r="F128" s="407" t="e">
        <f>(100*B124)/POWER(B128,2)</f>
        <v>#DIV/0!</v>
      </c>
      <c r="G128" s="408" t="e">
        <f>(E128*F128)</f>
        <v>#DIV/0!</v>
      </c>
      <c r="H128" s="387"/>
      <c r="I128" s="393" t="str">
        <f>A128</f>
        <v>M total (g)</v>
      </c>
      <c r="J128" s="394" t="e">
        <f>G128</f>
        <v>#DIV/0!</v>
      </c>
    </row>
    <row r="129" spans="1:10" ht="19.5" customHeight="1" x14ac:dyDescent="0.2">
      <c r="A129" s="409" t="s">
        <v>187</v>
      </c>
      <c r="B129" s="410"/>
      <c r="C129" s="411">
        <f>+Balanza!$D$26</f>
        <v>0</v>
      </c>
      <c r="D129" s="412" t="s">
        <v>186</v>
      </c>
      <c r="E129" s="413">
        <f>C129</f>
        <v>0</v>
      </c>
      <c r="F129" s="410"/>
      <c r="G129" s="418"/>
      <c r="H129" s="387"/>
      <c r="I129" s="395" t="str">
        <f>A134</f>
        <v>Factor de presición 1/2 in</v>
      </c>
      <c r="J129" s="396">
        <f>G134</f>
        <v>0</v>
      </c>
    </row>
    <row r="130" spans="1:10" ht="19.5" customHeight="1" x14ac:dyDescent="0.2">
      <c r="A130" s="409" t="s">
        <v>185</v>
      </c>
      <c r="B130" s="410"/>
      <c r="C130" s="416">
        <f>2*(SQRT(Balanza!$B$9+Balanza!$C$9*(POWER(B128,2))))</f>
        <v>0.12899612397277679</v>
      </c>
      <c r="D130" s="412" t="s">
        <v>184</v>
      </c>
      <c r="E130" s="413">
        <f>C130/2</f>
        <v>6.4498061986388397E-2</v>
      </c>
      <c r="F130" s="410"/>
      <c r="G130" s="418"/>
      <c r="H130" s="387"/>
      <c r="I130" s="393"/>
      <c r="J130" s="394"/>
    </row>
    <row r="131" spans="1:10" ht="19.5" customHeight="1" x14ac:dyDescent="0.2">
      <c r="A131" s="409" t="s">
        <v>183</v>
      </c>
      <c r="B131" s="410"/>
      <c r="C131" s="411">
        <f>+Balanza!$B$11</f>
        <v>0.1</v>
      </c>
      <c r="D131" s="412" t="s">
        <v>182</v>
      </c>
      <c r="E131" s="413">
        <f>(C131/SQRT(3)/2)</f>
        <v>2.8867513459481291E-2</v>
      </c>
      <c r="F131" s="410"/>
      <c r="G131" s="418"/>
      <c r="H131" s="387"/>
      <c r="I131" s="393"/>
      <c r="J131" s="394"/>
    </row>
    <row r="132" spans="1:10" ht="19.5" customHeight="1" x14ac:dyDescent="0.2">
      <c r="A132" s="403" t="s">
        <v>242</v>
      </c>
      <c r="B132" s="404">
        <v>12.5</v>
      </c>
      <c r="C132" s="404"/>
      <c r="D132" s="405" t="s">
        <v>188</v>
      </c>
      <c r="E132" s="406">
        <f>+SQRT(E133^2)</f>
        <v>8.9999999999999993E-3</v>
      </c>
      <c r="F132" s="407">
        <v>1</v>
      </c>
      <c r="G132" s="408">
        <f>(E132*F132)</f>
        <v>8.9999999999999993E-3</v>
      </c>
      <c r="H132" s="387"/>
    </row>
    <row r="133" spans="1:10" ht="19.5" customHeight="1" x14ac:dyDescent="0.2">
      <c r="A133" s="409" t="s">
        <v>185</v>
      </c>
      <c r="B133" s="410"/>
      <c r="C133" s="419">
        <f>+Balanza!L34</f>
        <v>1.7999999999999999E-2</v>
      </c>
      <c r="D133" s="412" t="s">
        <v>184</v>
      </c>
      <c r="E133" s="413">
        <f>C133/2</f>
        <v>8.9999999999999993E-3</v>
      </c>
      <c r="F133" s="410"/>
      <c r="G133" s="418"/>
      <c r="H133" s="389"/>
    </row>
    <row r="134" spans="1:10" ht="19.5" customHeight="1" thickBot="1" x14ac:dyDescent="0.25">
      <c r="A134" s="420" t="s">
        <v>243</v>
      </c>
      <c r="B134" s="421">
        <f>+Balanza!B59</f>
        <v>0</v>
      </c>
      <c r="C134" s="421"/>
      <c r="D134" s="422" t="s">
        <v>180</v>
      </c>
      <c r="E134" s="423">
        <f>B134/SQRT(1)</f>
        <v>0</v>
      </c>
      <c r="F134" s="435">
        <v>1</v>
      </c>
      <c r="G134" s="425">
        <f>(E134*F134)</f>
        <v>0</v>
      </c>
      <c r="H134" s="389"/>
      <c r="I134" s="387"/>
      <c r="J134" s="387"/>
    </row>
    <row r="135" spans="1:10" ht="19.5" customHeight="1" thickBot="1" x14ac:dyDescent="0.25"/>
    <row r="136" spans="1:10" ht="19.5" customHeight="1" thickBot="1" x14ac:dyDescent="0.25">
      <c r="A136" s="426" t="s">
        <v>203</v>
      </c>
      <c r="B136" s="520" t="e">
        <f>+(1-(B138/B142))*100</f>
        <v>#DIV/0!</v>
      </c>
      <c r="C136" s="427"/>
      <c r="D136" s="428"/>
      <c r="E136" s="428"/>
      <c r="F136" s="433"/>
      <c r="G136" s="430"/>
      <c r="H136" s="431" t="e">
        <f>SQRT(G138*G138+(G146*G146)+(G142*G142)+(G148*G148))</f>
        <v>#DIV/0!</v>
      </c>
      <c r="I136" s="434" t="str">
        <f>IF(B138=0,"---",(H136*2))</f>
        <v>---</v>
      </c>
      <c r="J136" s="387"/>
    </row>
    <row r="137" spans="1:10" ht="19.5" customHeight="1" x14ac:dyDescent="0.2">
      <c r="A137" s="513"/>
      <c r="B137" s="507"/>
      <c r="C137" s="508"/>
      <c r="D137" s="509"/>
      <c r="E137" s="509"/>
      <c r="F137" s="510"/>
      <c r="G137" s="511"/>
      <c r="H137" s="504"/>
      <c r="I137" s="505"/>
      <c r="J137" s="387"/>
    </row>
    <row r="138" spans="1:10" ht="19.5" customHeight="1" x14ac:dyDescent="0.2">
      <c r="A138" s="403" t="s">
        <v>328</v>
      </c>
      <c r="B138" s="525">
        <f>+Balanza!D37</f>
        <v>0</v>
      </c>
      <c r="C138" s="404"/>
      <c r="D138" s="405" t="s">
        <v>188</v>
      </c>
      <c r="E138" s="406">
        <f>SQRT((E139*E139)+(E140*E140)+(E141*E141))</f>
        <v>7.0663521942607221E-2</v>
      </c>
      <c r="F138" s="407" t="e">
        <f>(100/B142)</f>
        <v>#DIV/0!</v>
      </c>
      <c r="G138" s="408" t="e">
        <f>(E138*F138)</f>
        <v>#DIV/0!</v>
      </c>
      <c r="H138" s="389"/>
      <c r="J138" s="387"/>
    </row>
    <row r="139" spans="1:10" ht="19.5" customHeight="1" x14ac:dyDescent="0.2">
      <c r="A139" s="409" t="s">
        <v>187</v>
      </c>
      <c r="B139" s="410"/>
      <c r="C139" s="411">
        <f>Balanza!E37</f>
        <v>0</v>
      </c>
      <c r="D139" s="412" t="s">
        <v>186</v>
      </c>
      <c r="E139" s="413">
        <f>C139</f>
        <v>0</v>
      </c>
      <c r="F139" s="414"/>
      <c r="G139" s="415"/>
      <c r="H139" s="387"/>
      <c r="I139" s="387"/>
      <c r="J139" s="387"/>
    </row>
    <row r="140" spans="1:10" ht="19.5" customHeight="1" x14ac:dyDescent="0.2">
      <c r="A140" s="409" t="s">
        <v>185</v>
      </c>
      <c r="B140" s="410"/>
      <c r="C140" s="416">
        <f>2*(SQRT(Balanza!$B$9+Balanza!$C$9*(POWER(B138,2))))</f>
        <v>0.12899612397277679</v>
      </c>
      <c r="D140" s="412" t="s">
        <v>184</v>
      </c>
      <c r="E140" s="413">
        <f>C140/2</f>
        <v>6.4498061986388397E-2</v>
      </c>
      <c r="F140" s="414"/>
      <c r="G140" s="415"/>
      <c r="H140" s="387"/>
      <c r="I140" s="391" t="str">
        <f>A138</f>
        <v>M ret acumulado 3/8 in (g)</v>
      </c>
      <c r="J140" s="392" t="e">
        <f>G138</f>
        <v>#DIV/0!</v>
      </c>
    </row>
    <row r="141" spans="1:10" ht="19.5" customHeight="1" x14ac:dyDescent="0.2">
      <c r="A141" s="409" t="s">
        <v>183</v>
      </c>
      <c r="B141" s="410"/>
      <c r="C141" s="411">
        <f>+Balanza!$B$11</f>
        <v>0.1</v>
      </c>
      <c r="D141" s="412" t="s">
        <v>182</v>
      </c>
      <c r="E141" s="413">
        <f>(C141/SQRT(3)/2)</f>
        <v>2.8867513459481291E-2</v>
      </c>
      <c r="F141" s="414"/>
      <c r="G141" s="415"/>
      <c r="H141" s="387"/>
      <c r="I141" s="393" t="str">
        <f>A146</f>
        <v>Abertura de Tamiz 3/8 in (mm)</v>
      </c>
      <c r="J141" s="394">
        <f>G146</f>
        <v>8.9999999999999993E-3</v>
      </c>
    </row>
    <row r="142" spans="1:10" ht="19.5" customHeight="1" x14ac:dyDescent="0.2">
      <c r="A142" s="403" t="s">
        <v>189</v>
      </c>
      <c r="B142" s="417" t="b">
        <f>+Balanza!$C$26</f>
        <v>0</v>
      </c>
      <c r="C142" s="417"/>
      <c r="D142" s="405" t="s">
        <v>188</v>
      </c>
      <c r="E142" s="406">
        <f>SQRT((E143*E143)+(E144*E144)+(E145*E145))</f>
        <v>7.0663521942607221E-2</v>
      </c>
      <c r="F142" s="407" t="e">
        <f>(100*B138)/POWER(B142,2)</f>
        <v>#DIV/0!</v>
      </c>
      <c r="G142" s="408" t="e">
        <f>(E142*F142)</f>
        <v>#DIV/0!</v>
      </c>
      <c r="H142" s="387"/>
      <c r="I142" s="393" t="str">
        <f>A142</f>
        <v>M total (g)</v>
      </c>
      <c r="J142" s="394" t="e">
        <f>G142</f>
        <v>#DIV/0!</v>
      </c>
    </row>
    <row r="143" spans="1:10" ht="19.5" customHeight="1" x14ac:dyDescent="0.2">
      <c r="A143" s="409" t="s">
        <v>187</v>
      </c>
      <c r="B143" s="410"/>
      <c r="C143" s="411">
        <f>+Balanza!$D$26</f>
        <v>0</v>
      </c>
      <c r="D143" s="412" t="s">
        <v>186</v>
      </c>
      <c r="E143" s="413">
        <f>C143</f>
        <v>0</v>
      </c>
      <c r="F143" s="410"/>
      <c r="G143" s="418"/>
      <c r="H143" s="387"/>
      <c r="I143" s="395" t="str">
        <f>A148</f>
        <v>Factor de presición 3/8 in</v>
      </c>
      <c r="J143" s="396">
        <f>G148</f>
        <v>0</v>
      </c>
    </row>
    <row r="144" spans="1:10" ht="19.5" customHeight="1" x14ac:dyDescent="0.2">
      <c r="A144" s="409" t="s">
        <v>185</v>
      </c>
      <c r="B144" s="410"/>
      <c r="C144" s="416">
        <f>2*(SQRT(Balanza!$B$9+Balanza!$C$9*(POWER(B142,2))))</f>
        <v>0.12899612397277679</v>
      </c>
      <c r="D144" s="412" t="s">
        <v>184</v>
      </c>
      <c r="E144" s="413">
        <f>C144/2</f>
        <v>6.4498061986388397E-2</v>
      </c>
      <c r="F144" s="410"/>
      <c r="G144" s="418"/>
      <c r="H144" s="387"/>
      <c r="I144" s="393"/>
      <c r="J144" s="394"/>
    </row>
    <row r="145" spans="1:10" ht="19.5" customHeight="1" x14ac:dyDescent="0.2">
      <c r="A145" s="409" t="s">
        <v>183</v>
      </c>
      <c r="B145" s="410"/>
      <c r="C145" s="411">
        <f>+Balanza!$B$11</f>
        <v>0.1</v>
      </c>
      <c r="D145" s="412" t="s">
        <v>182</v>
      </c>
      <c r="E145" s="413">
        <f>(C145/SQRT(3)/2)</f>
        <v>2.8867513459481291E-2</v>
      </c>
      <c r="F145" s="410"/>
      <c r="G145" s="418"/>
      <c r="H145" s="387"/>
      <c r="I145" s="393"/>
      <c r="J145" s="394"/>
    </row>
    <row r="146" spans="1:10" ht="19.5" customHeight="1" x14ac:dyDescent="0.2">
      <c r="A146" s="403" t="s">
        <v>202</v>
      </c>
      <c r="B146" s="404">
        <v>9.5</v>
      </c>
      <c r="C146" s="404"/>
      <c r="D146" s="405" t="s">
        <v>188</v>
      </c>
      <c r="E146" s="406">
        <f>+SQRT(E147^2)</f>
        <v>8.9999999999999993E-3</v>
      </c>
      <c r="F146" s="407">
        <v>1</v>
      </c>
      <c r="G146" s="408">
        <f>(E146*F146)</f>
        <v>8.9999999999999993E-3</v>
      </c>
      <c r="H146" s="387"/>
    </row>
    <row r="147" spans="1:10" ht="19.5" customHeight="1" x14ac:dyDescent="0.2">
      <c r="A147" s="409" t="s">
        <v>185</v>
      </c>
      <c r="B147" s="410"/>
      <c r="C147" s="419">
        <f>+Balanza!L35</f>
        <v>1.7999999999999999E-2</v>
      </c>
      <c r="D147" s="412" t="s">
        <v>184</v>
      </c>
      <c r="E147" s="413">
        <f>C147/2</f>
        <v>8.9999999999999993E-3</v>
      </c>
      <c r="F147" s="410"/>
      <c r="G147" s="418"/>
      <c r="H147" s="389"/>
    </row>
    <row r="148" spans="1:10" ht="19.5" customHeight="1" thickBot="1" x14ac:dyDescent="0.25">
      <c r="A148" s="420" t="s">
        <v>201</v>
      </c>
      <c r="B148" s="421">
        <f>+Balanza!B60</f>
        <v>0</v>
      </c>
      <c r="C148" s="421"/>
      <c r="D148" s="422" t="s">
        <v>180</v>
      </c>
      <c r="E148" s="423">
        <f>B148/SQRT(1)</f>
        <v>0</v>
      </c>
      <c r="F148" s="435">
        <v>1</v>
      </c>
      <c r="G148" s="425">
        <f>(E148*F148)</f>
        <v>0</v>
      </c>
      <c r="H148" s="389"/>
      <c r="I148" s="387"/>
      <c r="J148" s="387"/>
    </row>
    <row r="149" spans="1:10" ht="19.5" customHeight="1" thickBot="1" x14ac:dyDescent="0.25"/>
    <row r="150" spans="1:10" ht="19.5" customHeight="1" thickBot="1" x14ac:dyDescent="0.25">
      <c r="A150" s="426" t="s">
        <v>200</v>
      </c>
      <c r="B150" s="520" t="e">
        <f>+(1-(B152/B156))*100</f>
        <v>#DIV/0!</v>
      </c>
      <c r="C150" s="427"/>
      <c r="D150" s="428"/>
      <c r="E150" s="428"/>
      <c r="F150" s="433"/>
      <c r="G150" s="430"/>
      <c r="H150" s="431" t="e">
        <f>SQRT(G152*G152+(G160*G160)+(G156*G156)+(G162*G162))</f>
        <v>#DIV/0!</v>
      </c>
      <c r="I150" s="434" t="str">
        <f>IF(B152=0,"---",(H150*2))</f>
        <v>---</v>
      </c>
      <c r="J150" s="387"/>
    </row>
    <row r="151" spans="1:10" ht="19.5" customHeight="1" x14ac:dyDescent="0.2">
      <c r="A151" s="513"/>
      <c r="B151" s="507"/>
      <c r="C151" s="508"/>
      <c r="D151" s="509"/>
      <c r="E151" s="509"/>
      <c r="F151" s="510"/>
      <c r="G151" s="511"/>
      <c r="H151" s="504"/>
      <c r="I151" s="505"/>
      <c r="J151" s="387"/>
    </row>
    <row r="152" spans="1:10" ht="19.5" customHeight="1" x14ac:dyDescent="0.2">
      <c r="A152" s="403" t="s">
        <v>329</v>
      </c>
      <c r="B152" s="525">
        <f>+Balanza!D38</f>
        <v>0</v>
      </c>
      <c r="C152" s="404"/>
      <c r="D152" s="405" t="s">
        <v>188</v>
      </c>
      <c r="E152" s="406">
        <f>SQRT((E153*E153)+(E154*E154)+(E155*E155))</f>
        <v>7.0663521942607221E-2</v>
      </c>
      <c r="F152" s="407" t="e">
        <f>(100/B156)</f>
        <v>#DIV/0!</v>
      </c>
      <c r="G152" s="408" t="e">
        <f>(E152*F152)</f>
        <v>#DIV/0!</v>
      </c>
      <c r="H152" s="389"/>
      <c r="J152" s="387"/>
    </row>
    <row r="153" spans="1:10" ht="19.5" customHeight="1" x14ac:dyDescent="0.2">
      <c r="A153" s="409" t="s">
        <v>187</v>
      </c>
      <c r="B153" s="410"/>
      <c r="C153" s="411">
        <f>Balanza!E38</f>
        <v>0</v>
      </c>
      <c r="D153" s="412" t="s">
        <v>186</v>
      </c>
      <c r="E153" s="413">
        <f>C153</f>
        <v>0</v>
      </c>
      <c r="F153" s="414"/>
      <c r="G153" s="415"/>
      <c r="H153" s="387"/>
      <c r="I153" s="387"/>
      <c r="J153" s="387"/>
    </row>
    <row r="154" spans="1:10" ht="19.5" customHeight="1" x14ac:dyDescent="0.2">
      <c r="A154" s="409" t="s">
        <v>185</v>
      </c>
      <c r="B154" s="410"/>
      <c r="C154" s="416">
        <f>2*(SQRT(Balanza!$B$9+Balanza!$C$9*(POWER(B152,2))))</f>
        <v>0.12899612397277679</v>
      </c>
      <c r="D154" s="412" t="s">
        <v>184</v>
      </c>
      <c r="E154" s="413">
        <f>C154/2</f>
        <v>6.4498061986388397E-2</v>
      </c>
      <c r="F154" s="414"/>
      <c r="G154" s="415"/>
      <c r="H154" s="387"/>
      <c r="I154" s="391" t="str">
        <f>A152</f>
        <v>M ret acumulado No. 4 (g)</v>
      </c>
      <c r="J154" s="392" t="e">
        <f>G152</f>
        <v>#DIV/0!</v>
      </c>
    </row>
    <row r="155" spans="1:10" ht="19.5" customHeight="1" x14ac:dyDescent="0.2">
      <c r="A155" s="409" t="s">
        <v>183</v>
      </c>
      <c r="B155" s="410"/>
      <c r="C155" s="411">
        <f>+Balanza!$B$11</f>
        <v>0.1</v>
      </c>
      <c r="D155" s="412" t="s">
        <v>182</v>
      </c>
      <c r="E155" s="413">
        <f>(C155/SQRT(3)/2)</f>
        <v>2.8867513459481291E-2</v>
      </c>
      <c r="F155" s="414"/>
      <c r="G155" s="415"/>
      <c r="H155" s="387"/>
      <c r="I155" s="393" t="str">
        <f>A160</f>
        <v>Abertura de Tamiz No. 4 (mm)</v>
      </c>
      <c r="J155" s="394">
        <f>G160</f>
        <v>8.9999999999999993E-3</v>
      </c>
    </row>
    <row r="156" spans="1:10" ht="19.5" customHeight="1" x14ac:dyDescent="0.2">
      <c r="A156" s="403" t="s">
        <v>189</v>
      </c>
      <c r="B156" s="417" t="b">
        <f>+Balanza!$C$26</f>
        <v>0</v>
      </c>
      <c r="C156" s="417"/>
      <c r="D156" s="405" t="s">
        <v>188</v>
      </c>
      <c r="E156" s="406">
        <f>SQRT((E157*E157)+(E158*E158)+(E159*E159))</f>
        <v>7.0663521942607221E-2</v>
      </c>
      <c r="F156" s="407" t="e">
        <f>(100*B152)/POWER(B156,2)</f>
        <v>#DIV/0!</v>
      </c>
      <c r="G156" s="408" t="e">
        <f>(E156*F156)</f>
        <v>#DIV/0!</v>
      </c>
      <c r="H156" s="387"/>
      <c r="I156" s="393" t="str">
        <f>A156</f>
        <v>M total (g)</v>
      </c>
      <c r="J156" s="394" t="e">
        <f>G156</f>
        <v>#DIV/0!</v>
      </c>
    </row>
    <row r="157" spans="1:10" ht="19.5" customHeight="1" x14ac:dyDescent="0.2">
      <c r="A157" s="409" t="s">
        <v>187</v>
      </c>
      <c r="B157" s="410"/>
      <c r="C157" s="411">
        <f>+Balanza!$D$26</f>
        <v>0</v>
      </c>
      <c r="D157" s="412" t="s">
        <v>186</v>
      </c>
      <c r="E157" s="413">
        <f>C157</f>
        <v>0</v>
      </c>
      <c r="F157" s="410"/>
      <c r="G157" s="418"/>
      <c r="H157" s="387"/>
      <c r="I157" s="395" t="str">
        <f>A162</f>
        <v>Factor de presición No. 4</v>
      </c>
      <c r="J157" s="396">
        <f>G162</f>
        <v>7.8102205558218438E-2</v>
      </c>
    </row>
    <row r="158" spans="1:10" ht="19.5" customHeight="1" x14ac:dyDescent="0.2">
      <c r="A158" s="409" t="s">
        <v>185</v>
      </c>
      <c r="B158" s="410"/>
      <c r="C158" s="416">
        <f>2*(SQRT(Balanza!$B$9+Balanza!$C$9*(POWER(B156,2))))</f>
        <v>0.12899612397277679</v>
      </c>
      <c r="D158" s="412" t="s">
        <v>184</v>
      </c>
      <c r="E158" s="413">
        <f>C158/2</f>
        <v>6.4498061986388397E-2</v>
      </c>
      <c r="F158" s="410"/>
      <c r="G158" s="418"/>
      <c r="H158" s="387"/>
      <c r="I158" s="393"/>
      <c r="J158" s="394"/>
    </row>
    <row r="159" spans="1:10" ht="19.5" customHeight="1" x14ac:dyDescent="0.2">
      <c r="A159" s="409" t="s">
        <v>183</v>
      </c>
      <c r="B159" s="410"/>
      <c r="C159" s="411">
        <f>+Balanza!$B$11</f>
        <v>0.1</v>
      </c>
      <c r="D159" s="412" t="s">
        <v>182</v>
      </c>
      <c r="E159" s="413">
        <f>(C159/SQRT(3)/2)</f>
        <v>2.8867513459481291E-2</v>
      </c>
      <c r="F159" s="410"/>
      <c r="G159" s="418"/>
      <c r="H159" s="387"/>
      <c r="I159" s="393"/>
      <c r="J159" s="394"/>
    </row>
    <row r="160" spans="1:10" ht="19.5" customHeight="1" x14ac:dyDescent="0.2">
      <c r="A160" s="403" t="s">
        <v>199</v>
      </c>
      <c r="B160" s="404">
        <v>4.75</v>
      </c>
      <c r="C160" s="404"/>
      <c r="D160" s="405" t="s">
        <v>188</v>
      </c>
      <c r="E160" s="406">
        <f>+SQRT(E161^2)</f>
        <v>8.9999999999999993E-3</v>
      </c>
      <c r="F160" s="407">
        <v>1</v>
      </c>
      <c r="G160" s="408">
        <f>(E160*F160)</f>
        <v>8.9999999999999993E-3</v>
      </c>
      <c r="H160" s="387"/>
    </row>
    <row r="161" spans="1:10" ht="19.5" customHeight="1" x14ac:dyDescent="0.2">
      <c r="A161" s="409" t="s">
        <v>185</v>
      </c>
      <c r="B161" s="410"/>
      <c r="C161" s="419">
        <f>+Balanza!L36</f>
        <v>1.7999999999999999E-2</v>
      </c>
      <c r="D161" s="412" t="s">
        <v>184</v>
      </c>
      <c r="E161" s="413">
        <f>C161/2</f>
        <v>8.9999999999999993E-3</v>
      </c>
      <c r="F161" s="410"/>
      <c r="G161" s="418"/>
      <c r="H161" s="389"/>
    </row>
    <row r="162" spans="1:10" ht="19.5" customHeight="1" thickBot="1" x14ac:dyDescent="0.25">
      <c r="A162" s="420" t="s">
        <v>198</v>
      </c>
      <c r="B162" s="421">
        <f>+Balanza!B61</f>
        <v>7.8102205558218438E-2</v>
      </c>
      <c r="C162" s="421"/>
      <c r="D162" s="422" t="s">
        <v>180</v>
      </c>
      <c r="E162" s="423">
        <f>B162/SQRT(1)</f>
        <v>7.8102205558218438E-2</v>
      </c>
      <c r="F162" s="435">
        <v>1</v>
      </c>
      <c r="G162" s="425">
        <f>(E162*F162)</f>
        <v>7.8102205558218438E-2</v>
      </c>
      <c r="H162" s="389"/>
      <c r="I162" s="387"/>
      <c r="J162" s="387"/>
    </row>
    <row r="163" spans="1:10" ht="19.5" customHeight="1" thickBot="1" x14ac:dyDescent="0.3">
      <c r="A163" s="516" t="str">
        <f>+datos!C10</f>
        <v>-</v>
      </c>
      <c r="H163" s="390" t="s">
        <v>318</v>
      </c>
    </row>
    <row r="164" spans="1:10" ht="19.5" customHeight="1" thickBot="1" x14ac:dyDescent="0.25">
      <c r="A164" s="426" t="s">
        <v>244</v>
      </c>
      <c r="B164" s="520" t="e">
        <f>IF($A$163="Fraccionada",$B$165*(1-(B166/B170)),(1-(B166/B170))*100)</f>
        <v>#DIV/0!</v>
      </c>
      <c r="C164" s="427"/>
      <c r="D164" s="428"/>
      <c r="E164" s="428"/>
      <c r="F164" s="433"/>
      <c r="G164" s="430"/>
      <c r="H164" s="431" t="e">
        <f>IF($A$163="fraccionada",SQRT(G166*G166+(G174*G174)+(G170*G170)+(G176*G176)+(G165*G165)),SQRT(G166*G166+G170*G170+G174*G174+G176*G176))</f>
        <v>#DIV/0!</v>
      </c>
      <c r="I164" s="434" t="str">
        <f>IF(B166=0,"---",(H164*2))</f>
        <v>---</v>
      </c>
      <c r="J164" s="387"/>
    </row>
    <row r="165" spans="1:10" ht="19.5" customHeight="1" x14ac:dyDescent="0.2">
      <c r="A165" s="513" t="str">
        <f>IF($A$163="Fraccionada","% pasa tamiz No 4","")</f>
        <v/>
      </c>
      <c r="B165" s="528" t="str">
        <f>IF($A$163="Fraccionada",$B$150,"")</f>
        <v/>
      </c>
      <c r="C165" s="529"/>
      <c r="D165" s="530"/>
      <c r="E165" s="531" t="str">
        <f>IF($A$163="Fraccionada",$H$150,"")</f>
        <v/>
      </c>
      <c r="F165" s="532" t="str">
        <f>IF($A$163="Fraccionada",1-B166/B170,"")</f>
        <v/>
      </c>
      <c r="G165" s="533" t="str">
        <f>IF($A$163="Fraccionada",(E165*F165),"")</f>
        <v/>
      </c>
      <c r="H165" s="504"/>
      <c r="I165" s="505"/>
      <c r="J165" s="387"/>
    </row>
    <row r="166" spans="1:10" ht="19.5" customHeight="1" x14ac:dyDescent="0.2">
      <c r="A166" s="403" t="s">
        <v>333</v>
      </c>
      <c r="B166" s="525">
        <f>+Balanza!D39</f>
        <v>0</v>
      </c>
      <c r="C166" s="404"/>
      <c r="D166" s="405" t="s">
        <v>188</v>
      </c>
      <c r="E166" s="406">
        <f>SQRT((E167*E167)+(E168*E168)+(E169*E169))</f>
        <v>7.0663521942607221E-2</v>
      </c>
      <c r="F166" s="407" t="e">
        <f>IF($A$163="Fraccionada",B165/B170,100/B170)</f>
        <v>#DIV/0!</v>
      </c>
      <c r="G166" s="408" t="e">
        <f>(E166*F166)</f>
        <v>#DIV/0!</v>
      </c>
      <c r="H166" s="389"/>
      <c r="J166" s="387"/>
    </row>
    <row r="167" spans="1:10" ht="19.5" customHeight="1" x14ac:dyDescent="0.2">
      <c r="A167" s="409" t="s">
        <v>187</v>
      </c>
      <c r="B167" s="410"/>
      <c r="C167" s="411">
        <f>Balanza!E39</f>
        <v>0</v>
      </c>
      <c r="D167" s="412" t="s">
        <v>186</v>
      </c>
      <c r="E167" s="413">
        <f>C167</f>
        <v>0</v>
      </c>
      <c r="F167" s="414"/>
      <c r="G167" s="415"/>
      <c r="H167" s="387"/>
      <c r="I167" s="387"/>
      <c r="J167" s="387"/>
    </row>
    <row r="168" spans="1:10" ht="19.5" customHeight="1" x14ac:dyDescent="0.2">
      <c r="A168" s="409" t="s">
        <v>185</v>
      </c>
      <c r="B168" s="410"/>
      <c r="C168" s="416">
        <f>2*(SQRT(Balanza!$B$9+Balanza!$C$9*(POWER(B166,2))))</f>
        <v>0.12899612397277679</v>
      </c>
      <c r="D168" s="412" t="s">
        <v>184</v>
      </c>
      <c r="E168" s="413">
        <f>C168/2</f>
        <v>6.4498061986388397E-2</v>
      </c>
      <c r="F168" s="414"/>
      <c r="G168" s="415"/>
      <c r="H168" s="387"/>
      <c r="I168" s="391" t="str">
        <f>A166</f>
        <v>M ret acumulado No. 8 (g)</v>
      </c>
      <c r="J168" s="392" t="e">
        <f>G166</f>
        <v>#DIV/0!</v>
      </c>
    </row>
    <row r="169" spans="1:10" ht="19.5" customHeight="1" x14ac:dyDescent="0.2">
      <c r="A169" s="409" t="s">
        <v>183</v>
      </c>
      <c r="B169" s="410"/>
      <c r="C169" s="411">
        <f>+Balanza!$B$11</f>
        <v>0.1</v>
      </c>
      <c r="D169" s="412" t="s">
        <v>182</v>
      </c>
      <c r="E169" s="413">
        <f>(C169/SQRT(3)/2)</f>
        <v>2.8867513459481291E-2</v>
      </c>
      <c r="F169" s="414"/>
      <c r="G169" s="415"/>
      <c r="H169" s="387"/>
      <c r="I169" s="393" t="str">
        <f>A174</f>
        <v>Abertura de Tamiz No. 8 (mm)</v>
      </c>
      <c r="J169" s="394">
        <f>G174</f>
        <v>3.2499999999999999E-3</v>
      </c>
    </row>
    <row r="170" spans="1:10" ht="19.5" customHeight="1" x14ac:dyDescent="0.2">
      <c r="A170" s="403" t="str">
        <f>IF($A$163="Fraccionada","M Fraccion Fino (g)","M total (g)")</f>
        <v>M total (g)</v>
      </c>
      <c r="B170" s="417" t="b">
        <f>IF($A$163="Fraccionada",datos!E20,datos!E19)</f>
        <v>0</v>
      </c>
      <c r="C170" s="417"/>
      <c r="D170" s="405" t="s">
        <v>188</v>
      </c>
      <c r="E170" s="406">
        <f>SQRT((E171*E171)+(E172*E172)+(E173*E173))</f>
        <v>7.0663521942607221E-2</v>
      </c>
      <c r="F170" s="407" t="e">
        <f>IF($A$163="Fraccionada",B166*B165/POWER(B170,2),(100*B166)/POWER(B170,2))</f>
        <v>#DIV/0!</v>
      </c>
      <c r="G170" s="408" t="e">
        <f>(E170*F170)</f>
        <v>#DIV/0!</v>
      </c>
      <c r="H170" s="387"/>
      <c r="I170" s="393" t="str">
        <f>A170</f>
        <v>M total (g)</v>
      </c>
      <c r="J170" s="394" t="e">
        <f>G170</f>
        <v>#DIV/0!</v>
      </c>
    </row>
    <row r="171" spans="1:10" ht="19.5" customHeight="1" x14ac:dyDescent="0.2">
      <c r="A171" s="409" t="s">
        <v>187</v>
      </c>
      <c r="B171" s="410"/>
      <c r="C171" s="411">
        <f>+Balanza!$D$26</f>
        <v>0</v>
      </c>
      <c r="D171" s="412" t="s">
        <v>186</v>
      </c>
      <c r="E171" s="413">
        <f>C171</f>
        <v>0</v>
      </c>
      <c r="F171" s="410"/>
      <c r="G171" s="418"/>
      <c r="H171" s="387"/>
      <c r="I171" s="395" t="str">
        <f>A176</f>
        <v>Factor de presición No. 8</v>
      </c>
      <c r="J171" s="396">
        <f>G176</f>
        <v>0.24270886010920917</v>
      </c>
    </row>
    <row r="172" spans="1:10" ht="19.5" customHeight="1" x14ac:dyDescent="0.2">
      <c r="A172" s="409" t="s">
        <v>185</v>
      </c>
      <c r="B172" s="410"/>
      <c r="C172" s="416">
        <f>2*(SQRT(Balanza!$B$9+Balanza!$C$9*(POWER(B170,2))))</f>
        <v>0.12899612397277679</v>
      </c>
      <c r="D172" s="412" t="s">
        <v>184</v>
      </c>
      <c r="E172" s="413">
        <f>C172/2</f>
        <v>6.4498061986388397E-2</v>
      </c>
      <c r="F172" s="410"/>
      <c r="G172" s="418"/>
      <c r="H172" s="387"/>
      <c r="I172" s="393"/>
      <c r="J172" s="394"/>
    </row>
    <row r="173" spans="1:10" ht="19.5" customHeight="1" x14ac:dyDescent="0.2">
      <c r="A173" s="409" t="s">
        <v>183</v>
      </c>
      <c r="B173" s="410"/>
      <c r="C173" s="411">
        <f>+Balanza!$B$11</f>
        <v>0.1</v>
      </c>
      <c r="D173" s="412" t="s">
        <v>182</v>
      </c>
      <c r="E173" s="413">
        <f>(C173/SQRT(3)/2)</f>
        <v>2.8867513459481291E-2</v>
      </c>
      <c r="F173" s="410"/>
      <c r="G173" s="418"/>
      <c r="H173" s="387"/>
      <c r="I173" s="393"/>
      <c r="J173" s="394"/>
    </row>
    <row r="174" spans="1:10" ht="19.5" customHeight="1" x14ac:dyDescent="0.2">
      <c r="A174" s="403" t="s">
        <v>245</v>
      </c>
      <c r="B174" s="404">
        <v>2.36</v>
      </c>
      <c r="C174" s="404"/>
      <c r="D174" s="405" t="s">
        <v>188</v>
      </c>
      <c r="E174" s="406">
        <f>+SQRT(E175^2)</f>
        <v>3.2499999999999999E-3</v>
      </c>
      <c r="F174" s="407">
        <v>1</v>
      </c>
      <c r="G174" s="408">
        <f>(E174*F174)</f>
        <v>3.2499999999999999E-3</v>
      </c>
      <c r="H174" s="387"/>
    </row>
    <row r="175" spans="1:10" ht="19.5" customHeight="1" x14ac:dyDescent="0.2">
      <c r="A175" s="409" t="s">
        <v>185</v>
      </c>
      <c r="B175" s="410"/>
      <c r="C175" s="419">
        <f>+Balanza!L37</f>
        <v>6.4999999999999997E-3</v>
      </c>
      <c r="D175" s="412" t="s">
        <v>184</v>
      </c>
      <c r="E175" s="413">
        <f>C175/2</f>
        <v>3.2499999999999999E-3</v>
      </c>
      <c r="F175" s="410"/>
      <c r="G175" s="418"/>
      <c r="H175" s="389"/>
    </row>
    <row r="176" spans="1:10" ht="19.5" customHeight="1" thickBot="1" x14ac:dyDescent="0.25">
      <c r="A176" s="420" t="s">
        <v>246</v>
      </c>
      <c r="B176" s="421">
        <f>+Balanza!B62</f>
        <v>0.24270886010920917</v>
      </c>
      <c r="C176" s="421"/>
      <c r="D176" s="422" t="s">
        <v>180</v>
      </c>
      <c r="E176" s="423">
        <f>B176/SQRT(1)</f>
        <v>0.24270886010920917</v>
      </c>
      <c r="F176" s="435">
        <v>1</v>
      </c>
      <c r="G176" s="425">
        <f>(E176*F176)</f>
        <v>0.24270886010920917</v>
      </c>
      <c r="H176" s="389"/>
      <c r="I176" s="387"/>
      <c r="J176" s="387"/>
    </row>
    <row r="177" spans="1:11" ht="19.5" customHeight="1" thickBot="1" x14ac:dyDescent="0.25"/>
    <row r="178" spans="1:11" ht="19.5" customHeight="1" thickBot="1" x14ac:dyDescent="0.25">
      <c r="A178" s="426" t="s">
        <v>197</v>
      </c>
      <c r="B178" s="520" t="e">
        <f>IF($A$163="Fraccionada",$B$179*(1-(B180/B184)),(1-(B180/B184))*100)</f>
        <v>#DIV/0!</v>
      </c>
      <c r="C178" s="427"/>
      <c r="D178" s="428"/>
      <c r="E178" s="428"/>
      <c r="F178" s="433"/>
      <c r="G178" s="430"/>
      <c r="H178" s="431" t="e">
        <f>IF($A$163="fraccionada",SQRT(G180*G180+(G188*G188)+(G184*G184)+(G190*G190)+(G179*G179)),SQRT(G180*G180+G184*G184+G188*G188+G190*G190))</f>
        <v>#DIV/0!</v>
      </c>
      <c r="I178" s="434" t="str">
        <f>IF(B180=0,"---",(H178*2))</f>
        <v>---</v>
      </c>
      <c r="J178" s="387"/>
    </row>
    <row r="179" spans="1:11" ht="19.5" customHeight="1" x14ac:dyDescent="0.2">
      <c r="A179" s="513" t="str">
        <f>IF($A$163="Fraccionada","% pasa tamiz No 4","")</f>
        <v/>
      </c>
      <c r="B179" s="528" t="str">
        <f>IF($A$163="Fraccionada",$B$150,"")</f>
        <v/>
      </c>
      <c r="C179" s="529"/>
      <c r="D179" s="530"/>
      <c r="E179" s="531" t="str">
        <f>IF($A$163="Fraccionada",$H$150,"")</f>
        <v/>
      </c>
      <c r="F179" s="532" t="str">
        <f>IF($A$163="Fraccionada",1-B180/B184,"")</f>
        <v/>
      </c>
      <c r="G179" s="533" t="str">
        <f>IF($A$163="Fraccionada",(E179*F179),"")</f>
        <v/>
      </c>
      <c r="H179" s="504"/>
      <c r="I179" s="505"/>
      <c r="J179" s="387"/>
    </row>
    <row r="180" spans="1:11" ht="19.5" customHeight="1" x14ac:dyDescent="0.2">
      <c r="A180" s="403" t="s">
        <v>334</v>
      </c>
      <c r="B180" s="525">
        <f>Balanza!D40</f>
        <v>0</v>
      </c>
      <c r="C180" s="404"/>
      <c r="D180" s="405" t="s">
        <v>188</v>
      </c>
      <c r="E180" s="406">
        <f>SQRT((E181*E181)+(E182*E182)+(E183*E183))</f>
        <v>7.0663521942607221E-2</v>
      </c>
      <c r="F180" s="407" t="e">
        <f>IF($A$163="Fraccionada",B179/B184,100/B184)</f>
        <v>#DIV/0!</v>
      </c>
      <c r="G180" s="408" t="e">
        <f>(E180*F180)</f>
        <v>#DIV/0!</v>
      </c>
      <c r="H180" s="389"/>
      <c r="J180" s="387"/>
    </row>
    <row r="181" spans="1:11" ht="19.5" customHeight="1" x14ac:dyDescent="0.2">
      <c r="A181" s="409" t="s">
        <v>187</v>
      </c>
      <c r="B181" s="410"/>
      <c r="C181" s="411">
        <f>Balanza!E40</f>
        <v>0</v>
      </c>
      <c r="D181" s="412" t="s">
        <v>186</v>
      </c>
      <c r="E181" s="413">
        <f>C181</f>
        <v>0</v>
      </c>
      <c r="F181" s="414"/>
      <c r="G181" s="415"/>
      <c r="H181" s="387"/>
      <c r="I181" s="387"/>
      <c r="J181" s="521"/>
      <c r="K181" s="522"/>
    </row>
    <row r="182" spans="1:11" ht="19.5" customHeight="1" x14ac:dyDescent="0.2">
      <c r="A182" s="409" t="s">
        <v>185</v>
      </c>
      <c r="B182" s="410"/>
      <c r="C182" s="416">
        <f>2*(SQRT(Balanza!$B$9+Balanza!$C$9*(POWER(B180,2))))</f>
        <v>0.12899612397277679</v>
      </c>
      <c r="D182" s="412" t="s">
        <v>184</v>
      </c>
      <c r="E182" s="413">
        <f>C182/2</f>
        <v>6.4498061986388397E-2</v>
      </c>
      <c r="F182" s="414"/>
      <c r="G182" s="415"/>
      <c r="H182" s="387"/>
      <c r="I182" s="391" t="str">
        <f>A180</f>
        <v>M ret acumulado No. 10 (g)</v>
      </c>
      <c r="J182" s="392" t="e">
        <f>G180</f>
        <v>#DIV/0!</v>
      </c>
      <c r="K182" s="522" t="e">
        <f>+J182/J186</f>
        <v>#DIV/0!</v>
      </c>
    </row>
    <row r="183" spans="1:11" ht="19.5" customHeight="1" x14ac:dyDescent="0.2">
      <c r="A183" s="409" t="s">
        <v>183</v>
      </c>
      <c r="B183" s="410"/>
      <c r="C183" s="411">
        <f>+Balanza!$B$11</f>
        <v>0.1</v>
      </c>
      <c r="D183" s="412" t="s">
        <v>182</v>
      </c>
      <c r="E183" s="413">
        <f>(C183/SQRT(3)/2)</f>
        <v>2.8867513459481291E-2</v>
      </c>
      <c r="F183" s="414"/>
      <c r="G183" s="415"/>
      <c r="H183" s="387"/>
      <c r="I183" s="393" t="str">
        <f>A188</f>
        <v>Abertura de Tamiz No. 10 (mm)</v>
      </c>
      <c r="J183" s="394">
        <f>G188</f>
        <v>5.4999999999999997E-3</v>
      </c>
      <c r="K183" s="522" t="e">
        <f>+J183/J186</f>
        <v>#DIV/0!</v>
      </c>
    </row>
    <row r="184" spans="1:11" ht="19.5" customHeight="1" x14ac:dyDescent="0.2">
      <c r="A184" s="403" t="str">
        <f>IF($A$163="Fraccionada","M Fraccion Fino (g)","M total (g)")</f>
        <v>M total (g)</v>
      </c>
      <c r="B184" s="417" t="b">
        <f>IF($A$163="Fraccionada",datos!E20,datos!E19)</f>
        <v>0</v>
      </c>
      <c r="C184" s="417"/>
      <c r="D184" s="405" t="s">
        <v>188</v>
      </c>
      <c r="E184" s="406">
        <f>SQRT((E185*E185)+(E186*E186)+(E187*E187))</f>
        <v>7.0663521942607221E-2</v>
      </c>
      <c r="F184" s="407" t="e">
        <f>IF($A$163="Fraccionada",B180*B179/POWER(B184,2),(100*B180)/POWER(B184,2))</f>
        <v>#DIV/0!</v>
      </c>
      <c r="G184" s="408" t="e">
        <f>(E184*F184)</f>
        <v>#DIV/0!</v>
      </c>
      <c r="H184" s="387"/>
      <c r="I184" s="393" t="str">
        <f>A184</f>
        <v>M total (g)</v>
      </c>
      <c r="J184" s="394" t="e">
        <f>G184</f>
        <v>#DIV/0!</v>
      </c>
      <c r="K184" s="522" t="e">
        <f>+J184/J186</f>
        <v>#DIV/0!</v>
      </c>
    </row>
    <row r="185" spans="1:11" ht="19.5" customHeight="1" x14ac:dyDescent="0.2">
      <c r="A185" s="409" t="s">
        <v>187</v>
      </c>
      <c r="B185" s="410"/>
      <c r="C185" s="411">
        <f>+Balanza!$D$26</f>
        <v>0</v>
      </c>
      <c r="D185" s="412" t="s">
        <v>186</v>
      </c>
      <c r="E185" s="413">
        <f>C185</f>
        <v>0</v>
      </c>
      <c r="F185" s="410"/>
      <c r="G185" s="418"/>
      <c r="H185" s="387"/>
      <c r="I185" s="395" t="str">
        <f>A190</f>
        <v>Factor de presición No. 10</v>
      </c>
      <c r="J185" s="396">
        <f>G190</f>
        <v>0.32081881115367472</v>
      </c>
      <c r="K185" s="522" t="e">
        <f>+J185/J186</f>
        <v>#DIV/0!</v>
      </c>
    </row>
    <row r="186" spans="1:11" ht="19.5" customHeight="1" x14ac:dyDescent="0.2">
      <c r="A186" s="409" t="s">
        <v>185</v>
      </c>
      <c r="B186" s="410"/>
      <c r="C186" s="416">
        <f>2*(SQRT(Balanza!$B$9+Balanza!$C$9*(POWER(B184,2))))</f>
        <v>0.12899612397277679</v>
      </c>
      <c r="D186" s="412" t="s">
        <v>184</v>
      </c>
      <c r="E186" s="413">
        <f>C186/2</f>
        <v>6.4498061986388397E-2</v>
      </c>
      <c r="F186" s="410"/>
      <c r="G186" s="418"/>
      <c r="H186" s="387"/>
      <c r="I186" s="393"/>
      <c r="J186" s="394" t="e">
        <f>SUM(J182:J185)</f>
        <v>#DIV/0!</v>
      </c>
    </row>
    <row r="187" spans="1:11" ht="19.5" customHeight="1" x14ac:dyDescent="0.2">
      <c r="A187" s="409" t="s">
        <v>183</v>
      </c>
      <c r="B187" s="410"/>
      <c r="C187" s="411">
        <f>+Balanza!$B$11</f>
        <v>0.1</v>
      </c>
      <c r="D187" s="412" t="s">
        <v>182</v>
      </c>
      <c r="E187" s="413">
        <f>(C187/SQRT(3)/2)</f>
        <v>2.8867513459481291E-2</v>
      </c>
      <c r="F187" s="410"/>
      <c r="G187" s="418"/>
      <c r="H187" s="387"/>
      <c r="I187" s="393"/>
      <c r="J187" s="394"/>
    </row>
    <row r="188" spans="1:11" ht="19.5" customHeight="1" x14ac:dyDescent="0.2">
      <c r="A188" s="403" t="s">
        <v>196</v>
      </c>
      <c r="B188" s="404">
        <v>2</v>
      </c>
      <c r="C188" s="404"/>
      <c r="D188" s="405" t="s">
        <v>188</v>
      </c>
      <c r="E188" s="406">
        <f>+SQRT(E189^2)</f>
        <v>5.4999999999999997E-3</v>
      </c>
      <c r="F188" s="407">
        <v>1</v>
      </c>
      <c r="G188" s="408">
        <f>(E188*F188)</f>
        <v>5.4999999999999997E-3</v>
      </c>
      <c r="H188" s="387"/>
    </row>
    <row r="189" spans="1:11" ht="19.5" customHeight="1" x14ac:dyDescent="0.2">
      <c r="A189" s="409" t="s">
        <v>185</v>
      </c>
      <c r="B189" s="410"/>
      <c r="C189" s="419">
        <f>+Balanza!L38</f>
        <v>1.0999999999999999E-2</v>
      </c>
      <c r="D189" s="412" t="s">
        <v>184</v>
      </c>
      <c r="E189" s="413">
        <f>C189/2</f>
        <v>5.4999999999999997E-3</v>
      </c>
      <c r="F189" s="410"/>
      <c r="G189" s="418"/>
      <c r="H189" s="389"/>
    </row>
    <row r="190" spans="1:11" ht="19.5" customHeight="1" thickBot="1" x14ac:dyDescent="0.25">
      <c r="A190" s="420" t="s">
        <v>195</v>
      </c>
      <c r="B190" s="421">
        <f>+Balanza!B63</f>
        <v>0.32081881115367472</v>
      </c>
      <c r="C190" s="421"/>
      <c r="D190" s="422" t="s">
        <v>180</v>
      </c>
      <c r="E190" s="423">
        <f>B190/SQRT(1)</f>
        <v>0.32081881115367472</v>
      </c>
      <c r="F190" s="435">
        <v>1</v>
      </c>
      <c r="G190" s="425">
        <f>(E190*F190)</f>
        <v>0.32081881115367472</v>
      </c>
      <c r="H190" s="389"/>
      <c r="I190" s="387"/>
      <c r="J190" s="387"/>
    </row>
    <row r="191" spans="1:11" ht="19.5" customHeight="1" thickBot="1" x14ac:dyDescent="0.25"/>
    <row r="192" spans="1:11" ht="19.5" customHeight="1" thickBot="1" x14ac:dyDescent="0.25">
      <c r="A192" s="426" t="s">
        <v>247</v>
      </c>
      <c r="B192" s="520" t="e">
        <f>IF($A$163="Fraccionada",$B$179*(1-(B194/B198)),(1-(B194/B198))*100)</f>
        <v>#DIV/0!</v>
      </c>
      <c r="C192" s="427"/>
      <c r="D192" s="428"/>
      <c r="E192" s="428"/>
      <c r="F192" s="433"/>
      <c r="G192" s="430"/>
      <c r="H192" s="431" t="e">
        <f>IF($A$163="fraccionada",SQRT(G194*G194+(G202*G202)+(G198*G198)+(G204*G204)+(G193*G193)),SQRT(G194*G194+G198*G198+G202*G202+G204*G204))</f>
        <v>#DIV/0!</v>
      </c>
      <c r="I192" s="434" t="str">
        <f>IF(B194=0,"---",(H192*2))</f>
        <v>---</v>
      </c>
      <c r="J192" s="387"/>
    </row>
    <row r="193" spans="1:11" ht="19.5" customHeight="1" x14ac:dyDescent="0.2">
      <c r="A193" s="513" t="str">
        <f>IF($A$163="Fraccionada","% pasa tamiz No 4","")</f>
        <v/>
      </c>
      <c r="B193" s="528" t="str">
        <f>IF($A$163="Fraccionada",$B$150,"")</f>
        <v/>
      </c>
      <c r="C193" s="529"/>
      <c r="D193" s="530"/>
      <c r="E193" s="531" t="str">
        <f>IF($A$163="Fraccionada",$H$150,"")</f>
        <v/>
      </c>
      <c r="F193" s="532" t="str">
        <f>IF($A$163="Fraccionada",1-B194/B198,"")</f>
        <v/>
      </c>
      <c r="G193" s="533" t="str">
        <f>IF($A$163="Fraccionada",(E193*F193),"")</f>
        <v/>
      </c>
      <c r="H193" s="504"/>
      <c r="I193" s="505"/>
      <c r="J193" s="387"/>
    </row>
    <row r="194" spans="1:11" ht="19.5" customHeight="1" x14ac:dyDescent="0.2">
      <c r="A194" s="403" t="s">
        <v>335</v>
      </c>
      <c r="B194" s="525">
        <f>Balanza!D41</f>
        <v>0</v>
      </c>
      <c r="C194" s="404"/>
      <c r="D194" s="405" t="s">
        <v>188</v>
      </c>
      <c r="E194" s="406">
        <f>SQRT((E195*E195)+(E196*E196)+(E197*E197))</f>
        <v>7.0663521942607221E-2</v>
      </c>
      <c r="F194" s="407" t="e">
        <f>IF($A$163="Fraccionada",B193/B198,100/B198)</f>
        <v>#DIV/0!</v>
      </c>
      <c r="G194" s="408" t="e">
        <f>(E194*F194)</f>
        <v>#DIV/0!</v>
      </c>
      <c r="H194" s="389"/>
      <c r="J194" s="387"/>
    </row>
    <row r="195" spans="1:11" ht="19.5" customHeight="1" x14ac:dyDescent="0.2">
      <c r="A195" s="409" t="s">
        <v>187</v>
      </c>
      <c r="B195" s="410"/>
      <c r="C195" s="411">
        <f>Balanza!E41</f>
        <v>0</v>
      </c>
      <c r="D195" s="412" t="s">
        <v>186</v>
      </c>
      <c r="E195" s="413">
        <f>C195</f>
        <v>0</v>
      </c>
      <c r="F195" s="414"/>
      <c r="G195" s="415"/>
      <c r="H195" s="387"/>
      <c r="I195" s="387"/>
      <c r="J195" s="387"/>
    </row>
    <row r="196" spans="1:11" ht="19.5" customHeight="1" x14ac:dyDescent="0.2">
      <c r="A196" s="409" t="s">
        <v>185</v>
      </c>
      <c r="B196" s="410"/>
      <c r="C196" s="416">
        <f>2*(SQRT(Balanza!$B$9+Balanza!$C$9*(POWER(B194,2))))</f>
        <v>0.12899612397277679</v>
      </c>
      <c r="D196" s="412" t="s">
        <v>184</v>
      </c>
      <c r="E196" s="413">
        <f>C196/2</f>
        <v>6.4498061986388397E-2</v>
      </c>
      <c r="F196" s="414"/>
      <c r="G196" s="415"/>
      <c r="H196" s="387"/>
      <c r="I196" s="391" t="str">
        <f>A194</f>
        <v>M ret acumulado No. 16 (g)</v>
      </c>
      <c r="J196" s="392" t="e">
        <f>G194</f>
        <v>#DIV/0!</v>
      </c>
      <c r="K196" s="522" t="e">
        <f>+J196/J200</f>
        <v>#DIV/0!</v>
      </c>
    </row>
    <row r="197" spans="1:11" ht="19.5" customHeight="1" x14ac:dyDescent="0.2">
      <c r="A197" s="409" t="s">
        <v>183</v>
      </c>
      <c r="B197" s="410"/>
      <c r="C197" s="411">
        <f>+Balanza!$B$11</f>
        <v>0.1</v>
      </c>
      <c r="D197" s="412" t="s">
        <v>182</v>
      </c>
      <c r="E197" s="413">
        <f>(C197/SQRT(3)/2)</f>
        <v>2.8867513459481291E-2</v>
      </c>
      <c r="F197" s="414"/>
      <c r="G197" s="415"/>
      <c r="H197" s="387"/>
      <c r="I197" s="393" t="str">
        <f>A202</f>
        <v>Abertura de Tamiz No. 16 (mm)</v>
      </c>
      <c r="J197" s="394">
        <f>G202</f>
        <v>2.7000000000000001E-3</v>
      </c>
      <c r="K197" s="522" t="e">
        <f>+J197/J200</f>
        <v>#DIV/0!</v>
      </c>
    </row>
    <row r="198" spans="1:11" ht="19.5" customHeight="1" x14ac:dyDescent="0.2">
      <c r="A198" s="403" t="str">
        <f>IF($A$163="Fraccionada","M Fraccion Fino (g)","M total (g)")</f>
        <v>M total (g)</v>
      </c>
      <c r="B198" s="417" t="b">
        <f>IF($A$163="Fraccionada",datos!$E$20,datos!$E$19)</f>
        <v>0</v>
      </c>
      <c r="C198" s="417"/>
      <c r="D198" s="405" t="s">
        <v>188</v>
      </c>
      <c r="E198" s="406">
        <f>SQRT((E199*E199)+(E200*E200)+(E201*E201))</f>
        <v>7.0663521942607221E-2</v>
      </c>
      <c r="F198" s="407" t="e">
        <f>IF($A$163="Fraccionada",B194*B193/POWER(B198,2),(100*B194)/POWER(B198,2))</f>
        <v>#DIV/0!</v>
      </c>
      <c r="G198" s="408" t="e">
        <f>(E198*F198)</f>
        <v>#DIV/0!</v>
      </c>
      <c r="H198" s="387"/>
      <c r="I198" s="393" t="str">
        <f>A198</f>
        <v>M total (g)</v>
      </c>
      <c r="J198" s="394" t="e">
        <f>G198</f>
        <v>#DIV/0!</v>
      </c>
      <c r="K198" s="522" t="e">
        <f>+J198/J200</f>
        <v>#DIV/0!</v>
      </c>
    </row>
    <row r="199" spans="1:11" ht="19.5" customHeight="1" x14ac:dyDescent="0.2">
      <c r="A199" s="409" t="s">
        <v>187</v>
      </c>
      <c r="B199" s="410"/>
      <c r="C199" s="411">
        <f>+Balanza!$D$26</f>
        <v>0</v>
      </c>
      <c r="D199" s="412" t="s">
        <v>186</v>
      </c>
      <c r="E199" s="413">
        <f>C199</f>
        <v>0</v>
      </c>
      <c r="F199" s="410"/>
      <c r="G199" s="418"/>
      <c r="H199" s="387"/>
      <c r="I199" s="395" t="str">
        <f>A204</f>
        <v>Factor de presición No. 16</v>
      </c>
      <c r="J199" s="396">
        <f>G204</f>
        <v>0.53458571667600707</v>
      </c>
      <c r="K199" s="522" t="e">
        <f>+J199/J200</f>
        <v>#DIV/0!</v>
      </c>
    </row>
    <row r="200" spans="1:11" ht="19.5" customHeight="1" x14ac:dyDescent="0.2">
      <c r="A200" s="409" t="s">
        <v>185</v>
      </c>
      <c r="B200" s="410"/>
      <c r="C200" s="416">
        <f>2*(SQRT(Balanza!$B$9+Balanza!$C$9*(POWER(B198,2))))</f>
        <v>0.12899612397277679</v>
      </c>
      <c r="D200" s="412" t="s">
        <v>184</v>
      </c>
      <c r="E200" s="413">
        <f>C200/2</f>
        <v>6.4498061986388397E-2</v>
      </c>
      <c r="F200" s="410"/>
      <c r="G200" s="418"/>
      <c r="H200" s="387"/>
      <c r="I200" s="393"/>
      <c r="J200" s="394" t="e">
        <f>SUM(J196:J199)</f>
        <v>#DIV/0!</v>
      </c>
    </row>
    <row r="201" spans="1:11" ht="19.5" customHeight="1" x14ac:dyDescent="0.2">
      <c r="A201" s="409" t="s">
        <v>183</v>
      </c>
      <c r="B201" s="410"/>
      <c r="C201" s="411">
        <f>+Balanza!$B$11</f>
        <v>0.1</v>
      </c>
      <c r="D201" s="412" t="s">
        <v>182</v>
      </c>
      <c r="E201" s="413">
        <f>(C201/SQRT(3)/2)</f>
        <v>2.8867513459481291E-2</v>
      </c>
      <c r="F201" s="410"/>
      <c r="G201" s="418"/>
      <c r="H201" s="387"/>
      <c r="I201" s="393"/>
      <c r="J201" s="394"/>
    </row>
    <row r="202" spans="1:11" ht="19.5" customHeight="1" x14ac:dyDescent="0.2">
      <c r="A202" s="403" t="s">
        <v>248</v>
      </c>
      <c r="B202" s="404">
        <v>1.19</v>
      </c>
      <c r="C202" s="404"/>
      <c r="D202" s="405" t="s">
        <v>188</v>
      </c>
      <c r="E202" s="406">
        <f>+SQRT(E203^2)</f>
        <v>2.7000000000000001E-3</v>
      </c>
      <c r="F202" s="407">
        <v>1</v>
      </c>
      <c r="G202" s="408">
        <f>(E202*F202)</f>
        <v>2.7000000000000001E-3</v>
      </c>
      <c r="H202" s="387"/>
    </row>
    <row r="203" spans="1:11" ht="19.5" customHeight="1" x14ac:dyDescent="0.2">
      <c r="A203" s="409" t="s">
        <v>185</v>
      </c>
      <c r="B203" s="410"/>
      <c r="C203" s="419">
        <f>+Balanza!L39</f>
        <v>5.4000000000000003E-3</v>
      </c>
      <c r="D203" s="412" t="s">
        <v>184</v>
      </c>
      <c r="E203" s="413">
        <f>C203/2</f>
        <v>2.7000000000000001E-3</v>
      </c>
      <c r="F203" s="410"/>
      <c r="G203" s="418"/>
      <c r="H203" s="389"/>
    </row>
    <row r="204" spans="1:11" ht="19.5" customHeight="1" thickBot="1" x14ac:dyDescent="0.25">
      <c r="A204" s="420" t="s">
        <v>249</v>
      </c>
      <c r="B204" s="421">
        <f>+Balanza!B64</f>
        <v>0.53458571667600707</v>
      </c>
      <c r="C204" s="421"/>
      <c r="D204" s="422" t="s">
        <v>180</v>
      </c>
      <c r="E204" s="423">
        <f>B204/SQRT(1)</f>
        <v>0.53458571667600707</v>
      </c>
      <c r="F204" s="435">
        <v>1</v>
      </c>
      <c r="G204" s="425">
        <f>(E204*F204)</f>
        <v>0.53458571667600707</v>
      </c>
      <c r="H204" s="389"/>
      <c r="I204" s="387"/>
      <c r="J204" s="387"/>
    </row>
    <row r="205" spans="1:11" ht="19.5" customHeight="1" thickBot="1" x14ac:dyDescent="0.25"/>
    <row r="206" spans="1:11" ht="19.5" customHeight="1" thickBot="1" x14ac:dyDescent="0.25">
      <c r="A206" s="426" t="s">
        <v>250</v>
      </c>
      <c r="B206" s="520" t="e">
        <f>IF($A$163="Fraccionada",$B$179*(1-(B208/B212)),(1-(B208/B212))*100)</f>
        <v>#DIV/0!</v>
      </c>
      <c r="C206" s="427"/>
      <c r="D206" s="428"/>
      <c r="E206" s="428"/>
      <c r="F206" s="433"/>
      <c r="G206" s="430"/>
      <c r="H206" s="431" t="e">
        <f>IF($A$163="fraccionada",SQRT(G208*G208+(G216*G216)+(G212*G212)+(G218*G218)+(G207*G207)),SQRT(G208*G208+G212*G212+G216*G216+G218*G218))</f>
        <v>#DIV/0!</v>
      </c>
      <c r="I206" s="434" t="str">
        <f>IF(B208=0,"---",(H206*2))</f>
        <v>---</v>
      </c>
      <c r="J206" s="387"/>
    </row>
    <row r="207" spans="1:11" ht="19.5" customHeight="1" x14ac:dyDescent="0.2">
      <c r="A207" s="513" t="str">
        <f>IF($A$163="Fraccionada","% pasa tamiz No 4","")</f>
        <v/>
      </c>
      <c r="B207" s="528" t="str">
        <f>IF($A$163="Fraccionada",$B$150,"")</f>
        <v/>
      </c>
      <c r="C207" s="529"/>
      <c r="D207" s="530"/>
      <c r="E207" s="531" t="str">
        <f>IF($A$163="Fraccionada",$H$150,"")</f>
        <v/>
      </c>
      <c r="F207" s="532" t="str">
        <f>IF($A$163="Fraccionada",1-B208/B212,"")</f>
        <v/>
      </c>
      <c r="G207" s="533" t="str">
        <f>IF($A$163="Fraccionada",(E207*F207),"")</f>
        <v/>
      </c>
      <c r="H207" s="504"/>
      <c r="I207" s="505"/>
      <c r="J207" s="387"/>
    </row>
    <row r="208" spans="1:11" ht="19.5" customHeight="1" x14ac:dyDescent="0.2">
      <c r="A208" s="403" t="s">
        <v>340</v>
      </c>
      <c r="B208" s="525">
        <f>Balanza!D42</f>
        <v>0</v>
      </c>
      <c r="C208" s="404"/>
      <c r="D208" s="405" t="s">
        <v>188</v>
      </c>
      <c r="E208" s="406">
        <f>SQRT((E209*E209)+(E210*E210)+(E211*E211))</f>
        <v>7.0663521942607221E-2</v>
      </c>
      <c r="F208" s="407" t="e">
        <f>IF($A$163="Fraccionada",B207/B212,100/B212)</f>
        <v>#DIV/0!</v>
      </c>
      <c r="G208" s="408" t="e">
        <f>(E208*F208)</f>
        <v>#DIV/0!</v>
      </c>
      <c r="H208" s="389"/>
      <c r="J208" s="387"/>
    </row>
    <row r="209" spans="1:11" ht="19.5" customHeight="1" x14ac:dyDescent="0.2">
      <c r="A209" s="409" t="s">
        <v>187</v>
      </c>
      <c r="B209" s="410"/>
      <c r="C209" s="411">
        <f>Balanza!E42</f>
        <v>0</v>
      </c>
      <c r="D209" s="412" t="s">
        <v>186</v>
      </c>
      <c r="E209" s="413">
        <f>C209</f>
        <v>0</v>
      </c>
      <c r="F209" s="414"/>
      <c r="G209" s="415"/>
      <c r="H209" s="387"/>
      <c r="I209" s="387"/>
      <c r="J209" s="387"/>
    </row>
    <row r="210" spans="1:11" ht="19.5" customHeight="1" x14ac:dyDescent="0.2">
      <c r="A210" s="409" t="s">
        <v>185</v>
      </c>
      <c r="B210" s="410"/>
      <c r="C210" s="416">
        <f>2*(SQRT(Balanza!$B$9+Balanza!$C$9*(POWER(B208,2))))</f>
        <v>0.12899612397277679</v>
      </c>
      <c r="D210" s="412" t="s">
        <v>184</v>
      </c>
      <c r="E210" s="413">
        <f>C210/2</f>
        <v>6.4498061986388397E-2</v>
      </c>
      <c r="F210" s="414"/>
      <c r="G210" s="415"/>
      <c r="H210" s="387"/>
      <c r="I210" s="391" t="str">
        <f>A208</f>
        <v>M ret acumulado No. 30 (g)</v>
      </c>
      <c r="J210" s="392" t="e">
        <f>G208</f>
        <v>#DIV/0!</v>
      </c>
      <c r="K210" s="522" t="e">
        <f>+J210/J214</f>
        <v>#DIV/0!</v>
      </c>
    </row>
    <row r="211" spans="1:11" ht="19.5" customHeight="1" x14ac:dyDescent="0.2">
      <c r="A211" s="409" t="s">
        <v>183</v>
      </c>
      <c r="B211" s="410"/>
      <c r="C211" s="411">
        <f>+Balanza!$B$11</f>
        <v>0.1</v>
      </c>
      <c r="D211" s="412" t="s">
        <v>182</v>
      </c>
      <c r="E211" s="413">
        <f>(C211/SQRT(3)/2)</f>
        <v>2.8867513459481291E-2</v>
      </c>
      <c r="F211" s="414"/>
      <c r="G211" s="415"/>
      <c r="H211" s="387"/>
      <c r="I211" s="393" t="str">
        <f>A216</f>
        <v>Abertura de Tamiz No. 30 (mm)</v>
      </c>
      <c r="J211" s="394">
        <f>G216</f>
        <v>1.75E-3</v>
      </c>
      <c r="K211" s="522" t="e">
        <f>+J211/J214</f>
        <v>#DIV/0!</v>
      </c>
    </row>
    <row r="212" spans="1:11" ht="19.5" customHeight="1" x14ac:dyDescent="0.2">
      <c r="A212" s="403" t="str">
        <f>IF($A$163="Fraccionada","M Fraccion Fino (g)","M total (g)")</f>
        <v>M total (g)</v>
      </c>
      <c r="B212" s="417" t="b">
        <f>IF($A$163="Fraccionada",datos!$E$20,datos!$E$19)</f>
        <v>0</v>
      </c>
      <c r="C212" s="417"/>
      <c r="D212" s="405" t="s">
        <v>188</v>
      </c>
      <c r="E212" s="406">
        <f>SQRT((E213*E213)+(E214*E214)+(E215*E215))</f>
        <v>7.0663521942607221E-2</v>
      </c>
      <c r="F212" s="407" t="e">
        <f>IF($A$163="Fraccionada",B208*B207/POWER(B212,2),(100*B208)/POWER(B212,2))</f>
        <v>#DIV/0!</v>
      </c>
      <c r="G212" s="408" t="e">
        <f>(E212*F212)</f>
        <v>#DIV/0!</v>
      </c>
      <c r="H212" s="387"/>
      <c r="I212" s="393" t="str">
        <f>A212</f>
        <v>M total (g)</v>
      </c>
      <c r="J212" s="394" t="e">
        <f>G212</f>
        <v>#DIV/0!</v>
      </c>
      <c r="K212" s="522" t="e">
        <f>+J212/J214</f>
        <v>#DIV/0!</v>
      </c>
    </row>
    <row r="213" spans="1:11" ht="19.5" customHeight="1" x14ac:dyDescent="0.2">
      <c r="A213" s="409" t="s">
        <v>187</v>
      </c>
      <c r="B213" s="410"/>
      <c r="C213" s="411">
        <f>+Balanza!$D$26</f>
        <v>0</v>
      </c>
      <c r="D213" s="412" t="s">
        <v>186</v>
      </c>
      <c r="E213" s="413">
        <f>C213</f>
        <v>0</v>
      </c>
      <c r="F213" s="410"/>
      <c r="G213" s="418"/>
      <c r="H213" s="387"/>
      <c r="I213" s="395" t="str">
        <f>A218</f>
        <v>Factor de presición No.  30</v>
      </c>
      <c r="J213" s="396">
        <f>G218</f>
        <v>0.48239791708632423</v>
      </c>
      <c r="K213" s="522" t="e">
        <f>+J213/J214</f>
        <v>#DIV/0!</v>
      </c>
    </row>
    <row r="214" spans="1:11" ht="19.5" customHeight="1" x14ac:dyDescent="0.2">
      <c r="A214" s="409" t="s">
        <v>185</v>
      </c>
      <c r="B214" s="410"/>
      <c r="C214" s="416">
        <f>2*(SQRT(Balanza!$B$9+Balanza!$C$9*(POWER(B212,2))))</f>
        <v>0.12899612397277679</v>
      </c>
      <c r="D214" s="412" t="s">
        <v>184</v>
      </c>
      <c r="E214" s="413">
        <f>C214/2</f>
        <v>6.4498061986388397E-2</v>
      </c>
      <c r="F214" s="410"/>
      <c r="G214" s="418"/>
      <c r="H214" s="387"/>
      <c r="I214" s="393"/>
      <c r="J214" s="394" t="e">
        <f>SUM(J210:J213)</f>
        <v>#DIV/0!</v>
      </c>
    </row>
    <row r="215" spans="1:11" ht="19.5" customHeight="1" x14ac:dyDescent="0.2">
      <c r="A215" s="409" t="s">
        <v>183</v>
      </c>
      <c r="B215" s="410"/>
      <c r="C215" s="411">
        <f>+Balanza!$B$11</f>
        <v>0.1</v>
      </c>
      <c r="D215" s="412" t="s">
        <v>182</v>
      </c>
      <c r="E215" s="413">
        <f>(C215/SQRT(3)/2)</f>
        <v>2.8867513459481291E-2</v>
      </c>
      <c r="F215" s="410"/>
      <c r="G215" s="418"/>
      <c r="H215" s="387"/>
      <c r="I215" s="393"/>
      <c r="J215" s="394"/>
    </row>
    <row r="216" spans="1:11" ht="19.5" customHeight="1" x14ac:dyDescent="0.2">
      <c r="A216" s="403" t="s">
        <v>251</v>
      </c>
      <c r="B216" s="404">
        <v>0.6</v>
      </c>
      <c r="C216" s="404"/>
      <c r="D216" s="405" t="s">
        <v>188</v>
      </c>
      <c r="E216" s="406">
        <f>+SQRT(E217^2)</f>
        <v>1.75E-3</v>
      </c>
      <c r="F216" s="407">
        <v>1</v>
      </c>
      <c r="G216" s="408">
        <f>(E216*F216)</f>
        <v>1.75E-3</v>
      </c>
      <c r="H216" s="387"/>
    </row>
    <row r="217" spans="1:11" ht="19.5" customHeight="1" x14ac:dyDescent="0.2">
      <c r="A217" s="409" t="s">
        <v>185</v>
      </c>
      <c r="B217" s="410"/>
      <c r="C217" s="419">
        <f>+Balanza!L40</f>
        <v>3.5000000000000001E-3</v>
      </c>
      <c r="D217" s="412" t="s">
        <v>184</v>
      </c>
      <c r="E217" s="413">
        <f>C217/2</f>
        <v>1.75E-3</v>
      </c>
      <c r="F217" s="410"/>
      <c r="G217" s="418"/>
      <c r="H217" s="389"/>
    </row>
    <row r="218" spans="1:11" ht="19.5" customHeight="1" thickBot="1" x14ac:dyDescent="0.25">
      <c r="A218" s="420" t="s">
        <v>252</v>
      </c>
      <c r="B218" s="421">
        <f>+Balanza!B65</f>
        <v>0.48239791708632423</v>
      </c>
      <c r="C218" s="421"/>
      <c r="D218" s="422" t="s">
        <v>180</v>
      </c>
      <c r="E218" s="423">
        <f>B218/SQRT(1)</f>
        <v>0.48239791708632423</v>
      </c>
      <c r="F218" s="435">
        <v>1</v>
      </c>
      <c r="G218" s="425">
        <f>(E218*F218)</f>
        <v>0.48239791708632423</v>
      </c>
      <c r="H218" s="389"/>
      <c r="I218" s="387"/>
      <c r="J218" s="387"/>
    </row>
    <row r="219" spans="1:11" ht="19.5" customHeight="1" thickBot="1" x14ac:dyDescent="0.25"/>
    <row r="220" spans="1:11" ht="19.5" customHeight="1" thickBot="1" x14ac:dyDescent="0.25">
      <c r="A220" s="426" t="s">
        <v>194</v>
      </c>
      <c r="B220" s="520" t="e">
        <f>IF($A$163="Fraccionada",$B$179*(1-(B222/B226)),(1-(B222/B226))*100)</f>
        <v>#DIV/0!</v>
      </c>
      <c r="C220" s="427"/>
      <c r="D220" s="428"/>
      <c r="E220" s="428"/>
      <c r="F220" s="433"/>
      <c r="G220" s="430"/>
      <c r="H220" s="431" t="e">
        <f>IF($A$163="fraccionada",SQRT(G222*G222+(G230*G230)+(G226*G226)+(G232*G232)+(G221*G221)),SQRT(G222*G222+G226*G226+G230*G230+G232*G232))</f>
        <v>#DIV/0!</v>
      </c>
      <c r="I220" s="434" t="str">
        <f>IF(B222=0,"---",(H220*2))</f>
        <v>---</v>
      </c>
      <c r="J220" s="387"/>
    </row>
    <row r="221" spans="1:11" ht="19.5" customHeight="1" x14ac:dyDescent="0.2">
      <c r="A221" s="513" t="str">
        <f>IF($A$163="Fraccionada","% pasa tamiz No 4","")</f>
        <v/>
      </c>
      <c r="B221" s="528" t="str">
        <f>IF($A$163="Fraccionada",$B$150,"")</f>
        <v/>
      </c>
      <c r="C221" s="529"/>
      <c r="D221" s="530"/>
      <c r="E221" s="531" t="str">
        <f>IF($A$163="Fraccionada",$H$150,"")</f>
        <v/>
      </c>
      <c r="F221" s="532" t="str">
        <f>IF($A$163="Fraccionada",1-B222/B226,"")</f>
        <v/>
      </c>
      <c r="G221" s="533" t="str">
        <f>IF($A$163="Fraccionada",(E221*F221),"")</f>
        <v/>
      </c>
      <c r="H221" s="504"/>
      <c r="I221" s="505"/>
      <c r="J221" s="387"/>
    </row>
    <row r="222" spans="1:11" ht="19.5" customHeight="1" x14ac:dyDescent="0.2">
      <c r="A222" s="403" t="s">
        <v>339</v>
      </c>
      <c r="B222" s="525">
        <f>Balanza!D43</f>
        <v>0</v>
      </c>
      <c r="C222" s="404"/>
      <c r="D222" s="405" t="s">
        <v>188</v>
      </c>
      <c r="E222" s="406">
        <f>SQRT((E223*E223)+(E224*E224)+(E225*E225))</f>
        <v>7.0663521942607221E-2</v>
      </c>
      <c r="F222" s="407" t="e">
        <f>IF($A$163="Fraccionada",B221/B226,100/B226)</f>
        <v>#DIV/0!</v>
      </c>
      <c r="G222" s="408" t="e">
        <f>(E222*F222)</f>
        <v>#DIV/0!</v>
      </c>
      <c r="H222" s="389"/>
      <c r="J222" s="387"/>
    </row>
    <row r="223" spans="1:11" ht="19.5" customHeight="1" x14ac:dyDescent="0.2">
      <c r="A223" s="409" t="s">
        <v>187</v>
      </c>
      <c r="B223" s="410"/>
      <c r="C223" s="411">
        <f>Balanza!E43</f>
        <v>0</v>
      </c>
      <c r="D223" s="412" t="s">
        <v>186</v>
      </c>
      <c r="E223" s="413">
        <f>C223</f>
        <v>0</v>
      </c>
      <c r="F223" s="414"/>
      <c r="G223" s="415"/>
      <c r="H223" s="387"/>
      <c r="I223" s="387"/>
      <c r="J223" s="387"/>
    </row>
    <row r="224" spans="1:11" ht="19.5" customHeight="1" x14ac:dyDescent="0.2">
      <c r="A224" s="409" t="s">
        <v>185</v>
      </c>
      <c r="B224" s="410"/>
      <c r="C224" s="416">
        <f>2*(SQRT(Balanza!$B$9+Balanza!$C$9*(POWER(B222,2))))</f>
        <v>0.12899612397277679</v>
      </c>
      <c r="D224" s="412" t="s">
        <v>184</v>
      </c>
      <c r="E224" s="413">
        <f>C224/2</f>
        <v>6.4498061986388397E-2</v>
      </c>
      <c r="F224" s="414"/>
      <c r="G224" s="415"/>
      <c r="H224" s="387"/>
      <c r="I224" s="391" t="str">
        <f>A222</f>
        <v>M ret acumulado No. 40 (g)</v>
      </c>
      <c r="J224" s="392" t="e">
        <f>G222</f>
        <v>#DIV/0!</v>
      </c>
      <c r="K224" s="522" t="e">
        <f>+J224/J228</f>
        <v>#DIV/0!</v>
      </c>
    </row>
    <row r="225" spans="1:11" ht="19.5" customHeight="1" x14ac:dyDescent="0.2">
      <c r="A225" s="409" t="s">
        <v>183</v>
      </c>
      <c r="B225" s="410"/>
      <c r="C225" s="411">
        <f>+Balanza!$B$11</f>
        <v>0.1</v>
      </c>
      <c r="D225" s="412" t="s">
        <v>182</v>
      </c>
      <c r="E225" s="413">
        <f>(C225/SQRT(3)/2)</f>
        <v>2.8867513459481291E-2</v>
      </c>
      <c r="F225" s="414"/>
      <c r="G225" s="415"/>
      <c r="H225" s="387"/>
      <c r="I225" s="393" t="str">
        <f>A230</f>
        <v>Abertura de Tamiz No. 40 (mm)</v>
      </c>
      <c r="J225" s="394">
        <f>G230</f>
        <v>1.3500000000000001E-3</v>
      </c>
      <c r="K225" s="522" t="e">
        <f>+J225/J228</f>
        <v>#DIV/0!</v>
      </c>
    </row>
    <row r="226" spans="1:11" ht="19.5" customHeight="1" x14ac:dyDescent="0.2">
      <c r="A226" s="403" t="str">
        <f>IF($A$163="Fraccionada","M Fraccion Fino (g)","M total (g)")</f>
        <v>M total (g)</v>
      </c>
      <c r="B226" s="417" t="b">
        <f>IF($A$163="Fraccionada",datos!$E$20,datos!$E$19)</f>
        <v>0</v>
      </c>
      <c r="C226" s="417"/>
      <c r="D226" s="405" t="s">
        <v>188</v>
      </c>
      <c r="E226" s="406">
        <f>SQRT((E227*E227)+(E228*E228)+(E229*E229))</f>
        <v>7.0663521942607221E-2</v>
      </c>
      <c r="F226" s="407" t="e">
        <f>IF($A$163="Fraccionada",B222*B221/POWER(B226,2),(100*B222)/POWER(B226,2))</f>
        <v>#DIV/0!</v>
      </c>
      <c r="G226" s="408" t="e">
        <f>(E226*F226)</f>
        <v>#DIV/0!</v>
      </c>
      <c r="H226" s="387"/>
      <c r="I226" s="393" t="str">
        <f>A226</f>
        <v>M total (g)</v>
      </c>
      <c r="J226" s="394" t="e">
        <f>G226</f>
        <v>#DIV/0!</v>
      </c>
      <c r="K226" s="522" t="e">
        <f>+J226/J228</f>
        <v>#DIV/0!</v>
      </c>
    </row>
    <row r="227" spans="1:11" ht="19.5" customHeight="1" x14ac:dyDescent="0.2">
      <c r="A227" s="409" t="s">
        <v>187</v>
      </c>
      <c r="B227" s="410"/>
      <c r="C227" s="411">
        <f>+Balanza!$D$26</f>
        <v>0</v>
      </c>
      <c r="D227" s="412" t="s">
        <v>186</v>
      </c>
      <c r="E227" s="413">
        <f>C227</f>
        <v>0</v>
      </c>
      <c r="F227" s="410"/>
      <c r="G227" s="418"/>
      <c r="H227" s="387"/>
      <c r="I227" s="395" t="str">
        <f>A232</f>
        <v>Factor de presición No. 40</v>
      </c>
      <c r="J227" s="396">
        <f>G232</f>
        <v>0.34208544824232401</v>
      </c>
      <c r="K227" s="522" t="e">
        <f>+J227/J228</f>
        <v>#DIV/0!</v>
      </c>
    </row>
    <row r="228" spans="1:11" ht="19.5" customHeight="1" x14ac:dyDescent="0.2">
      <c r="A228" s="409" t="s">
        <v>185</v>
      </c>
      <c r="B228" s="410"/>
      <c r="C228" s="416">
        <f>2*(SQRT(Balanza!$B$9+Balanza!$C$9*(POWER(B226,2))))</f>
        <v>0.12899612397277679</v>
      </c>
      <c r="D228" s="412" t="s">
        <v>184</v>
      </c>
      <c r="E228" s="413">
        <f>C228/2</f>
        <v>6.4498061986388397E-2</v>
      </c>
      <c r="F228" s="410"/>
      <c r="G228" s="418"/>
      <c r="H228" s="387"/>
      <c r="I228" s="393"/>
      <c r="J228" s="394" t="e">
        <f>SUM(J224:J227)</f>
        <v>#DIV/0!</v>
      </c>
    </row>
    <row r="229" spans="1:11" ht="19.5" customHeight="1" x14ac:dyDescent="0.2">
      <c r="A229" s="409" t="s">
        <v>183</v>
      </c>
      <c r="B229" s="410"/>
      <c r="C229" s="411">
        <f>+Balanza!$B$11</f>
        <v>0.1</v>
      </c>
      <c r="D229" s="412" t="s">
        <v>182</v>
      </c>
      <c r="E229" s="413">
        <f>(C229/SQRT(3)/2)</f>
        <v>2.8867513459481291E-2</v>
      </c>
      <c r="F229" s="410"/>
      <c r="G229" s="418"/>
      <c r="H229" s="387"/>
      <c r="I229" s="393"/>
      <c r="J229" s="394"/>
    </row>
    <row r="230" spans="1:11" ht="19.5" customHeight="1" x14ac:dyDescent="0.2">
      <c r="A230" s="403" t="s">
        <v>193</v>
      </c>
      <c r="B230" s="404">
        <v>0.42</v>
      </c>
      <c r="C230" s="404"/>
      <c r="D230" s="405" t="s">
        <v>188</v>
      </c>
      <c r="E230" s="406">
        <f>+SQRT(E231^2)</f>
        <v>1.3500000000000001E-3</v>
      </c>
      <c r="F230" s="407">
        <v>1</v>
      </c>
      <c r="G230" s="408">
        <f>(E230*F230)</f>
        <v>1.3500000000000001E-3</v>
      </c>
      <c r="H230" s="387"/>
    </row>
    <row r="231" spans="1:11" ht="19.5" customHeight="1" x14ac:dyDescent="0.2">
      <c r="A231" s="409" t="s">
        <v>185</v>
      </c>
      <c r="B231" s="410"/>
      <c r="C231" s="419">
        <f>+Balanza!L41</f>
        <v>2.7000000000000001E-3</v>
      </c>
      <c r="D231" s="412" t="s">
        <v>184</v>
      </c>
      <c r="E231" s="413">
        <f>C231/2</f>
        <v>1.3500000000000001E-3</v>
      </c>
      <c r="F231" s="410"/>
      <c r="G231" s="418"/>
      <c r="H231" s="389"/>
    </row>
    <row r="232" spans="1:11" ht="19.5" customHeight="1" thickBot="1" x14ac:dyDescent="0.25">
      <c r="A232" s="420" t="s">
        <v>192</v>
      </c>
      <c r="B232" s="421">
        <f>+Balanza!B66</f>
        <v>0.34208544824232401</v>
      </c>
      <c r="C232" s="421"/>
      <c r="D232" s="422" t="s">
        <v>180</v>
      </c>
      <c r="E232" s="423">
        <f>B232/SQRT(1)</f>
        <v>0.34208544824232401</v>
      </c>
      <c r="F232" s="435">
        <v>1</v>
      </c>
      <c r="G232" s="425">
        <f>(E232*F232)</f>
        <v>0.34208544824232401</v>
      </c>
      <c r="H232" s="389"/>
      <c r="I232" s="387"/>
      <c r="J232" s="387"/>
    </row>
    <row r="233" spans="1:11" ht="19.5" customHeight="1" thickBot="1" x14ac:dyDescent="0.25"/>
    <row r="234" spans="1:11" ht="19.5" customHeight="1" thickBot="1" x14ac:dyDescent="0.25">
      <c r="A234" s="426" t="s">
        <v>253</v>
      </c>
      <c r="B234" s="520" t="e">
        <f>IF($A$163="Fraccionada",$B$179*(1-(B236/B240)),(1-(B236/B240))*100)</f>
        <v>#DIV/0!</v>
      </c>
      <c r="C234" s="427"/>
      <c r="D234" s="428"/>
      <c r="E234" s="428"/>
      <c r="F234" s="433"/>
      <c r="G234" s="430"/>
      <c r="H234" s="431" t="e">
        <f>IF($A$163="fraccionada",SQRT(G236*G236+(G244*G244)+(G240*G240)+(G246*G246)+(G235*G235)),SQRT(G236*G236+G240*G240+G244*G244+G246*G246))</f>
        <v>#DIV/0!</v>
      </c>
      <c r="I234" s="434" t="str">
        <f>IF(B236=0,"---",(H234*2))</f>
        <v>---</v>
      </c>
      <c r="J234" s="387"/>
    </row>
    <row r="235" spans="1:11" ht="19.5" customHeight="1" x14ac:dyDescent="0.2">
      <c r="A235" s="513" t="str">
        <f>IF($A$163="Fraccionada","% pasa tamiz No 4","")</f>
        <v/>
      </c>
      <c r="B235" s="528" t="str">
        <f>IF($A$163="Fraccionada",$B$150,"")</f>
        <v/>
      </c>
      <c r="C235" s="529"/>
      <c r="D235" s="530"/>
      <c r="E235" s="531" t="str">
        <f>IF($A$163="Fraccionada",$H$150,"")</f>
        <v/>
      </c>
      <c r="F235" s="532" t="str">
        <f>IF($A$163="Fraccionada",1-B236/B240,"")</f>
        <v/>
      </c>
      <c r="G235" s="533" t="str">
        <f>IF($A$163="Fraccionada",(E235*F235),"")</f>
        <v/>
      </c>
      <c r="H235" s="504"/>
      <c r="I235" s="505"/>
      <c r="J235" s="387"/>
    </row>
    <row r="236" spans="1:11" ht="19.5" customHeight="1" x14ac:dyDescent="0.2">
      <c r="A236" s="403" t="s">
        <v>338</v>
      </c>
      <c r="B236" s="525">
        <f>Balanza!D44</f>
        <v>0</v>
      </c>
      <c r="C236" s="404"/>
      <c r="D236" s="405" t="s">
        <v>188</v>
      </c>
      <c r="E236" s="406">
        <f>SQRT((E237*E237)+(E238*E238)+(E239*E239))</f>
        <v>7.0663521942607221E-2</v>
      </c>
      <c r="F236" s="407" t="e">
        <f>IF($A$163="Fraccionada",B235/B240,100/B240)</f>
        <v>#DIV/0!</v>
      </c>
      <c r="G236" s="408" t="e">
        <f>(E236*F236)</f>
        <v>#DIV/0!</v>
      </c>
      <c r="H236" s="389"/>
      <c r="J236" s="387"/>
    </row>
    <row r="237" spans="1:11" ht="19.5" customHeight="1" x14ac:dyDescent="0.2">
      <c r="A237" s="409" t="s">
        <v>187</v>
      </c>
      <c r="B237" s="410"/>
      <c r="C237" s="411">
        <f>Balanza!E44</f>
        <v>0</v>
      </c>
      <c r="D237" s="412" t="s">
        <v>186</v>
      </c>
      <c r="E237" s="413">
        <f>C237</f>
        <v>0</v>
      </c>
      <c r="F237" s="414"/>
      <c r="G237" s="415"/>
      <c r="H237" s="387"/>
      <c r="I237" s="387"/>
      <c r="J237" s="387"/>
    </row>
    <row r="238" spans="1:11" ht="19.5" customHeight="1" x14ac:dyDescent="0.2">
      <c r="A238" s="409" t="s">
        <v>185</v>
      </c>
      <c r="B238" s="410"/>
      <c r="C238" s="416">
        <f>2*(SQRT(Balanza!$B$9+Balanza!$C$9*(POWER(B236,2))))</f>
        <v>0.12899612397277679</v>
      </c>
      <c r="D238" s="412" t="s">
        <v>184</v>
      </c>
      <c r="E238" s="413">
        <f>C238/2</f>
        <v>6.4498061986388397E-2</v>
      </c>
      <c r="F238" s="414"/>
      <c r="G238" s="415"/>
      <c r="H238" s="387"/>
      <c r="I238" s="391" t="str">
        <f>A236</f>
        <v>M ret acumulado No. 50 (g)</v>
      </c>
      <c r="J238" s="392" t="e">
        <f>G236</f>
        <v>#DIV/0!</v>
      </c>
      <c r="K238" s="522" t="e">
        <f>+J238/J242</f>
        <v>#DIV/0!</v>
      </c>
    </row>
    <row r="239" spans="1:11" ht="19.5" customHeight="1" x14ac:dyDescent="0.2">
      <c r="A239" s="409" t="s">
        <v>183</v>
      </c>
      <c r="B239" s="410"/>
      <c r="C239" s="411">
        <f>+Balanza!$B$11</f>
        <v>0.1</v>
      </c>
      <c r="D239" s="412" t="s">
        <v>182</v>
      </c>
      <c r="E239" s="413">
        <f>(C239/SQRT(3)/2)</f>
        <v>2.8867513459481291E-2</v>
      </c>
      <c r="F239" s="414"/>
      <c r="G239" s="415"/>
      <c r="H239" s="387"/>
      <c r="I239" s="393" t="str">
        <f>A244</f>
        <v>Abertura de Tamiz No. 50 (mm)</v>
      </c>
      <c r="J239" s="394">
        <f>G244</f>
        <v>1.25E-3</v>
      </c>
      <c r="K239" s="522" t="e">
        <f>+J239/J242</f>
        <v>#DIV/0!</v>
      </c>
    </row>
    <row r="240" spans="1:11" ht="19.5" customHeight="1" x14ac:dyDescent="0.2">
      <c r="A240" s="403" t="str">
        <f>IF($A$163="Fraccionada","M Fraccion Fino (g)","M total (g)")</f>
        <v>M total (g)</v>
      </c>
      <c r="B240" s="417" t="b">
        <f>IF($A$163="Fraccionada",datos!$E$20,datos!$E$19)</f>
        <v>0</v>
      </c>
      <c r="C240" s="417"/>
      <c r="D240" s="405" t="s">
        <v>188</v>
      </c>
      <c r="E240" s="406">
        <f>SQRT((E241*E241)+(E242*E242)+(E243*E243))</f>
        <v>7.0663521942607221E-2</v>
      </c>
      <c r="F240" s="407" t="e">
        <f>IF($A$163="Fraccionada",B236*B235/POWER(B240,2),(100*B236)/POWER(B240,2))</f>
        <v>#DIV/0!</v>
      </c>
      <c r="G240" s="408" t="e">
        <f>(E240*F240)</f>
        <v>#DIV/0!</v>
      </c>
      <c r="H240" s="387"/>
      <c r="I240" s="393" t="str">
        <f>A240</f>
        <v>M total (g)</v>
      </c>
      <c r="J240" s="394" t="e">
        <f>G240</f>
        <v>#DIV/0!</v>
      </c>
      <c r="K240" s="522" t="e">
        <f>+J240/J242</f>
        <v>#DIV/0!</v>
      </c>
    </row>
    <row r="241" spans="1:11" ht="19.5" customHeight="1" x14ac:dyDescent="0.2">
      <c r="A241" s="409" t="s">
        <v>187</v>
      </c>
      <c r="B241" s="410"/>
      <c r="C241" s="411">
        <f>+Balanza!$D$26</f>
        <v>0</v>
      </c>
      <c r="D241" s="412" t="s">
        <v>186</v>
      </c>
      <c r="E241" s="413">
        <f>C241</f>
        <v>0</v>
      </c>
      <c r="F241" s="410"/>
      <c r="G241" s="418"/>
      <c r="H241" s="387"/>
      <c r="I241" s="395" t="str">
        <f>A246</f>
        <v>Factor de presición No. 50</v>
      </c>
      <c r="J241" s="396">
        <f>G246</f>
        <v>0.45392671715941679</v>
      </c>
      <c r="K241" s="522" t="e">
        <f>+J241/J242</f>
        <v>#DIV/0!</v>
      </c>
    </row>
    <row r="242" spans="1:11" ht="19.5" customHeight="1" x14ac:dyDescent="0.2">
      <c r="A242" s="409" t="s">
        <v>185</v>
      </c>
      <c r="B242" s="410"/>
      <c r="C242" s="416">
        <f>2*(SQRT(Balanza!$B$9+Balanza!$C$9*(POWER(B240,2))))</f>
        <v>0.12899612397277679</v>
      </c>
      <c r="D242" s="412" t="s">
        <v>184</v>
      </c>
      <c r="E242" s="413">
        <f>C242/2</f>
        <v>6.4498061986388397E-2</v>
      </c>
      <c r="F242" s="410"/>
      <c r="G242" s="418"/>
      <c r="H242" s="387"/>
      <c r="I242" s="393"/>
      <c r="J242" s="394" t="e">
        <f>SUM(J238:J241)</f>
        <v>#DIV/0!</v>
      </c>
    </row>
    <row r="243" spans="1:11" ht="19.5" customHeight="1" x14ac:dyDescent="0.2">
      <c r="A243" s="409" t="s">
        <v>183</v>
      </c>
      <c r="B243" s="410"/>
      <c r="C243" s="411">
        <f>+Balanza!$B$11</f>
        <v>0.1</v>
      </c>
      <c r="D243" s="412" t="s">
        <v>182</v>
      </c>
      <c r="E243" s="413">
        <f>(C243/SQRT(3)/2)</f>
        <v>2.8867513459481291E-2</v>
      </c>
      <c r="F243" s="410"/>
      <c r="G243" s="418"/>
      <c r="H243" s="387"/>
      <c r="I243" s="393"/>
      <c r="J243" s="394"/>
    </row>
    <row r="244" spans="1:11" ht="19.5" customHeight="1" x14ac:dyDescent="0.2">
      <c r="A244" s="403" t="s">
        <v>254</v>
      </c>
      <c r="B244" s="404">
        <v>0.3</v>
      </c>
      <c r="C244" s="404"/>
      <c r="D244" s="405" t="s">
        <v>188</v>
      </c>
      <c r="E244" s="406">
        <f>+SQRT(E245^2)</f>
        <v>1.25E-3</v>
      </c>
      <c r="F244" s="407">
        <v>1</v>
      </c>
      <c r="G244" s="408">
        <f>(E244*F244)</f>
        <v>1.25E-3</v>
      </c>
      <c r="H244" s="387"/>
    </row>
    <row r="245" spans="1:11" ht="19.5" customHeight="1" x14ac:dyDescent="0.2">
      <c r="A245" s="409" t="s">
        <v>185</v>
      </c>
      <c r="B245" s="410"/>
      <c r="C245" s="419">
        <f>+Balanza!L42</f>
        <v>2.5000000000000001E-3</v>
      </c>
      <c r="D245" s="412" t="s">
        <v>184</v>
      </c>
      <c r="E245" s="413">
        <f>C245/2</f>
        <v>1.25E-3</v>
      </c>
      <c r="F245" s="410"/>
      <c r="G245" s="418"/>
      <c r="H245" s="389"/>
    </row>
    <row r="246" spans="1:11" ht="19.5" customHeight="1" thickBot="1" x14ac:dyDescent="0.25">
      <c r="A246" s="420" t="s">
        <v>255</v>
      </c>
      <c r="B246" s="421">
        <f>+Balanza!B67</f>
        <v>0.45392671715941679</v>
      </c>
      <c r="C246" s="421"/>
      <c r="D246" s="422" t="s">
        <v>180</v>
      </c>
      <c r="E246" s="423">
        <f>B246/SQRT(1)</f>
        <v>0.45392671715941679</v>
      </c>
      <c r="F246" s="435">
        <v>1</v>
      </c>
      <c r="G246" s="425">
        <f>(E246*F246)</f>
        <v>0.45392671715941679</v>
      </c>
      <c r="H246" s="389"/>
      <c r="I246" s="387"/>
      <c r="J246" s="387"/>
    </row>
    <row r="247" spans="1:11" ht="19.5" customHeight="1" thickBot="1" x14ac:dyDescent="0.25"/>
    <row r="248" spans="1:11" ht="19.5" customHeight="1" thickBot="1" x14ac:dyDescent="0.25">
      <c r="A248" s="426" t="s">
        <v>256</v>
      </c>
      <c r="B248" s="520" t="e">
        <f>IF($A$163="Fraccionada",$B$179*(1-(B250/B254)),(1-(B250/B254))*100)</f>
        <v>#DIV/0!</v>
      </c>
      <c r="C248" s="427"/>
      <c r="D248" s="428"/>
      <c r="E248" s="428"/>
      <c r="F248" s="433"/>
      <c r="G248" s="430"/>
      <c r="H248" s="431" t="e">
        <f>IF($A$163="fraccionada",SQRT(G250*G250+(G258*G258)+(G254*G254)+(G260*G260)+(G249*G249)),SQRT(G250*G250+G254*G254+G258*G258+G260*G260))</f>
        <v>#DIV/0!</v>
      </c>
      <c r="I248" s="434" t="str">
        <f>IF(B250=0,"---",(H248*2))</f>
        <v>---</v>
      </c>
      <c r="J248" s="387"/>
    </row>
    <row r="249" spans="1:11" ht="19.5" customHeight="1" x14ac:dyDescent="0.2">
      <c r="A249" s="513" t="str">
        <f>IF($A$163="Fraccionada","% pasa tamiz No 4","")</f>
        <v/>
      </c>
      <c r="B249" s="528" t="str">
        <f>IF($A$163="Fraccionada",$B$150,"")</f>
        <v/>
      </c>
      <c r="C249" s="529"/>
      <c r="D249" s="530"/>
      <c r="E249" s="531" t="str">
        <f>IF($A$163="Fraccionada",$H$150,"")</f>
        <v/>
      </c>
      <c r="F249" s="532" t="str">
        <f>IF($A$163="Fraccionada",1-B250/B254,"")</f>
        <v/>
      </c>
      <c r="G249" s="533" t="str">
        <f>IF($A$163="Fraccionada",(E249*F249),"")</f>
        <v/>
      </c>
      <c r="H249" s="504"/>
      <c r="I249" s="505"/>
      <c r="J249" s="387"/>
    </row>
    <row r="250" spans="1:11" ht="19.5" customHeight="1" x14ac:dyDescent="0.2">
      <c r="A250" s="403" t="s">
        <v>337</v>
      </c>
      <c r="B250" s="525">
        <f>Balanza!D45</f>
        <v>0</v>
      </c>
      <c r="C250" s="404"/>
      <c r="D250" s="405" t="s">
        <v>188</v>
      </c>
      <c r="E250" s="406">
        <f>SQRT((E251*E251)+(E252*E252)+(E253*E253))</f>
        <v>7.0663521942607221E-2</v>
      </c>
      <c r="F250" s="407" t="e">
        <f>IF($A$163="Fraccionada",B249/B254,100/B254)</f>
        <v>#DIV/0!</v>
      </c>
      <c r="G250" s="408" t="e">
        <f>(E250*F250)</f>
        <v>#DIV/0!</v>
      </c>
      <c r="H250" s="389"/>
      <c r="J250" s="387"/>
    </row>
    <row r="251" spans="1:11" ht="19.5" customHeight="1" x14ac:dyDescent="0.2">
      <c r="A251" s="409" t="s">
        <v>187</v>
      </c>
      <c r="B251" s="410"/>
      <c r="C251" s="411">
        <f>Balanza!E45</f>
        <v>0</v>
      </c>
      <c r="D251" s="412" t="s">
        <v>186</v>
      </c>
      <c r="E251" s="413">
        <f>C251</f>
        <v>0</v>
      </c>
      <c r="F251" s="414"/>
      <c r="G251" s="415"/>
      <c r="H251" s="387"/>
      <c r="I251" s="387"/>
      <c r="J251" s="387"/>
    </row>
    <row r="252" spans="1:11" ht="19.5" customHeight="1" x14ac:dyDescent="0.2">
      <c r="A252" s="409" t="s">
        <v>185</v>
      </c>
      <c r="B252" s="410"/>
      <c r="C252" s="416">
        <f>2*(SQRT(Balanza!$B$9+Balanza!$C$9*(POWER(B250,2))))</f>
        <v>0.12899612397277679</v>
      </c>
      <c r="D252" s="412" t="s">
        <v>184</v>
      </c>
      <c r="E252" s="413">
        <f>C252/2</f>
        <v>6.4498061986388397E-2</v>
      </c>
      <c r="F252" s="414"/>
      <c r="G252" s="415"/>
      <c r="H252" s="387"/>
      <c r="I252" s="391" t="str">
        <f>A250</f>
        <v>M ret acumulado No. 100 (g)</v>
      </c>
      <c r="J252" s="392" t="e">
        <f>G250</f>
        <v>#DIV/0!</v>
      </c>
      <c r="K252" s="522" t="e">
        <f>+J252/J256</f>
        <v>#DIV/0!</v>
      </c>
    </row>
    <row r="253" spans="1:11" ht="19.5" customHeight="1" x14ac:dyDescent="0.2">
      <c r="A253" s="409" t="s">
        <v>183</v>
      </c>
      <c r="B253" s="410"/>
      <c r="C253" s="411">
        <f>+Balanza!$B$11</f>
        <v>0.1</v>
      </c>
      <c r="D253" s="412" t="s">
        <v>182</v>
      </c>
      <c r="E253" s="413">
        <f>(C253/SQRT(3)/2)</f>
        <v>2.8867513459481291E-2</v>
      </c>
      <c r="F253" s="414"/>
      <c r="G253" s="415"/>
      <c r="H253" s="387"/>
      <c r="I253" s="393" t="str">
        <f>A258</f>
        <v>Abertura de Tamiz No. 100 (mm)</v>
      </c>
      <c r="J253" s="394">
        <f>G258</f>
        <v>6.4999999999999997E-4</v>
      </c>
      <c r="K253" s="522" t="e">
        <f>+J253/J256</f>
        <v>#DIV/0!</v>
      </c>
    </row>
    <row r="254" spans="1:11" ht="19.5" customHeight="1" x14ac:dyDescent="0.2">
      <c r="A254" s="403" t="str">
        <f>IF($A$163="Fraccionada","M Fraccion Fino (g)","M total (g)")</f>
        <v>M total (g)</v>
      </c>
      <c r="B254" s="417" t="b">
        <f>IF($A$163="Fraccionada",datos!$E$20,datos!$E$19)</f>
        <v>0</v>
      </c>
      <c r="C254" s="417"/>
      <c r="D254" s="405" t="s">
        <v>188</v>
      </c>
      <c r="E254" s="406">
        <f>SQRT((E255*E255)+(E256*E256)+(E257*E257))</f>
        <v>7.0663521942607221E-2</v>
      </c>
      <c r="F254" s="407" t="e">
        <f>IF($A$163="Fraccionada",B250*B249/POWER(B254,2),(100*B250)/POWER(B254,2))</f>
        <v>#DIV/0!</v>
      </c>
      <c r="G254" s="408" t="e">
        <f>(E254*F254)</f>
        <v>#DIV/0!</v>
      </c>
      <c r="H254" s="387"/>
      <c r="I254" s="393" t="str">
        <f>A254</f>
        <v>M total (g)</v>
      </c>
      <c r="J254" s="394" t="e">
        <f>G254</f>
        <v>#DIV/0!</v>
      </c>
      <c r="K254" s="522" t="e">
        <f>+J254/J256</f>
        <v>#DIV/0!</v>
      </c>
    </row>
    <row r="255" spans="1:11" ht="19.5" customHeight="1" x14ac:dyDescent="0.2">
      <c r="A255" s="409" t="s">
        <v>187</v>
      </c>
      <c r="B255" s="410"/>
      <c r="C255" s="411">
        <f>+Balanza!$D$26</f>
        <v>0</v>
      </c>
      <c r="D255" s="412" t="s">
        <v>186</v>
      </c>
      <c r="E255" s="413">
        <f>C255</f>
        <v>0</v>
      </c>
      <c r="F255" s="410"/>
      <c r="G255" s="418"/>
      <c r="H255" s="387"/>
      <c r="I255" s="395" t="str">
        <f>A260</f>
        <v>Factor de presición No. 100</v>
      </c>
      <c r="J255" s="396">
        <f>G260</f>
        <v>0.24282402392218505</v>
      </c>
      <c r="K255" s="522" t="e">
        <f>+J255/J256</f>
        <v>#DIV/0!</v>
      </c>
    </row>
    <row r="256" spans="1:11" ht="19.5" customHeight="1" x14ac:dyDescent="0.2">
      <c r="A256" s="409" t="s">
        <v>185</v>
      </c>
      <c r="B256" s="410"/>
      <c r="C256" s="416">
        <f>2*(SQRT(Balanza!$B$9+Balanza!$C$9*(POWER(B254,2))))</f>
        <v>0.12899612397277679</v>
      </c>
      <c r="D256" s="412" t="s">
        <v>184</v>
      </c>
      <c r="E256" s="413">
        <f>C256/2</f>
        <v>6.4498061986388397E-2</v>
      </c>
      <c r="F256" s="410"/>
      <c r="G256" s="418"/>
      <c r="H256" s="387"/>
      <c r="I256" s="393"/>
      <c r="J256" s="394" t="e">
        <f>SUM(J252:J255)</f>
        <v>#DIV/0!</v>
      </c>
    </row>
    <row r="257" spans="1:11" ht="19.5" customHeight="1" x14ac:dyDescent="0.2">
      <c r="A257" s="409" t="s">
        <v>183</v>
      </c>
      <c r="B257" s="410"/>
      <c r="C257" s="411">
        <f>+Balanza!$B$11</f>
        <v>0.1</v>
      </c>
      <c r="D257" s="412" t="s">
        <v>182</v>
      </c>
      <c r="E257" s="413">
        <f>(C257/SQRT(3)/2)</f>
        <v>2.8867513459481291E-2</v>
      </c>
      <c r="F257" s="410"/>
      <c r="G257" s="418"/>
      <c r="H257" s="387"/>
      <c r="I257" s="393"/>
      <c r="J257" s="394"/>
    </row>
    <row r="258" spans="1:11" ht="19.5" customHeight="1" x14ac:dyDescent="0.2">
      <c r="A258" s="403" t="s">
        <v>330</v>
      </c>
      <c r="B258" s="404">
        <v>0.15</v>
      </c>
      <c r="C258" s="404"/>
      <c r="D258" s="405" t="s">
        <v>188</v>
      </c>
      <c r="E258" s="406">
        <f>+SQRT(E259^2)</f>
        <v>6.4999999999999997E-4</v>
      </c>
      <c r="F258" s="407">
        <v>1</v>
      </c>
      <c r="G258" s="408">
        <f>(E258*F258)</f>
        <v>6.4999999999999997E-4</v>
      </c>
      <c r="H258" s="387"/>
    </row>
    <row r="259" spans="1:11" ht="19.5" customHeight="1" x14ac:dyDescent="0.2">
      <c r="A259" s="409" t="s">
        <v>185</v>
      </c>
      <c r="B259" s="410"/>
      <c r="C259" s="419">
        <f>+Balanza!L43</f>
        <v>1.2999999999999999E-3</v>
      </c>
      <c r="D259" s="412" t="s">
        <v>184</v>
      </c>
      <c r="E259" s="413">
        <f>C259/2</f>
        <v>6.4999999999999997E-4</v>
      </c>
      <c r="F259" s="410"/>
      <c r="G259" s="418"/>
      <c r="H259" s="389"/>
    </row>
    <row r="260" spans="1:11" ht="19.5" customHeight="1" thickBot="1" x14ac:dyDescent="0.25">
      <c r="A260" s="420" t="s">
        <v>331</v>
      </c>
      <c r="B260" s="421">
        <f>+Balanza!B68</f>
        <v>0.24282402392218505</v>
      </c>
      <c r="C260" s="421"/>
      <c r="D260" s="422" t="s">
        <v>180</v>
      </c>
      <c r="E260" s="423">
        <f>B260/SQRT(1)</f>
        <v>0.24282402392218505</v>
      </c>
      <c r="F260" s="435">
        <v>1</v>
      </c>
      <c r="G260" s="425">
        <f>(E260*F260)</f>
        <v>0.24282402392218505</v>
      </c>
      <c r="H260" s="389"/>
      <c r="I260" s="387"/>
      <c r="J260" s="387"/>
    </row>
    <row r="261" spans="1:11" ht="19.5" customHeight="1" thickBot="1" x14ac:dyDescent="0.25"/>
    <row r="262" spans="1:11" ht="19.5" customHeight="1" thickBot="1" x14ac:dyDescent="0.25">
      <c r="A262" s="426" t="s">
        <v>191</v>
      </c>
      <c r="B262" s="569" t="e">
        <f>IF($A$163="Fraccionada",$B$179*(1-(B264/B268)),(1-(B264/B268))*100)</f>
        <v>#DIV/0!</v>
      </c>
      <c r="C262" s="427"/>
      <c r="D262" s="428"/>
      <c r="E262" s="428"/>
      <c r="F262" s="433"/>
      <c r="G262" s="430"/>
      <c r="H262" s="431" t="e">
        <f>IF($A$163="fraccionada",SQRT(G264*G264+(G272*G272)+(G268*G268)+(G274*G274)+(G263*G263)),SQRT(G264*G264+G268*G268+G272*G272+G274*G274))</f>
        <v>#DIV/0!</v>
      </c>
      <c r="I262" s="570" t="str">
        <f>IF(B264=0,"---",(H262*2))</f>
        <v>---</v>
      </c>
      <c r="J262" s="387"/>
    </row>
    <row r="263" spans="1:11" ht="19.5" customHeight="1" x14ac:dyDescent="0.2">
      <c r="A263" s="513" t="str">
        <f>IF($A$163="Fraccionada","% pasa tamiz No 4","")</f>
        <v/>
      </c>
      <c r="B263" s="528" t="str">
        <f>IF($A$163="Fraccionada",$B$150,"")</f>
        <v/>
      </c>
      <c r="C263" s="529"/>
      <c r="D263" s="530"/>
      <c r="E263" s="531" t="str">
        <f>IF($A$163="Fraccionada",$H$150,"")</f>
        <v/>
      </c>
      <c r="F263" s="532" t="str">
        <f>IF($A$163="Fraccionada",1-B264/B268,"")</f>
        <v/>
      </c>
      <c r="G263" s="533" t="str">
        <f>IF($A$163="Fraccionada",(E263*F263),"")</f>
        <v/>
      </c>
      <c r="H263" s="504"/>
      <c r="I263" s="505"/>
      <c r="J263" s="387"/>
    </row>
    <row r="264" spans="1:11" ht="19.5" customHeight="1" x14ac:dyDescent="0.2">
      <c r="A264" s="403" t="s">
        <v>336</v>
      </c>
      <c r="B264" s="525">
        <f>Balanza!D46</f>
        <v>0</v>
      </c>
      <c r="C264" s="404"/>
      <c r="D264" s="405" t="s">
        <v>188</v>
      </c>
      <c r="E264" s="406">
        <f>SQRT((E265*E265)+(E266*E266)+(E267*E267))</f>
        <v>7.0663521942607221E-2</v>
      </c>
      <c r="F264" s="407" t="e">
        <f>IF($A$163="Fraccionada",B263/B268,100/B268)</f>
        <v>#DIV/0!</v>
      </c>
      <c r="G264" s="408" t="e">
        <f>(E264*F264)</f>
        <v>#DIV/0!</v>
      </c>
      <c r="H264" s="389"/>
      <c r="J264" s="387"/>
    </row>
    <row r="265" spans="1:11" ht="19.5" customHeight="1" x14ac:dyDescent="0.2">
      <c r="A265" s="409" t="s">
        <v>187</v>
      </c>
      <c r="B265" s="410"/>
      <c r="C265" s="411">
        <f>Balanza!E46</f>
        <v>0</v>
      </c>
      <c r="D265" s="412" t="s">
        <v>186</v>
      </c>
      <c r="E265" s="413">
        <f>C265</f>
        <v>0</v>
      </c>
      <c r="F265" s="414"/>
      <c r="G265" s="415"/>
      <c r="H265" s="387"/>
      <c r="I265" s="387"/>
      <c r="J265" s="387"/>
    </row>
    <row r="266" spans="1:11" ht="19.5" customHeight="1" x14ac:dyDescent="0.2">
      <c r="A266" s="409" t="s">
        <v>185</v>
      </c>
      <c r="B266" s="410"/>
      <c r="C266" s="416">
        <f>2*(SQRT(Balanza!$B$9+Balanza!$C$9*(POWER(B264,2))))</f>
        <v>0.12899612397277679</v>
      </c>
      <c r="D266" s="412" t="s">
        <v>184</v>
      </c>
      <c r="E266" s="413">
        <f>C266/2</f>
        <v>6.4498061986388397E-2</v>
      </c>
      <c r="F266" s="414"/>
      <c r="G266" s="415"/>
      <c r="H266" s="387"/>
      <c r="I266" s="391" t="str">
        <f>A264</f>
        <v>M ret acumulado No. 200 (g)</v>
      </c>
      <c r="J266" s="392" t="e">
        <f>G264</f>
        <v>#DIV/0!</v>
      </c>
      <c r="K266" s="522" t="e">
        <f>+J266/J270</f>
        <v>#DIV/0!</v>
      </c>
    </row>
    <row r="267" spans="1:11" ht="19.5" customHeight="1" x14ac:dyDescent="0.2">
      <c r="A267" s="409" t="s">
        <v>183</v>
      </c>
      <c r="B267" s="410"/>
      <c r="C267" s="411">
        <f>+Balanza!$B$11</f>
        <v>0.1</v>
      </c>
      <c r="D267" s="412" t="s">
        <v>182</v>
      </c>
      <c r="E267" s="413">
        <f>(C267/SQRT(3)/2)</f>
        <v>2.8867513459481291E-2</v>
      </c>
      <c r="F267" s="414"/>
      <c r="G267" s="415"/>
      <c r="H267" s="387"/>
      <c r="I267" s="393" t="str">
        <f>A272</f>
        <v>Abertura de Tamiz No. 200 (mm)</v>
      </c>
      <c r="J267" s="394">
        <f>G272</f>
        <v>6.4999999999999997E-4</v>
      </c>
      <c r="K267" s="522" t="e">
        <f>+J267/J270</f>
        <v>#DIV/0!</v>
      </c>
    </row>
    <row r="268" spans="1:11" ht="19.5" customHeight="1" x14ac:dyDescent="0.2">
      <c r="A268" s="403" t="str">
        <f>IF($A$163="Fraccionada","M Fraccion Fino (g)","M total (g)")</f>
        <v>M total (g)</v>
      </c>
      <c r="B268" s="417" t="b">
        <f>IF($A$163="Fraccionada",datos!$E$20,datos!$E$19)</f>
        <v>0</v>
      </c>
      <c r="C268" s="417"/>
      <c r="D268" s="405" t="s">
        <v>188</v>
      </c>
      <c r="E268" s="406">
        <f>SQRT((E269*E269)+(E270*E270)+(E271*E271))</f>
        <v>7.0663521942607221E-2</v>
      </c>
      <c r="F268" s="407" t="e">
        <f>IF($A$163="Fraccionada",B264*B263/POWER(B268,2),(100*B264)/POWER(B268,2))</f>
        <v>#DIV/0!</v>
      </c>
      <c r="G268" s="408" t="e">
        <f>(E268*F268)</f>
        <v>#DIV/0!</v>
      </c>
      <c r="H268" s="387"/>
      <c r="I268" s="393" t="str">
        <f>A268</f>
        <v>M total (g)</v>
      </c>
      <c r="J268" s="394" t="e">
        <f>G268</f>
        <v>#DIV/0!</v>
      </c>
      <c r="K268" s="522" t="e">
        <f>+J268/J270</f>
        <v>#DIV/0!</v>
      </c>
    </row>
    <row r="269" spans="1:11" ht="19.5" customHeight="1" x14ac:dyDescent="0.2">
      <c r="A269" s="409" t="s">
        <v>187</v>
      </c>
      <c r="B269" s="410"/>
      <c r="C269" s="411">
        <f>+Balanza!$D$26</f>
        <v>0</v>
      </c>
      <c r="D269" s="412" t="s">
        <v>186</v>
      </c>
      <c r="E269" s="413">
        <f>C269</f>
        <v>0</v>
      </c>
      <c r="F269" s="410"/>
      <c r="G269" s="418"/>
      <c r="H269" s="387"/>
      <c r="I269" s="395" t="str">
        <f>A274</f>
        <v>Factor de presición No. 200</v>
      </c>
      <c r="J269" s="396">
        <f>G274</f>
        <v>0.31355805092132405</v>
      </c>
      <c r="K269" s="522" t="e">
        <f>+J269/J270</f>
        <v>#DIV/0!</v>
      </c>
    </row>
    <row r="270" spans="1:11" ht="19.5" customHeight="1" x14ac:dyDescent="0.2">
      <c r="A270" s="409" t="s">
        <v>185</v>
      </c>
      <c r="B270" s="410"/>
      <c r="C270" s="416">
        <f>2*(SQRT(Balanza!$B$9+Balanza!$C$9*(POWER(B268,2))))</f>
        <v>0.12899612397277679</v>
      </c>
      <c r="D270" s="412" t="s">
        <v>184</v>
      </c>
      <c r="E270" s="413">
        <f>C270/2</f>
        <v>6.4498061986388397E-2</v>
      </c>
      <c r="F270" s="410"/>
      <c r="G270" s="418"/>
      <c r="H270" s="387"/>
      <c r="I270" s="393"/>
      <c r="J270" s="394" t="e">
        <f>SUM(J266:J269)</f>
        <v>#DIV/0!</v>
      </c>
    </row>
    <row r="271" spans="1:11" ht="19.5" customHeight="1" x14ac:dyDescent="0.2">
      <c r="A271" s="409" t="s">
        <v>183</v>
      </c>
      <c r="B271" s="410"/>
      <c r="C271" s="411">
        <f>+Balanza!$B$11</f>
        <v>0.1</v>
      </c>
      <c r="D271" s="412" t="s">
        <v>182</v>
      </c>
      <c r="E271" s="413">
        <f>(C271/SQRT(3)/2)</f>
        <v>2.8867513459481291E-2</v>
      </c>
      <c r="F271" s="410"/>
      <c r="G271" s="418"/>
      <c r="H271" s="387"/>
      <c r="I271" s="393"/>
      <c r="J271" s="394"/>
    </row>
    <row r="272" spans="1:11" ht="19.5" customHeight="1" x14ac:dyDescent="0.2">
      <c r="A272" s="403" t="s">
        <v>190</v>
      </c>
      <c r="B272" s="436">
        <v>7.4999999999999997E-2</v>
      </c>
      <c r="C272" s="436"/>
      <c r="D272" s="405" t="s">
        <v>188</v>
      </c>
      <c r="E272" s="406">
        <f>+SQRT(E273^2)</f>
        <v>6.4999999999999997E-4</v>
      </c>
      <c r="F272" s="407">
        <v>1</v>
      </c>
      <c r="G272" s="408">
        <f>(E272*F272)</f>
        <v>6.4999999999999997E-4</v>
      </c>
      <c r="H272" s="387"/>
    </row>
    <row r="273" spans="1:10" ht="19.5" customHeight="1" x14ac:dyDescent="0.2">
      <c r="A273" s="409" t="s">
        <v>185</v>
      </c>
      <c r="B273" s="410"/>
      <c r="C273" s="437">
        <f>+Balanza!L44</f>
        <v>1.2999999999999999E-3</v>
      </c>
      <c r="D273" s="412" t="s">
        <v>184</v>
      </c>
      <c r="E273" s="413">
        <f>C273/2</f>
        <v>6.4999999999999997E-4</v>
      </c>
      <c r="F273" s="410"/>
      <c r="G273" s="418"/>
      <c r="H273" s="389"/>
    </row>
    <row r="274" spans="1:10" ht="19.5" customHeight="1" thickBot="1" x14ac:dyDescent="0.25">
      <c r="A274" s="420" t="s">
        <v>181</v>
      </c>
      <c r="B274" s="421">
        <f>+Balanza!B69</f>
        <v>0.31355805092132405</v>
      </c>
      <c r="C274" s="421"/>
      <c r="D274" s="422" t="s">
        <v>180</v>
      </c>
      <c r="E274" s="423">
        <f>B274/SQRT(1)</f>
        <v>0.31355805092132405</v>
      </c>
      <c r="F274" s="435">
        <v>1</v>
      </c>
      <c r="G274" s="425">
        <f>(E274*F274)</f>
        <v>0.31355805092132405</v>
      </c>
      <c r="H274" s="389"/>
      <c r="I274" s="387"/>
      <c r="J274" s="387"/>
    </row>
    <row r="278" spans="1:10" ht="13.2" x14ac:dyDescent="0.2">
      <c r="A278" s="785" t="s">
        <v>457</v>
      </c>
      <c r="B278" s="901" t="s">
        <v>458</v>
      </c>
      <c r="C278" s="902"/>
      <c r="D278" s="786"/>
      <c r="E278" s="903" t="s">
        <v>459</v>
      </c>
      <c r="F278" s="903"/>
      <c r="G278" s="904" t="s">
        <v>460</v>
      </c>
      <c r="H278" s="905"/>
      <c r="I278" s="546"/>
    </row>
    <row r="279" spans="1:10" ht="13.2" x14ac:dyDescent="0.2">
      <c r="A279" s="546"/>
      <c r="B279" s="546"/>
      <c r="C279" s="546"/>
      <c r="D279" s="546"/>
      <c r="E279" s="546"/>
      <c r="F279" s="546"/>
      <c r="G279" s="546"/>
      <c r="H279" s="546"/>
      <c r="I279" s="546"/>
    </row>
    <row r="280" spans="1:10" ht="13.2" x14ac:dyDescent="0.2">
      <c r="A280" s="787" t="s">
        <v>461</v>
      </c>
      <c r="B280" s="885">
        <v>44944</v>
      </c>
      <c r="C280" s="886"/>
      <c r="D280" s="546"/>
      <c r="E280" s="887" t="s">
        <v>462</v>
      </c>
      <c r="F280" s="887"/>
      <c r="G280" s="885">
        <v>44944</v>
      </c>
      <c r="H280" s="886"/>
      <c r="I280" s="546"/>
    </row>
    <row r="281" spans="1:10" ht="13.2" x14ac:dyDescent="0.2">
      <c r="A281" s="546"/>
      <c r="B281" s="546"/>
      <c r="C281" s="546"/>
      <c r="D281" s="546"/>
      <c r="E281" s="546"/>
      <c r="F281" s="546"/>
      <c r="G281" s="546"/>
      <c r="H281" s="546"/>
      <c r="I281" s="546"/>
    </row>
  </sheetData>
  <sheetProtection algorithmName="SHA-512" hashValue="bC7OIqzPwDP9E2RGOaQfi8uGBHN1WthlXg7X1jCAP8Dds2CjtmDMblJxZi+yuB+fPcaf7Iro/t/lXx3L+YIp7A==" saltValue="oBd54LNn75iV+UT4HFB6dA==" spinCount="100000" sheet="1" selectLockedCells="1" selectUnlockedCells="1"/>
  <mergeCells count="9">
    <mergeCell ref="B280:C280"/>
    <mergeCell ref="E280:F280"/>
    <mergeCell ref="G280:H280"/>
    <mergeCell ref="A35:I35"/>
    <mergeCell ref="B1:I4"/>
    <mergeCell ref="A1:A4"/>
    <mergeCell ref="B278:C278"/>
    <mergeCell ref="E278:F278"/>
    <mergeCell ref="G278:H278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25B9-C381-4FB1-9FD5-743211BAA37E}">
  <dimension ref="A7:T69"/>
  <sheetViews>
    <sheetView zoomScale="160" zoomScaleNormal="160" workbookViewId="0">
      <selection activeCell="H8" sqref="H8"/>
    </sheetView>
  </sheetViews>
  <sheetFormatPr baseColWidth="10" defaultColWidth="11.5546875" defaultRowHeight="13.2" x14ac:dyDescent="0.25"/>
  <cols>
    <col min="1" max="1" width="11.5546875" style="659"/>
    <col min="2" max="3" width="12.5546875" style="659" customWidth="1"/>
    <col min="4" max="4" width="11.5546875" style="659"/>
    <col min="5" max="6" width="13.6640625" style="659" customWidth="1"/>
    <col min="7" max="7" width="12.88671875" style="659" customWidth="1"/>
    <col min="8" max="8" width="11.5546875" style="659"/>
    <col min="9" max="9" width="11.88671875" style="659" customWidth="1"/>
    <col min="10" max="16384" width="11.5546875" style="659"/>
  </cols>
  <sheetData>
    <row r="7" spans="1:20" x14ac:dyDescent="0.25">
      <c r="A7" s="657" t="s">
        <v>177</v>
      </c>
      <c r="B7" s="658"/>
      <c r="C7" s="658"/>
      <c r="D7" s="546"/>
      <c r="E7" s="546"/>
      <c r="F7" s="546"/>
      <c r="G7" s="546"/>
    </row>
    <row r="8" spans="1:20" x14ac:dyDescent="0.25">
      <c r="A8" s="782" t="s">
        <v>306</v>
      </c>
      <c r="B8" s="705">
        <v>-3.2899999999999998E-6</v>
      </c>
      <c r="C8" s="491"/>
      <c r="D8" s="491"/>
      <c r="E8" s="270"/>
      <c r="F8" s="546"/>
      <c r="G8" s="546"/>
      <c r="M8" s="661"/>
      <c r="N8" s="661"/>
      <c r="O8" s="661"/>
      <c r="P8" s="661"/>
      <c r="Q8" s="661"/>
      <c r="R8" s="661"/>
      <c r="S8" s="661"/>
      <c r="T8" s="661"/>
    </row>
    <row r="9" spans="1:20" x14ac:dyDescent="0.25">
      <c r="A9" s="492" t="s">
        <v>178</v>
      </c>
      <c r="B9" s="704">
        <v>4.1599999999999996E-3</v>
      </c>
      <c r="C9" s="705">
        <v>2.4299999999999999E-10</v>
      </c>
      <c r="D9" s="491"/>
      <c r="E9" s="270"/>
      <c r="F9" s="546"/>
      <c r="G9" s="546"/>
    </row>
    <row r="10" spans="1:20" x14ac:dyDescent="0.25">
      <c r="A10" s="492" t="s">
        <v>453</v>
      </c>
      <c r="B10" s="706" t="s">
        <v>454</v>
      </c>
      <c r="C10" s="704"/>
      <c r="D10" s="491"/>
      <c r="E10" s="270"/>
      <c r="F10" s="546"/>
      <c r="G10" s="546"/>
    </row>
    <row r="11" spans="1:20" x14ac:dyDescent="0.25">
      <c r="A11" s="492" t="s">
        <v>183</v>
      </c>
      <c r="B11" s="706">
        <v>0.1</v>
      </c>
      <c r="C11" s="704" t="s">
        <v>402</v>
      </c>
      <c r="D11" s="270"/>
      <c r="E11" s="270"/>
      <c r="F11" s="546"/>
      <c r="G11" s="546"/>
    </row>
    <row r="12" spans="1:20" x14ac:dyDescent="0.25">
      <c r="A12" s="492" t="s">
        <v>455</v>
      </c>
      <c r="B12" s="704" t="s">
        <v>154</v>
      </c>
      <c r="C12" s="491"/>
      <c r="D12" s="270"/>
      <c r="E12" s="270"/>
      <c r="F12" s="546"/>
      <c r="G12" s="546"/>
    </row>
    <row r="13" spans="1:20" x14ac:dyDescent="0.25">
      <c r="A13" s="492" t="s">
        <v>456</v>
      </c>
      <c r="B13" s="270"/>
      <c r="C13" s="783">
        <v>46132</v>
      </c>
      <c r="D13" s="270"/>
      <c r="E13" s="270"/>
      <c r="F13" s="546"/>
      <c r="G13" s="546"/>
    </row>
    <row r="14" spans="1:20" x14ac:dyDescent="0.25">
      <c r="A14" s="495"/>
      <c r="B14" s="660"/>
      <c r="C14" s="546"/>
      <c r="D14" s="546"/>
      <c r="E14" s="546"/>
      <c r="F14" s="546"/>
      <c r="G14" s="546"/>
    </row>
    <row r="15" spans="1:20" ht="18.600000000000001" customHeight="1" x14ac:dyDescent="0.25">
      <c r="A15" s="664" t="s">
        <v>270</v>
      </c>
      <c r="B15" s="663" t="s">
        <v>343</v>
      </c>
      <c r="C15" s="664">
        <v>20</v>
      </c>
      <c r="D15" s="664">
        <v>200</v>
      </c>
      <c r="E15" s="664">
        <v>500</v>
      </c>
      <c r="F15" s="664">
        <v>1000</v>
      </c>
      <c r="G15" s="664">
        <v>5000</v>
      </c>
      <c r="H15" s="664">
        <v>10000</v>
      </c>
    </row>
    <row r="16" spans="1:20" x14ac:dyDescent="0.25">
      <c r="A16" s="665"/>
      <c r="B16" s="666"/>
      <c r="C16" s="667"/>
      <c r="D16" s="702"/>
      <c r="E16" s="702"/>
      <c r="F16" s="702"/>
      <c r="G16" s="702"/>
      <c r="H16" s="702"/>
    </row>
    <row r="17" spans="1:15" x14ac:dyDescent="0.25">
      <c r="A17" s="665"/>
      <c r="B17" s="666"/>
      <c r="C17" s="667"/>
      <c r="D17" s="702"/>
      <c r="E17" s="702"/>
      <c r="F17" s="702"/>
      <c r="G17" s="702"/>
      <c r="H17" s="702"/>
    </row>
    <row r="18" spans="1:15" x14ac:dyDescent="0.25">
      <c r="A18" s="546"/>
      <c r="B18" s="546"/>
      <c r="C18" s="546"/>
      <c r="D18" s="546"/>
      <c r="E18" s="546"/>
      <c r="F18" s="546"/>
      <c r="G18" s="546"/>
    </row>
    <row r="19" spans="1:15" x14ac:dyDescent="0.25">
      <c r="A19" s="663"/>
      <c r="B19" s="662" t="s">
        <v>179</v>
      </c>
      <c r="C19" s="668">
        <v>0</v>
      </c>
      <c r="D19" s="668">
        <v>0</v>
      </c>
      <c r="E19" s="668">
        <v>0</v>
      </c>
      <c r="F19" s="668">
        <v>0</v>
      </c>
      <c r="G19" s="668">
        <v>0</v>
      </c>
      <c r="H19" s="668">
        <v>0</v>
      </c>
    </row>
    <row r="20" spans="1:15" ht="13.8" thickBot="1" x14ac:dyDescent="0.3"/>
    <row r="21" spans="1:15" ht="13.95" customHeight="1" thickBot="1" x14ac:dyDescent="0.3">
      <c r="C21" s="910" t="s">
        <v>164</v>
      </c>
      <c r="D21" s="911"/>
      <c r="E21" s="911"/>
      <c r="F21" s="911"/>
      <c r="G21" s="911"/>
      <c r="H21" s="912"/>
    </row>
    <row r="22" spans="1:15" ht="17.25" customHeight="1" thickBot="1" x14ac:dyDescent="0.3">
      <c r="C22" s="913"/>
      <c r="D22" s="914"/>
      <c r="E22" s="914"/>
      <c r="F22" s="914"/>
      <c r="G22" s="914"/>
      <c r="H22" s="915"/>
      <c r="J22" s="669"/>
      <c r="K22" s="670" t="s">
        <v>165</v>
      </c>
      <c r="L22" s="670"/>
      <c r="M22" s="670"/>
      <c r="N22" s="670"/>
      <c r="O22" s="671"/>
    </row>
    <row r="23" spans="1:15" ht="15.75" customHeight="1" x14ac:dyDescent="0.25">
      <c r="C23" s="672">
        <f t="shared" ref="C23:H23" si="0">+C15</f>
        <v>20</v>
      </c>
      <c r="D23" s="673">
        <f t="shared" si="0"/>
        <v>200</v>
      </c>
      <c r="E23" s="673">
        <f t="shared" si="0"/>
        <v>500</v>
      </c>
      <c r="F23" s="673">
        <f t="shared" si="0"/>
        <v>1000</v>
      </c>
      <c r="G23" s="673">
        <f t="shared" si="0"/>
        <v>5000</v>
      </c>
      <c r="H23" s="674">
        <f t="shared" si="0"/>
        <v>10000</v>
      </c>
      <c r="J23" s="675"/>
      <c r="O23" s="676"/>
    </row>
    <row r="24" spans="1:15" ht="13.8" thickBot="1" x14ac:dyDescent="0.3">
      <c r="C24" s="677">
        <f t="shared" ref="C24:H24" si="1">C19</f>
        <v>0</v>
      </c>
      <c r="D24" s="678">
        <f t="shared" si="1"/>
        <v>0</v>
      </c>
      <c r="E24" s="678">
        <f t="shared" si="1"/>
        <v>0</v>
      </c>
      <c r="F24" s="678">
        <f t="shared" si="1"/>
        <v>0</v>
      </c>
      <c r="G24" s="678">
        <f t="shared" si="1"/>
        <v>0</v>
      </c>
      <c r="H24" s="679">
        <f t="shared" si="1"/>
        <v>0</v>
      </c>
      <c r="J24" s="675"/>
      <c r="K24" s="546" t="s">
        <v>166</v>
      </c>
      <c r="L24" s="546"/>
      <c r="M24" s="547">
        <v>44628</v>
      </c>
      <c r="N24" s="547"/>
      <c r="O24" s="676"/>
    </row>
    <row r="25" spans="1:15" x14ac:dyDescent="0.25">
      <c r="A25" s="494"/>
      <c r="B25" s="495"/>
      <c r="J25" s="675"/>
      <c r="O25" s="676"/>
    </row>
    <row r="26" spans="1:15" x14ac:dyDescent="0.25">
      <c r="A26" s="680"/>
      <c r="B26" s="681" t="s">
        <v>174</v>
      </c>
      <c r="C26" s="558" t="b">
        <f>+datos!E19</f>
        <v>0</v>
      </c>
      <c r="D26" s="668">
        <f>IF(C26&lt;=$C$23,$C$24,IF(AND(C26&gt;$C$23,C26&lt;=$D$23),$D$24,IF(AND(C26&gt;$D$23,C26&lt;=$E$23),$E$24,IF(AND(C26&gt;$E$23,C26&lt;=$F$23),$F$24,IF(AND(C26&gt;$F$23,C26&lt;=$G$23),$G$24,IF(AND(C26&gt;$G$23,C26&lt;=$H$23),$H$24,$H$24))))))</f>
        <v>0</v>
      </c>
      <c r="J26" s="675"/>
      <c r="O26" s="676"/>
    </row>
    <row r="27" spans="1:15" ht="13.8" thickBot="1" x14ac:dyDescent="0.3">
      <c r="B27" s="682" t="str">
        <f>+datos!C10</f>
        <v>-</v>
      </c>
      <c r="C27" s="683" t="b">
        <f>+datos!E20</f>
        <v>0</v>
      </c>
      <c r="D27" s="684">
        <f>IF(C27&lt;=$C$23,$C$24,IF(AND(C27&gt;$C$23,C27&lt;=$D$23),$D$24,IF(AND(C27&gt;$D$23,C27&lt;=$E$23),$E$24,IF(AND(C27&gt;$E$23,C27&lt;=$F$23),$F$24,IF(AND(C27&gt;$F$23,C27&lt;=$G$23),$G$24,IF(AND(C27&gt;$G$23,C27&lt;=$H$23),$H$24,$H$24))))))</f>
        <v>0</v>
      </c>
      <c r="J27" s="675"/>
      <c r="K27" s="548" t="s">
        <v>167</v>
      </c>
      <c r="L27" s="549" t="s">
        <v>168</v>
      </c>
      <c r="M27" s="662" t="s">
        <v>169</v>
      </c>
      <c r="N27" s="685"/>
      <c r="O27" s="676"/>
    </row>
    <row r="28" spans="1:15" ht="13.95" customHeight="1" thickTop="1" x14ac:dyDescent="0.25">
      <c r="B28" s="906" t="s">
        <v>317</v>
      </c>
      <c r="C28" s="916" t="s">
        <v>341</v>
      </c>
      <c r="D28" s="916" t="s">
        <v>320</v>
      </c>
      <c r="E28" s="908" t="s">
        <v>319</v>
      </c>
      <c r="G28" s="918"/>
      <c r="H28" s="918"/>
      <c r="J28" s="675"/>
      <c r="K28" s="550" t="s">
        <v>170</v>
      </c>
      <c r="L28" s="551">
        <f>M28/1000</f>
        <v>1.7999999999999999E-2</v>
      </c>
      <c r="M28" s="686">
        <v>18</v>
      </c>
      <c r="N28" s="687" t="s">
        <v>171</v>
      </c>
      <c r="O28" s="676"/>
    </row>
    <row r="29" spans="1:15" x14ac:dyDescent="0.25">
      <c r="A29" s="680"/>
      <c r="B29" s="907"/>
      <c r="C29" s="917"/>
      <c r="D29" s="917"/>
      <c r="E29" s="909"/>
      <c r="G29" s="918"/>
      <c r="H29" s="918"/>
      <c r="J29" s="675"/>
      <c r="K29" s="550" t="s">
        <v>236</v>
      </c>
      <c r="L29" s="551">
        <f t="shared" ref="L29:L34" si="2">M29/1000</f>
        <v>1.7999999999999999E-2</v>
      </c>
      <c r="M29" s="663">
        <v>18</v>
      </c>
      <c r="N29" s="687" t="s">
        <v>171</v>
      </c>
      <c r="O29" s="676"/>
    </row>
    <row r="30" spans="1:15" x14ac:dyDescent="0.25">
      <c r="A30" s="680"/>
      <c r="B30" s="543" t="s">
        <v>170</v>
      </c>
      <c r="C30" s="688">
        <f>+datos!E28</f>
        <v>0</v>
      </c>
      <c r="D30" s="688">
        <f>C30</f>
        <v>0</v>
      </c>
      <c r="E30" s="689">
        <f>IF(D30&lt;=$C$23,$C$24,IF(AND(D30&gt;$C$23,D30&lt;=$D$23),$D$24,IF(AND(D30&gt;$D$23,D30&lt;=$E$23),$E$24,IF(AND(D30&gt;$E$23,D30&lt;=$F$23),$F$24,IF(AND(D30&gt;$F$23,D30&lt;=$G$23),$G$24,IF(AND(D30&gt;$G$23,D30&lt;=$H$23),$H$24,$H$24))))))</f>
        <v>0</v>
      </c>
      <c r="G30" s="690"/>
      <c r="H30" s="691"/>
      <c r="J30" s="680"/>
      <c r="K30" s="550" t="s">
        <v>172</v>
      </c>
      <c r="L30" s="551">
        <f t="shared" si="2"/>
        <v>1.7999999999999999E-2</v>
      </c>
      <c r="M30" s="663">
        <v>18</v>
      </c>
      <c r="N30" s="687" t="s">
        <v>171</v>
      </c>
      <c r="O30" s="676"/>
    </row>
    <row r="31" spans="1:15" x14ac:dyDescent="0.25">
      <c r="A31" s="680"/>
      <c r="B31" s="543" t="s">
        <v>236</v>
      </c>
      <c r="C31" s="688">
        <f>+datos!E29</f>
        <v>0</v>
      </c>
      <c r="D31" s="688">
        <f t="shared" ref="D31:D38" si="3">D30+C31</f>
        <v>0</v>
      </c>
      <c r="E31" s="689">
        <f t="shared" ref="E31:E46" si="4">IF(D31&lt;=$C$23,$C$24,IF(AND(D31&gt;$C$23,D31&lt;=$D$23),$D$24,IF(AND(D31&gt;$D$23,D31&lt;=$E$23),$E$24,IF(AND(D31&gt;$E$23,D31&lt;=$F$23),$F$24,IF(AND(D31&gt;$F$23,D31&lt;=$G$23),$G$24,IF(AND(D31&gt;$G$23,D31&lt;=$H$23),$H$24,$H$24))))))</f>
        <v>0</v>
      </c>
      <c r="G31" s="690"/>
      <c r="H31" s="691"/>
      <c r="J31" s="680"/>
      <c r="K31" s="550" t="s">
        <v>173</v>
      </c>
      <c r="L31" s="551">
        <f t="shared" si="2"/>
        <v>1.7999999999999999E-2</v>
      </c>
      <c r="M31" s="663">
        <v>18</v>
      </c>
      <c r="N31" s="687" t="s">
        <v>171</v>
      </c>
      <c r="O31" s="676"/>
    </row>
    <row r="32" spans="1:15" x14ac:dyDescent="0.25">
      <c r="A32" s="680"/>
      <c r="B32" s="543" t="s">
        <v>172</v>
      </c>
      <c r="C32" s="688">
        <f>+datos!E30</f>
        <v>0</v>
      </c>
      <c r="D32" s="688">
        <f t="shared" si="3"/>
        <v>0</v>
      </c>
      <c r="E32" s="689">
        <f t="shared" si="4"/>
        <v>0</v>
      </c>
      <c r="G32" s="690"/>
      <c r="H32" s="691"/>
      <c r="J32" s="680"/>
      <c r="K32" s="550" t="s">
        <v>175</v>
      </c>
      <c r="L32" s="551">
        <f t="shared" si="2"/>
        <v>1.7999999999999999E-2</v>
      </c>
      <c r="M32" s="663">
        <v>18</v>
      </c>
      <c r="N32" s="687" t="s">
        <v>171</v>
      </c>
      <c r="O32" s="676"/>
    </row>
    <row r="33" spans="1:15" x14ac:dyDescent="0.25">
      <c r="A33" s="680"/>
      <c r="B33" s="543" t="s">
        <v>173</v>
      </c>
      <c r="C33" s="688">
        <f>+datos!E31</f>
        <v>0</v>
      </c>
      <c r="D33" s="688">
        <f t="shared" si="3"/>
        <v>0</v>
      </c>
      <c r="E33" s="689">
        <f t="shared" si="4"/>
        <v>0</v>
      </c>
      <c r="G33" s="690"/>
      <c r="H33" s="691"/>
      <c r="J33" s="680"/>
      <c r="K33" s="550" t="s">
        <v>18</v>
      </c>
      <c r="L33" s="551">
        <f t="shared" si="2"/>
        <v>1.7999999999999999E-2</v>
      </c>
      <c r="M33" s="663">
        <v>18</v>
      </c>
      <c r="N33" s="687" t="s">
        <v>171</v>
      </c>
      <c r="O33" s="676"/>
    </row>
    <row r="34" spans="1:15" x14ac:dyDescent="0.25">
      <c r="A34" s="680"/>
      <c r="B34" s="543" t="s">
        <v>175</v>
      </c>
      <c r="C34" s="688">
        <f>+datos!E32</f>
        <v>0</v>
      </c>
      <c r="D34" s="688">
        <f t="shared" si="3"/>
        <v>0</v>
      </c>
      <c r="E34" s="689">
        <f t="shared" si="4"/>
        <v>0</v>
      </c>
      <c r="G34" s="690"/>
      <c r="H34" s="691"/>
      <c r="J34" s="680"/>
      <c r="K34" s="550" t="s">
        <v>32</v>
      </c>
      <c r="L34" s="551">
        <f t="shared" si="2"/>
        <v>1.7999999999999999E-2</v>
      </c>
      <c r="M34" s="663">
        <v>18</v>
      </c>
      <c r="N34" s="687" t="s">
        <v>171</v>
      </c>
      <c r="O34" s="676"/>
    </row>
    <row r="35" spans="1:15" x14ac:dyDescent="0.25">
      <c r="A35" s="680"/>
      <c r="B35" s="543" t="s">
        <v>18</v>
      </c>
      <c r="C35" s="688">
        <f>+datos!E33</f>
        <v>0</v>
      </c>
      <c r="D35" s="688">
        <f t="shared" si="3"/>
        <v>0</v>
      </c>
      <c r="E35" s="689">
        <f t="shared" si="4"/>
        <v>0</v>
      </c>
      <c r="G35" s="690"/>
      <c r="H35" s="691"/>
      <c r="J35" s="680"/>
      <c r="K35" s="550" t="s">
        <v>19</v>
      </c>
      <c r="L35" s="551">
        <f t="shared" ref="L35:L44" si="5">M35/1000</f>
        <v>1.7999999999999999E-2</v>
      </c>
      <c r="M35" s="663">
        <v>18</v>
      </c>
      <c r="N35" s="687" t="s">
        <v>171</v>
      </c>
      <c r="O35" s="676"/>
    </row>
    <row r="36" spans="1:15" x14ac:dyDescent="0.25">
      <c r="A36" s="680"/>
      <c r="B36" s="543" t="s">
        <v>32</v>
      </c>
      <c r="C36" s="688">
        <f>+datos!E34</f>
        <v>0</v>
      </c>
      <c r="D36" s="688">
        <f t="shared" si="3"/>
        <v>0</v>
      </c>
      <c r="E36" s="689">
        <f t="shared" si="4"/>
        <v>0</v>
      </c>
      <c r="G36" s="690"/>
      <c r="H36" s="691"/>
      <c r="J36" s="680"/>
      <c r="K36" s="550" t="s">
        <v>155</v>
      </c>
      <c r="L36" s="551">
        <f t="shared" si="5"/>
        <v>1.7999999999999999E-2</v>
      </c>
      <c r="M36" s="663">
        <v>18</v>
      </c>
      <c r="N36" s="687" t="s">
        <v>171</v>
      </c>
      <c r="O36" s="676"/>
    </row>
    <row r="37" spans="1:15" x14ac:dyDescent="0.25">
      <c r="A37" s="680"/>
      <c r="B37" s="543" t="s">
        <v>19</v>
      </c>
      <c r="C37" s="688">
        <f>+datos!E35</f>
        <v>0</v>
      </c>
      <c r="D37" s="688">
        <f t="shared" si="3"/>
        <v>0</v>
      </c>
      <c r="E37" s="689">
        <f t="shared" si="4"/>
        <v>0</v>
      </c>
      <c r="G37" s="690"/>
      <c r="H37" s="691"/>
      <c r="J37" s="680"/>
      <c r="K37" s="550" t="s">
        <v>156</v>
      </c>
      <c r="L37" s="551">
        <f t="shared" si="5"/>
        <v>6.4999999999999997E-3</v>
      </c>
      <c r="M37" s="663">
        <v>6.5</v>
      </c>
      <c r="N37" s="687" t="s">
        <v>171</v>
      </c>
      <c r="O37" s="676"/>
    </row>
    <row r="38" spans="1:15" ht="13.8" thickBot="1" x14ac:dyDescent="0.3">
      <c r="A38" s="680"/>
      <c r="B38" s="544" t="s">
        <v>155</v>
      </c>
      <c r="C38" s="692">
        <f>+datos!E36</f>
        <v>0</v>
      </c>
      <c r="D38" s="692">
        <f t="shared" si="3"/>
        <v>0</v>
      </c>
      <c r="E38" s="693">
        <f t="shared" si="4"/>
        <v>0</v>
      </c>
      <c r="G38" s="690"/>
      <c r="H38" s="691"/>
      <c r="J38" s="680"/>
      <c r="K38" s="550" t="s">
        <v>160</v>
      </c>
      <c r="L38" s="551">
        <f t="shared" si="5"/>
        <v>1.0999999999999999E-2</v>
      </c>
      <c r="M38" s="663">
        <v>11</v>
      </c>
      <c r="N38" s="687" t="s">
        <v>171</v>
      </c>
      <c r="O38" s="676"/>
    </row>
    <row r="39" spans="1:15" ht="13.8" thickTop="1" x14ac:dyDescent="0.25">
      <c r="A39" s="680"/>
      <c r="B39" s="545" t="s">
        <v>156</v>
      </c>
      <c r="C39" s="694">
        <f>+datos!E37</f>
        <v>0</v>
      </c>
      <c r="D39" s="694">
        <f>IF(B27="Fraccionada",C39,D38+C39)</f>
        <v>0</v>
      </c>
      <c r="E39" s="695">
        <f t="shared" si="4"/>
        <v>0</v>
      </c>
      <c r="G39" s="690"/>
      <c r="H39" s="691"/>
      <c r="J39" s="680"/>
      <c r="K39" s="550" t="s">
        <v>157</v>
      </c>
      <c r="L39" s="551">
        <f t="shared" si="5"/>
        <v>5.4000000000000003E-3</v>
      </c>
      <c r="M39" s="663">
        <v>5.4</v>
      </c>
      <c r="N39" s="687" t="s">
        <v>171</v>
      </c>
      <c r="O39" s="676"/>
    </row>
    <row r="40" spans="1:15" x14ac:dyDescent="0.25">
      <c r="A40" s="680"/>
      <c r="B40" s="543" t="s">
        <v>160</v>
      </c>
      <c r="C40" s="688">
        <f>+datos!E38</f>
        <v>0</v>
      </c>
      <c r="D40" s="688">
        <f t="shared" ref="D40:D46" si="6">D39+C40</f>
        <v>0</v>
      </c>
      <c r="E40" s="689">
        <f t="shared" si="4"/>
        <v>0</v>
      </c>
      <c r="G40" s="690"/>
      <c r="H40" s="691"/>
      <c r="J40" s="680"/>
      <c r="K40" s="550" t="s">
        <v>237</v>
      </c>
      <c r="L40" s="551">
        <f t="shared" si="5"/>
        <v>3.5000000000000001E-3</v>
      </c>
      <c r="M40" s="663">
        <v>3.5</v>
      </c>
      <c r="N40" s="687" t="s">
        <v>171</v>
      </c>
      <c r="O40" s="676"/>
    </row>
    <row r="41" spans="1:15" x14ac:dyDescent="0.25">
      <c r="A41" s="680"/>
      <c r="B41" s="543" t="s">
        <v>157</v>
      </c>
      <c r="C41" s="688">
        <f>+datos!E39</f>
        <v>0</v>
      </c>
      <c r="D41" s="688">
        <f t="shared" si="6"/>
        <v>0</v>
      </c>
      <c r="E41" s="689">
        <f t="shared" si="4"/>
        <v>0</v>
      </c>
      <c r="G41" s="690"/>
      <c r="H41" s="691"/>
      <c r="J41" s="680"/>
      <c r="K41" s="550" t="s">
        <v>162</v>
      </c>
      <c r="L41" s="551">
        <f t="shared" si="5"/>
        <v>2.7000000000000001E-3</v>
      </c>
      <c r="M41" s="663">
        <v>2.7</v>
      </c>
      <c r="N41" s="687" t="s">
        <v>171</v>
      </c>
      <c r="O41" s="676"/>
    </row>
    <row r="42" spans="1:15" x14ac:dyDescent="0.25">
      <c r="A42" s="680"/>
      <c r="B42" s="543" t="s">
        <v>161</v>
      </c>
      <c r="C42" s="688">
        <f>+datos!E40</f>
        <v>0</v>
      </c>
      <c r="D42" s="688">
        <f t="shared" si="6"/>
        <v>0</v>
      </c>
      <c r="E42" s="689">
        <f t="shared" si="4"/>
        <v>0</v>
      </c>
      <c r="G42" s="690"/>
      <c r="H42" s="691"/>
      <c r="J42" s="680"/>
      <c r="K42" s="550" t="s">
        <v>158</v>
      </c>
      <c r="L42" s="551">
        <f t="shared" si="5"/>
        <v>2.5000000000000001E-3</v>
      </c>
      <c r="M42" s="663">
        <v>2.5</v>
      </c>
      <c r="N42" s="687" t="s">
        <v>171</v>
      </c>
      <c r="O42" s="676"/>
    </row>
    <row r="43" spans="1:15" x14ac:dyDescent="0.25">
      <c r="A43" s="680"/>
      <c r="B43" s="543" t="s">
        <v>162</v>
      </c>
      <c r="C43" s="688">
        <f>+datos!E41</f>
        <v>0</v>
      </c>
      <c r="D43" s="688">
        <f t="shared" si="6"/>
        <v>0</v>
      </c>
      <c r="E43" s="689">
        <f t="shared" si="4"/>
        <v>0</v>
      </c>
      <c r="G43" s="690"/>
      <c r="H43" s="691"/>
      <c r="J43" s="680"/>
      <c r="K43" s="550" t="s">
        <v>159</v>
      </c>
      <c r="L43" s="551">
        <f t="shared" si="5"/>
        <v>1.2999999999999999E-3</v>
      </c>
      <c r="M43" s="663">
        <v>1.3</v>
      </c>
      <c r="N43" s="687" t="s">
        <v>171</v>
      </c>
      <c r="O43" s="676"/>
    </row>
    <row r="44" spans="1:15" x14ac:dyDescent="0.25">
      <c r="A44" s="680"/>
      <c r="B44" s="543" t="s">
        <v>158</v>
      </c>
      <c r="C44" s="688">
        <f>+datos!E42</f>
        <v>0</v>
      </c>
      <c r="D44" s="688">
        <f t="shared" si="6"/>
        <v>0</v>
      </c>
      <c r="E44" s="689">
        <f t="shared" si="4"/>
        <v>0</v>
      </c>
      <c r="G44" s="690"/>
      <c r="H44" s="691"/>
      <c r="J44" s="680"/>
      <c r="K44" s="550" t="s">
        <v>163</v>
      </c>
      <c r="L44" s="551">
        <f t="shared" si="5"/>
        <v>1.2999999999999999E-3</v>
      </c>
      <c r="M44" s="663">
        <v>1.3</v>
      </c>
      <c r="N44" s="696"/>
      <c r="O44" s="676"/>
    </row>
    <row r="45" spans="1:15" x14ac:dyDescent="0.25">
      <c r="A45" s="680"/>
      <c r="B45" s="543" t="s">
        <v>159</v>
      </c>
      <c r="C45" s="688">
        <f>+datos!E43</f>
        <v>0</v>
      </c>
      <c r="D45" s="688">
        <f>D44+C45</f>
        <v>0</v>
      </c>
      <c r="E45" s="689">
        <f t="shared" si="4"/>
        <v>0</v>
      </c>
      <c r="G45" s="690"/>
      <c r="H45" s="691"/>
      <c r="J45" s="680"/>
      <c r="O45" s="676"/>
    </row>
    <row r="46" spans="1:15" ht="13.8" thickBot="1" x14ac:dyDescent="0.3">
      <c r="A46" s="680"/>
      <c r="B46" s="544" t="s">
        <v>163</v>
      </c>
      <c r="C46" s="692">
        <f>+datos!E44</f>
        <v>0</v>
      </c>
      <c r="D46" s="692">
        <f t="shared" si="6"/>
        <v>0</v>
      </c>
      <c r="E46" s="689">
        <f t="shared" si="4"/>
        <v>0</v>
      </c>
      <c r="G46" s="690"/>
      <c r="H46" s="691"/>
      <c r="J46" s="552"/>
      <c r="K46" s="553"/>
      <c r="L46" s="553"/>
      <c r="M46" s="553"/>
      <c r="N46" s="553"/>
      <c r="O46" s="697"/>
    </row>
    <row r="47" spans="1:15" ht="13.8" thickTop="1" x14ac:dyDescent="0.25">
      <c r="H47" s="493"/>
    </row>
    <row r="48" spans="1:15" x14ac:dyDescent="0.25">
      <c r="H48" s="493"/>
    </row>
    <row r="49" spans="1:8" x14ac:dyDescent="0.25">
      <c r="B49" s="800" t="s">
        <v>176</v>
      </c>
      <c r="C49" s="801"/>
      <c r="H49" s="554"/>
    </row>
    <row r="50" spans="1:8" x14ac:dyDescent="0.25">
      <c r="B50" s="798" t="s">
        <v>473</v>
      </c>
      <c r="D50" s="799">
        <v>46142</v>
      </c>
    </row>
    <row r="52" spans="1:8" ht="53.4" customHeight="1" x14ac:dyDescent="0.25">
      <c r="A52" s="555" t="s">
        <v>167</v>
      </c>
      <c r="B52" s="797" t="s">
        <v>347</v>
      </c>
      <c r="C52" s="566" t="s">
        <v>271</v>
      </c>
      <c r="D52" s="578"/>
      <c r="E52" s="556"/>
    </row>
    <row r="53" spans="1:8" x14ac:dyDescent="0.25">
      <c r="A53" s="557" t="s">
        <v>170</v>
      </c>
      <c r="B53" s="698">
        <v>0</v>
      </c>
      <c r="C53" s="698">
        <v>0</v>
      </c>
      <c r="D53" s="699"/>
      <c r="E53" s="699"/>
    </row>
    <row r="54" spans="1:8" x14ac:dyDescent="0.25">
      <c r="A54" s="557" t="s">
        <v>236</v>
      </c>
      <c r="B54" s="698">
        <v>0</v>
      </c>
      <c r="C54" s="698">
        <v>0</v>
      </c>
      <c r="D54" s="699"/>
      <c r="E54" s="699"/>
    </row>
    <row r="55" spans="1:8" x14ac:dyDescent="0.25">
      <c r="A55" s="557" t="s">
        <v>172</v>
      </c>
      <c r="B55" s="698">
        <v>0</v>
      </c>
      <c r="C55" s="698">
        <v>0</v>
      </c>
      <c r="D55" s="699"/>
      <c r="E55" s="699"/>
    </row>
    <row r="56" spans="1:8" x14ac:dyDescent="0.25">
      <c r="A56" s="557" t="s">
        <v>173</v>
      </c>
      <c r="B56" s="698">
        <v>0</v>
      </c>
      <c r="C56" s="698">
        <v>0</v>
      </c>
      <c r="D56" s="699"/>
      <c r="E56" s="699"/>
    </row>
    <row r="57" spans="1:8" x14ac:dyDescent="0.25">
      <c r="A57" s="557" t="s">
        <v>175</v>
      </c>
      <c r="B57" s="698">
        <v>0</v>
      </c>
      <c r="C57" s="698">
        <v>0</v>
      </c>
      <c r="D57" s="699"/>
      <c r="E57" s="699"/>
    </row>
    <row r="58" spans="1:8" x14ac:dyDescent="0.25">
      <c r="A58" s="557" t="s">
        <v>18</v>
      </c>
      <c r="B58" s="698">
        <v>0</v>
      </c>
      <c r="C58" s="698">
        <v>0</v>
      </c>
      <c r="D58" s="699"/>
      <c r="E58" s="699"/>
    </row>
    <row r="59" spans="1:8" x14ac:dyDescent="0.25">
      <c r="A59" s="557" t="s">
        <v>32</v>
      </c>
      <c r="B59" s="698">
        <v>0</v>
      </c>
      <c r="C59" s="698">
        <v>0</v>
      </c>
      <c r="D59" s="699"/>
      <c r="E59" s="699"/>
    </row>
    <row r="60" spans="1:8" x14ac:dyDescent="0.25">
      <c r="A60" s="557" t="s">
        <v>19</v>
      </c>
      <c r="B60" s="698">
        <v>0</v>
      </c>
      <c r="C60" s="698">
        <v>0</v>
      </c>
      <c r="D60" s="699"/>
      <c r="E60" s="699"/>
    </row>
    <row r="61" spans="1:8" x14ac:dyDescent="0.25">
      <c r="A61" s="557" t="s">
        <v>155</v>
      </c>
      <c r="B61" s="698">
        <v>7.8102205558218438E-2</v>
      </c>
      <c r="C61" s="698">
        <v>8.2494332399335443E-2</v>
      </c>
      <c r="D61" s="699"/>
      <c r="E61" s="699"/>
    </row>
    <row r="62" spans="1:8" x14ac:dyDescent="0.25">
      <c r="A62" s="557" t="s">
        <v>156</v>
      </c>
      <c r="B62" s="698">
        <v>0.24270886010920917</v>
      </c>
      <c r="C62" s="698">
        <v>0.24465262833019497</v>
      </c>
      <c r="D62" s="699"/>
      <c r="E62" s="699"/>
    </row>
    <row r="63" spans="1:8" x14ac:dyDescent="0.25">
      <c r="A63" s="557" t="s">
        <v>160</v>
      </c>
      <c r="B63" s="698">
        <v>0.32081881115367472</v>
      </c>
      <c r="C63" s="698">
        <v>0.34618670168438298</v>
      </c>
      <c r="D63" s="699"/>
      <c r="E63" s="699"/>
    </row>
    <row r="64" spans="1:8" x14ac:dyDescent="0.25">
      <c r="A64" s="557" t="s">
        <v>157</v>
      </c>
      <c r="B64" s="698">
        <v>0.53458571667600707</v>
      </c>
      <c r="C64" s="698">
        <v>0.57717227286380801</v>
      </c>
      <c r="D64" s="699"/>
      <c r="E64" s="699"/>
    </row>
    <row r="65" spans="1:5" x14ac:dyDescent="0.25">
      <c r="A65" s="557" t="s">
        <v>237</v>
      </c>
      <c r="B65" s="698">
        <v>0.48239791708632423</v>
      </c>
      <c r="C65" s="698">
        <v>0.64464161334682302</v>
      </c>
      <c r="D65" s="699"/>
      <c r="E65" s="699"/>
    </row>
    <row r="66" spans="1:5" x14ac:dyDescent="0.25">
      <c r="A66" s="557" t="s">
        <v>162</v>
      </c>
      <c r="B66" s="698">
        <v>0.34208544824232401</v>
      </c>
      <c r="C66" s="698">
        <v>0.36037631614706434</v>
      </c>
      <c r="D66" s="699"/>
      <c r="E66" s="699"/>
    </row>
    <row r="67" spans="1:5" x14ac:dyDescent="0.25">
      <c r="A67" s="557" t="s">
        <v>158</v>
      </c>
      <c r="B67" s="698">
        <v>0.45392671715941679</v>
      </c>
      <c r="C67" s="698">
        <v>0.51407100842544873</v>
      </c>
      <c r="D67" s="699"/>
      <c r="E67" s="699"/>
    </row>
    <row r="68" spans="1:5" x14ac:dyDescent="0.25">
      <c r="A68" s="557" t="s">
        <v>159</v>
      </c>
      <c r="B68" s="698">
        <v>0.24282402392218505</v>
      </c>
      <c r="C68" s="698">
        <v>0.25127048276239239</v>
      </c>
      <c r="D68" s="699"/>
      <c r="E68" s="699"/>
    </row>
    <row r="69" spans="1:5" x14ac:dyDescent="0.25">
      <c r="A69" s="557" t="s">
        <v>163</v>
      </c>
      <c r="B69" s="698">
        <v>0.31355805092132405</v>
      </c>
      <c r="C69" s="698">
        <v>0.32233975414555627</v>
      </c>
      <c r="D69" s="699"/>
      <c r="E69" s="699"/>
    </row>
  </sheetData>
  <sheetProtection algorithmName="SHA-512" hashValue="v8HcRHeMe336PymyxK0HQbjdnavpBQNhAw0OesYBR/orw/5sTkn/biyS02pjlqm2xZj6/AT6jSiGZpnxACuK3Q==" saltValue="8VAfBRaTo8/OhfgdVO3wyQ==" spinCount="100000" sheet="1" selectLockedCells="1" selectUnlockedCells="1"/>
  <mergeCells count="7">
    <mergeCell ref="B28:B29"/>
    <mergeCell ref="E28:E29"/>
    <mergeCell ref="C21:H22"/>
    <mergeCell ref="C28:C29"/>
    <mergeCell ref="D28:D29"/>
    <mergeCell ref="G28:G29"/>
    <mergeCell ref="H28:H2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EEFE-47A3-4B0A-A4E5-DEA5C4050938}">
  <dimension ref="A1:AE75"/>
  <sheetViews>
    <sheetView showGridLines="0" topLeftCell="A49" zoomScaleNormal="100" zoomScaleSheetLayoutView="100" workbookViewId="0">
      <selection activeCell="T47" sqref="T47"/>
    </sheetView>
  </sheetViews>
  <sheetFormatPr baseColWidth="10" defaultColWidth="12.33203125" defaultRowHeight="13.2" x14ac:dyDescent="0.25"/>
  <cols>
    <col min="1" max="1" width="12.6640625" style="87" customWidth="1"/>
    <col min="2" max="7" width="8.33203125" style="87" customWidth="1"/>
    <col min="8" max="8" width="4.6640625" style="87" customWidth="1"/>
    <col min="9" max="10" width="10.5546875" style="87" customWidth="1"/>
    <col min="11" max="11" width="12.6640625" style="86" customWidth="1"/>
    <col min="12" max="12" width="2.88671875" style="86" customWidth="1"/>
    <col min="13" max="13" width="6.33203125" style="86" customWidth="1"/>
    <col min="14" max="15" width="7" style="87" customWidth="1"/>
    <col min="16" max="16" width="10.6640625" style="87" customWidth="1"/>
    <col min="17" max="17" width="11.33203125" style="87" customWidth="1"/>
    <col min="18" max="18" width="4.44140625" style="87" customWidth="1"/>
    <col min="19" max="19" width="6.6640625" style="87" customWidth="1"/>
    <col min="20" max="20" width="5.5546875" style="87" customWidth="1"/>
    <col min="21" max="22" width="8.5546875" style="87" customWidth="1"/>
    <col min="23" max="23" width="11.88671875" style="87" customWidth="1"/>
    <col min="24" max="24" width="8" style="87" customWidth="1"/>
    <col min="25" max="255" width="11.44140625" style="87" customWidth="1"/>
    <col min="256" max="16384" width="12.33203125" style="87"/>
  </cols>
  <sheetData>
    <row r="1" spans="1:31" ht="15.75" customHeight="1" x14ac:dyDescent="0.25">
      <c r="K1" s="87"/>
    </row>
    <row r="2" spans="1:31" ht="15.75" customHeight="1" x14ac:dyDescent="0.25">
      <c r="K2" s="87"/>
    </row>
    <row r="3" spans="1:31" ht="15.75" customHeight="1" x14ac:dyDescent="0.25">
      <c r="K3" s="87"/>
    </row>
    <row r="4" spans="1:31" ht="15.75" customHeight="1" x14ac:dyDescent="0.25">
      <c r="K4" s="87"/>
    </row>
    <row r="5" spans="1:31" ht="15.75" customHeight="1" x14ac:dyDescent="0.25">
      <c r="A5" s="932" t="s">
        <v>2</v>
      </c>
      <c r="B5" s="932"/>
      <c r="C5" s="932"/>
      <c r="D5" s="932"/>
      <c r="E5" s="932"/>
      <c r="F5" s="932"/>
      <c r="G5" s="932"/>
      <c r="H5" s="932"/>
      <c r="I5" s="932"/>
      <c r="J5" s="932"/>
      <c r="K5" s="932"/>
    </row>
    <row r="6" spans="1:31" ht="15.9" customHeight="1" x14ac:dyDescent="0.25">
      <c r="A6" s="939">
        <f>+K12</f>
        <v>32</v>
      </c>
      <c r="B6" s="939"/>
      <c r="C6" s="939"/>
      <c r="D6" s="939"/>
      <c r="E6" s="939"/>
      <c r="F6" s="939"/>
      <c r="G6" s="939"/>
      <c r="H6" s="939"/>
      <c r="I6" s="939"/>
      <c r="J6" s="939"/>
      <c r="K6" s="939"/>
      <c r="S6" s="259" t="s">
        <v>101</v>
      </c>
      <c r="T6" s="260"/>
      <c r="U6" s="261"/>
      <c r="V6" s="262"/>
      <c r="W6" s="263"/>
      <c r="X6" s="261"/>
      <c r="Y6" s="264"/>
      <c r="Z6" s="264"/>
      <c r="AA6" s="264"/>
      <c r="AB6" s="264"/>
      <c r="AC6" s="265"/>
    </row>
    <row r="7" spans="1:31" ht="15.9" customHeight="1" x14ac:dyDescent="0.25">
      <c r="R7" s="88"/>
      <c r="S7" s="266" t="s">
        <v>102</v>
      </c>
      <c r="T7" s="267"/>
      <c r="U7" s="268" t="s">
        <v>103</v>
      </c>
      <c r="V7" s="268"/>
      <c r="W7" s="269"/>
      <c r="X7" s="268"/>
      <c r="Y7" s="270"/>
      <c r="Z7" s="270"/>
      <c r="AA7" s="270"/>
      <c r="AB7" s="270"/>
      <c r="AC7" s="271"/>
      <c r="AD7" s="88"/>
      <c r="AE7" s="88"/>
    </row>
    <row r="8" spans="1:31" ht="15.9" customHeight="1" x14ac:dyDescent="0.25">
      <c r="R8" s="88"/>
      <c r="S8" s="272" t="s">
        <v>104</v>
      </c>
      <c r="T8" s="267"/>
      <c r="U8" s="273">
        <v>5.1699999999999998E-7</v>
      </c>
      <c r="V8" s="274"/>
      <c r="W8" s="269"/>
      <c r="X8" s="268"/>
      <c r="Y8" s="270"/>
      <c r="Z8" s="270"/>
      <c r="AA8" s="270"/>
      <c r="AB8" s="270"/>
      <c r="AC8" s="271"/>
      <c r="AD8" s="88"/>
      <c r="AE8" s="88"/>
    </row>
    <row r="9" spans="1:31" ht="15.9" customHeight="1" x14ac:dyDescent="0.25">
      <c r="A9" s="281" t="s">
        <v>106</v>
      </c>
      <c r="B9" s="247" t="s">
        <v>0</v>
      </c>
      <c r="C9" s="18" t="s">
        <v>7</v>
      </c>
      <c r="D9" s="180"/>
      <c r="E9" s="180"/>
      <c r="F9" s="180"/>
      <c r="G9" s="180"/>
      <c r="H9" s="180"/>
      <c r="I9" s="180"/>
      <c r="J9" s="1"/>
      <c r="K9" s="1"/>
      <c r="R9" s="89"/>
      <c r="S9" s="275" t="s">
        <v>105</v>
      </c>
      <c r="T9" s="943">
        <v>44090</v>
      </c>
      <c r="U9" s="943"/>
      <c r="V9" s="276"/>
      <c r="W9" s="277"/>
      <c r="X9" s="276"/>
      <c r="Y9" s="278"/>
      <c r="Z9" s="278"/>
      <c r="AA9" s="278"/>
      <c r="AB9" s="278"/>
      <c r="AC9" s="279"/>
      <c r="AD9" s="89"/>
      <c r="AE9" s="89"/>
    </row>
    <row r="10" spans="1:31" ht="15.9" customHeight="1" x14ac:dyDescent="0.25">
      <c r="A10" s="281" t="s">
        <v>107</v>
      </c>
      <c r="B10" s="247" t="s">
        <v>0</v>
      </c>
      <c r="C10" s="18" t="s">
        <v>108</v>
      </c>
      <c r="D10" s="18"/>
      <c r="E10" s="18"/>
      <c r="F10" s="18"/>
      <c r="G10" s="1"/>
      <c r="H10" s="1"/>
      <c r="I10" s="1"/>
      <c r="J10" s="284" t="s">
        <v>39</v>
      </c>
      <c r="K10" s="18" t="s">
        <v>38</v>
      </c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</row>
    <row r="11" spans="1:31" ht="15.9" customHeight="1" x14ac:dyDescent="0.25">
      <c r="A11" s="281" t="s">
        <v>109</v>
      </c>
      <c r="B11" s="247" t="s">
        <v>0</v>
      </c>
      <c r="C11" s="18" t="s">
        <v>1</v>
      </c>
      <c r="D11" s="18"/>
      <c r="E11" s="18"/>
      <c r="F11" s="18"/>
      <c r="G11" s="1"/>
      <c r="H11" s="1"/>
      <c r="I11" s="1"/>
      <c r="J11" s="285" t="s">
        <v>40</v>
      </c>
      <c r="K11" s="183">
        <v>122</v>
      </c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</row>
    <row r="12" spans="1:31" ht="15.9" customHeight="1" x14ac:dyDescent="0.25">
      <c r="A12" s="281" t="s">
        <v>110</v>
      </c>
      <c r="B12" s="247" t="s">
        <v>0</v>
      </c>
      <c r="C12" s="18" t="s">
        <v>8</v>
      </c>
      <c r="D12" s="18"/>
      <c r="E12" s="18"/>
      <c r="F12" s="18"/>
      <c r="G12" s="1"/>
      <c r="H12" s="1"/>
      <c r="I12" s="1"/>
      <c r="J12" s="285" t="s">
        <v>112</v>
      </c>
      <c r="K12" s="184">
        <v>32</v>
      </c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</row>
    <row r="13" spans="1:31" ht="15.9" customHeight="1" x14ac:dyDescent="0.25">
      <c r="A13" s="282" t="s">
        <v>111</v>
      </c>
      <c r="B13" s="247"/>
      <c r="C13" s="283"/>
      <c r="D13" s="248"/>
      <c r="E13" s="248"/>
      <c r="F13" s="248"/>
      <c r="G13" s="248"/>
      <c r="H13" s="249"/>
      <c r="I13" s="249"/>
      <c r="J13" s="250"/>
      <c r="K13" s="251"/>
      <c r="L13" s="87"/>
      <c r="M13" s="87"/>
      <c r="P13" s="86"/>
      <c r="Q13" s="86"/>
      <c r="R13" s="86"/>
      <c r="S13" s="86"/>
    </row>
    <row r="14" spans="1:31" ht="15.9" customHeight="1" x14ac:dyDescent="0.25">
      <c r="A14" s="940" t="s">
        <v>128</v>
      </c>
      <c r="B14" s="941"/>
      <c r="C14" s="941"/>
      <c r="D14" s="941"/>
      <c r="E14" s="941"/>
      <c r="F14" s="941"/>
      <c r="G14" s="941"/>
      <c r="H14" s="941"/>
      <c r="I14" s="941"/>
      <c r="J14" s="941"/>
      <c r="K14" s="942"/>
      <c r="L14" s="87"/>
      <c r="M14" s="87"/>
      <c r="P14" s="86"/>
      <c r="Q14" s="86"/>
      <c r="R14" s="86"/>
      <c r="S14" s="86"/>
    </row>
    <row r="15" spans="1:31" ht="15.9" customHeight="1" x14ac:dyDescent="0.25">
      <c r="A15" s="947" t="s">
        <v>131</v>
      </c>
      <c r="B15" s="948"/>
      <c r="C15" s="948"/>
      <c r="D15" s="948"/>
      <c r="E15" s="948"/>
      <c r="F15" s="948"/>
      <c r="G15" s="948"/>
      <c r="H15" s="948"/>
      <c r="I15" s="948"/>
      <c r="J15" s="948"/>
      <c r="K15" s="949"/>
      <c r="L15" s="87"/>
      <c r="M15" s="87"/>
      <c r="P15" s="86"/>
      <c r="Q15" s="86"/>
      <c r="R15" s="86"/>
      <c r="S15" s="86"/>
    </row>
    <row r="16" spans="1:31" ht="6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L16" s="87"/>
      <c r="M16" s="87"/>
      <c r="P16" s="86"/>
      <c r="Q16" s="86"/>
      <c r="R16" s="86"/>
      <c r="S16" s="86"/>
    </row>
    <row r="17" spans="1:27" ht="15.9" customHeight="1" x14ac:dyDescent="0.25">
      <c r="A17" s="937" t="s">
        <v>5</v>
      </c>
      <c r="B17" s="938"/>
      <c r="C17" s="938"/>
      <c r="D17" s="938"/>
      <c r="E17" s="938"/>
      <c r="F17" s="938"/>
      <c r="G17" s="938"/>
      <c r="H17" s="938"/>
      <c r="I17" s="938"/>
      <c r="J17" s="1"/>
      <c r="K17" s="199"/>
      <c r="L17" s="87"/>
      <c r="M17" s="87"/>
      <c r="P17" s="86"/>
      <c r="Q17" s="86"/>
      <c r="R17" s="86"/>
      <c r="S17" s="86"/>
    </row>
    <row r="18" spans="1:27" ht="15.9" customHeight="1" x14ac:dyDescent="0.25">
      <c r="A18" s="286" t="s">
        <v>113</v>
      </c>
      <c r="B18" s="287" t="s">
        <v>0</v>
      </c>
      <c r="C18" s="18" t="s">
        <v>114</v>
      </c>
      <c r="D18" s="200"/>
      <c r="E18" s="18"/>
      <c r="F18" s="18"/>
      <c r="G18" s="1"/>
      <c r="H18" s="1"/>
      <c r="I18" s="1"/>
      <c r="J18" s="291" t="s">
        <v>124</v>
      </c>
      <c r="K18" s="292">
        <v>83</v>
      </c>
      <c r="L18" s="87"/>
      <c r="M18" s="87"/>
      <c r="P18" s="86"/>
      <c r="Q18" s="86"/>
      <c r="R18" s="86"/>
      <c r="S18" s="86"/>
      <c r="Z18" s="157"/>
    </row>
    <row r="19" spans="1:27" ht="15.9" customHeight="1" x14ac:dyDescent="0.25">
      <c r="A19" s="286" t="s">
        <v>115</v>
      </c>
      <c r="B19" s="287" t="s">
        <v>0</v>
      </c>
      <c r="C19" s="18" t="s">
        <v>6</v>
      </c>
      <c r="D19" s="200"/>
      <c r="E19" s="18"/>
      <c r="F19" s="18"/>
      <c r="G19" s="1"/>
      <c r="H19" s="1"/>
      <c r="I19" s="1"/>
      <c r="J19" s="291" t="s">
        <v>125</v>
      </c>
      <c r="K19" s="293">
        <v>43831</v>
      </c>
      <c r="L19" s="87"/>
      <c r="M19" s="87"/>
      <c r="P19" s="86"/>
      <c r="Q19" s="86"/>
      <c r="R19" s="86"/>
      <c r="S19" s="86"/>
      <c r="U19" s="920" t="s">
        <v>9</v>
      </c>
      <c r="V19" s="921"/>
      <c r="W19" s="931" t="s">
        <v>100</v>
      </c>
      <c r="X19" s="843" t="s">
        <v>45</v>
      </c>
      <c r="Y19" s="843" t="s">
        <v>41</v>
      </c>
      <c r="Z19" s="843" t="s">
        <v>42</v>
      </c>
      <c r="AA19" s="843" t="s">
        <v>43</v>
      </c>
    </row>
    <row r="20" spans="1:27" ht="15.9" customHeight="1" x14ac:dyDescent="0.25">
      <c r="A20" s="286" t="s">
        <v>116</v>
      </c>
      <c r="B20" s="287" t="s">
        <v>0</v>
      </c>
      <c r="C20" s="18" t="s">
        <v>117</v>
      </c>
      <c r="D20" s="200"/>
      <c r="E20" s="18"/>
      <c r="F20" s="18"/>
      <c r="G20" s="1"/>
      <c r="H20" s="1"/>
      <c r="I20" s="1"/>
      <c r="J20" s="291" t="s">
        <v>126</v>
      </c>
      <c r="K20" s="293">
        <v>43844</v>
      </c>
      <c r="L20" s="87"/>
      <c r="M20" s="87"/>
      <c r="P20" s="86"/>
      <c r="Q20" s="86"/>
      <c r="R20" s="86"/>
      <c r="S20" s="86"/>
      <c r="U20" s="187" t="s">
        <v>11</v>
      </c>
      <c r="V20" s="187" t="s">
        <v>12</v>
      </c>
      <c r="W20" s="931"/>
      <c r="X20" s="844"/>
      <c r="Y20" s="844"/>
      <c r="Z20" s="844"/>
      <c r="AA20" s="844"/>
    </row>
    <row r="21" spans="1:27" ht="14.25" customHeight="1" x14ac:dyDescent="0.25">
      <c r="A21" s="288" t="s">
        <v>118</v>
      </c>
      <c r="B21" s="289" t="s">
        <v>0</v>
      </c>
      <c r="C21" s="290" t="s">
        <v>119</v>
      </c>
      <c r="D21" s="252"/>
      <c r="E21" s="253"/>
      <c r="F21" s="254"/>
      <c r="G21" s="253"/>
      <c r="H21" s="90"/>
      <c r="I21" s="90"/>
      <c r="J21" s="291" t="s">
        <v>127</v>
      </c>
      <c r="K21" s="293">
        <v>43845</v>
      </c>
      <c r="N21" s="171" t="s">
        <v>93</v>
      </c>
      <c r="O21" s="158"/>
      <c r="P21" s="80">
        <v>10134</v>
      </c>
      <c r="Q21" s="172">
        <f>P21</f>
        <v>10134</v>
      </c>
      <c r="T21" s="166"/>
      <c r="U21" s="153" t="s">
        <v>75</v>
      </c>
      <c r="V21" s="161">
        <v>38.1</v>
      </c>
      <c r="W21" s="302">
        <f>X21-($U$8*X21)</f>
        <v>0</v>
      </c>
      <c r="X21" s="300">
        <v>0</v>
      </c>
      <c r="Y21" s="162"/>
      <c r="Z21" s="153"/>
      <c r="AA21" s="163"/>
    </row>
    <row r="22" spans="1:27" ht="15" customHeight="1" x14ac:dyDescent="0.25">
      <c r="A22" s="141"/>
      <c r="B22" s="247"/>
      <c r="C22" s="226"/>
      <c r="D22" s="255"/>
      <c r="E22" s="253"/>
      <c r="F22" s="254"/>
      <c r="G22" s="253"/>
      <c r="K22" s="256"/>
      <c r="N22" s="171" t="s">
        <v>94</v>
      </c>
      <c r="O22" s="158"/>
      <c r="P22" s="80">
        <v>14028</v>
      </c>
      <c r="Q22" s="173">
        <f>P22/(1+P27/100)</f>
        <v>13849.979695431472</v>
      </c>
      <c r="T22" s="166"/>
      <c r="U22" s="93" t="s">
        <v>76</v>
      </c>
      <c r="V22" s="94">
        <v>25.4</v>
      </c>
      <c r="W22" s="302">
        <f t="shared" ref="W22:W31" si="0">X22-($U$8*X22)</f>
        <v>0</v>
      </c>
      <c r="X22" s="95">
        <v>0</v>
      </c>
      <c r="Y22" s="96"/>
      <c r="Z22" s="154"/>
      <c r="AA22" s="97"/>
    </row>
    <row r="23" spans="1:27" s="4" customFormat="1" ht="15" customHeight="1" x14ac:dyDescent="0.25">
      <c r="A23" s="140"/>
      <c r="B23" s="920" t="s">
        <v>9</v>
      </c>
      <c r="C23" s="921"/>
      <c r="D23" s="843" t="s">
        <v>45</v>
      </c>
      <c r="E23" s="843" t="s">
        <v>41</v>
      </c>
      <c r="F23" s="843" t="s">
        <v>42</v>
      </c>
      <c r="G23" s="843" t="s">
        <v>43</v>
      </c>
      <c r="H23" s="138"/>
      <c r="I23" s="925" t="s">
        <v>36</v>
      </c>
      <c r="J23" s="926"/>
      <c r="K23" s="139"/>
      <c r="L23" s="91"/>
      <c r="M23" s="91"/>
      <c r="N23" s="171" t="s">
        <v>98</v>
      </c>
      <c r="O23" s="167"/>
      <c r="P23" s="174"/>
      <c r="Q23" s="173">
        <f>SUM(Q21:Q22)</f>
        <v>23983.979695431473</v>
      </c>
      <c r="U23" s="93" t="s">
        <v>77</v>
      </c>
      <c r="V23" s="94">
        <v>19.05</v>
      </c>
      <c r="W23" s="302">
        <f t="shared" si="0"/>
        <v>0</v>
      </c>
      <c r="X23" s="95">
        <v>0</v>
      </c>
      <c r="Y23" s="96"/>
      <c r="Z23" s="154"/>
      <c r="AA23" s="97">
        <f t="shared" ref="AA23:AA30" si="1">100-Z23</f>
        <v>100</v>
      </c>
    </row>
    <row r="24" spans="1:27" s="4" customFormat="1" ht="15" customHeight="1" x14ac:dyDescent="0.2">
      <c r="A24" s="140"/>
      <c r="B24" s="187" t="s">
        <v>11</v>
      </c>
      <c r="C24" s="187" t="s">
        <v>12</v>
      </c>
      <c r="D24" s="844"/>
      <c r="E24" s="844"/>
      <c r="F24" s="844"/>
      <c r="G24" s="844"/>
      <c r="H24" s="156"/>
      <c r="I24" s="928">
        <f>+Q23</f>
        <v>23983.979695431473</v>
      </c>
      <c r="J24" s="929"/>
      <c r="K24" s="139"/>
      <c r="L24" s="91"/>
      <c r="M24" s="91"/>
      <c r="Q24" s="170"/>
      <c r="U24" s="93" t="s">
        <v>78</v>
      </c>
      <c r="V24" s="94">
        <v>12.7</v>
      </c>
      <c r="W24" s="302">
        <f t="shared" si="0"/>
        <v>2855.998523448</v>
      </c>
      <c r="X24" s="98">
        <v>2856</v>
      </c>
      <c r="Y24" s="96">
        <f>(W24/$I$24)*100</f>
        <v>11.907942550468459</v>
      </c>
      <c r="Z24" s="154">
        <f t="shared" ref="Z24:Z31" si="2">+Z23+Y24</f>
        <v>11.907942550468459</v>
      </c>
      <c r="AA24" s="97">
        <f t="shared" si="1"/>
        <v>88.092057449531538</v>
      </c>
    </row>
    <row r="25" spans="1:27" s="4" customFormat="1" ht="15" customHeight="1" x14ac:dyDescent="0.25">
      <c r="A25" s="140"/>
      <c r="B25" s="153" t="s">
        <v>75</v>
      </c>
      <c r="C25" s="161">
        <v>38.1</v>
      </c>
      <c r="D25" s="300">
        <f>W21</f>
        <v>0</v>
      </c>
      <c r="E25" s="301">
        <f t="shared" ref="E25:E30" si="3">(D25/$I$24)*100</f>
        <v>0</v>
      </c>
      <c r="F25" s="306">
        <f t="shared" ref="F25:F35" si="4">+F24+E25</f>
        <v>0</v>
      </c>
      <c r="G25" s="163"/>
      <c r="H25" s="142"/>
      <c r="J25" s="165"/>
      <c r="K25" s="139"/>
      <c r="L25" s="91"/>
      <c r="M25" s="91"/>
      <c r="N25" s="168" t="s">
        <v>95</v>
      </c>
      <c r="O25" s="169"/>
      <c r="P25" s="80">
        <v>1221.4000000000001</v>
      </c>
      <c r="S25" s="164"/>
      <c r="T25" s="165"/>
      <c r="U25" s="93" t="s">
        <v>79</v>
      </c>
      <c r="V25" s="94">
        <v>9.5250000000000004</v>
      </c>
      <c r="W25" s="302">
        <f t="shared" si="0"/>
        <v>2663.9986227119998</v>
      </c>
      <c r="X25" s="98">
        <v>2664</v>
      </c>
      <c r="Y25" s="96">
        <f>(W25/$I$24)*100</f>
        <v>11.107408597495789</v>
      </c>
      <c r="Z25" s="154">
        <f t="shared" si="2"/>
        <v>23.015351147964246</v>
      </c>
      <c r="AA25" s="97">
        <f t="shared" si="1"/>
        <v>76.984648852035747</v>
      </c>
    </row>
    <row r="26" spans="1:27" s="4" customFormat="1" ht="15" customHeight="1" x14ac:dyDescent="0.25">
      <c r="A26" s="140"/>
      <c r="B26" s="93" t="s">
        <v>76</v>
      </c>
      <c r="C26" s="94">
        <v>25.4</v>
      </c>
      <c r="D26" s="300">
        <f t="shared" ref="D26:D35" si="5">W22</f>
        <v>0</v>
      </c>
      <c r="E26" s="301">
        <f t="shared" si="3"/>
        <v>0</v>
      </c>
      <c r="F26" s="306">
        <f t="shared" si="4"/>
        <v>0</v>
      </c>
      <c r="G26" s="97"/>
      <c r="H26" s="142"/>
      <c r="I26" s="927" t="s">
        <v>92</v>
      </c>
      <c r="J26" s="927"/>
      <c r="K26" s="143"/>
      <c r="L26" s="91"/>
      <c r="M26" s="91"/>
      <c r="N26" s="168" t="s">
        <v>96</v>
      </c>
      <c r="O26" s="167"/>
      <c r="P26" s="80">
        <v>1205.9000000000001</v>
      </c>
      <c r="Q26" s="4">
        <f>Q22/P26</f>
        <v>11.485180939905026</v>
      </c>
      <c r="U26" s="93" t="s">
        <v>80</v>
      </c>
      <c r="V26" s="94">
        <v>4.76</v>
      </c>
      <c r="W26" s="302">
        <f t="shared" si="0"/>
        <v>4613.9976145620003</v>
      </c>
      <c r="X26" s="98">
        <v>4614</v>
      </c>
      <c r="Y26" s="96">
        <f>(W26/$I$24)*100</f>
        <v>19.237831557374466</v>
      </c>
      <c r="Z26" s="154">
        <f t="shared" si="2"/>
        <v>42.253182705338716</v>
      </c>
      <c r="AA26" s="97">
        <f t="shared" si="1"/>
        <v>57.746817294661284</v>
      </c>
    </row>
    <row r="27" spans="1:27" s="4" customFormat="1" ht="15" customHeight="1" x14ac:dyDescent="0.25">
      <c r="A27" s="140"/>
      <c r="B27" s="93" t="s">
        <v>77</v>
      </c>
      <c r="C27" s="94">
        <v>19.05</v>
      </c>
      <c r="D27" s="300">
        <f t="shared" si="5"/>
        <v>0</v>
      </c>
      <c r="E27" s="301">
        <f t="shared" si="3"/>
        <v>0</v>
      </c>
      <c r="F27" s="306">
        <f t="shared" si="4"/>
        <v>0</v>
      </c>
      <c r="G27" s="307">
        <f t="shared" ref="G27:G34" si="6">100-F27</f>
        <v>100</v>
      </c>
      <c r="H27" s="142"/>
      <c r="I27" s="158" t="s">
        <v>22</v>
      </c>
      <c r="J27" s="159">
        <f>+F30</f>
        <v>42.253182705338716</v>
      </c>
      <c r="K27" s="143"/>
      <c r="L27" s="91"/>
      <c r="M27" s="91"/>
      <c r="N27" s="168" t="s">
        <v>97</v>
      </c>
      <c r="O27" s="169"/>
      <c r="P27" s="172">
        <f>((P25-P26)/P26)*100</f>
        <v>1.2853470437017993</v>
      </c>
      <c r="U27" s="93" t="s">
        <v>81</v>
      </c>
      <c r="V27" s="94">
        <v>2</v>
      </c>
      <c r="W27" s="302">
        <f t="shared" si="0"/>
        <v>402.69979180410002</v>
      </c>
      <c r="X27" s="98">
        <v>402.7</v>
      </c>
      <c r="Y27" s="96">
        <f>W27*$G$30/$P$26</f>
        <v>19.284046191151422</v>
      </c>
      <c r="Z27" s="154">
        <f t="shared" si="2"/>
        <v>61.537228896490134</v>
      </c>
      <c r="AA27" s="97">
        <f t="shared" si="1"/>
        <v>38.462771103509866</v>
      </c>
    </row>
    <row r="28" spans="1:27" s="4" customFormat="1" ht="15" customHeight="1" x14ac:dyDescent="0.2">
      <c r="A28" s="140"/>
      <c r="B28" s="93" t="s">
        <v>78</v>
      </c>
      <c r="C28" s="94">
        <v>12.7</v>
      </c>
      <c r="D28" s="300">
        <f t="shared" si="5"/>
        <v>2855.998523448</v>
      </c>
      <c r="E28" s="301">
        <f t="shared" si="3"/>
        <v>11.907942550468459</v>
      </c>
      <c r="F28" s="306">
        <f t="shared" si="4"/>
        <v>11.907942550468459</v>
      </c>
      <c r="G28" s="307">
        <f t="shared" si="6"/>
        <v>88.092057449531538</v>
      </c>
      <c r="H28" s="142"/>
      <c r="I28" s="158" t="s">
        <v>23</v>
      </c>
      <c r="J28" s="160">
        <f>+G30</f>
        <v>57.746817294661284</v>
      </c>
      <c r="K28" s="144"/>
      <c r="L28" s="91"/>
      <c r="M28" s="91"/>
      <c r="U28" s="93" t="s">
        <v>83</v>
      </c>
      <c r="V28" s="94">
        <v>0.42499999999999999</v>
      </c>
      <c r="W28" s="302">
        <f t="shared" si="0"/>
        <v>405.29979045990001</v>
      </c>
      <c r="X28" s="98">
        <v>405.3</v>
      </c>
      <c r="Y28" s="96">
        <f>W28*$G$30/$P$26</f>
        <v>19.408552076666677</v>
      </c>
      <c r="Z28" s="154">
        <f t="shared" si="2"/>
        <v>80.945780973156815</v>
      </c>
      <c r="AA28" s="97">
        <f t="shared" si="1"/>
        <v>19.054219026843185</v>
      </c>
    </row>
    <row r="29" spans="1:27" s="4" customFormat="1" ht="15" customHeight="1" thickBot="1" x14ac:dyDescent="0.25">
      <c r="A29" s="140"/>
      <c r="B29" s="93" t="s">
        <v>79</v>
      </c>
      <c r="C29" s="94">
        <v>9.5250000000000004</v>
      </c>
      <c r="D29" s="300">
        <f t="shared" si="5"/>
        <v>2663.9986227119998</v>
      </c>
      <c r="E29" s="301">
        <f t="shared" si="3"/>
        <v>11.107408597495789</v>
      </c>
      <c r="F29" s="306">
        <f t="shared" si="4"/>
        <v>23.015351147964246</v>
      </c>
      <c r="G29" s="307">
        <f t="shared" si="6"/>
        <v>76.984648852035747</v>
      </c>
      <c r="H29" s="142"/>
      <c r="J29" s="145"/>
      <c r="K29" s="146"/>
      <c r="L29" s="91"/>
      <c r="M29" s="91"/>
      <c r="U29" s="93" t="s">
        <v>87</v>
      </c>
      <c r="V29" s="94">
        <v>0.18</v>
      </c>
      <c r="W29" s="302">
        <f t="shared" si="0"/>
        <v>132.69993139409999</v>
      </c>
      <c r="X29" s="98">
        <v>132.69999999999999</v>
      </c>
      <c r="Y29" s="96">
        <f>W29*$G$30/$P$26</f>
        <v>6.3545888491825018</v>
      </c>
      <c r="Z29" s="154">
        <f t="shared" si="2"/>
        <v>87.30036982233932</v>
      </c>
      <c r="AA29" s="97">
        <f t="shared" si="1"/>
        <v>12.69963017766068</v>
      </c>
    </row>
    <row r="30" spans="1:27" s="4" customFormat="1" ht="15" customHeight="1" x14ac:dyDescent="0.2">
      <c r="A30" s="140"/>
      <c r="B30" s="93" t="s">
        <v>80</v>
      </c>
      <c r="C30" s="94">
        <v>4.76</v>
      </c>
      <c r="D30" s="300">
        <f t="shared" si="5"/>
        <v>4613.9976145620003</v>
      </c>
      <c r="E30" s="301">
        <f t="shared" si="3"/>
        <v>19.237831557374466</v>
      </c>
      <c r="F30" s="306">
        <f t="shared" si="4"/>
        <v>42.253182705338716</v>
      </c>
      <c r="G30" s="307">
        <f t="shared" si="6"/>
        <v>57.746817294661284</v>
      </c>
      <c r="H30" s="142"/>
      <c r="I30" s="936"/>
      <c r="J30" s="936"/>
      <c r="K30" s="143"/>
      <c r="L30" s="91"/>
      <c r="M30" s="944" t="s">
        <v>74</v>
      </c>
      <c r="N30" s="945"/>
      <c r="O30" s="945"/>
      <c r="P30" s="946"/>
      <c r="T30" s="99"/>
      <c r="U30" s="93" t="s">
        <v>88</v>
      </c>
      <c r="V30" s="94">
        <v>7.3999999999999996E-2</v>
      </c>
      <c r="W30" s="302">
        <f t="shared" si="0"/>
        <v>126.8999343927</v>
      </c>
      <c r="X30" s="98">
        <v>126.9</v>
      </c>
      <c r="Y30" s="96">
        <f>W30*$G$30/$P$26</f>
        <v>6.0768449507253921</v>
      </c>
      <c r="Z30" s="154">
        <f t="shared" si="2"/>
        <v>93.377214773064708</v>
      </c>
      <c r="AA30" s="97">
        <f t="shared" si="1"/>
        <v>6.6227852269352923</v>
      </c>
    </row>
    <row r="31" spans="1:27" s="4" customFormat="1" ht="15" customHeight="1" x14ac:dyDescent="0.2">
      <c r="A31" s="140"/>
      <c r="B31" s="93" t="s">
        <v>81</v>
      </c>
      <c r="C31" s="94">
        <v>2</v>
      </c>
      <c r="D31" s="300">
        <f t="shared" si="5"/>
        <v>402.69979180410002</v>
      </c>
      <c r="E31" s="301">
        <f>D31*$G$30/$P$26</f>
        <v>19.284046191151422</v>
      </c>
      <c r="F31" s="306">
        <f t="shared" si="4"/>
        <v>61.537228896490134</v>
      </c>
      <c r="G31" s="307">
        <f t="shared" si="6"/>
        <v>38.462771103509866</v>
      </c>
      <c r="H31" s="142"/>
      <c r="I31" s="936"/>
      <c r="J31" s="936"/>
      <c r="K31" s="143"/>
      <c r="L31" s="91"/>
      <c r="M31" s="933" t="s">
        <v>82</v>
      </c>
      <c r="N31" s="934"/>
      <c r="O31" s="934"/>
      <c r="P31" s="935"/>
      <c r="T31" s="99"/>
      <c r="U31" s="147" t="s">
        <v>90</v>
      </c>
      <c r="V31" s="175" t="s">
        <v>91</v>
      </c>
      <c r="W31" s="302">
        <f t="shared" si="0"/>
        <v>138.29992849889996</v>
      </c>
      <c r="X31" s="148">
        <f>(P26)-SUM(X27:X30)</f>
        <v>138.29999999999995</v>
      </c>
      <c r="Y31" s="96">
        <f>W31*$G$30/$P$26</f>
        <v>6.6227553718307437</v>
      </c>
      <c r="Z31" s="155">
        <f t="shared" si="2"/>
        <v>99.999970144895457</v>
      </c>
      <c r="AA31" s="150"/>
    </row>
    <row r="32" spans="1:27" s="4" customFormat="1" ht="15" customHeight="1" x14ac:dyDescent="0.2">
      <c r="A32" s="140"/>
      <c r="B32" s="93" t="s">
        <v>83</v>
      </c>
      <c r="C32" s="94">
        <v>0.42499999999999999</v>
      </c>
      <c r="D32" s="300">
        <f t="shared" si="5"/>
        <v>405.29979045990001</v>
      </c>
      <c r="E32" s="301">
        <f>D32*$G$30/$P$26</f>
        <v>19.408552076666677</v>
      </c>
      <c r="F32" s="306">
        <f t="shared" si="4"/>
        <v>80.945780973156815</v>
      </c>
      <c r="G32" s="307">
        <f t="shared" si="6"/>
        <v>19.054219026843185</v>
      </c>
      <c r="H32" s="142"/>
      <c r="K32" s="146"/>
      <c r="L32" s="91"/>
      <c r="M32" s="101"/>
      <c r="N32" s="102" t="s">
        <v>84</v>
      </c>
      <c r="O32" s="92" t="s">
        <v>85</v>
      </c>
      <c r="P32" s="103" t="s">
        <v>86</v>
      </c>
      <c r="T32" s="99"/>
      <c r="U32" s="117" t="s">
        <v>129</v>
      </c>
      <c r="V32" s="100"/>
      <c r="W32" s="100"/>
      <c r="X32" s="100"/>
    </row>
    <row r="33" spans="1:28" s="4" customFormat="1" ht="15" customHeight="1" x14ac:dyDescent="0.25">
      <c r="A33" s="140"/>
      <c r="B33" s="93" t="s">
        <v>87</v>
      </c>
      <c r="C33" s="94">
        <v>0.18</v>
      </c>
      <c r="D33" s="300">
        <f t="shared" si="5"/>
        <v>132.69993139409999</v>
      </c>
      <c r="E33" s="301">
        <f>D33*$G$30/$P$26</f>
        <v>6.3545888491825018</v>
      </c>
      <c r="F33" s="306">
        <f t="shared" si="4"/>
        <v>87.30036982233932</v>
      </c>
      <c r="G33" s="307">
        <f t="shared" si="6"/>
        <v>12.69963017766068</v>
      </c>
      <c r="H33" s="142"/>
      <c r="J33" s="241"/>
      <c r="K33" s="146"/>
      <c r="L33" s="91"/>
      <c r="M33" s="101" t="str">
        <f t="shared" ref="M33:M42" si="7">+B25</f>
        <v xml:space="preserve">  1 1/2"</v>
      </c>
      <c r="N33" s="104">
        <f t="shared" ref="N33:N42" si="8">+C25</f>
        <v>38.1</v>
      </c>
      <c r="O33" s="92"/>
      <c r="P33" s="103"/>
      <c r="R33" s="79"/>
      <c r="S33" s="79"/>
      <c r="T33" s="79"/>
      <c r="U33" s="117" t="s">
        <v>130</v>
      </c>
      <c r="V33" s="79"/>
      <c r="W33" s="100"/>
      <c r="X33" s="100"/>
    </row>
    <row r="34" spans="1:28" s="4" customFormat="1" ht="15" customHeight="1" x14ac:dyDescent="0.2">
      <c r="A34" s="140"/>
      <c r="B34" s="93" t="s">
        <v>88</v>
      </c>
      <c r="C34" s="94">
        <v>7.3999999999999996E-2</v>
      </c>
      <c r="D34" s="300">
        <f t="shared" si="5"/>
        <v>126.8999343927</v>
      </c>
      <c r="E34" s="301">
        <f>D34*$G$30/$P$26</f>
        <v>6.0768449507253921</v>
      </c>
      <c r="F34" s="306">
        <f t="shared" si="4"/>
        <v>93.377214773064708</v>
      </c>
      <c r="G34" s="97">
        <f t="shared" si="6"/>
        <v>6.6227852269352923</v>
      </c>
      <c r="H34" s="142"/>
      <c r="J34" s="241"/>
      <c r="K34" s="143"/>
      <c r="L34" s="91"/>
      <c r="M34" s="101" t="str">
        <f t="shared" si="7"/>
        <v xml:space="preserve">  1"</v>
      </c>
      <c r="N34" s="104">
        <f t="shared" si="8"/>
        <v>25.4</v>
      </c>
      <c r="O34" s="102"/>
      <c r="P34" s="105"/>
      <c r="T34" s="99">
        <f t="shared" ref="T34:T42" si="9">+C26</f>
        <v>25.4</v>
      </c>
      <c r="U34" s="99">
        <f t="shared" ref="U34:U42" si="10">+T34</f>
        <v>25.4</v>
      </c>
      <c r="Z34" s="922" t="s">
        <v>89</v>
      </c>
      <c r="AA34" s="923"/>
      <c r="AB34" s="923"/>
    </row>
    <row r="35" spans="1:28" s="4" customFormat="1" ht="15" customHeight="1" x14ac:dyDescent="0.2">
      <c r="A35" s="140"/>
      <c r="B35" s="147" t="s">
        <v>90</v>
      </c>
      <c r="C35" s="175" t="s">
        <v>91</v>
      </c>
      <c r="D35" s="300">
        <f t="shared" si="5"/>
        <v>138.29992849889996</v>
      </c>
      <c r="E35" s="149">
        <f>D35*$G$30/$P$26</f>
        <v>6.6227553718307437</v>
      </c>
      <c r="F35" s="155">
        <f t="shared" si="4"/>
        <v>99.999970144895457</v>
      </c>
      <c r="G35" s="150"/>
      <c r="H35" s="142"/>
      <c r="I35" s="106"/>
      <c r="J35" s="151"/>
      <c r="K35" s="257"/>
      <c r="L35" s="91"/>
      <c r="M35" s="101" t="str">
        <f t="shared" si="7"/>
        <v xml:space="preserve">  3/4"</v>
      </c>
      <c r="N35" s="104">
        <f t="shared" si="8"/>
        <v>19.05</v>
      </c>
      <c r="O35" s="102">
        <v>100</v>
      </c>
      <c r="P35" s="105">
        <v>100</v>
      </c>
      <c r="T35" s="99">
        <f t="shared" si="9"/>
        <v>19.05</v>
      </c>
      <c r="U35" s="99">
        <f t="shared" si="10"/>
        <v>19.05</v>
      </c>
      <c r="V35" s="100"/>
      <c r="W35" s="100"/>
      <c r="X35" s="100"/>
      <c r="Z35" s="107">
        <v>100</v>
      </c>
      <c r="AA35" s="107">
        <v>100</v>
      </c>
      <c r="AB35" s="107">
        <v>100</v>
      </c>
    </row>
    <row r="36" spans="1:28" ht="6.75" customHeight="1" x14ac:dyDescent="0.25">
      <c r="A36" s="125"/>
      <c r="I36" s="90"/>
      <c r="J36" s="90"/>
      <c r="K36" s="152"/>
      <c r="M36" s="101" t="str">
        <f t="shared" si="7"/>
        <v xml:space="preserve">  1/2"</v>
      </c>
      <c r="N36" s="104">
        <f t="shared" si="8"/>
        <v>12.7</v>
      </c>
      <c r="O36" s="102">
        <v>80</v>
      </c>
      <c r="P36" s="105">
        <v>100</v>
      </c>
      <c r="T36" s="99">
        <f t="shared" si="9"/>
        <v>12.7</v>
      </c>
      <c r="U36" s="99">
        <f t="shared" si="10"/>
        <v>12.7</v>
      </c>
      <c r="V36" s="100"/>
      <c r="W36" s="100"/>
      <c r="X36" s="111"/>
      <c r="Z36" s="107"/>
      <c r="AA36" s="110">
        <v>88.9</v>
      </c>
      <c r="AB36" s="107"/>
    </row>
    <row r="37" spans="1:28" ht="14.85" customHeight="1" x14ac:dyDescent="0.25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258"/>
      <c r="M37" s="101" t="str">
        <f t="shared" si="7"/>
        <v xml:space="preserve">  3/8"</v>
      </c>
      <c r="N37" s="104">
        <f t="shared" si="8"/>
        <v>9.5250000000000004</v>
      </c>
      <c r="O37" s="102">
        <v>70</v>
      </c>
      <c r="P37" s="105">
        <v>88</v>
      </c>
      <c r="T37" s="99">
        <f t="shared" si="9"/>
        <v>9.5250000000000004</v>
      </c>
      <c r="U37" s="99"/>
      <c r="V37" s="100"/>
      <c r="W37" s="100"/>
      <c r="X37" s="111"/>
      <c r="Z37" s="107"/>
      <c r="AA37" s="110">
        <v>78.8</v>
      </c>
      <c r="AB37" s="107"/>
    </row>
    <row r="38" spans="1:28" ht="14.85" customHeight="1" x14ac:dyDescent="0.25">
      <c r="A38" s="112"/>
      <c r="K38" s="256"/>
      <c r="M38" s="101" t="str">
        <f t="shared" si="7"/>
        <v xml:space="preserve">  N°4</v>
      </c>
      <c r="N38" s="104">
        <f t="shared" si="8"/>
        <v>4.76</v>
      </c>
      <c r="O38" s="102">
        <v>51</v>
      </c>
      <c r="P38" s="105">
        <v>68</v>
      </c>
      <c r="T38" s="99">
        <f t="shared" si="9"/>
        <v>4.76</v>
      </c>
      <c r="U38" s="99">
        <f t="shared" si="10"/>
        <v>4.76</v>
      </c>
      <c r="V38" s="100"/>
      <c r="W38" s="100"/>
      <c r="X38" s="111"/>
      <c r="Z38" s="107"/>
      <c r="AA38" s="110">
        <v>58.6</v>
      </c>
      <c r="AB38" s="107"/>
    </row>
    <row r="39" spans="1:28" ht="14.85" customHeight="1" x14ac:dyDescent="0.25">
      <c r="A39" s="112"/>
      <c r="K39" s="256"/>
      <c r="M39" s="101" t="str">
        <f t="shared" si="7"/>
        <v xml:space="preserve">  N° 10</v>
      </c>
      <c r="N39" s="104">
        <f t="shared" si="8"/>
        <v>2</v>
      </c>
      <c r="O39" s="102">
        <v>38</v>
      </c>
      <c r="P39" s="105">
        <v>52</v>
      </c>
      <c r="T39" s="99">
        <f t="shared" si="9"/>
        <v>2</v>
      </c>
      <c r="U39" s="99">
        <f t="shared" si="10"/>
        <v>2</v>
      </c>
      <c r="V39" s="100"/>
      <c r="W39" s="100"/>
      <c r="X39" s="111"/>
      <c r="Z39" s="107"/>
      <c r="AA39" s="110">
        <v>42.8</v>
      </c>
      <c r="AB39" s="107"/>
    </row>
    <row r="40" spans="1:28" ht="14.85" customHeight="1" x14ac:dyDescent="0.25">
      <c r="A40" s="112"/>
      <c r="K40" s="256"/>
      <c r="M40" s="101" t="str">
        <f t="shared" si="7"/>
        <v xml:space="preserve">  N° 40</v>
      </c>
      <c r="N40" s="104">
        <f t="shared" si="8"/>
        <v>0.42499999999999999</v>
      </c>
      <c r="O40" s="102">
        <v>17</v>
      </c>
      <c r="P40" s="105">
        <v>28</v>
      </c>
      <c r="T40" s="99">
        <f t="shared" si="9"/>
        <v>0.42499999999999999</v>
      </c>
      <c r="U40" s="99">
        <f t="shared" si="10"/>
        <v>0.42499999999999999</v>
      </c>
      <c r="V40" s="100"/>
      <c r="W40" s="100"/>
      <c r="X40" s="111"/>
      <c r="Z40" s="107"/>
      <c r="AA40" s="110">
        <v>21</v>
      </c>
      <c r="AB40" s="107"/>
    </row>
    <row r="41" spans="1:28" ht="14.85" customHeight="1" x14ac:dyDescent="0.25">
      <c r="A41" s="112"/>
      <c r="K41" s="256"/>
      <c r="M41" s="101" t="str">
        <f t="shared" si="7"/>
        <v xml:space="preserve">  N° 80</v>
      </c>
      <c r="N41" s="104">
        <f t="shared" si="8"/>
        <v>0.18</v>
      </c>
      <c r="O41" s="102">
        <v>8</v>
      </c>
      <c r="P41" s="105">
        <v>17</v>
      </c>
      <c r="T41" s="99">
        <f t="shared" si="9"/>
        <v>0.18</v>
      </c>
      <c r="U41" s="99">
        <f t="shared" si="10"/>
        <v>0.18</v>
      </c>
      <c r="V41" s="100"/>
      <c r="W41" s="100"/>
      <c r="X41" s="111"/>
      <c r="Z41" s="107"/>
      <c r="AA41" s="110">
        <v>11.5</v>
      </c>
      <c r="AB41" s="107"/>
    </row>
    <row r="42" spans="1:28" ht="14.85" customHeight="1" thickBot="1" x14ac:dyDescent="0.3">
      <c r="A42" s="112"/>
      <c r="K42" s="256"/>
      <c r="M42" s="113" t="str">
        <f t="shared" si="7"/>
        <v xml:space="preserve">  N° 200</v>
      </c>
      <c r="N42" s="114">
        <f t="shared" si="8"/>
        <v>7.3999999999999996E-2</v>
      </c>
      <c r="O42" s="115">
        <v>4</v>
      </c>
      <c r="P42" s="116">
        <v>8</v>
      </c>
      <c r="T42" s="99">
        <f t="shared" si="9"/>
        <v>7.3999999999999996E-2</v>
      </c>
      <c r="U42" s="99">
        <f t="shared" si="10"/>
        <v>7.3999999999999996E-2</v>
      </c>
      <c r="V42" s="100"/>
      <c r="W42" s="100"/>
      <c r="X42" s="111"/>
      <c r="Z42" s="107"/>
      <c r="AA42" s="110">
        <v>5.9</v>
      </c>
      <c r="AB42" s="107"/>
    </row>
    <row r="43" spans="1:28" ht="14.85" customHeight="1" x14ac:dyDescent="0.25">
      <c r="A43" s="112"/>
      <c r="K43" s="256"/>
      <c r="M43" s="91"/>
      <c r="N43" s="117"/>
      <c r="O43" s="4"/>
      <c r="P43" s="4"/>
      <c r="Q43" s="4"/>
      <c r="R43" s="4"/>
      <c r="S43" s="4"/>
      <c r="T43" s="4"/>
      <c r="U43" s="4"/>
      <c r="V43" s="4"/>
      <c r="W43" s="4"/>
    </row>
    <row r="44" spans="1:28" ht="14.85" customHeight="1" x14ac:dyDescent="0.25">
      <c r="A44" s="112"/>
      <c r="K44" s="256"/>
      <c r="M44" s="91"/>
      <c r="N44" s="118"/>
      <c r="O44" s="118"/>
      <c r="P44" s="118"/>
      <c r="Q44" s="118"/>
      <c r="R44" s="118"/>
      <c r="S44" s="118"/>
      <c r="T44" s="118"/>
      <c r="U44" s="119"/>
      <c r="V44" s="4"/>
      <c r="W44" s="4"/>
    </row>
    <row r="45" spans="1:28" ht="14.85" customHeight="1" x14ac:dyDescent="0.25">
      <c r="A45" s="112"/>
      <c r="K45" s="256"/>
      <c r="M45" s="91"/>
      <c r="N45" s="118"/>
      <c r="O45" s="118"/>
      <c r="P45" s="118"/>
      <c r="Q45" s="118"/>
      <c r="R45" s="118"/>
      <c r="S45" s="118"/>
      <c r="T45" s="120"/>
      <c r="U45" s="4"/>
      <c r="V45" s="4"/>
      <c r="W45" s="4"/>
    </row>
    <row r="46" spans="1:28" ht="14.85" customHeight="1" x14ac:dyDescent="0.25">
      <c r="A46" s="112"/>
      <c r="K46" s="256"/>
      <c r="M46" s="91"/>
      <c r="N46" s="120"/>
      <c r="O46" s="120"/>
      <c r="P46" s="120"/>
      <c r="Q46" s="120"/>
      <c r="R46" s="120"/>
      <c r="S46" s="120"/>
      <c r="T46" s="120"/>
      <c r="U46" s="120"/>
      <c r="V46" s="4"/>
      <c r="W46" s="4"/>
    </row>
    <row r="47" spans="1:28" ht="14.85" customHeight="1" x14ac:dyDescent="0.25">
      <c r="A47" s="112"/>
      <c r="K47" s="256"/>
      <c r="M47" s="91"/>
      <c r="N47" s="4"/>
      <c r="O47" s="4"/>
      <c r="P47" s="4"/>
      <c r="Q47" s="4"/>
      <c r="R47" s="4"/>
      <c r="S47" s="121"/>
      <c r="T47" s="121"/>
      <c r="U47" s="102"/>
      <c r="V47" s="4"/>
      <c r="W47" s="4"/>
    </row>
    <row r="48" spans="1:28" ht="14.85" customHeight="1" x14ac:dyDescent="0.25">
      <c r="A48" s="112"/>
      <c r="K48" s="256"/>
      <c r="M48" s="122"/>
      <c r="N48" s="123"/>
      <c r="O48" s="4"/>
      <c r="P48" s="4"/>
      <c r="Q48" s="4"/>
      <c r="R48" s="4"/>
      <c r="S48" s="4"/>
      <c r="T48" s="121"/>
      <c r="U48" s="124"/>
      <c r="V48" s="123"/>
      <c r="W48" s="123"/>
    </row>
    <row r="49" spans="1:24" ht="14.85" customHeight="1" x14ac:dyDescent="0.25">
      <c r="A49" s="112"/>
      <c r="K49" s="256"/>
      <c r="M49" s="122"/>
      <c r="N49" s="123"/>
      <c r="O49" s="4"/>
      <c r="P49" s="4"/>
      <c r="Q49" s="4"/>
      <c r="R49" s="4"/>
      <c r="S49" s="4"/>
      <c r="T49" s="121"/>
      <c r="U49" s="124"/>
      <c r="V49" s="123"/>
      <c r="W49" s="123"/>
    </row>
    <row r="50" spans="1:24" ht="14.85" customHeight="1" x14ac:dyDescent="0.25">
      <c r="A50" s="112"/>
      <c r="K50" s="256"/>
      <c r="M50" s="122"/>
      <c r="N50" s="123"/>
      <c r="O50" s="4"/>
      <c r="P50" s="4"/>
      <c r="Q50" s="4"/>
      <c r="R50" s="4"/>
      <c r="S50" s="4"/>
      <c r="T50" s="121"/>
      <c r="U50" s="124"/>
      <c r="V50" s="123"/>
      <c r="W50" s="123"/>
    </row>
    <row r="51" spans="1:24" ht="14.85" customHeight="1" x14ac:dyDescent="0.25">
      <c r="A51" s="125"/>
      <c r="B51" s="90"/>
      <c r="C51" s="90"/>
      <c r="D51" s="90"/>
      <c r="E51" s="90"/>
      <c r="F51" s="90"/>
      <c r="G51" s="90"/>
      <c r="H51" s="90"/>
      <c r="I51" s="90"/>
      <c r="J51" s="90"/>
      <c r="K51" s="152"/>
      <c r="M51" s="122"/>
      <c r="N51" s="123"/>
      <c r="O51" s="4"/>
      <c r="P51" s="4"/>
      <c r="Q51" s="4"/>
      <c r="R51" s="4"/>
      <c r="S51" s="4"/>
      <c r="T51" s="121"/>
      <c r="U51" s="124"/>
      <c r="V51" s="123"/>
      <c r="W51" s="123"/>
    </row>
    <row r="52" spans="1:24" ht="15.9" customHeight="1" x14ac:dyDescent="0.25">
      <c r="A52" s="238" t="s">
        <v>3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M52" s="122"/>
      <c r="N52" s="123"/>
      <c r="O52" s="123"/>
      <c r="P52" s="4"/>
      <c r="Q52" s="4"/>
      <c r="R52" s="4"/>
      <c r="S52" s="4"/>
      <c r="T52" s="121"/>
      <c r="U52" s="124"/>
      <c r="V52" s="123"/>
      <c r="W52" s="123"/>
    </row>
    <row r="53" spans="1:24" ht="15.9" customHeight="1" x14ac:dyDescent="0.25">
      <c r="K53" s="87"/>
      <c r="M53" s="122"/>
      <c r="N53" s="123"/>
      <c r="O53" s="123"/>
      <c r="P53" s="4"/>
      <c r="Q53" s="123"/>
      <c r="R53" s="123"/>
      <c r="S53" s="4"/>
      <c r="T53" s="121"/>
      <c r="U53" s="124"/>
      <c r="V53" s="123"/>
      <c r="W53" s="123"/>
    </row>
    <row r="54" spans="1:24" s="4" customFormat="1" ht="15.9" customHeight="1" x14ac:dyDescent="0.25">
      <c r="A54" s="5"/>
      <c r="B54" s="5"/>
      <c r="C54" s="5"/>
      <c r="D54" s="87"/>
      <c r="E54" s="87"/>
      <c r="F54" s="87"/>
      <c r="G54" s="87"/>
      <c r="H54" s="87"/>
      <c r="I54" s="87"/>
      <c r="J54" s="87"/>
      <c r="K54" s="87"/>
      <c r="L54" s="91"/>
      <c r="M54" s="122"/>
      <c r="N54" s="123"/>
      <c r="O54" s="123"/>
      <c r="P54" s="123"/>
      <c r="Q54" s="123"/>
      <c r="R54" s="123"/>
      <c r="T54" s="121"/>
      <c r="U54" s="124"/>
      <c r="V54" s="123"/>
      <c r="W54" s="123"/>
    </row>
    <row r="55" spans="1:24" s="5" customFormat="1" ht="15.9" customHeight="1" x14ac:dyDescent="0.25">
      <c r="D55" s="87"/>
      <c r="E55" s="87"/>
      <c r="F55" s="87"/>
      <c r="G55" s="87"/>
      <c r="H55" s="87"/>
      <c r="I55" s="87"/>
      <c r="J55" s="87"/>
      <c r="K55" s="87"/>
      <c r="L55" s="126"/>
      <c r="M55" s="122"/>
      <c r="N55" s="123"/>
      <c r="O55" s="123"/>
      <c r="P55" s="123"/>
      <c r="Q55" s="123"/>
      <c r="R55" s="123"/>
      <c r="S55" s="4"/>
      <c r="T55" s="121"/>
      <c r="U55" s="124"/>
      <c r="V55" s="123"/>
      <c r="W55" s="123"/>
    </row>
    <row r="56" spans="1:24" ht="15.9" customHeight="1" x14ac:dyDescent="0.25">
      <c r="A56" s="16" t="s">
        <v>4</v>
      </c>
      <c r="B56" s="5"/>
      <c r="C56" s="5"/>
      <c r="K56" s="87"/>
      <c r="M56" s="91"/>
      <c r="N56" s="4"/>
      <c r="O56" s="4"/>
      <c r="P56" s="4"/>
      <c r="Q56" s="4"/>
      <c r="R56" s="4"/>
      <c r="S56" s="4"/>
      <c r="T56" s="4"/>
      <c r="U56" s="4"/>
      <c r="V56" s="123"/>
      <c r="W56" s="123"/>
    </row>
    <row r="57" spans="1:24" ht="15.9" customHeight="1" x14ac:dyDescent="0.25">
      <c r="A57" s="16" t="s">
        <v>99</v>
      </c>
      <c r="B57" s="5"/>
      <c r="C57" s="5"/>
      <c r="D57" s="924"/>
      <c r="E57" s="924"/>
      <c r="F57" s="924"/>
      <c r="G57" s="924"/>
      <c r="H57" s="924"/>
      <c r="I57" s="924"/>
      <c r="J57" s="924"/>
      <c r="K57" s="924"/>
      <c r="M57" s="91"/>
      <c r="N57" s="4"/>
      <c r="O57" s="4"/>
      <c r="P57" s="4"/>
      <c r="Q57" s="4"/>
      <c r="R57" s="4"/>
      <c r="S57" s="4"/>
      <c r="T57" s="4"/>
      <c r="U57" s="4"/>
      <c r="V57" s="123"/>
      <c r="W57" s="123"/>
    </row>
    <row r="58" spans="1:24" ht="30.75" customHeight="1" x14ac:dyDescent="0.25">
      <c r="A58" s="296" t="s">
        <v>120</v>
      </c>
      <c r="B58" s="297"/>
      <c r="C58" s="297"/>
      <c r="D58" s="297"/>
      <c r="E58" s="297"/>
      <c r="F58" s="297"/>
      <c r="G58" s="297"/>
      <c r="H58" s="1"/>
      <c r="I58" s="1"/>
      <c r="J58" s="1"/>
      <c r="K58" s="1"/>
      <c r="M58" s="91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4" x14ac:dyDescent="0.25">
      <c r="A59" s="296" t="s">
        <v>121</v>
      </c>
      <c r="B59" s="296"/>
      <c r="C59" s="296"/>
      <c r="D59" s="296"/>
      <c r="E59" s="296"/>
      <c r="F59" s="296"/>
      <c r="G59" s="296"/>
      <c r="H59" s="296"/>
      <c r="I59" s="296"/>
      <c r="J59" s="297"/>
      <c r="K59" s="297"/>
      <c r="M59" s="91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4" ht="23.25" customHeight="1" x14ac:dyDescent="0.25">
      <c r="A60" s="930" t="s">
        <v>122</v>
      </c>
      <c r="B60" s="930"/>
      <c r="C60" s="930"/>
      <c r="D60" s="930"/>
      <c r="E60" s="930"/>
      <c r="F60" s="930"/>
      <c r="G60" s="930"/>
      <c r="H60" s="930"/>
      <c r="I60" s="930"/>
      <c r="J60" s="930"/>
      <c r="K60" s="930"/>
      <c r="M60" s="91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4" ht="13.8" x14ac:dyDescent="0.25">
      <c r="A61" s="1"/>
      <c r="B61" s="1"/>
      <c r="C61" s="1"/>
      <c r="D61" s="1"/>
      <c r="E61" s="1"/>
      <c r="F61" s="1"/>
      <c r="G61" s="1"/>
      <c r="H61" s="919" t="s">
        <v>123</v>
      </c>
      <c r="I61" s="919"/>
      <c r="J61" s="919"/>
      <c r="K61" s="919"/>
      <c r="M61" s="91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4" x14ac:dyDescent="0.25">
      <c r="A62" s="86"/>
      <c r="B62" s="86"/>
      <c r="C62" s="86"/>
      <c r="D62" s="86"/>
      <c r="E62" s="86"/>
      <c r="F62" s="86"/>
      <c r="G62" s="86"/>
      <c r="H62" s="86"/>
      <c r="I62" s="86"/>
      <c r="J62" s="86"/>
      <c r="M62" s="91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4" s="5" customFormat="1" x14ac:dyDescent="0.25">
      <c r="A63" s="86"/>
      <c r="B63" s="86"/>
      <c r="C63" s="86"/>
      <c r="D63" s="128"/>
      <c r="E63" s="128"/>
      <c r="F63" s="86"/>
      <c r="G63" s="86"/>
      <c r="H63" s="86"/>
      <c r="I63" s="86"/>
      <c r="J63" s="86"/>
      <c r="K63" s="86"/>
      <c r="L63" s="126"/>
      <c r="M63" s="91"/>
      <c r="N63" s="4"/>
      <c r="O63" s="4"/>
      <c r="P63" s="4"/>
      <c r="Q63" s="4"/>
      <c r="R63" s="4"/>
      <c r="S63" s="4"/>
      <c r="T63" s="4"/>
      <c r="U63" s="4"/>
      <c r="V63" s="4"/>
      <c r="W63" s="4"/>
      <c r="X63" s="87"/>
    </row>
    <row r="64" spans="1:24" x14ac:dyDescent="0.25">
      <c r="A64" s="129"/>
      <c r="B64" s="86"/>
      <c r="C64" s="86"/>
      <c r="D64" s="130"/>
      <c r="E64" s="130"/>
      <c r="F64" s="86"/>
      <c r="G64" s="86"/>
      <c r="H64" s="129"/>
      <c r="I64" s="129"/>
      <c r="J64" s="129"/>
      <c r="M64" s="91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4" x14ac:dyDescent="0.25">
      <c r="A65" s="86"/>
      <c r="B65" s="86"/>
      <c r="C65" s="86"/>
      <c r="D65" s="86"/>
      <c r="E65" s="86"/>
      <c r="F65" s="86"/>
      <c r="G65" s="86"/>
      <c r="H65" s="86"/>
      <c r="I65" s="86"/>
      <c r="J65" s="86"/>
      <c r="M65" s="131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3"/>
    </row>
    <row r="66" spans="1:24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M66" s="91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4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M67" s="91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4" x14ac:dyDescent="0.25">
      <c r="A68" s="86"/>
      <c r="B68" s="86"/>
      <c r="C68" s="86"/>
      <c r="D68" s="134"/>
      <c r="E68" s="134"/>
      <c r="F68" s="135"/>
      <c r="G68" s="136"/>
      <c r="H68" s="136"/>
      <c r="I68" s="86"/>
      <c r="J68" s="86"/>
      <c r="L68" s="137"/>
      <c r="M68" s="91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4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M69" s="91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4" ht="15.6" x14ac:dyDescent="0.3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M70" s="91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4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M71" s="91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</row>
    <row r="72" spans="1:24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M72" s="91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4" x14ac:dyDescent="0.25">
      <c r="A73" s="86"/>
      <c r="B73" s="86"/>
      <c r="C73" s="86"/>
      <c r="D73" s="128"/>
      <c r="E73" s="128"/>
      <c r="F73" s="86"/>
      <c r="G73" s="86"/>
      <c r="H73" s="86"/>
      <c r="I73" s="86"/>
      <c r="J73" s="86"/>
      <c r="M73" s="91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4" x14ac:dyDescent="0.25">
      <c r="A74" s="129"/>
      <c r="B74" s="86"/>
      <c r="C74" s="86"/>
      <c r="D74" s="130"/>
      <c r="E74" s="130"/>
      <c r="F74" s="86"/>
      <c r="G74" s="86"/>
      <c r="H74" s="129"/>
      <c r="I74" s="129"/>
      <c r="J74" s="129"/>
      <c r="M74" s="91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4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M75" s="91"/>
      <c r="N75" s="4"/>
      <c r="O75" s="4"/>
      <c r="P75" s="4"/>
      <c r="Q75" s="4"/>
      <c r="R75" s="4"/>
      <c r="S75" s="4"/>
      <c r="T75" s="4"/>
      <c r="U75" s="4"/>
      <c r="V75" s="4"/>
      <c r="W75" s="4"/>
    </row>
  </sheetData>
  <protectedRanges>
    <protectedRange sqref="C22" name="Rango3_3_1_1_1_1_1_1_1_1_1"/>
    <protectedRange sqref="B16" name="Rango3_3_1_1_1_1_1_1_1_1"/>
    <protectedRange sqref="C11:C13" name="Rango3_3_1_1_1_1_1_1_1_1_2"/>
    <protectedRange sqref="C9:C10" name="Rango3_3_1_1_1_1_1_2_1"/>
  </protectedRanges>
  <mergeCells count="30">
    <mergeCell ref="Z19:Z20"/>
    <mergeCell ref="AA19:AA20"/>
    <mergeCell ref="W19:W20"/>
    <mergeCell ref="A5:K5"/>
    <mergeCell ref="M31:P31"/>
    <mergeCell ref="I31:J31"/>
    <mergeCell ref="I30:J30"/>
    <mergeCell ref="A17:I17"/>
    <mergeCell ref="A6:K6"/>
    <mergeCell ref="A14:K14"/>
    <mergeCell ref="T9:U9"/>
    <mergeCell ref="G23:G24"/>
    <mergeCell ref="M30:P30"/>
    <mergeCell ref="A15:K15"/>
    <mergeCell ref="H61:K61"/>
    <mergeCell ref="U19:V19"/>
    <mergeCell ref="X19:X20"/>
    <mergeCell ref="Y19:Y20"/>
    <mergeCell ref="Z34:AB34"/>
    <mergeCell ref="H57:I57"/>
    <mergeCell ref="J57:K57"/>
    <mergeCell ref="I23:J23"/>
    <mergeCell ref="I26:J26"/>
    <mergeCell ref="I24:J24"/>
    <mergeCell ref="A60:K60"/>
    <mergeCell ref="D57:G57"/>
    <mergeCell ref="B23:C23"/>
    <mergeCell ref="D23:D24"/>
    <mergeCell ref="E23:E24"/>
    <mergeCell ref="F23:F24"/>
  </mergeCells>
  <printOptions horizontalCentered="1"/>
  <pageMargins left="0" right="0" top="0.59055118110236227" bottom="0" header="0.11811023622047245" footer="0"/>
  <pageSetup paperSize="274" scale="89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8566-A5AE-4A09-88B6-4FAC01FD4645}">
  <sheetPr>
    <pageSetUpPr fitToPage="1"/>
  </sheetPr>
  <dimension ref="A1:AG92"/>
  <sheetViews>
    <sheetView showGridLines="0" view="pageBreakPreview" topLeftCell="A19" zoomScaleNormal="100" zoomScaleSheetLayoutView="100" workbookViewId="0">
      <selection activeCell="I28" sqref="I28:J28"/>
    </sheetView>
  </sheetViews>
  <sheetFormatPr baseColWidth="10" defaultColWidth="10.33203125" defaultRowHeight="13.8" x14ac:dyDescent="0.25"/>
  <cols>
    <col min="1" max="1" width="12.6640625" style="1" customWidth="1"/>
    <col min="2" max="7" width="8.33203125" style="1" customWidth="1"/>
    <col min="8" max="8" width="4.33203125" style="1" customWidth="1"/>
    <col min="9" max="10" width="7.6640625" style="1" customWidth="1"/>
    <col min="11" max="11" width="13.6640625" style="1" customWidth="1"/>
    <col min="12" max="12" width="15.6640625" style="1" customWidth="1"/>
    <col min="13" max="14" width="7.6640625" style="1" customWidth="1"/>
    <col min="15" max="15" width="11.6640625" style="1" customWidth="1"/>
    <col min="16" max="19" width="7.6640625" style="1" customWidth="1"/>
    <col min="20" max="20" width="5.6640625" style="1" customWidth="1"/>
    <col min="21" max="21" width="10.5546875" style="1" customWidth="1"/>
    <col min="22" max="22" width="17" style="1" customWidth="1"/>
    <col min="23" max="24" width="10.5546875" style="1" customWidth="1"/>
    <col min="25" max="16384" width="10.33203125" style="1"/>
  </cols>
  <sheetData>
    <row r="1" spans="1:24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4" ht="21.75" customHeight="1" x14ac:dyDescent="0.25">
      <c r="A2" s="176"/>
      <c r="B2" s="176"/>
      <c r="C2" s="177"/>
      <c r="D2" s="177"/>
      <c r="E2" s="177"/>
      <c r="F2" s="177"/>
      <c r="G2" s="177"/>
      <c r="H2" s="177"/>
      <c r="L2" s="4"/>
      <c r="M2" s="4"/>
      <c r="N2" s="4"/>
      <c r="O2" s="4"/>
      <c r="P2" s="4"/>
      <c r="Q2" s="4"/>
      <c r="R2" s="4"/>
      <c r="S2" s="4"/>
      <c r="T2" s="4"/>
    </row>
    <row r="3" spans="1:24" ht="15.75" customHeight="1" x14ac:dyDescent="0.25">
      <c r="A3" s="176"/>
      <c r="B3" s="176"/>
      <c r="C3" s="177"/>
      <c r="D3" s="177"/>
      <c r="E3" s="177"/>
      <c r="F3" s="177"/>
      <c r="G3" s="177"/>
      <c r="H3" s="177"/>
      <c r="X3" s="178"/>
    </row>
    <row r="4" spans="1:24" ht="15.75" customHeight="1" x14ac:dyDescent="0.25">
      <c r="A4" s="176"/>
      <c r="B4" s="176"/>
      <c r="C4" s="177"/>
      <c r="D4" s="177"/>
      <c r="E4" s="177"/>
      <c r="F4" s="177"/>
      <c r="G4" s="177"/>
      <c r="H4" s="177"/>
      <c r="X4" s="178"/>
    </row>
    <row r="5" spans="1:24" ht="15.75" customHeight="1" x14ac:dyDescent="0.25">
      <c r="A5" s="176"/>
      <c r="B5" s="176"/>
      <c r="C5" s="177"/>
      <c r="D5" s="177"/>
      <c r="E5" s="177"/>
      <c r="F5" s="177"/>
      <c r="G5" s="177"/>
      <c r="H5" s="177"/>
      <c r="X5" s="178"/>
    </row>
    <row r="6" spans="1:24" ht="15.75" customHeight="1" x14ac:dyDescent="0.25">
      <c r="A6" s="179"/>
      <c r="B6" s="179"/>
      <c r="C6" s="179"/>
      <c r="D6" s="179"/>
      <c r="E6" s="179"/>
      <c r="F6" s="179"/>
      <c r="G6" s="179"/>
      <c r="H6" s="179"/>
      <c r="I6" s="179"/>
      <c r="X6" s="178"/>
    </row>
    <row r="7" spans="1:24" ht="15.75" customHeight="1" x14ac:dyDescent="0.25">
      <c r="A7" s="932" t="s">
        <v>2</v>
      </c>
      <c r="B7" s="932"/>
      <c r="C7" s="932"/>
      <c r="D7" s="932"/>
      <c r="E7" s="932"/>
      <c r="F7" s="932"/>
      <c r="G7" s="932"/>
      <c r="H7" s="932"/>
      <c r="I7" s="932"/>
      <c r="J7" s="932"/>
      <c r="K7" s="932"/>
      <c r="X7" s="178"/>
    </row>
    <row r="8" spans="1:24" ht="15.75" customHeight="1" x14ac:dyDescent="0.25">
      <c r="A8" s="959">
        <v>1</v>
      </c>
      <c r="B8" s="959"/>
      <c r="C8" s="959"/>
      <c r="D8" s="959"/>
      <c r="E8" s="959"/>
      <c r="F8" s="959"/>
      <c r="G8" s="959"/>
      <c r="H8" s="959"/>
      <c r="I8" s="959"/>
      <c r="J8" s="959"/>
      <c r="K8" s="959"/>
      <c r="X8" s="178"/>
    </row>
    <row r="9" spans="1:24" ht="15.75" customHeight="1" x14ac:dyDescent="0.25">
      <c r="X9" s="178"/>
    </row>
    <row r="10" spans="1:24" ht="15.75" customHeight="1" x14ac:dyDescent="0.25">
      <c r="A10" s="281" t="s">
        <v>106</v>
      </c>
      <c r="B10" s="18" t="s">
        <v>7</v>
      </c>
      <c r="C10" s="180"/>
      <c r="D10" s="180"/>
      <c r="E10" s="180"/>
      <c r="F10" s="180"/>
      <c r="G10" s="180"/>
      <c r="H10" s="180"/>
      <c r="I10" s="180"/>
      <c r="X10" s="178"/>
    </row>
    <row r="11" spans="1:24" ht="15.75" customHeight="1" x14ac:dyDescent="0.25">
      <c r="A11" s="281" t="s">
        <v>107</v>
      </c>
      <c r="B11" s="18" t="s">
        <v>108</v>
      </c>
      <c r="D11" s="18"/>
      <c r="E11" s="18"/>
      <c r="F11" s="18"/>
      <c r="J11" s="284" t="s">
        <v>133</v>
      </c>
      <c r="K11" s="18" t="s">
        <v>132</v>
      </c>
      <c r="W11" s="182"/>
      <c r="X11" s="178"/>
    </row>
    <row r="12" spans="1:24" ht="15.75" customHeight="1" x14ac:dyDescent="0.25">
      <c r="A12" s="281" t="s">
        <v>109</v>
      </c>
      <c r="B12" s="18" t="s">
        <v>1</v>
      </c>
      <c r="D12" s="18"/>
      <c r="E12" s="18"/>
      <c r="F12" s="18"/>
      <c r="J12" s="285" t="s">
        <v>134</v>
      </c>
      <c r="K12" s="183">
        <v>122</v>
      </c>
      <c r="W12" s="178"/>
      <c r="X12" s="178"/>
    </row>
    <row r="13" spans="1:24" ht="15.75" customHeight="1" x14ac:dyDescent="0.25">
      <c r="A13" s="281" t="s">
        <v>110</v>
      </c>
      <c r="B13" s="18" t="s">
        <v>8</v>
      </c>
      <c r="D13" s="18"/>
      <c r="E13" s="18"/>
      <c r="F13" s="18"/>
      <c r="J13" s="285" t="s">
        <v>135</v>
      </c>
      <c r="K13" s="308">
        <v>43845</v>
      </c>
      <c r="M13" s="920" t="s">
        <v>9</v>
      </c>
      <c r="N13" s="921"/>
      <c r="O13" s="952" t="s">
        <v>69</v>
      </c>
      <c r="P13" s="953"/>
      <c r="Q13" s="954"/>
      <c r="W13" s="178"/>
      <c r="X13" s="178"/>
    </row>
    <row r="14" spans="1:24" ht="15.75" customHeight="1" x14ac:dyDescent="0.25">
      <c r="A14" s="282" t="s">
        <v>111</v>
      </c>
      <c r="B14" s="298"/>
      <c r="C14" s="298"/>
      <c r="D14" s="298"/>
      <c r="E14" s="298"/>
      <c r="F14" s="298"/>
      <c r="G14" s="298"/>
      <c r="H14" s="185"/>
      <c r="I14" s="186"/>
      <c r="J14" s="19"/>
      <c r="K14" s="19"/>
      <c r="M14" s="187" t="s">
        <v>11</v>
      </c>
      <c r="N14" s="187" t="s">
        <v>12</v>
      </c>
      <c r="O14" s="955"/>
      <c r="P14" s="956"/>
      <c r="Q14" s="957"/>
      <c r="W14" s="178"/>
      <c r="X14" s="178"/>
    </row>
    <row r="15" spans="1:24" ht="15.6" x14ac:dyDescent="0.25">
      <c r="A15" s="940" t="s">
        <v>128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2"/>
      <c r="M15" s="77" t="s">
        <v>19</v>
      </c>
      <c r="N15" s="188">
        <v>9.5250000000000004</v>
      </c>
      <c r="O15" s="189"/>
      <c r="P15" s="190"/>
      <c r="Q15" s="191"/>
      <c r="W15" s="178"/>
      <c r="X15" s="178"/>
    </row>
    <row r="16" spans="1:24" x14ac:dyDescent="0.25">
      <c r="A16" s="947" t="s">
        <v>131</v>
      </c>
      <c r="B16" s="948"/>
      <c r="C16" s="948"/>
      <c r="D16" s="948"/>
      <c r="E16" s="948"/>
      <c r="F16" s="948"/>
      <c r="G16" s="948"/>
      <c r="H16" s="948"/>
      <c r="I16" s="948"/>
      <c r="J16" s="948"/>
      <c r="K16" s="949"/>
      <c r="L16" s="18"/>
      <c r="M16" s="77" t="s">
        <v>20</v>
      </c>
      <c r="N16" s="188">
        <v>4.76</v>
      </c>
      <c r="O16" s="192"/>
      <c r="P16" s="190"/>
      <c r="Q16" s="193"/>
      <c r="W16" s="178"/>
      <c r="X16" s="178"/>
    </row>
    <row r="17" spans="1:24" ht="6.75" customHeight="1" x14ac:dyDescent="0.25">
      <c r="A17" s="194"/>
      <c r="B17" s="195"/>
      <c r="C17" s="195"/>
      <c r="D17" s="195"/>
      <c r="E17" s="195"/>
      <c r="F17" s="195"/>
      <c r="G17" s="195"/>
      <c r="H17" s="195"/>
      <c r="I17" s="196"/>
      <c r="J17" s="197"/>
      <c r="K17" s="198"/>
      <c r="M17" s="77">
        <v>8</v>
      </c>
      <c r="N17" s="188">
        <v>2.36</v>
      </c>
      <c r="O17" s="192"/>
      <c r="P17" s="190"/>
      <c r="Q17" s="193"/>
      <c r="W17" s="178"/>
      <c r="X17" s="178"/>
    </row>
    <row r="18" spans="1:24" ht="15.75" customHeight="1" x14ac:dyDescent="0.25">
      <c r="A18" s="937" t="s">
        <v>5</v>
      </c>
      <c r="B18" s="938"/>
      <c r="C18" s="938"/>
      <c r="D18" s="938"/>
      <c r="E18" s="938"/>
      <c r="F18" s="938"/>
      <c r="G18" s="938"/>
      <c r="H18" s="938"/>
      <c r="I18" s="938"/>
      <c r="J18" s="291"/>
      <c r="K18" s="292"/>
      <c r="M18" s="77">
        <v>16</v>
      </c>
      <c r="N18" s="188">
        <v>1.19</v>
      </c>
      <c r="O18" s="192"/>
      <c r="P18" s="190"/>
      <c r="Q18" s="193"/>
      <c r="W18" s="178"/>
      <c r="X18" s="178"/>
    </row>
    <row r="19" spans="1:24" ht="15.75" customHeight="1" x14ac:dyDescent="0.25">
      <c r="A19" s="286" t="s">
        <v>137</v>
      </c>
      <c r="C19" s="18" t="s">
        <v>114</v>
      </c>
      <c r="D19" s="200"/>
      <c r="E19" s="18"/>
      <c r="F19" s="18"/>
      <c r="J19" s="291" t="s">
        <v>124</v>
      </c>
      <c r="K19" s="292">
        <v>83</v>
      </c>
      <c r="M19" s="77">
        <v>30</v>
      </c>
      <c r="N19" s="188">
        <v>0.6</v>
      </c>
      <c r="O19" s="192"/>
      <c r="P19" s="190"/>
      <c r="Q19" s="193"/>
      <c r="W19" s="178"/>
      <c r="X19" s="178"/>
    </row>
    <row r="20" spans="1:24" ht="15.75" customHeight="1" x14ac:dyDescent="0.25">
      <c r="A20" s="286" t="s">
        <v>138</v>
      </c>
      <c r="C20" s="18" t="s">
        <v>6</v>
      </c>
      <c r="D20" s="200"/>
      <c r="E20" s="18"/>
      <c r="F20" s="18"/>
      <c r="J20" s="291" t="s">
        <v>125</v>
      </c>
      <c r="K20" s="293">
        <v>43831</v>
      </c>
      <c r="M20" s="77">
        <v>50</v>
      </c>
      <c r="N20" s="188">
        <v>0.3</v>
      </c>
      <c r="O20" s="192"/>
      <c r="P20" s="190"/>
      <c r="Q20" s="193"/>
      <c r="V20" s="201"/>
      <c r="W20" s="201"/>
      <c r="X20" s="178"/>
    </row>
    <row r="21" spans="1:24" ht="15.75" customHeight="1" x14ac:dyDescent="0.25">
      <c r="A21" s="286" t="s">
        <v>139</v>
      </c>
      <c r="C21" s="18" t="s">
        <v>117</v>
      </c>
      <c r="D21" s="200"/>
      <c r="E21" s="18"/>
      <c r="F21" s="18"/>
      <c r="J21" s="291" t="s">
        <v>126</v>
      </c>
      <c r="K21" s="293">
        <v>43844</v>
      </c>
      <c r="M21" s="77">
        <v>100</v>
      </c>
      <c r="N21" s="188">
        <v>0.14899999999999999</v>
      </c>
      <c r="O21" s="192"/>
      <c r="P21" s="190"/>
      <c r="Q21" s="193"/>
      <c r="V21" s="178"/>
      <c r="W21" s="178"/>
      <c r="X21" s="178"/>
    </row>
    <row r="22" spans="1:24" ht="14.25" customHeight="1" x14ac:dyDescent="0.25">
      <c r="A22" s="288" t="s">
        <v>140</v>
      </c>
      <c r="B22" s="202"/>
      <c r="C22" s="290" t="s">
        <v>136</v>
      </c>
      <c r="D22" s="202"/>
      <c r="E22" s="202"/>
      <c r="F22" s="202"/>
      <c r="G22" s="202"/>
      <c r="H22" s="202"/>
      <c r="I22" s="202"/>
      <c r="J22" s="202"/>
      <c r="K22" s="203"/>
      <c r="V22" s="178"/>
      <c r="W22" s="178"/>
      <c r="X22" s="178"/>
    </row>
    <row r="23" spans="1:24" ht="4.5" customHeight="1" x14ac:dyDescent="0.25">
      <c r="A23" s="204"/>
      <c r="B23" s="205"/>
      <c r="C23" s="205"/>
      <c r="D23" s="205"/>
      <c r="E23" s="205"/>
      <c r="F23" s="205"/>
      <c r="G23" s="205"/>
      <c r="H23" s="205"/>
      <c r="I23" s="205"/>
      <c r="J23" s="206"/>
      <c r="K23" s="207"/>
      <c r="V23" s="201"/>
      <c r="W23" s="201"/>
      <c r="X23" s="178"/>
    </row>
    <row r="24" spans="1:24" ht="10.5" customHeight="1" x14ac:dyDescent="0.25">
      <c r="A24" s="20"/>
      <c r="B24" s="4"/>
      <c r="C24" s="4"/>
      <c r="D24" s="18"/>
      <c r="E24" s="18"/>
      <c r="F24" s="18"/>
      <c r="G24" s="18"/>
      <c r="H24" s="18"/>
      <c r="I24" s="18"/>
      <c r="J24" s="18"/>
      <c r="K24" s="144"/>
      <c r="M24" s="920" t="s">
        <v>71</v>
      </c>
      <c r="N24" s="921"/>
      <c r="O24" s="294"/>
      <c r="P24" s="950">
        <v>762</v>
      </c>
      <c r="Q24" s="951"/>
      <c r="R24" s="202"/>
      <c r="S24" s="202"/>
      <c r="V24" s="201"/>
      <c r="W24" s="208"/>
      <c r="X24" s="178"/>
    </row>
    <row r="25" spans="1:24" ht="15.75" customHeight="1" x14ac:dyDescent="0.25">
      <c r="A25" s="20"/>
      <c r="B25" s="920" t="s">
        <v>9</v>
      </c>
      <c r="C25" s="921"/>
      <c r="D25" s="843" t="s">
        <v>45</v>
      </c>
      <c r="E25" s="843" t="s">
        <v>41</v>
      </c>
      <c r="F25" s="843" t="s">
        <v>42</v>
      </c>
      <c r="G25" s="843" t="s">
        <v>43</v>
      </c>
      <c r="H25" s="209"/>
      <c r="I25" s="925" t="s">
        <v>36</v>
      </c>
      <c r="J25" s="926"/>
      <c r="K25" s="144"/>
      <c r="M25" s="210" t="s">
        <v>9</v>
      </c>
      <c r="N25" s="211"/>
      <c r="O25" s="931" t="s">
        <v>100</v>
      </c>
      <c r="P25" s="212" t="s">
        <v>26</v>
      </c>
      <c r="Q25" s="212" t="s">
        <v>27</v>
      </c>
      <c r="R25" s="212" t="s">
        <v>27</v>
      </c>
      <c r="S25" s="212" t="s">
        <v>10</v>
      </c>
      <c r="V25" s="178"/>
      <c r="W25" s="178"/>
      <c r="X25" s="178"/>
    </row>
    <row r="26" spans="1:24" ht="15.75" customHeight="1" x14ac:dyDescent="0.25">
      <c r="A26" s="20"/>
      <c r="B26" s="187" t="s">
        <v>11</v>
      </c>
      <c r="C26" s="187" t="s">
        <v>12</v>
      </c>
      <c r="D26" s="844"/>
      <c r="E26" s="844"/>
      <c r="F26" s="844"/>
      <c r="G26" s="844"/>
      <c r="H26" s="209"/>
      <c r="I26" s="928">
        <f>+P24</f>
        <v>762</v>
      </c>
      <c r="J26" s="929"/>
      <c r="K26" s="144"/>
      <c r="M26" s="213" t="s">
        <v>11</v>
      </c>
      <c r="N26" s="187" t="s">
        <v>12</v>
      </c>
      <c r="O26" s="931"/>
      <c r="P26" s="187" t="s">
        <v>28</v>
      </c>
      <c r="Q26" s="187" t="s">
        <v>29</v>
      </c>
      <c r="R26" s="187" t="s">
        <v>30</v>
      </c>
      <c r="S26" s="187" t="s">
        <v>13</v>
      </c>
      <c r="V26" s="178"/>
      <c r="W26" s="178"/>
      <c r="X26" s="178"/>
    </row>
    <row r="27" spans="1:24" ht="15.75" customHeight="1" x14ac:dyDescent="0.25">
      <c r="A27" s="20"/>
      <c r="B27" s="77" t="s">
        <v>19</v>
      </c>
      <c r="C27" s="188">
        <v>9.5250000000000004</v>
      </c>
      <c r="D27" s="214" t="e">
        <f>SUM(O27:O34)</f>
        <v>#REF!</v>
      </c>
      <c r="E27" s="303" t="e">
        <f t="shared" ref="E27:E35" si="0">D27/$I$26*100</f>
        <v>#REF!</v>
      </c>
      <c r="F27" s="304" t="e">
        <f>E27</f>
        <v>#REF!</v>
      </c>
      <c r="G27" s="305" t="e">
        <f>100-F27</f>
        <v>#REF!</v>
      </c>
      <c r="H27" s="218"/>
      <c r="I27" s="219"/>
      <c r="J27" s="170"/>
      <c r="K27" s="144"/>
      <c r="M27" s="220" t="s">
        <v>14</v>
      </c>
      <c r="N27" s="77">
        <v>76.2</v>
      </c>
      <c r="O27" s="295" t="e">
        <f>P27-(Y53*P27)</f>
        <v>#REF!</v>
      </c>
      <c r="P27" s="69" t="e">
        <f>+#REF!</f>
        <v>#REF!</v>
      </c>
      <c r="Q27" s="215" t="e">
        <f>O27/$I$26*100</f>
        <v>#REF!</v>
      </c>
      <c r="R27" s="216" t="e">
        <f>Q27</f>
        <v>#REF!</v>
      </c>
      <c r="S27" s="221" t="e">
        <f>100-R27</f>
        <v>#REF!</v>
      </c>
      <c r="V27" s="222"/>
      <c r="W27" s="223"/>
      <c r="X27" s="178"/>
    </row>
    <row r="28" spans="1:24" ht="15.75" customHeight="1" x14ac:dyDescent="0.25">
      <c r="A28" s="20"/>
      <c r="B28" s="77" t="s">
        <v>20</v>
      </c>
      <c r="C28" s="188">
        <v>4.76</v>
      </c>
      <c r="D28" s="214">
        <f>SUM(O35:O36)</f>
        <v>9.3000000000000007</v>
      </c>
      <c r="E28" s="303">
        <f t="shared" si="0"/>
        <v>1.2204724409448819</v>
      </c>
      <c r="F28" s="304" t="e">
        <f>F27+E28</f>
        <v>#REF!</v>
      </c>
      <c r="G28" s="305" t="e">
        <f t="shared" ref="G28:G34" si="1">100-F28</f>
        <v>#REF!</v>
      </c>
      <c r="H28" s="218"/>
      <c r="I28" s="961" t="s">
        <v>37</v>
      </c>
      <c r="J28" s="962"/>
      <c r="K28" s="144"/>
      <c r="M28" s="220" t="s">
        <v>31</v>
      </c>
      <c r="N28" s="77">
        <v>63.5</v>
      </c>
      <c r="O28" s="295" t="e">
        <f>P28-(Y54*P28)</f>
        <v>#REF!</v>
      </c>
      <c r="P28" s="69" t="e">
        <f>+#REF!</f>
        <v>#REF!</v>
      </c>
      <c r="Q28" s="215" t="e">
        <f t="shared" ref="Q28:Q45" si="2">O28/$I$26*100</f>
        <v>#REF!</v>
      </c>
      <c r="R28" s="216" t="e">
        <f>R27+Q28</f>
        <v>#REF!</v>
      </c>
      <c r="S28" s="221" t="e">
        <f t="shared" ref="S28:S44" si="3">100-R28</f>
        <v>#REF!</v>
      </c>
      <c r="W28" s="178"/>
      <c r="X28" s="181"/>
    </row>
    <row r="29" spans="1:24" ht="15.75" customHeight="1" x14ac:dyDescent="0.25">
      <c r="A29" s="20"/>
      <c r="B29" s="77">
        <v>8</v>
      </c>
      <c r="C29" s="188">
        <v>2.36</v>
      </c>
      <c r="D29" s="214">
        <f>+O37</f>
        <v>70.400000000000006</v>
      </c>
      <c r="E29" s="303">
        <f t="shared" si="0"/>
        <v>9.2388451443569561</v>
      </c>
      <c r="F29" s="304" t="e">
        <f t="shared" ref="F29:F35" si="4">F28+E29</f>
        <v>#REF!</v>
      </c>
      <c r="G29" s="305" t="e">
        <f t="shared" si="1"/>
        <v>#REF!</v>
      </c>
      <c r="H29" s="218"/>
      <c r="I29" s="963" t="e">
        <f>(R30+R32+R34+R36+R37+R39+R40+R42+R43)/100</f>
        <v>#REF!</v>
      </c>
      <c r="J29" s="964"/>
      <c r="K29" s="144"/>
      <c r="M29" s="220" t="s">
        <v>15</v>
      </c>
      <c r="N29" s="77">
        <v>50.6</v>
      </c>
      <c r="O29" s="295" t="e">
        <f>P29-(Y55*P29)</f>
        <v>#REF!</v>
      </c>
      <c r="P29" s="69" t="e">
        <f>+#REF!</f>
        <v>#REF!</v>
      </c>
      <c r="Q29" s="215" t="e">
        <f t="shared" si="2"/>
        <v>#REF!</v>
      </c>
      <c r="R29" s="216" t="e">
        <f t="shared" ref="R29:R45" si="5">R28+Q29</f>
        <v>#REF!</v>
      </c>
      <c r="S29" s="221" t="e">
        <f t="shared" si="3"/>
        <v>#REF!</v>
      </c>
      <c r="V29" s="178"/>
      <c r="W29" s="178"/>
      <c r="X29" s="181"/>
    </row>
    <row r="30" spans="1:24" ht="15.75" customHeight="1" x14ac:dyDescent="0.25">
      <c r="A30" s="20"/>
      <c r="B30" s="77">
        <v>16</v>
      </c>
      <c r="C30" s="188">
        <v>1.19</v>
      </c>
      <c r="D30" s="214">
        <f>SUM(O38:O39)</f>
        <v>165.1</v>
      </c>
      <c r="E30" s="303">
        <f t="shared" si="0"/>
        <v>21.666666666666664</v>
      </c>
      <c r="F30" s="304" t="e">
        <f t="shared" si="4"/>
        <v>#REF!</v>
      </c>
      <c r="G30" s="305" t="e">
        <f t="shared" si="1"/>
        <v>#REF!</v>
      </c>
      <c r="H30" s="218"/>
      <c r="I30" s="219"/>
      <c r="J30" s="224"/>
      <c r="K30" s="144"/>
      <c r="L30" s="19"/>
      <c r="M30" s="220" t="s">
        <v>16</v>
      </c>
      <c r="N30" s="77">
        <v>38.1</v>
      </c>
      <c r="O30" s="295" t="e">
        <f>P30-(Y56*P30)</f>
        <v>#REF!</v>
      </c>
      <c r="P30" s="69" t="e">
        <f>+#REF!</f>
        <v>#REF!</v>
      </c>
      <c r="Q30" s="215" t="e">
        <f t="shared" si="2"/>
        <v>#REF!</v>
      </c>
      <c r="R30" s="216" t="e">
        <f t="shared" si="5"/>
        <v>#REF!</v>
      </c>
      <c r="S30" s="221" t="e">
        <f t="shared" si="3"/>
        <v>#REF!</v>
      </c>
      <c r="V30" s="178"/>
      <c r="W30" s="225"/>
      <c r="X30" s="178"/>
    </row>
    <row r="31" spans="1:24" ht="15.75" customHeight="1" x14ac:dyDescent="0.25">
      <c r="A31" s="20"/>
      <c r="B31" s="77">
        <v>30</v>
      </c>
      <c r="C31" s="188">
        <v>0.6</v>
      </c>
      <c r="D31" s="214">
        <f>+O40</f>
        <v>197.8</v>
      </c>
      <c r="E31" s="303">
        <f t="shared" si="0"/>
        <v>25.958005249343834</v>
      </c>
      <c r="F31" s="304" t="e">
        <f t="shared" si="4"/>
        <v>#REF!</v>
      </c>
      <c r="G31" s="305" t="e">
        <f t="shared" si="1"/>
        <v>#REF!</v>
      </c>
      <c r="H31" s="218"/>
      <c r="I31" s="936"/>
      <c r="J31" s="936"/>
      <c r="K31" s="144"/>
      <c r="L31" s="19"/>
      <c r="M31" s="220" t="s">
        <v>17</v>
      </c>
      <c r="N31" s="77">
        <v>25.4</v>
      </c>
      <c r="O31" s="295">
        <f t="shared" ref="O31:O45" si="6">P31-(Y58*P31)</f>
        <v>0</v>
      </c>
      <c r="P31" s="69">
        <v>0</v>
      </c>
      <c r="Q31" s="215">
        <f t="shared" si="2"/>
        <v>0</v>
      </c>
      <c r="R31" s="216" t="e">
        <f t="shared" si="5"/>
        <v>#REF!</v>
      </c>
      <c r="S31" s="221" t="e">
        <f t="shared" si="3"/>
        <v>#REF!</v>
      </c>
      <c r="V31" s="178"/>
      <c r="W31" s="181"/>
      <c r="X31" s="178"/>
    </row>
    <row r="32" spans="1:24" ht="15.75" customHeight="1" x14ac:dyDescent="0.25">
      <c r="A32" s="20"/>
      <c r="B32" s="77">
        <v>50</v>
      </c>
      <c r="C32" s="188">
        <v>0.3</v>
      </c>
      <c r="D32" s="214">
        <f>SUM(O41:O42)</f>
        <v>154.9</v>
      </c>
      <c r="E32" s="303">
        <f t="shared" si="0"/>
        <v>20.328083989501312</v>
      </c>
      <c r="F32" s="304" t="e">
        <f t="shared" si="4"/>
        <v>#REF!</v>
      </c>
      <c r="G32" s="305" t="e">
        <f t="shared" si="1"/>
        <v>#REF!</v>
      </c>
      <c r="H32" s="218"/>
      <c r="I32" s="936"/>
      <c r="J32" s="936"/>
      <c r="K32" s="144"/>
      <c r="L32" s="19"/>
      <c r="M32" s="220" t="s">
        <v>18</v>
      </c>
      <c r="N32" s="77">
        <v>19.05</v>
      </c>
      <c r="O32" s="295">
        <f t="shared" si="6"/>
        <v>0</v>
      </c>
      <c r="P32" s="69">
        <v>0</v>
      </c>
      <c r="Q32" s="215">
        <f t="shared" si="2"/>
        <v>0</v>
      </c>
      <c r="R32" s="216" t="e">
        <f t="shared" si="5"/>
        <v>#REF!</v>
      </c>
      <c r="S32" s="221" t="e">
        <f t="shared" si="3"/>
        <v>#REF!</v>
      </c>
      <c r="V32" s="178"/>
      <c r="W32" s="181"/>
      <c r="X32" s="182"/>
    </row>
    <row r="33" spans="1:24" ht="15.75" customHeight="1" x14ac:dyDescent="0.25">
      <c r="A33" s="20"/>
      <c r="B33" s="77">
        <v>100</v>
      </c>
      <c r="C33" s="188">
        <v>0.14899999999999999</v>
      </c>
      <c r="D33" s="214">
        <f>+O43</f>
        <v>86.2</v>
      </c>
      <c r="E33" s="303">
        <f t="shared" si="0"/>
        <v>11.312335958005249</v>
      </c>
      <c r="F33" s="304" t="e">
        <f t="shared" si="4"/>
        <v>#REF!</v>
      </c>
      <c r="G33" s="305" t="e">
        <f t="shared" si="1"/>
        <v>#REF!</v>
      </c>
      <c r="H33" s="218"/>
      <c r="I33" s="958"/>
      <c r="J33" s="958"/>
      <c r="K33" s="144"/>
      <c r="L33" s="19"/>
      <c r="M33" s="220" t="s">
        <v>32</v>
      </c>
      <c r="N33" s="77">
        <v>12.7</v>
      </c>
      <c r="O33" s="295">
        <f t="shared" si="6"/>
        <v>0</v>
      </c>
      <c r="P33" s="69">
        <v>0</v>
      </c>
      <c r="Q33" s="215">
        <f t="shared" si="2"/>
        <v>0</v>
      </c>
      <c r="R33" s="216" t="e">
        <f t="shared" si="5"/>
        <v>#REF!</v>
      </c>
      <c r="S33" s="221" t="e">
        <f t="shared" si="3"/>
        <v>#REF!</v>
      </c>
      <c r="V33" s="178"/>
      <c r="W33" s="181"/>
      <c r="X33" s="178"/>
    </row>
    <row r="34" spans="1:24" ht="15.75" customHeight="1" x14ac:dyDescent="0.25">
      <c r="A34" s="20"/>
      <c r="B34" s="77">
        <v>200</v>
      </c>
      <c r="C34" s="188">
        <v>7.3999999999999996E-2</v>
      </c>
      <c r="D34" s="214">
        <f>+O44</f>
        <v>28.6</v>
      </c>
      <c r="E34" s="303">
        <f t="shared" si="0"/>
        <v>3.7532808398950133</v>
      </c>
      <c r="F34" s="304" t="e">
        <f t="shared" si="4"/>
        <v>#REF!</v>
      </c>
      <c r="G34" s="217" t="e">
        <f t="shared" si="1"/>
        <v>#REF!</v>
      </c>
      <c r="H34" s="218"/>
      <c r="I34" s="219"/>
      <c r="J34" s="170"/>
      <c r="K34" s="144"/>
      <c r="L34" s="19"/>
      <c r="M34" s="220" t="s">
        <v>19</v>
      </c>
      <c r="N34" s="77">
        <v>9.5250000000000004</v>
      </c>
      <c r="O34" s="295">
        <f t="shared" si="6"/>
        <v>0</v>
      </c>
      <c r="P34" s="69">
        <v>0</v>
      </c>
      <c r="Q34" s="215">
        <f t="shared" si="2"/>
        <v>0</v>
      </c>
      <c r="R34" s="216" t="e">
        <f t="shared" si="5"/>
        <v>#REF!</v>
      </c>
      <c r="S34" s="221" t="e">
        <f t="shared" si="3"/>
        <v>#REF!</v>
      </c>
      <c r="V34" s="178"/>
      <c r="W34" s="181"/>
      <c r="X34" s="182"/>
    </row>
    <row r="35" spans="1:24" ht="15.75" customHeight="1" x14ac:dyDescent="0.25">
      <c r="A35" s="20"/>
      <c r="B35" s="77" t="s">
        <v>44</v>
      </c>
      <c r="C35" s="188"/>
      <c r="D35" s="215" t="e">
        <f>I26-SUM(D27:D34)</f>
        <v>#REF!</v>
      </c>
      <c r="E35" s="215" t="e">
        <f t="shared" si="0"/>
        <v>#REF!</v>
      </c>
      <c r="F35" s="216" t="e">
        <f t="shared" si="4"/>
        <v>#REF!</v>
      </c>
      <c r="G35" s="217"/>
      <c r="H35" s="218"/>
      <c r="I35" s="219"/>
      <c r="J35" s="170"/>
      <c r="K35" s="144"/>
      <c r="L35" s="19"/>
      <c r="M35" s="220" t="s">
        <v>33</v>
      </c>
      <c r="N35" s="77">
        <v>6.35</v>
      </c>
      <c r="O35" s="295">
        <f t="shared" si="6"/>
        <v>0</v>
      </c>
      <c r="P35" s="69">
        <v>0</v>
      </c>
      <c r="Q35" s="215">
        <f t="shared" si="2"/>
        <v>0</v>
      </c>
      <c r="R35" s="216" t="e">
        <f t="shared" si="5"/>
        <v>#REF!</v>
      </c>
      <c r="S35" s="221" t="e">
        <f t="shared" si="3"/>
        <v>#REF!</v>
      </c>
      <c r="V35" s="178"/>
      <c r="W35" s="181"/>
      <c r="X35" s="178"/>
    </row>
    <row r="36" spans="1:24" ht="10.5" customHeight="1" x14ac:dyDescent="0.25">
      <c r="A36" s="20"/>
      <c r="B36" s="18"/>
      <c r="C36" s="18"/>
      <c r="D36" s="18"/>
      <c r="E36" s="18"/>
      <c r="F36" s="18"/>
      <c r="G36" s="18"/>
      <c r="H36" s="18"/>
      <c r="I36" s="226"/>
      <c r="J36" s="4"/>
      <c r="K36" s="144"/>
      <c r="L36" s="19"/>
      <c r="M36" s="220" t="s">
        <v>20</v>
      </c>
      <c r="N36" s="77">
        <v>4.76</v>
      </c>
      <c r="O36" s="295">
        <f t="shared" si="6"/>
        <v>9.3000000000000007</v>
      </c>
      <c r="P36" s="69">
        <v>9.3000000000000007</v>
      </c>
      <c r="Q36" s="215">
        <f t="shared" si="2"/>
        <v>1.2204724409448819</v>
      </c>
      <c r="R36" s="216" t="e">
        <f t="shared" si="5"/>
        <v>#REF!</v>
      </c>
      <c r="S36" s="221" t="e">
        <f t="shared" si="3"/>
        <v>#REF!</v>
      </c>
      <c r="V36" s="178"/>
      <c r="W36" s="227"/>
      <c r="X36" s="178"/>
    </row>
    <row r="37" spans="1:24" ht="15.75" customHeight="1" x14ac:dyDescent="0.25">
      <c r="A37" s="21"/>
      <c r="B37" s="22"/>
      <c r="C37" s="22"/>
      <c r="D37" s="22"/>
      <c r="E37" s="22"/>
      <c r="F37" s="22"/>
      <c r="G37" s="22"/>
      <c r="H37" s="22"/>
      <c r="I37" s="205"/>
      <c r="J37" s="206"/>
      <c r="K37" s="228"/>
      <c r="L37" s="19"/>
      <c r="M37" s="220">
        <v>8</v>
      </c>
      <c r="N37" s="77">
        <v>2.36</v>
      </c>
      <c r="O37" s="295">
        <f t="shared" si="6"/>
        <v>70.400000000000006</v>
      </c>
      <c r="P37" s="69">
        <v>70.400000000000006</v>
      </c>
      <c r="Q37" s="215">
        <f t="shared" si="2"/>
        <v>9.2388451443569561</v>
      </c>
      <c r="R37" s="216" t="e">
        <f t="shared" si="5"/>
        <v>#REF!</v>
      </c>
      <c r="S37" s="221" t="e">
        <f t="shared" si="3"/>
        <v>#REF!</v>
      </c>
      <c r="T37" s="18"/>
      <c r="U37" s="178"/>
      <c r="V37" s="178"/>
      <c r="W37" s="227"/>
      <c r="X37" s="178"/>
    </row>
    <row r="38" spans="1:24" ht="15.75" customHeight="1" x14ac:dyDescent="0.25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20">
        <v>10</v>
      </c>
      <c r="N38" s="77">
        <v>2</v>
      </c>
      <c r="O38" s="295">
        <f t="shared" si="6"/>
        <v>30.5</v>
      </c>
      <c r="P38" s="69">
        <v>30.5</v>
      </c>
      <c r="Q38" s="215">
        <f t="shared" si="2"/>
        <v>4.0026246719160108</v>
      </c>
      <c r="R38" s="216" t="e">
        <f t="shared" si="5"/>
        <v>#REF!</v>
      </c>
      <c r="S38" s="221" t="e">
        <f t="shared" si="3"/>
        <v>#REF!</v>
      </c>
      <c r="T38" s="18"/>
      <c r="U38" s="178"/>
      <c r="V38" s="178"/>
      <c r="W38" s="227"/>
      <c r="X38" s="178"/>
    </row>
    <row r="39" spans="1:24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20">
        <v>16</v>
      </c>
      <c r="N39" s="77">
        <v>1.19</v>
      </c>
      <c r="O39" s="295">
        <f t="shared" si="6"/>
        <v>134.6</v>
      </c>
      <c r="P39" s="69">
        <v>134.6</v>
      </c>
      <c r="Q39" s="215">
        <f t="shared" si="2"/>
        <v>17.664041994750658</v>
      </c>
      <c r="R39" s="216" t="e">
        <f t="shared" si="5"/>
        <v>#REF!</v>
      </c>
      <c r="S39" s="221" t="e">
        <f t="shared" si="3"/>
        <v>#REF!</v>
      </c>
      <c r="T39" s="18"/>
      <c r="U39" s="178"/>
      <c r="V39" s="178"/>
      <c r="W39" s="227"/>
      <c r="X39" s="178"/>
    </row>
    <row r="40" spans="1:24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20">
        <v>30</v>
      </c>
      <c r="N40" s="77">
        <v>0.6</v>
      </c>
      <c r="O40" s="295">
        <f t="shared" si="6"/>
        <v>197.8</v>
      </c>
      <c r="P40" s="69">
        <v>197.8</v>
      </c>
      <c r="Q40" s="215">
        <f t="shared" si="2"/>
        <v>25.958005249343834</v>
      </c>
      <c r="R40" s="216" t="e">
        <f t="shared" si="5"/>
        <v>#REF!</v>
      </c>
      <c r="S40" s="221" t="e">
        <f t="shared" si="3"/>
        <v>#REF!</v>
      </c>
      <c r="T40" s="18"/>
      <c r="U40" s="178"/>
      <c r="V40" s="178"/>
      <c r="W40" s="227"/>
      <c r="X40" s="178"/>
    </row>
    <row r="41" spans="1:24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20">
        <v>40</v>
      </c>
      <c r="N41" s="77">
        <v>0.42</v>
      </c>
      <c r="O41" s="295">
        <f t="shared" si="6"/>
        <v>92.7</v>
      </c>
      <c r="P41" s="69">
        <v>92.7</v>
      </c>
      <c r="Q41" s="215">
        <f t="shared" si="2"/>
        <v>12.165354330708663</v>
      </c>
      <c r="R41" s="216" t="e">
        <f t="shared" si="5"/>
        <v>#REF!</v>
      </c>
      <c r="S41" s="221" t="e">
        <f t="shared" si="3"/>
        <v>#REF!</v>
      </c>
      <c r="T41" s="18"/>
      <c r="U41" s="178"/>
      <c r="V41" s="178"/>
      <c r="W41" s="227"/>
      <c r="X41" s="178"/>
    </row>
    <row r="42" spans="1:24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20">
        <v>50</v>
      </c>
      <c r="N42" s="77">
        <v>0.3</v>
      </c>
      <c r="O42" s="295">
        <f t="shared" si="6"/>
        <v>62.2</v>
      </c>
      <c r="P42" s="69">
        <v>62.2</v>
      </c>
      <c r="Q42" s="215">
        <f t="shared" si="2"/>
        <v>8.1627296587926512</v>
      </c>
      <c r="R42" s="216" t="e">
        <f t="shared" si="5"/>
        <v>#REF!</v>
      </c>
      <c r="S42" s="221" t="e">
        <f t="shared" si="3"/>
        <v>#REF!</v>
      </c>
      <c r="T42" s="18"/>
      <c r="U42" s="178"/>
      <c r="V42" s="178"/>
      <c r="W42" s="227"/>
      <c r="X42" s="178"/>
    </row>
    <row r="43" spans="1:24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20">
        <v>100</v>
      </c>
      <c r="N43" s="77">
        <v>0.14899999999999999</v>
      </c>
      <c r="O43" s="295">
        <f t="shared" si="6"/>
        <v>86.2</v>
      </c>
      <c r="P43" s="69">
        <v>86.2</v>
      </c>
      <c r="Q43" s="215">
        <f t="shared" si="2"/>
        <v>11.312335958005249</v>
      </c>
      <c r="R43" s="216" t="e">
        <f t="shared" si="5"/>
        <v>#REF!</v>
      </c>
      <c r="S43" s="221" t="e">
        <f t="shared" si="3"/>
        <v>#REF!</v>
      </c>
      <c r="T43" s="18"/>
      <c r="U43" s="178"/>
      <c r="V43" s="178"/>
      <c r="W43" s="178"/>
      <c r="X43" s="178"/>
    </row>
    <row r="44" spans="1:24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220">
        <v>200</v>
      </c>
      <c r="N44" s="77">
        <v>7.3999999999999996E-2</v>
      </c>
      <c r="O44" s="295">
        <f t="shared" si="6"/>
        <v>28.6</v>
      </c>
      <c r="P44" s="69">
        <v>28.6</v>
      </c>
      <c r="Q44" s="215">
        <f t="shared" si="2"/>
        <v>3.7532808398950133</v>
      </c>
      <c r="R44" s="216" t="e">
        <f t="shared" si="5"/>
        <v>#REF!</v>
      </c>
      <c r="S44" s="221" t="e">
        <f t="shared" si="3"/>
        <v>#REF!</v>
      </c>
      <c r="T44" s="18"/>
      <c r="U44" s="178"/>
      <c r="V44" s="178"/>
      <c r="W44" s="178"/>
      <c r="X44" s="178"/>
    </row>
    <row r="45" spans="1:24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229" t="s">
        <v>34</v>
      </c>
      <c r="N45" s="230">
        <v>0.01</v>
      </c>
      <c r="O45" s="295" t="e">
        <f t="shared" si="6"/>
        <v>#REF!</v>
      </c>
      <c r="P45" s="215" t="e">
        <f>I26-SUM(P27:P44)</f>
        <v>#REF!</v>
      </c>
      <c r="Q45" s="215" t="e">
        <f t="shared" si="2"/>
        <v>#REF!</v>
      </c>
      <c r="R45" s="216" t="e">
        <f t="shared" si="5"/>
        <v>#REF!</v>
      </c>
      <c r="S45" s="221"/>
      <c r="T45" s="18"/>
      <c r="U45" s="178"/>
      <c r="V45" s="178"/>
      <c r="W45" s="178"/>
      <c r="X45" s="178"/>
    </row>
    <row r="46" spans="1:24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9"/>
      <c r="N46" s="19"/>
      <c r="O46" s="19"/>
      <c r="P46" s="19"/>
      <c r="Q46" s="18"/>
      <c r="R46" s="231"/>
      <c r="S46" s="232"/>
      <c r="T46" s="18"/>
      <c r="U46" s="178"/>
      <c r="V46" s="178"/>
      <c r="W46" s="178"/>
      <c r="X46" s="178"/>
    </row>
    <row r="47" spans="1:24" ht="15.75" customHeight="1" x14ac:dyDescent="0.25">
      <c r="A47" s="20"/>
      <c r="B47" s="18"/>
      <c r="C47" s="18"/>
      <c r="D47" s="18"/>
      <c r="E47" s="18"/>
      <c r="F47" s="18"/>
      <c r="G47" s="18"/>
      <c r="H47" s="18"/>
      <c r="I47" s="226"/>
      <c r="J47" s="4"/>
      <c r="K47" s="144"/>
      <c r="L47" s="19"/>
      <c r="M47" s="117" t="s">
        <v>129</v>
      </c>
      <c r="N47" s="19"/>
      <c r="O47" s="19"/>
      <c r="P47" s="19"/>
      <c r="Q47" s="18"/>
      <c r="R47" s="231"/>
      <c r="S47" s="232"/>
      <c r="T47" s="18"/>
      <c r="U47" s="178"/>
      <c r="V47" s="178"/>
      <c r="W47" s="178"/>
      <c r="X47" s="178"/>
    </row>
    <row r="48" spans="1:24" ht="15.75" customHeight="1" x14ac:dyDescent="0.25">
      <c r="A48" s="233"/>
      <c r="B48" s="226"/>
      <c r="C48" s="226"/>
      <c r="D48" s="226"/>
      <c r="E48" s="226"/>
      <c r="F48" s="226"/>
      <c r="G48" s="226"/>
      <c r="H48" s="226"/>
      <c r="I48" s="226"/>
      <c r="J48" s="4"/>
      <c r="K48" s="144"/>
      <c r="L48" s="19"/>
      <c r="M48" s="117" t="s">
        <v>130</v>
      </c>
      <c r="N48" s="19"/>
      <c r="O48" s="19"/>
      <c r="P48" s="19"/>
      <c r="Q48" s="4"/>
      <c r="R48" s="4"/>
      <c r="S48" s="4"/>
      <c r="T48" s="4"/>
      <c r="U48" s="178"/>
      <c r="V48" s="178"/>
      <c r="W48" s="178"/>
      <c r="X48" s="178"/>
    </row>
    <row r="49" spans="1:33" ht="15.75" customHeight="1" x14ac:dyDescent="0.25">
      <c r="A49" s="234"/>
      <c r="B49" s="235"/>
      <c r="C49" s="235"/>
      <c r="D49" s="235"/>
      <c r="E49" s="235"/>
      <c r="F49" s="235"/>
      <c r="G49" s="235"/>
      <c r="H49" s="235"/>
      <c r="I49" s="235"/>
      <c r="J49" s="236"/>
      <c r="K49" s="237"/>
      <c r="L49" s="19"/>
      <c r="M49" s="19"/>
      <c r="N49" s="19"/>
      <c r="O49" s="19"/>
      <c r="P49" s="19"/>
      <c r="U49" s="178"/>
      <c r="V49" s="178"/>
      <c r="W49" s="178"/>
      <c r="X49" s="178"/>
    </row>
    <row r="50" spans="1:33" ht="6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178"/>
      <c r="V50" s="178"/>
      <c r="W50" s="178"/>
      <c r="X50" s="178"/>
    </row>
    <row r="51" spans="1:33" ht="12.75" customHeight="1" x14ac:dyDescent="0.25">
      <c r="A51" s="309" t="s">
        <v>142</v>
      </c>
      <c r="B51" s="239"/>
      <c r="C51" s="239"/>
      <c r="D51" s="239"/>
      <c r="E51" s="239"/>
      <c r="F51" s="239"/>
      <c r="G51" s="240"/>
      <c r="H51" s="240"/>
      <c r="I51" s="240"/>
      <c r="K51" s="19"/>
      <c r="L51" s="19"/>
      <c r="M51" s="19"/>
      <c r="N51" s="19"/>
      <c r="O51" s="19"/>
      <c r="P51" s="19"/>
      <c r="U51" s="178"/>
      <c r="V51" s="178"/>
      <c r="W51" s="259" t="s">
        <v>101</v>
      </c>
      <c r="X51" s="260"/>
      <c r="Y51" s="261"/>
      <c r="Z51" s="262"/>
      <c r="AA51" s="263"/>
      <c r="AB51" s="261"/>
      <c r="AC51" s="264"/>
      <c r="AD51" s="264"/>
      <c r="AE51" s="264"/>
      <c r="AF51" s="264"/>
      <c r="AG51" s="265"/>
    </row>
    <row r="52" spans="1:33" ht="12" customHeight="1" x14ac:dyDescent="0.25">
      <c r="A52" s="309" t="s">
        <v>143</v>
      </c>
      <c r="B52" s="239"/>
      <c r="C52" s="239"/>
      <c r="D52" s="239"/>
      <c r="E52" s="239"/>
      <c r="F52" s="239"/>
      <c r="G52" s="240"/>
      <c r="H52" s="240"/>
      <c r="I52" s="240"/>
      <c r="K52" s="19"/>
      <c r="L52" s="19"/>
      <c r="M52" s="19"/>
      <c r="N52" s="19"/>
      <c r="O52" s="19"/>
      <c r="P52" s="19"/>
      <c r="U52" s="178"/>
      <c r="V52" s="178"/>
      <c r="W52" s="266" t="s">
        <v>102</v>
      </c>
      <c r="X52" s="267"/>
      <c r="Y52" s="268" t="s">
        <v>103</v>
      </c>
      <c r="Z52" s="268"/>
      <c r="AA52" s="269"/>
      <c r="AB52" s="268"/>
      <c r="AC52" s="270"/>
      <c r="AD52" s="270"/>
      <c r="AE52" s="270"/>
      <c r="AF52" s="270"/>
      <c r="AG52" s="271"/>
    </row>
    <row r="53" spans="1:33" ht="15.75" customHeight="1" x14ac:dyDescent="0.25">
      <c r="B53" s="239"/>
      <c r="C53" s="239"/>
      <c r="D53" s="239"/>
      <c r="E53" s="239"/>
      <c r="F53" s="239"/>
      <c r="G53" s="240"/>
      <c r="H53" s="240"/>
      <c r="I53" s="240"/>
      <c r="K53" s="19"/>
      <c r="L53" s="19"/>
      <c r="M53" s="19"/>
      <c r="N53" s="19"/>
      <c r="O53" s="19"/>
      <c r="P53" s="19"/>
      <c r="U53" s="178"/>
      <c r="V53" s="178"/>
      <c r="W53" s="272" t="s">
        <v>104</v>
      </c>
      <c r="X53" s="267"/>
      <c r="Y53" s="273">
        <v>5.1699999999999998E-7</v>
      </c>
      <c r="Z53" s="274"/>
      <c r="AA53" s="269"/>
      <c r="AB53" s="268"/>
      <c r="AC53" s="270"/>
      <c r="AD53" s="270"/>
      <c r="AE53" s="270"/>
      <c r="AF53" s="270"/>
      <c r="AG53" s="271"/>
    </row>
    <row r="54" spans="1:33" x14ac:dyDescent="0.25">
      <c r="L54" s="19"/>
      <c r="M54" s="19"/>
      <c r="N54" s="19"/>
      <c r="O54" s="19"/>
      <c r="P54" s="19"/>
      <c r="U54" s="178"/>
      <c r="V54" s="178"/>
      <c r="W54" s="275" t="s">
        <v>105</v>
      </c>
      <c r="X54" s="943">
        <v>44090</v>
      </c>
      <c r="Y54" s="943"/>
      <c r="Z54" s="276"/>
      <c r="AA54" s="277"/>
      <c r="AB54" s="276"/>
      <c r="AC54" s="278"/>
      <c r="AD54" s="278"/>
      <c r="AE54" s="278"/>
      <c r="AF54" s="278"/>
      <c r="AG54" s="279"/>
    </row>
    <row r="55" spans="1:33" ht="15.75" customHeight="1" x14ac:dyDescent="0.25">
      <c r="U55" s="178"/>
      <c r="V55" s="178"/>
      <c r="W55" s="178"/>
      <c r="X55" s="178"/>
    </row>
    <row r="56" spans="1:33" ht="37.5" customHeight="1" x14ac:dyDescent="0.25">
      <c r="U56" s="178"/>
      <c r="V56" s="178"/>
      <c r="W56" s="178"/>
      <c r="X56" s="178"/>
    </row>
    <row r="57" spans="1:33" ht="30.75" customHeight="1" x14ac:dyDescent="0.25">
      <c r="U57" s="178"/>
      <c r="V57" s="178"/>
      <c r="W57" s="178"/>
      <c r="X57" s="178"/>
    </row>
    <row r="58" spans="1:33" ht="24.75" customHeight="1" x14ac:dyDescent="0.25">
      <c r="A58" s="960" t="s">
        <v>120</v>
      </c>
      <c r="B58" s="960"/>
      <c r="C58" s="960"/>
      <c r="D58" s="960"/>
      <c r="E58" s="960"/>
      <c r="F58" s="960"/>
      <c r="G58" s="960"/>
      <c r="H58" s="960"/>
      <c r="I58" s="960"/>
      <c r="J58" s="960"/>
      <c r="K58" s="960"/>
    </row>
    <row r="59" spans="1:33" x14ac:dyDescent="0.25">
      <c r="A59" s="310" t="s">
        <v>141</v>
      </c>
      <c r="B59" s="310"/>
      <c r="C59" s="310"/>
      <c r="D59" s="310"/>
      <c r="E59" s="310"/>
      <c r="F59" s="310"/>
      <c r="G59" s="310"/>
      <c r="H59" s="310"/>
      <c r="I59" s="310"/>
      <c r="J59" s="311"/>
      <c r="K59" s="311"/>
    </row>
    <row r="60" spans="1:33" ht="38.25" customHeight="1" x14ac:dyDescent="0.25">
      <c r="A60" s="960" t="s">
        <v>122</v>
      </c>
      <c r="B60" s="960"/>
      <c r="C60" s="960"/>
      <c r="D60" s="960"/>
      <c r="E60" s="960"/>
      <c r="F60" s="960"/>
      <c r="G60" s="960"/>
      <c r="H60" s="960"/>
      <c r="I60" s="960"/>
      <c r="J60" s="960"/>
      <c r="K60" s="960"/>
    </row>
    <row r="63" spans="1:33" x14ac:dyDescent="0.25">
      <c r="B63" s="5"/>
      <c r="C63" s="5"/>
      <c r="D63" s="5"/>
      <c r="E63" s="5"/>
      <c r="F63" s="5"/>
      <c r="G63" s="5"/>
      <c r="H63" s="313"/>
      <c r="I63" s="312"/>
      <c r="J63" s="312"/>
    </row>
    <row r="76" ht="114.75" customHeight="1" x14ac:dyDescent="0.25"/>
    <row r="91" spans="1:11" x14ac:dyDescent="0.25">
      <c r="A91" s="309" t="s">
        <v>144</v>
      </c>
    </row>
    <row r="92" spans="1:11" x14ac:dyDescent="0.25">
      <c r="A92" s="309" t="s">
        <v>145</v>
      </c>
      <c r="K92" s="312" t="s">
        <v>123</v>
      </c>
    </row>
  </sheetData>
  <protectedRanges>
    <protectedRange sqref="B14 B17" name="Rango3_3_1_1_1_1_1_1_1_1"/>
    <protectedRange sqref="B12:B13" name="Rango3_3_1_1_1_1_1_1_1_1_2"/>
    <protectedRange sqref="B10:B11" name="Rango3_3_1_1_1_1_1_2_1"/>
  </protectedRanges>
  <mergeCells count="25">
    <mergeCell ref="X54:Y54"/>
    <mergeCell ref="O25:O26"/>
    <mergeCell ref="A60:K60"/>
    <mergeCell ref="I28:J28"/>
    <mergeCell ref="I26:J26"/>
    <mergeCell ref="I29:J29"/>
    <mergeCell ref="I25:J25"/>
    <mergeCell ref="A58:K58"/>
    <mergeCell ref="I31:J31"/>
    <mergeCell ref="A7:K7"/>
    <mergeCell ref="I32:J32"/>
    <mergeCell ref="I33:J33"/>
    <mergeCell ref="A16:K16"/>
    <mergeCell ref="A8:K8"/>
    <mergeCell ref="A18:I18"/>
    <mergeCell ref="M24:N24"/>
    <mergeCell ref="P24:Q24"/>
    <mergeCell ref="F25:F26"/>
    <mergeCell ref="M13:N13"/>
    <mergeCell ref="O13:Q14"/>
    <mergeCell ref="G25:G26"/>
    <mergeCell ref="A15:K15"/>
    <mergeCell ref="B25:C25"/>
    <mergeCell ref="D25:D26"/>
    <mergeCell ref="E25:E26"/>
  </mergeCells>
  <printOptions horizontalCentered="1" verticalCentered="1"/>
  <pageMargins left="0" right="0" top="0.39370078740157483" bottom="0" header="0.11811023622047245" footer="0"/>
  <pageSetup paperSize="274" scale="63" fitToWidth="2" fitToHeight="2" orientation="portrait" r:id="rId1"/>
  <headerFooter scaleWithDoc="0">
    <oddHeader>&amp;C&amp;G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1A01-7980-4798-897B-47E25DE845CD}">
  <dimension ref="A1:AA56"/>
  <sheetViews>
    <sheetView showGridLines="0" topLeftCell="A19" zoomScaleNormal="100" zoomScaleSheetLayoutView="100" workbookViewId="0">
      <selection activeCell="P44" sqref="P44"/>
    </sheetView>
  </sheetViews>
  <sheetFormatPr baseColWidth="10" defaultColWidth="10.33203125" defaultRowHeight="13.8" x14ac:dyDescent="0.25"/>
  <cols>
    <col min="1" max="1" width="12.6640625" style="1" customWidth="1"/>
    <col min="2" max="7" width="8.33203125" style="1" customWidth="1"/>
    <col min="8" max="8" width="4.33203125" style="1" customWidth="1"/>
    <col min="9" max="10" width="7.6640625" style="1" customWidth="1"/>
    <col min="11" max="11" width="13.6640625" style="1" customWidth="1"/>
    <col min="12" max="12" width="15.6640625" style="1" customWidth="1"/>
    <col min="13" max="14" width="7.6640625" style="1" customWidth="1"/>
    <col min="15" max="15" width="11.33203125" style="1" customWidth="1"/>
    <col min="16" max="18" width="7.6640625" style="1" customWidth="1"/>
    <col min="19" max="19" width="8.44140625" style="1" customWidth="1"/>
    <col min="20" max="20" width="5.6640625" style="1" customWidth="1"/>
    <col min="21" max="21" width="10.5546875" style="1" customWidth="1"/>
    <col min="22" max="16384" width="10.33203125" style="1"/>
  </cols>
  <sheetData>
    <row r="1" spans="1:27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7" ht="15.75" customHeight="1" x14ac:dyDescent="0.25">
      <c r="A2" s="176"/>
      <c r="B2" s="176"/>
      <c r="C2" s="177"/>
      <c r="D2" s="177"/>
      <c r="E2" s="177"/>
      <c r="F2" s="177"/>
      <c r="G2" s="177"/>
      <c r="H2" s="177"/>
    </row>
    <row r="3" spans="1:27" ht="15.75" customHeight="1" x14ac:dyDescent="0.25">
      <c r="A3" s="176"/>
      <c r="B3" s="176"/>
      <c r="C3" s="177"/>
      <c r="D3" s="177"/>
      <c r="E3" s="177"/>
      <c r="F3" s="177"/>
      <c r="G3" s="177"/>
      <c r="H3" s="177"/>
    </row>
    <row r="4" spans="1:27" ht="15.75" customHeight="1" x14ac:dyDescent="0.25">
      <c r="A4" s="176"/>
      <c r="B4" s="176"/>
      <c r="C4" s="177"/>
      <c r="D4" s="177"/>
      <c r="E4" s="177"/>
      <c r="F4" s="177"/>
      <c r="G4" s="177"/>
      <c r="H4" s="177"/>
    </row>
    <row r="5" spans="1:27" ht="15.75" customHeight="1" x14ac:dyDescent="0.25">
      <c r="A5" s="932" t="s">
        <v>2</v>
      </c>
      <c r="B5" s="932"/>
      <c r="C5" s="932"/>
      <c r="D5" s="932"/>
      <c r="E5" s="932"/>
      <c r="F5" s="932"/>
      <c r="G5" s="932"/>
      <c r="H5" s="932"/>
      <c r="I5" s="932"/>
      <c r="J5" s="932"/>
      <c r="K5" s="932"/>
    </row>
    <row r="6" spans="1:27" ht="15.75" customHeight="1" x14ac:dyDescent="0.25">
      <c r="A6" s="939">
        <f>+K12</f>
        <v>44</v>
      </c>
      <c r="B6" s="939"/>
      <c r="C6" s="939"/>
      <c r="D6" s="939"/>
      <c r="E6" s="939"/>
      <c r="F6" s="939"/>
      <c r="G6" s="939"/>
      <c r="H6" s="939"/>
      <c r="I6" s="939"/>
      <c r="J6" s="939"/>
      <c r="K6" s="939"/>
      <c r="Q6" s="259" t="s">
        <v>101</v>
      </c>
      <c r="R6" s="260"/>
      <c r="S6" s="261"/>
      <c r="T6" s="262"/>
      <c r="U6" s="263"/>
      <c r="V6" s="261"/>
      <c r="W6" s="264"/>
      <c r="X6" s="264"/>
      <c r="Y6" s="264"/>
      <c r="Z6" s="264"/>
      <c r="AA6" s="265"/>
    </row>
    <row r="7" spans="1:27" ht="15.75" customHeight="1" x14ac:dyDescent="0.25">
      <c r="Q7" s="266" t="s">
        <v>102</v>
      </c>
      <c r="R7" s="267"/>
      <c r="S7" s="268" t="s">
        <v>103</v>
      </c>
      <c r="T7" s="268"/>
      <c r="U7" s="269"/>
      <c r="V7" s="268"/>
      <c r="W7" s="270"/>
      <c r="X7" s="270"/>
      <c r="Y7" s="270"/>
      <c r="Z7" s="270"/>
      <c r="AA7" s="271"/>
    </row>
    <row r="8" spans="1:27" ht="15.75" customHeight="1" x14ac:dyDescent="0.25">
      <c r="Q8" s="272" t="s">
        <v>104</v>
      </c>
      <c r="R8" s="267"/>
      <c r="S8" s="273">
        <v>5.1699999999999998E-7</v>
      </c>
      <c r="T8" s="274"/>
      <c r="U8" s="269"/>
      <c r="V8" s="268"/>
      <c r="W8" s="270"/>
      <c r="X8" s="270"/>
      <c r="Y8" s="270"/>
      <c r="Z8" s="270"/>
      <c r="AA8" s="271"/>
    </row>
    <row r="9" spans="1:27" ht="15.75" customHeight="1" x14ac:dyDescent="0.25">
      <c r="A9" s="281" t="s">
        <v>106</v>
      </c>
      <c r="B9" s="18" t="s">
        <v>7</v>
      </c>
      <c r="C9" s="180"/>
      <c r="D9" s="180"/>
      <c r="E9" s="180"/>
      <c r="F9" s="180"/>
      <c r="G9" s="180"/>
      <c r="H9" s="180"/>
      <c r="I9" s="180"/>
      <c r="Q9" s="275" t="s">
        <v>105</v>
      </c>
      <c r="R9" s="943">
        <v>44090</v>
      </c>
      <c r="S9" s="943"/>
      <c r="T9" s="276"/>
      <c r="U9" s="277"/>
      <c r="V9" s="276"/>
      <c r="W9" s="278"/>
      <c r="X9" s="278"/>
      <c r="Y9" s="278"/>
      <c r="Z9" s="278"/>
      <c r="AA9" s="279"/>
    </row>
    <row r="10" spans="1:27" ht="15.75" customHeight="1" x14ac:dyDescent="0.25">
      <c r="A10" s="281" t="s">
        <v>107</v>
      </c>
      <c r="B10" s="18" t="s">
        <v>108</v>
      </c>
      <c r="D10" s="18"/>
      <c r="E10" s="18"/>
      <c r="F10" s="18"/>
      <c r="J10" s="284" t="s">
        <v>39</v>
      </c>
      <c r="K10" s="18" t="s">
        <v>38</v>
      </c>
      <c r="U10" s="3"/>
    </row>
    <row r="11" spans="1:27" ht="15.75" customHeight="1" x14ac:dyDescent="0.25">
      <c r="A11" s="281" t="s">
        <v>109</v>
      </c>
      <c r="B11" s="18" t="s">
        <v>1</v>
      </c>
      <c r="D11" s="18"/>
      <c r="E11" s="18"/>
      <c r="F11" s="18"/>
      <c r="J11" s="285" t="s">
        <v>40</v>
      </c>
      <c r="K11" s="183">
        <v>202</v>
      </c>
      <c r="U11" s="3"/>
    </row>
    <row r="12" spans="1:27" ht="15.75" customHeight="1" x14ac:dyDescent="0.25">
      <c r="A12" s="281" t="s">
        <v>110</v>
      </c>
      <c r="B12" s="18" t="s">
        <v>8</v>
      </c>
      <c r="D12" s="18"/>
      <c r="E12" s="18"/>
      <c r="F12" s="18"/>
      <c r="J12" s="285" t="s">
        <v>112</v>
      </c>
      <c r="K12" s="184">
        <v>44</v>
      </c>
      <c r="U12" s="3"/>
    </row>
    <row r="13" spans="1:27" ht="15.75" customHeight="1" x14ac:dyDescent="0.25">
      <c r="A13" s="282" t="s">
        <v>111</v>
      </c>
      <c r="B13" s="298"/>
      <c r="C13" s="298"/>
      <c r="D13" s="298"/>
      <c r="E13" s="298"/>
      <c r="F13" s="298"/>
      <c r="G13" s="298"/>
      <c r="H13" s="185"/>
      <c r="I13" s="186"/>
      <c r="J13" s="19"/>
      <c r="K13" s="19"/>
      <c r="U13" s="3"/>
    </row>
    <row r="14" spans="1:27" ht="15.75" customHeight="1" x14ac:dyDescent="0.25">
      <c r="A14" s="940" t="s">
        <v>128</v>
      </c>
      <c r="B14" s="941"/>
      <c r="C14" s="941"/>
      <c r="D14" s="941"/>
      <c r="E14" s="941"/>
      <c r="F14" s="941"/>
      <c r="G14" s="941"/>
      <c r="H14" s="941"/>
      <c r="I14" s="941"/>
      <c r="J14" s="941"/>
      <c r="K14" s="942"/>
      <c r="S14" s="5"/>
      <c r="T14" s="5"/>
      <c r="U14" s="70"/>
    </row>
    <row r="15" spans="1:27" ht="15.75" customHeight="1" x14ac:dyDescent="0.25">
      <c r="A15" s="947" t="s">
        <v>131</v>
      </c>
      <c r="B15" s="948"/>
      <c r="C15" s="948"/>
      <c r="D15" s="948"/>
      <c r="E15" s="948"/>
      <c r="F15" s="948"/>
      <c r="G15" s="948"/>
      <c r="H15" s="948"/>
      <c r="I15" s="948"/>
      <c r="J15" s="948"/>
      <c r="K15" s="949"/>
      <c r="S15" s="5"/>
      <c r="T15" s="5"/>
      <c r="U15" s="71"/>
    </row>
    <row r="16" spans="1:27" ht="15.75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S16" s="5"/>
      <c r="T16" s="5"/>
      <c r="U16" s="70"/>
    </row>
    <row r="17" spans="1:27" ht="15.75" customHeight="1" x14ac:dyDescent="0.25">
      <c r="A17" s="937" t="s">
        <v>5</v>
      </c>
      <c r="B17" s="938"/>
      <c r="C17" s="938"/>
      <c r="D17" s="938"/>
      <c r="E17" s="938"/>
      <c r="F17" s="938"/>
      <c r="G17" s="938"/>
      <c r="H17" s="938"/>
      <c r="I17" s="938"/>
      <c r="J17" s="291" t="s">
        <v>124</v>
      </c>
      <c r="K17" s="292">
        <v>83</v>
      </c>
      <c r="S17" s="5"/>
      <c r="T17" s="5"/>
      <c r="U17" s="70"/>
    </row>
    <row r="18" spans="1:27" ht="15.75" customHeight="1" x14ac:dyDescent="0.25">
      <c r="A18" s="286" t="s">
        <v>113</v>
      </c>
      <c r="C18" s="18" t="s">
        <v>114</v>
      </c>
      <c r="D18" s="200"/>
      <c r="E18" s="18"/>
      <c r="F18" s="18"/>
      <c r="J18" s="291" t="s">
        <v>125</v>
      </c>
      <c r="K18" s="293">
        <v>43831</v>
      </c>
      <c r="T18" s="5"/>
      <c r="U18" s="70"/>
    </row>
    <row r="19" spans="1:27" ht="15.75" customHeight="1" x14ac:dyDescent="0.25">
      <c r="A19" s="286" t="s">
        <v>115</v>
      </c>
      <c r="C19" s="18" t="s">
        <v>6</v>
      </c>
      <c r="D19" s="200"/>
      <c r="E19" s="18"/>
      <c r="F19" s="18"/>
      <c r="J19" s="291" t="s">
        <v>126</v>
      </c>
      <c r="K19" s="293">
        <v>43844</v>
      </c>
      <c r="T19" s="5"/>
      <c r="U19" s="5"/>
    </row>
    <row r="20" spans="1:27" ht="15.75" customHeight="1" x14ac:dyDescent="0.25">
      <c r="A20" s="286" t="s">
        <v>116</v>
      </c>
      <c r="C20" s="18" t="s">
        <v>117</v>
      </c>
      <c r="D20" s="200"/>
      <c r="E20" s="18"/>
      <c r="F20" s="18"/>
      <c r="J20" s="291" t="s">
        <v>127</v>
      </c>
      <c r="K20" s="293">
        <v>43845</v>
      </c>
      <c r="S20" s="5"/>
      <c r="T20" s="5"/>
      <c r="U20" s="5"/>
    </row>
    <row r="21" spans="1:27" ht="15.75" customHeight="1" x14ac:dyDescent="0.25">
      <c r="A21" s="288" t="s">
        <v>118</v>
      </c>
      <c r="B21" s="202"/>
      <c r="C21" s="290" t="s">
        <v>119</v>
      </c>
      <c r="D21" s="202"/>
      <c r="E21" s="202"/>
      <c r="F21" s="202"/>
      <c r="G21" s="202"/>
      <c r="H21" s="202"/>
      <c r="I21" s="202"/>
      <c r="J21" s="202"/>
      <c r="K21" s="203"/>
      <c r="U21" s="4"/>
      <c r="V21" s="4"/>
      <c r="W21" s="4"/>
      <c r="X21" s="4"/>
    </row>
    <row r="22" spans="1:27" ht="15.75" customHeight="1" x14ac:dyDescent="0.25">
      <c r="A22" s="20"/>
      <c r="H22" s="242"/>
      <c r="I22" s="242"/>
      <c r="J22" s="18"/>
      <c r="K22" s="243"/>
      <c r="M22" s="965" t="s">
        <v>71</v>
      </c>
      <c r="N22" s="966"/>
      <c r="O22" s="280"/>
      <c r="P22" s="967">
        <f>SUM(O25:O42)</f>
        <v>9543.9950657520003</v>
      </c>
      <c r="Q22" s="951"/>
      <c r="R22" s="77" t="s">
        <v>73</v>
      </c>
      <c r="S22" s="78">
        <f>+Z37</f>
        <v>0.75</v>
      </c>
      <c r="X22" s="2"/>
      <c r="AA22" s="12" t="s">
        <v>65</v>
      </c>
    </row>
    <row r="23" spans="1:27" ht="15.75" customHeight="1" x14ac:dyDescent="0.25">
      <c r="A23" s="20"/>
      <c r="B23" s="973" t="s">
        <v>9</v>
      </c>
      <c r="C23" s="973"/>
      <c r="D23" s="970" t="s">
        <v>45</v>
      </c>
      <c r="E23" s="970" t="s">
        <v>41</v>
      </c>
      <c r="F23" s="970" t="s">
        <v>42</v>
      </c>
      <c r="G23" s="970" t="s">
        <v>43</v>
      </c>
      <c r="H23" s="18"/>
      <c r="I23" s="925" t="s">
        <v>36</v>
      </c>
      <c r="J23" s="926"/>
      <c r="K23" s="144"/>
      <c r="M23" s="67" t="s">
        <v>9</v>
      </c>
      <c r="N23" s="68"/>
      <c r="O23" s="931" t="s">
        <v>100</v>
      </c>
      <c r="P23" s="9" t="s">
        <v>26</v>
      </c>
      <c r="Q23" s="9" t="s">
        <v>27</v>
      </c>
      <c r="R23" s="9" t="s">
        <v>27</v>
      </c>
      <c r="S23" s="9" t="s">
        <v>10</v>
      </c>
      <c r="U23" s="4"/>
      <c r="V23" s="4"/>
      <c r="X23" s="4"/>
      <c r="AA23" s="76">
        <f>+Z38</f>
        <v>0.5</v>
      </c>
    </row>
    <row r="24" spans="1:27" ht="15.75" customHeight="1" x14ac:dyDescent="0.25">
      <c r="A24" s="20"/>
      <c r="B24" s="244" t="s">
        <v>11</v>
      </c>
      <c r="C24" s="244" t="s">
        <v>12</v>
      </c>
      <c r="D24" s="970"/>
      <c r="E24" s="970"/>
      <c r="F24" s="970"/>
      <c r="G24" s="970"/>
      <c r="H24" s="245"/>
      <c r="I24" s="928">
        <f>+P22</f>
        <v>9543.9950657520003</v>
      </c>
      <c r="J24" s="929"/>
      <c r="K24" s="144"/>
      <c r="M24" s="65" t="s">
        <v>11</v>
      </c>
      <c r="N24" s="10" t="s">
        <v>12</v>
      </c>
      <c r="O24" s="931"/>
      <c r="P24" s="10" t="s">
        <v>28</v>
      </c>
      <c r="Q24" s="10" t="s">
        <v>29</v>
      </c>
      <c r="R24" s="10" t="s">
        <v>30</v>
      </c>
      <c r="S24" s="10" t="s">
        <v>13</v>
      </c>
      <c r="U24" s="4"/>
      <c r="V24" s="4"/>
      <c r="W24" s="4"/>
      <c r="X24" s="4"/>
    </row>
    <row r="25" spans="1:27" ht="15.75" customHeight="1" x14ac:dyDescent="0.3">
      <c r="A25" s="20"/>
      <c r="B25" s="77" t="s">
        <v>31</v>
      </c>
      <c r="C25" s="77">
        <v>63.5</v>
      </c>
      <c r="D25" s="214">
        <f>SUM(O25:O26)</f>
        <v>0</v>
      </c>
      <c r="E25" s="303">
        <f>D25/$I$24*100</f>
        <v>0</v>
      </c>
      <c r="F25" s="304">
        <f>E25</f>
        <v>0</v>
      </c>
      <c r="G25" s="304">
        <f>100-F25</f>
        <v>100</v>
      </c>
      <c r="H25" s="245"/>
      <c r="I25" s="246"/>
      <c r="J25" s="246"/>
      <c r="K25" s="144"/>
      <c r="M25" s="74">
        <v>3</v>
      </c>
      <c r="N25" s="7">
        <v>76.2</v>
      </c>
      <c r="O25" s="299">
        <f>P25-($S$8*P25)</f>
        <v>0</v>
      </c>
      <c r="P25" s="69">
        <v>0</v>
      </c>
      <c r="Q25" s="11">
        <f>O25/$I$24*100</f>
        <v>0</v>
      </c>
      <c r="R25" s="66">
        <f>Q25</f>
        <v>0</v>
      </c>
      <c r="S25" s="15">
        <f>100-R25</f>
        <v>100</v>
      </c>
      <c r="U25" s="81" t="str">
        <f t="shared" ref="U25:U33" si="0">IF(AND(S25&lt;100,R25&gt;=5,R25&lt;=15),M25,"")</f>
        <v/>
      </c>
      <c r="V25" s="81"/>
      <c r="W25" s="82" t="str">
        <f>+U25&amp;V25</f>
        <v/>
      </c>
      <c r="X25" s="84">
        <f>IF(R25&gt;=5,1,0)</f>
        <v>0</v>
      </c>
      <c r="Y25" s="84">
        <f>IF(X25=0,1,-0.5)</f>
        <v>1</v>
      </c>
      <c r="Z25" s="84">
        <f>Y25</f>
        <v>1</v>
      </c>
      <c r="AA25" s="75">
        <v>3</v>
      </c>
    </row>
    <row r="26" spans="1:27" ht="15.75" customHeight="1" x14ac:dyDescent="0.3">
      <c r="A26" s="20"/>
      <c r="B26" s="77" t="s">
        <v>15</v>
      </c>
      <c r="C26" s="77">
        <v>50.6</v>
      </c>
      <c r="D26" s="214">
        <f t="shared" ref="D26:D31" si="1">+O27</f>
        <v>0</v>
      </c>
      <c r="E26" s="303">
        <f t="shared" ref="E26:E34" si="2">D26/$I$24*100</f>
        <v>0</v>
      </c>
      <c r="F26" s="304">
        <f>F25+E26</f>
        <v>0</v>
      </c>
      <c r="G26" s="304">
        <f t="shared" ref="G26:G33" si="3">100-F26</f>
        <v>100</v>
      </c>
      <c r="H26" s="245"/>
      <c r="I26" s="961" t="s">
        <v>37</v>
      </c>
      <c r="J26" s="962"/>
      <c r="K26" s="144"/>
      <c r="M26" s="74">
        <v>2.5</v>
      </c>
      <c r="N26" s="7">
        <v>63.5</v>
      </c>
      <c r="O26" s="299">
        <f t="shared" ref="O26:O42" si="4">P26-($S$8*P26)</f>
        <v>0</v>
      </c>
      <c r="P26" s="69">
        <v>0</v>
      </c>
      <c r="Q26" s="11">
        <f t="shared" ref="Q26:Q43" si="5">O26/$I$24*100</f>
        <v>0</v>
      </c>
      <c r="R26" s="66">
        <f>R25+Q26</f>
        <v>0</v>
      </c>
      <c r="S26" s="15">
        <f t="shared" ref="S26:S42" si="6">100-R26</f>
        <v>100</v>
      </c>
      <c r="U26" s="81" t="str">
        <f t="shared" si="0"/>
        <v/>
      </c>
      <c r="V26" s="81"/>
      <c r="W26" s="82" t="str">
        <f>+U26&amp;V26</f>
        <v/>
      </c>
      <c r="X26" s="84">
        <f t="shared" ref="X26:X34" si="7">IF(R26&gt;=5,1,0)</f>
        <v>0</v>
      </c>
      <c r="Y26" s="84">
        <f t="shared" ref="Y26:Y34" si="8">IF(X26=0,1,-0.5)</f>
        <v>1</v>
      </c>
      <c r="Z26" s="84">
        <f>Z25+Y26</f>
        <v>2</v>
      </c>
      <c r="AA26" s="75">
        <v>2.5</v>
      </c>
    </row>
    <row r="27" spans="1:27" ht="15.75" customHeight="1" x14ac:dyDescent="0.3">
      <c r="A27" s="20"/>
      <c r="B27" s="77" t="s">
        <v>16</v>
      </c>
      <c r="C27" s="77">
        <v>38.1</v>
      </c>
      <c r="D27" s="214">
        <f t="shared" si="1"/>
        <v>0</v>
      </c>
      <c r="E27" s="303">
        <f t="shared" si="2"/>
        <v>0</v>
      </c>
      <c r="F27" s="304">
        <f t="shared" ref="F27:F34" si="9">F26+E27</f>
        <v>0</v>
      </c>
      <c r="G27" s="304">
        <f t="shared" si="3"/>
        <v>100</v>
      </c>
      <c r="H27" s="245"/>
      <c r="I27" s="971">
        <f>(R28+R30+R32+R34+R35+R37+R38+R40+R41)/100</f>
        <v>6.8505867560771163</v>
      </c>
      <c r="J27" s="972"/>
      <c r="K27" s="144"/>
      <c r="M27" s="74">
        <v>2</v>
      </c>
      <c r="N27" s="7">
        <v>50.6</v>
      </c>
      <c r="O27" s="299">
        <f t="shared" si="4"/>
        <v>0</v>
      </c>
      <c r="P27" s="69">
        <v>0</v>
      </c>
      <c r="Q27" s="11">
        <f t="shared" si="5"/>
        <v>0</v>
      </c>
      <c r="R27" s="66">
        <f t="shared" ref="R27:R43" si="10">R26+Q27</f>
        <v>0</v>
      </c>
      <c r="S27" s="15">
        <f t="shared" si="6"/>
        <v>100</v>
      </c>
      <c r="U27" s="81" t="str">
        <f t="shared" si="0"/>
        <v/>
      </c>
      <c r="V27" s="81"/>
      <c r="W27" s="82" t="str">
        <f t="shared" ref="W27:W33" si="11">+U27&amp;V27</f>
        <v/>
      </c>
      <c r="X27" s="84">
        <f t="shared" si="7"/>
        <v>0</v>
      </c>
      <c r="Y27" s="84">
        <f t="shared" si="8"/>
        <v>1</v>
      </c>
      <c r="Z27" s="84">
        <f t="shared" ref="Z27:Z34" si="12">Z26+Y27</f>
        <v>3</v>
      </c>
      <c r="AA27" s="75">
        <v>2</v>
      </c>
    </row>
    <row r="28" spans="1:27" ht="15.75" customHeight="1" x14ac:dyDescent="0.3">
      <c r="A28" s="20"/>
      <c r="B28" s="77" t="s">
        <v>17</v>
      </c>
      <c r="C28" s="77">
        <v>25.4</v>
      </c>
      <c r="D28" s="214">
        <f t="shared" si="1"/>
        <v>0</v>
      </c>
      <c r="E28" s="303">
        <f t="shared" si="2"/>
        <v>0</v>
      </c>
      <c r="F28" s="304">
        <f t="shared" si="9"/>
        <v>0</v>
      </c>
      <c r="G28" s="304">
        <f t="shared" si="3"/>
        <v>100</v>
      </c>
      <c r="H28" s="245"/>
      <c r="I28" s="246"/>
      <c r="J28" s="246"/>
      <c r="K28" s="144"/>
      <c r="M28" s="74">
        <v>1.5</v>
      </c>
      <c r="N28" s="7">
        <v>38.1</v>
      </c>
      <c r="O28" s="299">
        <f t="shared" si="4"/>
        <v>0</v>
      </c>
      <c r="P28" s="69">
        <v>0</v>
      </c>
      <c r="Q28" s="11">
        <f t="shared" si="5"/>
        <v>0</v>
      </c>
      <c r="R28" s="66">
        <f t="shared" si="10"/>
        <v>0</v>
      </c>
      <c r="S28" s="15">
        <f t="shared" si="6"/>
        <v>100</v>
      </c>
      <c r="U28" s="81" t="str">
        <f t="shared" si="0"/>
        <v/>
      </c>
      <c r="V28" s="81"/>
      <c r="W28" s="82" t="str">
        <f t="shared" si="11"/>
        <v/>
      </c>
      <c r="X28" s="84">
        <f t="shared" si="7"/>
        <v>0</v>
      </c>
      <c r="Y28" s="84">
        <f t="shared" si="8"/>
        <v>1</v>
      </c>
      <c r="Z28" s="84">
        <f t="shared" si="12"/>
        <v>4</v>
      </c>
      <c r="AA28" s="75">
        <v>1.5</v>
      </c>
    </row>
    <row r="29" spans="1:27" ht="15.75" customHeight="1" x14ac:dyDescent="0.3">
      <c r="A29" s="20"/>
      <c r="B29" s="77" t="s">
        <v>18</v>
      </c>
      <c r="C29" s="77">
        <v>19.05</v>
      </c>
      <c r="D29" s="214">
        <f t="shared" si="1"/>
        <v>97.999949333999993</v>
      </c>
      <c r="E29" s="303">
        <f t="shared" si="2"/>
        <v>1.0268231349538977</v>
      </c>
      <c r="F29" s="304">
        <f t="shared" si="9"/>
        <v>1.0268231349538977</v>
      </c>
      <c r="G29" s="304">
        <f t="shared" si="3"/>
        <v>98.973176865046099</v>
      </c>
      <c r="H29" s="245"/>
      <c r="I29" s="961" t="s">
        <v>65</v>
      </c>
      <c r="J29" s="962"/>
      <c r="K29" s="144"/>
      <c r="L29" s="19"/>
      <c r="M29" s="74">
        <v>1</v>
      </c>
      <c r="N29" s="7">
        <v>25.4</v>
      </c>
      <c r="O29" s="299">
        <f t="shared" si="4"/>
        <v>0</v>
      </c>
      <c r="P29" s="69">
        <v>0</v>
      </c>
      <c r="Q29" s="11">
        <f t="shared" si="5"/>
        <v>0</v>
      </c>
      <c r="R29" s="66">
        <f t="shared" si="10"/>
        <v>0</v>
      </c>
      <c r="S29" s="15">
        <f t="shared" si="6"/>
        <v>100</v>
      </c>
      <c r="U29" s="81" t="str">
        <f t="shared" si="0"/>
        <v/>
      </c>
      <c r="V29" s="81"/>
      <c r="W29" s="82" t="str">
        <f t="shared" si="11"/>
        <v/>
      </c>
      <c r="X29" s="84">
        <f t="shared" si="7"/>
        <v>0</v>
      </c>
      <c r="Y29" s="84">
        <f t="shared" si="8"/>
        <v>1</v>
      </c>
      <c r="Z29" s="84">
        <f t="shared" si="12"/>
        <v>5</v>
      </c>
      <c r="AA29" s="75">
        <v>1</v>
      </c>
    </row>
    <row r="30" spans="1:27" ht="15.75" customHeight="1" x14ac:dyDescent="0.3">
      <c r="A30" s="20"/>
      <c r="B30" s="77" t="s">
        <v>32</v>
      </c>
      <c r="C30" s="77">
        <v>12.7</v>
      </c>
      <c r="D30" s="214">
        <f t="shared" si="1"/>
        <v>5151.9973364159996</v>
      </c>
      <c r="E30" s="303">
        <f t="shared" si="2"/>
        <v>53.981559094719188</v>
      </c>
      <c r="F30" s="304">
        <f t="shared" si="9"/>
        <v>55.008382229673089</v>
      </c>
      <c r="G30" s="304">
        <f t="shared" si="3"/>
        <v>44.991617770326911</v>
      </c>
      <c r="H30" s="245"/>
      <c r="I30" s="968">
        <f>+Z38</f>
        <v>0.5</v>
      </c>
      <c r="J30" s="969"/>
      <c r="K30" s="144"/>
      <c r="L30" s="19"/>
      <c r="M30" s="74">
        <v>0.75</v>
      </c>
      <c r="N30" s="7">
        <v>19.05</v>
      </c>
      <c r="O30" s="299">
        <f t="shared" si="4"/>
        <v>97.999949333999993</v>
      </c>
      <c r="P30" s="69">
        <v>98</v>
      </c>
      <c r="Q30" s="11">
        <f t="shared" si="5"/>
        <v>1.0268231349538977</v>
      </c>
      <c r="R30" s="66">
        <f t="shared" si="10"/>
        <v>1.0268231349538977</v>
      </c>
      <c r="S30" s="15">
        <f>100-R30</f>
        <v>98.973176865046099</v>
      </c>
      <c r="U30" s="81" t="str">
        <f t="shared" si="0"/>
        <v/>
      </c>
      <c r="V30" s="81"/>
      <c r="W30" s="82" t="str">
        <f t="shared" si="11"/>
        <v/>
      </c>
      <c r="X30" s="84">
        <f t="shared" si="7"/>
        <v>0</v>
      </c>
      <c r="Y30" s="84">
        <f t="shared" si="8"/>
        <v>1</v>
      </c>
      <c r="Z30" s="84">
        <f t="shared" si="12"/>
        <v>6</v>
      </c>
      <c r="AA30" s="75">
        <v>0.75</v>
      </c>
    </row>
    <row r="31" spans="1:27" ht="15.75" customHeight="1" x14ac:dyDescent="0.3">
      <c r="A31" s="20"/>
      <c r="B31" s="77" t="s">
        <v>19</v>
      </c>
      <c r="C31" s="77">
        <v>9.5250000000000004</v>
      </c>
      <c r="D31" s="214">
        <f t="shared" si="1"/>
        <v>2789.9985575699998</v>
      </c>
      <c r="E31" s="303">
        <f t="shared" si="2"/>
        <v>29.233025984911983</v>
      </c>
      <c r="F31" s="304">
        <f t="shared" si="9"/>
        <v>84.241408214585078</v>
      </c>
      <c r="G31" s="304">
        <f t="shared" si="3"/>
        <v>15.758591785414922</v>
      </c>
      <c r="H31" s="245"/>
      <c r="I31" s="245"/>
      <c r="J31" s="245"/>
      <c r="K31" s="144"/>
      <c r="L31" s="19"/>
      <c r="M31" s="74">
        <v>0.5</v>
      </c>
      <c r="N31" s="7">
        <v>12.7</v>
      </c>
      <c r="O31" s="299">
        <f t="shared" si="4"/>
        <v>5151.9973364159996</v>
      </c>
      <c r="P31" s="69">
        <v>5152</v>
      </c>
      <c r="Q31" s="11">
        <f t="shared" si="5"/>
        <v>53.981559094719188</v>
      </c>
      <c r="R31" s="66">
        <f t="shared" si="10"/>
        <v>55.008382229673089</v>
      </c>
      <c r="S31" s="15">
        <f t="shared" si="6"/>
        <v>44.991617770326911</v>
      </c>
      <c r="U31" s="81" t="str">
        <f t="shared" si="0"/>
        <v/>
      </c>
      <c r="V31" s="81"/>
      <c r="W31" s="82" t="str">
        <f t="shared" si="11"/>
        <v/>
      </c>
      <c r="X31" s="84">
        <f t="shared" si="7"/>
        <v>1</v>
      </c>
      <c r="Y31" s="84">
        <f t="shared" si="8"/>
        <v>-0.5</v>
      </c>
      <c r="Z31" s="84">
        <f t="shared" si="12"/>
        <v>5.5</v>
      </c>
      <c r="AA31" s="75">
        <v>0.5</v>
      </c>
    </row>
    <row r="32" spans="1:27" ht="15.75" customHeight="1" x14ac:dyDescent="0.3">
      <c r="A32" s="20"/>
      <c r="B32" s="77" t="s">
        <v>47</v>
      </c>
      <c r="C32" s="77">
        <v>4.76</v>
      </c>
      <c r="D32" s="214">
        <f>SUM(O33:O34)</f>
        <v>1483.9992327719999</v>
      </c>
      <c r="E32" s="303">
        <f t="shared" si="2"/>
        <v>15.549036043587595</v>
      </c>
      <c r="F32" s="304">
        <f t="shared" si="9"/>
        <v>99.79044425817267</v>
      </c>
      <c r="G32" s="304">
        <f t="shared" si="3"/>
        <v>0.20955574182733017</v>
      </c>
      <c r="H32" s="245"/>
      <c r="I32" s="936"/>
      <c r="J32" s="936"/>
      <c r="K32" s="144"/>
      <c r="L32" s="19"/>
      <c r="M32" s="74">
        <v>0.375</v>
      </c>
      <c r="N32" s="7">
        <v>9.5250000000000004</v>
      </c>
      <c r="O32" s="299">
        <f t="shared" si="4"/>
        <v>2789.9985575699998</v>
      </c>
      <c r="P32" s="69">
        <v>2790</v>
      </c>
      <c r="Q32" s="11">
        <f t="shared" si="5"/>
        <v>29.233025984911983</v>
      </c>
      <c r="R32" s="66">
        <f t="shared" si="10"/>
        <v>84.241408214585078</v>
      </c>
      <c r="S32" s="15">
        <f t="shared" si="6"/>
        <v>15.758591785414922</v>
      </c>
      <c r="U32" s="81" t="str">
        <f t="shared" si="0"/>
        <v/>
      </c>
      <c r="V32" s="81"/>
      <c r="W32" s="82" t="str">
        <f t="shared" si="11"/>
        <v/>
      </c>
      <c r="X32" s="84">
        <f t="shared" si="7"/>
        <v>1</v>
      </c>
      <c r="Y32" s="84">
        <f t="shared" si="8"/>
        <v>-0.5</v>
      </c>
      <c r="Z32" s="84">
        <f t="shared" si="12"/>
        <v>5</v>
      </c>
      <c r="AA32" s="75">
        <v>0.375</v>
      </c>
    </row>
    <row r="33" spans="1:27" ht="15.75" customHeight="1" x14ac:dyDescent="0.3">
      <c r="A33" s="20"/>
      <c r="B33" s="77" t="s">
        <v>70</v>
      </c>
      <c r="C33" s="77">
        <v>2.36</v>
      </c>
      <c r="D33" s="214">
        <f>+O35</f>
        <v>19.999989660000001</v>
      </c>
      <c r="E33" s="303">
        <f t="shared" si="2"/>
        <v>0.20955574182732606</v>
      </c>
      <c r="F33" s="304">
        <f t="shared" si="9"/>
        <v>100</v>
      </c>
      <c r="G33" s="304">
        <f t="shared" si="3"/>
        <v>0</v>
      </c>
      <c r="H33" s="245"/>
      <c r="I33" s="936"/>
      <c r="J33" s="936"/>
      <c r="K33" s="144"/>
      <c r="L33" s="19"/>
      <c r="M33" s="74">
        <v>0.25</v>
      </c>
      <c r="N33" s="7">
        <v>6.35</v>
      </c>
      <c r="O33" s="299">
        <f t="shared" si="4"/>
        <v>1378.9992870569999</v>
      </c>
      <c r="P33" s="69">
        <v>1379</v>
      </c>
      <c r="Q33" s="11">
        <f t="shared" si="5"/>
        <v>14.448868398994129</v>
      </c>
      <c r="R33" s="66">
        <f t="shared" si="10"/>
        <v>98.690276613579215</v>
      </c>
      <c r="S33" s="15">
        <f t="shared" si="6"/>
        <v>1.3097233864207851</v>
      </c>
      <c r="U33" s="81" t="str">
        <f t="shared" si="0"/>
        <v/>
      </c>
      <c r="V33" s="81"/>
      <c r="W33" s="82" t="str">
        <f t="shared" si="11"/>
        <v/>
      </c>
      <c r="X33" s="84">
        <f t="shared" si="7"/>
        <v>1</v>
      </c>
      <c r="Y33" s="84">
        <f t="shared" si="8"/>
        <v>-0.5</v>
      </c>
      <c r="Z33" s="84">
        <f t="shared" si="12"/>
        <v>4.5</v>
      </c>
      <c r="AA33" s="75">
        <v>0.25</v>
      </c>
    </row>
    <row r="34" spans="1:27" ht="15.75" customHeight="1" x14ac:dyDescent="0.3">
      <c r="A34" s="20"/>
      <c r="B34" s="77" t="s">
        <v>44</v>
      </c>
      <c r="C34" s="188"/>
      <c r="D34" s="214">
        <f>I24-SUM(D25:D33)</f>
        <v>0</v>
      </c>
      <c r="E34" s="303">
        <f t="shared" si="2"/>
        <v>0</v>
      </c>
      <c r="F34" s="304">
        <f t="shared" si="9"/>
        <v>100</v>
      </c>
      <c r="G34" s="303"/>
      <c r="H34" s="245"/>
      <c r="I34" s="958"/>
      <c r="J34" s="958"/>
      <c r="K34" s="144"/>
      <c r="L34" s="19"/>
      <c r="M34" s="23" t="s">
        <v>20</v>
      </c>
      <c r="N34" s="7">
        <v>4.76</v>
      </c>
      <c r="O34" s="299">
        <f t="shared" si="4"/>
        <v>104.999945715</v>
      </c>
      <c r="P34" s="69">
        <v>105</v>
      </c>
      <c r="Q34" s="11">
        <f t="shared" si="5"/>
        <v>1.1001676445934618</v>
      </c>
      <c r="R34" s="66">
        <f t="shared" si="10"/>
        <v>99.79044425817267</v>
      </c>
      <c r="S34" s="15">
        <f t="shared" si="6"/>
        <v>0.20955574182733017</v>
      </c>
      <c r="U34" s="4"/>
      <c r="V34" s="4"/>
      <c r="W34" s="4"/>
      <c r="X34" s="84">
        <f t="shared" si="7"/>
        <v>1</v>
      </c>
      <c r="Y34" s="84">
        <f t="shared" si="8"/>
        <v>-0.5</v>
      </c>
      <c r="Z34" s="84">
        <f t="shared" si="12"/>
        <v>4</v>
      </c>
      <c r="AA34" s="7" t="s">
        <v>20</v>
      </c>
    </row>
    <row r="35" spans="1:27" ht="15.75" customHeight="1" x14ac:dyDescent="0.25">
      <c r="A35" s="20"/>
      <c r="B35" s="18"/>
      <c r="C35" s="18"/>
      <c r="D35" s="18"/>
      <c r="E35" s="18"/>
      <c r="F35" s="18"/>
      <c r="G35" s="18"/>
      <c r="H35" s="18"/>
      <c r="I35" s="226"/>
      <c r="J35" s="4"/>
      <c r="K35" s="144"/>
      <c r="L35" s="19"/>
      <c r="M35" s="23">
        <v>8</v>
      </c>
      <c r="N35" s="7">
        <v>2.36</v>
      </c>
      <c r="O35" s="299">
        <f t="shared" si="4"/>
        <v>19.999989660000001</v>
      </c>
      <c r="P35" s="69">
        <v>20</v>
      </c>
      <c r="Q35" s="11">
        <f t="shared" si="5"/>
        <v>0.20955574182732606</v>
      </c>
      <c r="R35" s="66">
        <f t="shared" si="10"/>
        <v>100</v>
      </c>
      <c r="S35" s="15">
        <f t="shared" si="6"/>
        <v>0</v>
      </c>
      <c r="U35" s="4"/>
      <c r="V35" s="4"/>
      <c r="W35" s="4"/>
    </row>
    <row r="36" spans="1:27" ht="15.75" customHeight="1" x14ac:dyDescent="0.3">
      <c r="A36" s="21"/>
      <c r="B36" s="22"/>
      <c r="C36" s="22"/>
      <c r="D36" s="22"/>
      <c r="E36" s="22"/>
      <c r="F36" s="22"/>
      <c r="G36" s="22"/>
      <c r="H36" s="22"/>
      <c r="I36" s="205"/>
      <c r="J36" s="206"/>
      <c r="K36" s="228"/>
      <c r="L36" s="19"/>
      <c r="M36" s="23">
        <v>10</v>
      </c>
      <c r="N36" s="7">
        <v>2</v>
      </c>
      <c r="O36" s="299">
        <f t="shared" si="4"/>
        <v>0</v>
      </c>
      <c r="P36" s="69">
        <v>0</v>
      </c>
      <c r="Q36" s="11">
        <f t="shared" si="5"/>
        <v>0</v>
      </c>
      <c r="R36" s="66">
        <f t="shared" si="10"/>
        <v>100</v>
      </c>
      <c r="S36" s="15">
        <f t="shared" si="6"/>
        <v>0</v>
      </c>
      <c r="U36" s="4"/>
      <c r="V36" s="4"/>
      <c r="W36" s="4"/>
      <c r="Y36" s="83" t="s">
        <v>72</v>
      </c>
      <c r="Z36" s="85">
        <f>MAX(Z25:Z34)</f>
        <v>6</v>
      </c>
    </row>
    <row r="37" spans="1:27" ht="15.75" customHeight="1" x14ac:dyDescent="0.3">
      <c r="A37" s="20"/>
      <c r="B37" s="18"/>
      <c r="C37" s="18"/>
      <c r="D37" s="18"/>
      <c r="E37" s="18"/>
      <c r="F37" s="18"/>
      <c r="G37" s="18"/>
      <c r="H37" s="18"/>
      <c r="I37" s="226"/>
      <c r="J37" s="4"/>
      <c r="K37" s="144"/>
      <c r="L37" s="19"/>
      <c r="M37" s="23">
        <v>16</v>
      </c>
      <c r="N37" s="7">
        <v>1.19</v>
      </c>
      <c r="O37" s="299">
        <f t="shared" si="4"/>
        <v>0</v>
      </c>
      <c r="P37" s="69">
        <v>0</v>
      </c>
      <c r="Q37" s="11">
        <f t="shared" si="5"/>
        <v>0</v>
      </c>
      <c r="R37" s="66">
        <f t="shared" si="10"/>
        <v>100</v>
      </c>
      <c r="S37" s="15">
        <f t="shared" si="6"/>
        <v>0</v>
      </c>
      <c r="U37" s="4"/>
      <c r="V37" s="4"/>
      <c r="W37" s="4"/>
      <c r="Y37" s="83" t="s">
        <v>73</v>
      </c>
      <c r="Z37" s="85">
        <f>VLOOKUP(Z36,Z25:AA34,2,0)</f>
        <v>0.75</v>
      </c>
    </row>
    <row r="38" spans="1:27" ht="15.75" customHeight="1" x14ac:dyDescent="0.3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3">
        <v>30</v>
      </c>
      <c r="N38" s="7">
        <v>0.6</v>
      </c>
      <c r="O38" s="299">
        <f t="shared" si="4"/>
        <v>0</v>
      </c>
      <c r="P38" s="69">
        <v>0</v>
      </c>
      <c r="Q38" s="11">
        <f t="shared" si="5"/>
        <v>0</v>
      </c>
      <c r="R38" s="66">
        <f t="shared" si="10"/>
        <v>100</v>
      </c>
      <c r="S38" s="15">
        <f t="shared" si="6"/>
        <v>0</v>
      </c>
      <c r="Y38" s="83" t="s">
        <v>65</v>
      </c>
      <c r="Z38" s="85">
        <f>VLOOKUP(1,X25:AA34,4,0)</f>
        <v>0.5</v>
      </c>
    </row>
    <row r="39" spans="1:27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3">
        <v>40</v>
      </c>
      <c r="N39" s="7">
        <v>0.42</v>
      </c>
      <c r="O39" s="299">
        <f t="shared" si="4"/>
        <v>0</v>
      </c>
      <c r="P39" s="69">
        <v>0</v>
      </c>
      <c r="Q39" s="11">
        <f t="shared" si="5"/>
        <v>0</v>
      </c>
      <c r="R39" s="66">
        <f t="shared" si="10"/>
        <v>100</v>
      </c>
      <c r="S39" s="15">
        <f t="shared" si="6"/>
        <v>0</v>
      </c>
      <c r="T39" s="2"/>
      <c r="U39" s="3"/>
    </row>
    <row r="40" spans="1:27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3">
        <v>50</v>
      </c>
      <c r="N40" s="7">
        <v>0.3</v>
      </c>
      <c r="O40" s="299">
        <f t="shared" si="4"/>
        <v>0</v>
      </c>
      <c r="P40" s="69">
        <v>0</v>
      </c>
      <c r="Q40" s="11">
        <f t="shared" si="5"/>
        <v>0</v>
      </c>
      <c r="R40" s="66">
        <f t="shared" si="10"/>
        <v>100</v>
      </c>
      <c r="S40" s="15">
        <f t="shared" si="6"/>
        <v>0</v>
      </c>
      <c r="T40" s="2"/>
      <c r="U40" s="3"/>
    </row>
    <row r="41" spans="1:27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3">
        <v>100</v>
      </c>
      <c r="N41" s="7">
        <v>0.14899999999999999</v>
      </c>
      <c r="O41" s="299">
        <f t="shared" si="4"/>
        <v>0</v>
      </c>
      <c r="P41" s="69">
        <v>0</v>
      </c>
      <c r="Q41" s="11">
        <f t="shared" si="5"/>
        <v>0</v>
      </c>
      <c r="R41" s="66">
        <f t="shared" si="10"/>
        <v>100</v>
      </c>
      <c r="S41" s="15">
        <f t="shared" si="6"/>
        <v>0</v>
      </c>
      <c r="T41" s="2"/>
      <c r="U41" s="3"/>
    </row>
    <row r="42" spans="1:27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3">
        <v>200</v>
      </c>
      <c r="N42" s="7">
        <v>7.3999999999999996E-2</v>
      </c>
      <c r="O42" s="299">
        <f t="shared" si="4"/>
        <v>0</v>
      </c>
      <c r="P42" s="69">
        <v>0</v>
      </c>
      <c r="Q42" s="11">
        <f t="shared" si="5"/>
        <v>0</v>
      </c>
      <c r="R42" s="66">
        <f t="shared" si="10"/>
        <v>100</v>
      </c>
      <c r="S42" s="15">
        <f t="shared" si="6"/>
        <v>0</v>
      </c>
      <c r="T42" s="2"/>
      <c r="U42" s="3"/>
    </row>
    <row r="43" spans="1:27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4" t="s">
        <v>34</v>
      </c>
      <c r="N43" s="12">
        <v>0.01</v>
      </c>
      <c r="O43" s="299">
        <f>P43-($S$8*P43)</f>
        <v>-4.9342454486932209E-3</v>
      </c>
      <c r="P43" s="11">
        <f>I24-SUM(P25:P42)</f>
        <v>-4.9342479996994371E-3</v>
      </c>
      <c r="Q43" s="11">
        <f t="shared" si="5"/>
        <v>-5.1699999996850762E-5</v>
      </c>
      <c r="R43" s="66">
        <f t="shared" si="10"/>
        <v>99.9999483</v>
      </c>
      <c r="S43" s="15"/>
      <c r="T43" s="2"/>
      <c r="U43" s="3"/>
    </row>
    <row r="44" spans="1:27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19"/>
      <c r="N44" s="19"/>
      <c r="O44" s="19"/>
      <c r="P44" s="19"/>
      <c r="Q44" s="2"/>
      <c r="R44" s="13"/>
      <c r="S44" s="8"/>
      <c r="T44" s="2"/>
      <c r="U44" s="3"/>
    </row>
    <row r="45" spans="1:27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117" t="s">
        <v>129</v>
      </c>
      <c r="N45" s="117" t="s">
        <v>129</v>
      </c>
      <c r="O45" s="19"/>
      <c r="P45" s="19"/>
      <c r="Q45" s="2"/>
      <c r="R45" s="13"/>
      <c r="S45" s="8"/>
      <c r="T45" s="2"/>
      <c r="U45" s="3"/>
    </row>
    <row r="46" spans="1:27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17" t="s">
        <v>130</v>
      </c>
      <c r="N46" s="117" t="s">
        <v>130</v>
      </c>
      <c r="O46" s="19"/>
      <c r="P46" s="19"/>
      <c r="Q46" s="2"/>
      <c r="R46" s="13"/>
      <c r="S46" s="8"/>
      <c r="T46" s="2"/>
      <c r="U46" s="3"/>
    </row>
    <row r="47" spans="1:27" ht="15.75" customHeight="1" x14ac:dyDescent="0.25">
      <c r="A47" s="233"/>
      <c r="B47" s="226"/>
      <c r="C47" s="226"/>
      <c r="D47" s="226"/>
      <c r="E47" s="226"/>
      <c r="F47" s="226"/>
      <c r="G47" s="226"/>
      <c r="H47" s="226"/>
      <c r="I47" s="226"/>
      <c r="J47" s="4"/>
      <c r="K47" s="144"/>
      <c r="L47" s="19"/>
      <c r="M47" s="19"/>
      <c r="N47" s="19"/>
      <c r="O47" s="19"/>
      <c r="P47" s="19"/>
      <c r="Q47" s="4"/>
      <c r="R47" s="4"/>
      <c r="S47" s="4"/>
      <c r="T47" s="4"/>
      <c r="U47" s="3"/>
    </row>
    <row r="48" spans="1:27" ht="15.75" customHeight="1" x14ac:dyDescent="0.25">
      <c r="A48" s="234"/>
      <c r="B48" s="235"/>
      <c r="C48" s="235"/>
      <c r="D48" s="235"/>
      <c r="E48" s="235"/>
      <c r="F48" s="235"/>
      <c r="G48" s="235"/>
      <c r="H48" s="235"/>
      <c r="I48" s="235"/>
      <c r="J48" s="236"/>
      <c r="K48" s="237"/>
      <c r="L48" s="19"/>
      <c r="M48" s="19"/>
      <c r="N48" s="19"/>
      <c r="O48" s="19"/>
      <c r="P48" s="19"/>
      <c r="U48" s="3"/>
    </row>
    <row r="49" spans="1:21" ht="15.75" customHeight="1" x14ac:dyDescent="0.25">
      <c r="A49" s="238" t="s">
        <v>3</v>
      </c>
      <c r="B49" s="239"/>
      <c r="C49" s="239"/>
      <c r="D49" s="239"/>
      <c r="E49" s="239"/>
      <c r="F49" s="239"/>
      <c r="G49" s="240"/>
      <c r="H49" s="240"/>
      <c r="I49" s="240"/>
      <c r="K49" s="19"/>
      <c r="L49" s="19"/>
      <c r="M49" s="19"/>
      <c r="N49" s="19"/>
      <c r="O49" s="19"/>
      <c r="P49" s="19"/>
      <c r="U49" s="3"/>
    </row>
    <row r="50" spans="1:21" ht="15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3"/>
    </row>
    <row r="51" spans="1:21" ht="15.75" customHeight="1" x14ac:dyDescent="0.25">
      <c r="A51" s="16" t="s">
        <v>4</v>
      </c>
      <c r="B51" s="200"/>
      <c r="C51" s="239"/>
      <c r="D51" s="239"/>
      <c r="E51" s="239"/>
      <c r="F51" s="239"/>
      <c r="G51" s="240"/>
      <c r="H51" s="240"/>
      <c r="I51" s="240"/>
      <c r="U51" s="3"/>
    </row>
    <row r="52" spans="1:21" ht="15.75" customHeight="1" x14ac:dyDescent="0.25">
      <c r="A52" s="16" t="s">
        <v>99</v>
      </c>
      <c r="B52" s="239"/>
      <c r="C52" s="239"/>
      <c r="D52" s="239"/>
      <c r="E52" s="239"/>
      <c r="F52" s="239"/>
      <c r="G52" s="240"/>
      <c r="H52" s="240"/>
      <c r="I52" s="240"/>
      <c r="U52" s="3"/>
    </row>
    <row r="53" spans="1:21" ht="15.75" customHeight="1" x14ac:dyDescent="0.25">
      <c r="A53" s="296" t="s">
        <v>120</v>
      </c>
      <c r="B53" s="297"/>
      <c r="C53" s="297"/>
      <c r="D53" s="297"/>
      <c r="E53" s="297"/>
      <c r="F53" s="297"/>
      <c r="G53" s="297"/>
    </row>
    <row r="54" spans="1:21" x14ac:dyDescent="0.25">
      <c r="A54" s="296" t="s">
        <v>121</v>
      </c>
      <c r="B54" s="296"/>
      <c r="C54" s="296"/>
      <c r="D54" s="296"/>
      <c r="E54" s="296"/>
      <c r="F54" s="296"/>
      <c r="G54" s="296"/>
      <c r="H54" s="296"/>
      <c r="I54" s="296"/>
      <c r="J54" s="297"/>
      <c r="K54" s="297"/>
    </row>
    <row r="55" spans="1:21" ht="30" customHeight="1" x14ac:dyDescent="0.25">
      <c r="A55" s="930" t="s">
        <v>122</v>
      </c>
      <c r="B55" s="930"/>
      <c r="C55" s="930"/>
      <c r="D55" s="930"/>
      <c r="E55" s="930"/>
      <c r="F55" s="930"/>
      <c r="G55" s="930"/>
      <c r="H55" s="930"/>
      <c r="I55" s="930"/>
      <c r="J55" s="930"/>
      <c r="K55" s="930"/>
    </row>
    <row r="56" spans="1:21" x14ac:dyDescent="0.25">
      <c r="H56" s="919" t="s">
        <v>123</v>
      </c>
      <c r="I56" s="919"/>
      <c r="J56" s="919"/>
      <c r="K56" s="919"/>
    </row>
  </sheetData>
  <protectedRanges>
    <protectedRange sqref="B16" name="Rango3_3_1_1_1_1_1_1_1_1"/>
    <protectedRange sqref="B13" name="Rango3_3_1_1_1_1_1_1_1_1_2"/>
    <protectedRange sqref="B11:B12" name="Rango3_3_1_1_1_1_1_1_1_1_2_1"/>
    <protectedRange sqref="B9:B10" name="Rango3_3_1_1_1_1_1_2_1"/>
  </protectedRanges>
  <mergeCells count="25">
    <mergeCell ref="B23:C23"/>
    <mergeCell ref="D23:D24"/>
    <mergeCell ref="E23:E24"/>
    <mergeCell ref="A5:K5"/>
    <mergeCell ref="A6:K6"/>
    <mergeCell ref="A14:K14"/>
    <mergeCell ref="A15:K15"/>
    <mergeCell ref="I23:J23"/>
    <mergeCell ref="G23:G24"/>
    <mergeCell ref="A55:K55"/>
    <mergeCell ref="H56:K56"/>
    <mergeCell ref="O23:O24"/>
    <mergeCell ref="R9:S9"/>
    <mergeCell ref="M22:N22"/>
    <mergeCell ref="P22:Q22"/>
    <mergeCell ref="I30:J30"/>
    <mergeCell ref="A17:I17"/>
    <mergeCell ref="I29:J29"/>
    <mergeCell ref="F23:F24"/>
    <mergeCell ref="I33:J33"/>
    <mergeCell ref="I32:J32"/>
    <mergeCell ref="I34:J34"/>
    <mergeCell ref="I26:J26"/>
    <mergeCell ref="I24:J24"/>
    <mergeCell ref="I27:J27"/>
  </mergeCells>
  <printOptions horizontalCentered="1"/>
  <pageMargins left="0" right="0" top="0.59055118110236227" bottom="0" header="0.11811023622047245" footer="0"/>
  <pageSetup paperSize="274" scale="94" orientation="portrait" r:id="rId1"/>
  <headerFooter scaleWithDoc="0">
    <oddHeader>&amp;C&amp;G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A275-BCFD-46E8-B683-5F629FC3BD9F}">
  <dimension ref="B3:BC35"/>
  <sheetViews>
    <sheetView showGridLines="0" zoomScaleNormal="100" zoomScaleSheetLayoutView="100" workbookViewId="0">
      <selection activeCell="D22" sqref="D22"/>
    </sheetView>
  </sheetViews>
  <sheetFormatPr baseColWidth="10" defaultColWidth="10.33203125" defaultRowHeight="11.4" x14ac:dyDescent="0.2"/>
  <cols>
    <col min="1" max="1" width="10.33203125" style="5"/>
    <col min="2" max="3" width="8.6640625" style="5" customWidth="1"/>
    <col min="4" max="6" width="5.6640625" style="5" customWidth="1"/>
    <col min="7" max="8" width="8.6640625" style="5" customWidth="1"/>
    <col min="9" max="9" width="12.6640625" style="5" customWidth="1"/>
    <col min="10" max="18" width="4.6640625" style="5" hidden="1" customWidth="1"/>
    <col min="19" max="21" width="4.6640625" style="5" customWidth="1"/>
    <col min="22" max="24" width="4.6640625" style="5" hidden="1" customWidth="1"/>
    <col min="25" max="27" width="4.6640625" style="5" customWidth="1"/>
    <col min="28" max="33" width="4.6640625" style="5" hidden="1" customWidth="1"/>
    <col min="34" max="36" width="4.6640625" style="5" customWidth="1"/>
    <col min="37" max="39" width="4.6640625" style="5" hidden="1" customWidth="1"/>
    <col min="40" max="45" width="4.6640625" style="5" customWidth="1"/>
    <col min="46" max="48" width="4.6640625" style="5" hidden="1" customWidth="1"/>
    <col min="49" max="53" width="4.6640625" style="5" customWidth="1"/>
    <col min="54" max="54" width="10.33203125" style="5" customWidth="1"/>
    <col min="55" max="16384" width="10.33203125" style="5"/>
  </cols>
  <sheetData>
    <row r="3" spans="2:55" ht="15.75" customHeight="1" x14ac:dyDescent="0.2">
      <c r="C3" s="25"/>
      <c r="D3" s="25"/>
      <c r="E3" s="25"/>
      <c r="F3" s="25"/>
      <c r="R3" s="26"/>
      <c r="S3" s="27"/>
      <c r="T3" s="25"/>
    </row>
    <row r="4" spans="2:55" ht="15.75" customHeight="1" x14ac:dyDescent="0.2">
      <c r="C4" s="14"/>
      <c r="D4" s="28"/>
      <c r="E4" s="28"/>
      <c r="F4" s="28"/>
      <c r="R4" s="26"/>
      <c r="S4" s="29"/>
      <c r="T4" s="25"/>
    </row>
    <row r="5" spans="2:55" ht="15.75" customHeight="1" x14ac:dyDescent="0.2">
      <c r="B5" s="995" t="s">
        <v>67</v>
      </c>
      <c r="C5" s="996"/>
      <c r="D5" s="996"/>
      <c r="E5" s="996"/>
      <c r="F5" s="997"/>
      <c r="H5" s="995" t="s">
        <v>67</v>
      </c>
      <c r="I5" s="996"/>
      <c r="J5" s="996"/>
      <c r="K5" s="996"/>
      <c r="L5" s="996"/>
      <c r="M5" s="996"/>
      <c r="N5" s="996"/>
      <c r="O5" s="996"/>
      <c r="P5" s="996"/>
      <c r="Q5" s="996"/>
      <c r="R5" s="996"/>
      <c r="S5" s="996"/>
      <c r="T5" s="996"/>
      <c r="U5" s="996"/>
      <c r="V5" s="996"/>
      <c r="W5" s="996"/>
      <c r="X5" s="996"/>
      <c r="Y5" s="996"/>
      <c r="Z5" s="996"/>
      <c r="AA5" s="996"/>
      <c r="AB5" s="996"/>
      <c r="AC5" s="996"/>
      <c r="AD5" s="996"/>
      <c r="AE5" s="996"/>
      <c r="AF5" s="996"/>
      <c r="AG5" s="996"/>
      <c r="AH5" s="996"/>
      <c r="AI5" s="996"/>
      <c r="AJ5" s="996"/>
      <c r="AK5" s="996"/>
      <c r="AL5" s="996"/>
      <c r="AM5" s="996"/>
      <c r="AN5" s="996"/>
      <c r="AO5" s="996"/>
      <c r="AP5" s="996"/>
      <c r="AQ5" s="996"/>
      <c r="AR5" s="996"/>
      <c r="AS5" s="997"/>
    </row>
    <row r="6" spans="2:55" ht="15.75" customHeight="1" x14ac:dyDescent="0.2">
      <c r="B6" s="995" t="s">
        <v>66</v>
      </c>
      <c r="C6" s="996"/>
      <c r="D6" s="996"/>
      <c r="E6" s="996"/>
      <c r="F6" s="997"/>
      <c r="H6" s="995" t="s">
        <v>68</v>
      </c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6"/>
      <c r="AJ6" s="996"/>
      <c r="AK6" s="996"/>
      <c r="AL6" s="996"/>
      <c r="AM6" s="996"/>
      <c r="AN6" s="996"/>
      <c r="AO6" s="996"/>
      <c r="AP6" s="996"/>
      <c r="AQ6" s="996"/>
      <c r="AR6" s="996"/>
      <c r="AS6" s="997"/>
    </row>
    <row r="7" spans="2:55" ht="15.75" customHeight="1" x14ac:dyDescent="0.25">
      <c r="B7" s="975" t="s">
        <v>9</v>
      </c>
      <c r="C7" s="976"/>
      <c r="D7" s="979" t="s">
        <v>46</v>
      </c>
      <c r="E7" s="980"/>
      <c r="F7" s="981"/>
      <c r="H7" s="991" t="s">
        <v>65</v>
      </c>
      <c r="I7" s="992"/>
      <c r="J7" s="30"/>
      <c r="K7" s="30"/>
      <c r="L7" s="30"/>
      <c r="M7" s="30"/>
      <c r="N7" s="30"/>
      <c r="O7" s="30"/>
      <c r="P7" s="30"/>
      <c r="Q7" s="30"/>
      <c r="R7" s="14"/>
      <c r="S7" s="1004">
        <v>2</v>
      </c>
      <c r="T7" s="1005"/>
      <c r="U7" s="1006"/>
      <c r="V7" s="998"/>
      <c r="W7" s="999"/>
      <c r="X7" s="1000"/>
      <c r="Y7" s="1004">
        <v>1.5</v>
      </c>
      <c r="Z7" s="1005"/>
      <c r="AA7" s="1006"/>
      <c r="AB7" s="998"/>
      <c r="AC7" s="999"/>
      <c r="AD7" s="1000"/>
      <c r="AE7" s="998"/>
      <c r="AF7" s="999"/>
      <c r="AG7" s="1000"/>
      <c r="AH7" s="1004">
        <v>1</v>
      </c>
      <c r="AI7" s="1005"/>
      <c r="AJ7" s="1006"/>
      <c r="AK7" s="998"/>
      <c r="AL7" s="999"/>
      <c r="AM7" s="1000"/>
      <c r="AN7" s="1004">
        <v>0.75</v>
      </c>
      <c r="AO7" s="1005"/>
      <c r="AP7" s="1006"/>
      <c r="AQ7" s="1004">
        <v>0.5</v>
      </c>
      <c r="AR7" s="1005"/>
      <c r="AS7" s="1006"/>
    </row>
    <row r="8" spans="2:55" ht="15.75" customHeight="1" x14ac:dyDescent="0.25">
      <c r="B8" s="977"/>
      <c r="C8" s="978"/>
      <c r="D8" s="982"/>
      <c r="E8" s="983"/>
      <c r="F8" s="984"/>
      <c r="H8" s="993" t="s">
        <v>64</v>
      </c>
      <c r="I8" s="994"/>
      <c r="J8" s="988">
        <v>1</v>
      </c>
      <c r="K8" s="989"/>
      <c r="L8" s="990"/>
      <c r="M8" s="988">
        <v>2</v>
      </c>
      <c r="N8" s="989"/>
      <c r="O8" s="990"/>
      <c r="P8" s="988">
        <v>3</v>
      </c>
      <c r="Q8" s="989"/>
      <c r="R8" s="990"/>
      <c r="S8" s="988">
        <v>357</v>
      </c>
      <c r="T8" s="989"/>
      <c r="U8" s="990"/>
      <c r="V8" s="988">
        <v>4</v>
      </c>
      <c r="W8" s="989"/>
      <c r="X8" s="990"/>
      <c r="Y8" s="988">
        <v>467</v>
      </c>
      <c r="Z8" s="989"/>
      <c r="AA8" s="990"/>
      <c r="AB8" s="988">
        <v>5</v>
      </c>
      <c r="AC8" s="989"/>
      <c r="AD8" s="990"/>
      <c r="AE8" s="988">
        <v>56</v>
      </c>
      <c r="AF8" s="989"/>
      <c r="AG8" s="990"/>
      <c r="AH8" s="988">
        <v>57</v>
      </c>
      <c r="AI8" s="989"/>
      <c r="AJ8" s="990"/>
      <c r="AK8" s="988">
        <v>6</v>
      </c>
      <c r="AL8" s="989"/>
      <c r="AM8" s="990"/>
      <c r="AN8" s="988">
        <v>67</v>
      </c>
      <c r="AO8" s="989"/>
      <c r="AP8" s="990"/>
      <c r="AQ8" s="988">
        <v>7</v>
      </c>
      <c r="AR8" s="989"/>
      <c r="AS8" s="990"/>
      <c r="AT8" s="988">
        <v>8</v>
      </c>
      <c r="AU8" s="989"/>
      <c r="AV8" s="990"/>
    </row>
    <row r="9" spans="2:55" ht="15.75" customHeight="1" x14ac:dyDescent="0.25">
      <c r="B9" s="31" t="s">
        <v>11</v>
      </c>
      <c r="C9" s="31" t="s">
        <v>12</v>
      </c>
      <c r="D9" s="985"/>
      <c r="E9" s="986"/>
      <c r="F9" s="987"/>
      <c r="H9" s="32" t="s">
        <v>11</v>
      </c>
      <c r="I9" s="32" t="s">
        <v>12</v>
      </c>
      <c r="J9" s="988" t="s">
        <v>51</v>
      </c>
      <c r="K9" s="989"/>
      <c r="L9" s="990"/>
      <c r="M9" s="988" t="s">
        <v>52</v>
      </c>
      <c r="N9" s="989"/>
      <c r="O9" s="990"/>
      <c r="P9" s="988" t="s">
        <v>53</v>
      </c>
      <c r="Q9" s="989"/>
      <c r="R9" s="990"/>
      <c r="S9" s="988" t="s">
        <v>54</v>
      </c>
      <c r="T9" s="989"/>
      <c r="U9" s="990"/>
      <c r="V9" s="988" t="s">
        <v>55</v>
      </c>
      <c r="W9" s="989"/>
      <c r="X9" s="990"/>
      <c r="Y9" s="988" t="s">
        <v>56</v>
      </c>
      <c r="Z9" s="989"/>
      <c r="AA9" s="990"/>
      <c r="AB9" s="988" t="s">
        <v>57</v>
      </c>
      <c r="AC9" s="989"/>
      <c r="AD9" s="990"/>
      <c r="AE9" s="988" t="s">
        <v>58</v>
      </c>
      <c r="AF9" s="989"/>
      <c r="AG9" s="990"/>
      <c r="AH9" s="988" t="s">
        <v>59</v>
      </c>
      <c r="AI9" s="989"/>
      <c r="AJ9" s="990"/>
      <c r="AK9" s="988" t="s">
        <v>60</v>
      </c>
      <c r="AL9" s="989"/>
      <c r="AM9" s="990"/>
      <c r="AN9" s="988" t="s">
        <v>61</v>
      </c>
      <c r="AO9" s="989"/>
      <c r="AP9" s="990"/>
      <c r="AQ9" s="988" t="s">
        <v>62</v>
      </c>
      <c r="AR9" s="989"/>
      <c r="AS9" s="990"/>
      <c r="AT9" s="988" t="s">
        <v>63</v>
      </c>
      <c r="AU9" s="989"/>
      <c r="AV9" s="990"/>
    </row>
    <row r="10" spans="2:55" ht="15.75" customHeight="1" x14ac:dyDescent="0.2">
      <c r="B10" s="33" t="s">
        <v>19</v>
      </c>
      <c r="C10" s="34">
        <v>9.5250000000000004</v>
      </c>
      <c r="D10" s="35"/>
      <c r="E10" s="36">
        <v>100</v>
      </c>
      <c r="F10" s="37"/>
      <c r="H10" s="63">
        <v>4</v>
      </c>
      <c r="I10" s="64">
        <f t="shared" ref="I10:I19" si="0">H10*2.54*10</f>
        <v>101.6</v>
      </c>
      <c r="J10" s="39"/>
      <c r="K10" s="40">
        <v>100</v>
      </c>
      <c r="L10" s="41"/>
      <c r="M10" s="39"/>
      <c r="N10" s="40"/>
      <c r="O10" s="41"/>
      <c r="P10" s="39"/>
      <c r="Q10" s="40"/>
      <c r="R10" s="41"/>
      <c r="S10" s="42"/>
      <c r="T10" s="43"/>
      <c r="U10" s="44"/>
      <c r="V10" s="39"/>
      <c r="W10" s="40"/>
      <c r="X10" s="41"/>
      <c r="Y10" s="42"/>
      <c r="Z10" s="43"/>
      <c r="AA10" s="44"/>
      <c r="AB10" s="39"/>
      <c r="AC10" s="40"/>
      <c r="AD10" s="41"/>
      <c r="AE10" s="39"/>
      <c r="AF10" s="40"/>
      <c r="AG10" s="41"/>
      <c r="AH10" s="42"/>
      <c r="AI10" s="43"/>
      <c r="AJ10" s="44"/>
      <c r="AK10" s="39"/>
      <c r="AL10" s="40"/>
      <c r="AM10" s="41"/>
      <c r="AN10" s="42"/>
      <c r="AO10" s="43"/>
      <c r="AP10" s="44"/>
      <c r="AQ10" s="42"/>
      <c r="AR10" s="43"/>
      <c r="AS10" s="44"/>
      <c r="AT10" s="39"/>
      <c r="AU10" s="40"/>
      <c r="AV10" s="41"/>
    </row>
    <row r="11" spans="2:55" ht="15.75" customHeight="1" x14ac:dyDescent="0.2">
      <c r="B11" s="33" t="s">
        <v>20</v>
      </c>
      <c r="C11" s="34">
        <v>4.76</v>
      </c>
      <c r="D11" s="45">
        <v>95</v>
      </c>
      <c r="E11" s="36"/>
      <c r="F11" s="46">
        <v>100</v>
      </c>
      <c r="H11" s="63">
        <v>3.5</v>
      </c>
      <c r="I11" s="64">
        <f t="shared" si="0"/>
        <v>88.9</v>
      </c>
      <c r="J11" s="39">
        <v>90</v>
      </c>
      <c r="K11" s="40"/>
      <c r="L11" s="41">
        <v>100</v>
      </c>
      <c r="M11" s="39"/>
      <c r="N11" s="40"/>
      <c r="O11" s="41"/>
      <c r="P11" s="39"/>
      <c r="Q11" s="40"/>
      <c r="R11" s="41"/>
      <c r="S11" s="42"/>
      <c r="T11" s="43"/>
      <c r="U11" s="44"/>
      <c r="V11" s="39"/>
      <c r="W11" s="40"/>
      <c r="X11" s="41"/>
      <c r="Y11" s="42"/>
      <c r="Z11" s="43"/>
      <c r="AA11" s="44"/>
      <c r="AB11" s="39"/>
      <c r="AC11" s="40"/>
      <c r="AD11" s="41"/>
      <c r="AE11" s="39"/>
      <c r="AF11" s="40"/>
      <c r="AG11" s="41"/>
      <c r="AH11" s="42"/>
      <c r="AI11" s="43"/>
      <c r="AJ11" s="44"/>
      <c r="AK11" s="39"/>
      <c r="AL11" s="40"/>
      <c r="AM11" s="41"/>
      <c r="AN11" s="42"/>
      <c r="AO11" s="43"/>
      <c r="AP11" s="44"/>
      <c r="AQ11" s="42"/>
      <c r="AR11" s="43"/>
      <c r="AS11" s="44"/>
      <c r="AT11" s="39"/>
      <c r="AU11" s="40"/>
      <c r="AV11" s="41"/>
      <c r="BB11" s="59">
        <v>3</v>
      </c>
      <c r="BC11" s="62">
        <f>BB11*2.54*10</f>
        <v>76.2</v>
      </c>
    </row>
    <row r="12" spans="2:55" ht="15.75" customHeight="1" x14ac:dyDescent="0.2">
      <c r="B12" s="33">
        <v>8</v>
      </c>
      <c r="C12" s="34">
        <v>2.36</v>
      </c>
      <c r="D12" s="45">
        <v>80</v>
      </c>
      <c r="E12" s="36"/>
      <c r="F12" s="46">
        <v>100</v>
      </c>
      <c r="H12" s="63">
        <v>3</v>
      </c>
      <c r="I12" s="64">
        <f t="shared" si="0"/>
        <v>76.2</v>
      </c>
      <c r="J12" s="39"/>
      <c r="K12" s="40"/>
      <c r="L12" s="41"/>
      <c r="M12" s="39"/>
      <c r="N12" s="40">
        <v>100</v>
      </c>
      <c r="O12" s="41"/>
      <c r="P12" s="39"/>
      <c r="Q12" s="40"/>
      <c r="R12" s="41"/>
      <c r="S12" s="42"/>
      <c r="T12" s="43"/>
      <c r="U12" s="44"/>
      <c r="V12" s="39"/>
      <c r="W12" s="40"/>
      <c r="X12" s="41"/>
      <c r="Y12" s="42"/>
      <c r="Z12" s="43"/>
      <c r="AA12" s="44"/>
      <c r="AB12" s="39"/>
      <c r="AC12" s="40"/>
      <c r="AD12" s="41"/>
      <c r="AE12" s="39"/>
      <c r="AF12" s="40"/>
      <c r="AG12" s="41"/>
      <c r="AH12" s="42"/>
      <c r="AI12" s="43"/>
      <c r="AJ12" s="44"/>
      <c r="AK12" s="39"/>
      <c r="AL12" s="40"/>
      <c r="AM12" s="41"/>
      <c r="AN12" s="42"/>
      <c r="AO12" s="43"/>
      <c r="AP12" s="44"/>
      <c r="AQ12" s="42"/>
      <c r="AR12" s="43"/>
      <c r="AS12" s="44"/>
      <c r="AT12" s="39"/>
      <c r="AU12" s="40"/>
      <c r="AV12" s="41"/>
      <c r="BB12" s="59">
        <v>2.5</v>
      </c>
      <c r="BC12" s="62">
        <f t="shared" ref="BC12:BC19" si="1">BB12*2.54*10</f>
        <v>63.5</v>
      </c>
    </row>
    <row r="13" spans="2:55" ht="15.75" customHeight="1" x14ac:dyDescent="0.2">
      <c r="B13" s="33">
        <v>16</v>
      </c>
      <c r="C13" s="34">
        <v>1.19</v>
      </c>
      <c r="D13" s="45">
        <v>50</v>
      </c>
      <c r="E13" s="36"/>
      <c r="F13" s="46">
        <v>85</v>
      </c>
      <c r="H13" s="63">
        <v>2.5</v>
      </c>
      <c r="I13" s="64">
        <f t="shared" si="0"/>
        <v>63.5</v>
      </c>
      <c r="J13" s="39">
        <v>25</v>
      </c>
      <c r="K13" s="40"/>
      <c r="L13" s="41">
        <v>60</v>
      </c>
      <c r="M13" s="39">
        <v>90</v>
      </c>
      <c r="N13" s="40"/>
      <c r="O13" s="41">
        <v>100</v>
      </c>
      <c r="P13" s="39"/>
      <c r="Q13" s="40">
        <v>100</v>
      </c>
      <c r="R13" s="41"/>
      <c r="S13" s="42"/>
      <c r="T13" s="43">
        <v>100</v>
      </c>
      <c r="U13" s="44"/>
      <c r="V13" s="39"/>
      <c r="W13" s="40"/>
      <c r="X13" s="41"/>
      <c r="Y13" s="42"/>
      <c r="Z13" s="43"/>
      <c r="AA13" s="44"/>
      <c r="AB13" s="39"/>
      <c r="AC13" s="40"/>
      <c r="AD13" s="41"/>
      <c r="AE13" s="39"/>
      <c r="AF13" s="40"/>
      <c r="AG13" s="41"/>
      <c r="AH13" s="42"/>
      <c r="AI13" s="43"/>
      <c r="AJ13" s="44"/>
      <c r="AK13" s="39"/>
      <c r="AL13" s="40"/>
      <c r="AM13" s="41"/>
      <c r="AN13" s="42"/>
      <c r="AO13" s="43"/>
      <c r="AP13" s="44"/>
      <c r="AQ13" s="42"/>
      <c r="AR13" s="43"/>
      <c r="AS13" s="44"/>
      <c r="AT13" s="39"/>
      <c r="AU13" s="40"/>
      <c r="AV13" s="41"/>
      <c r="BB13" s="59">
        <v>2</v>
      </c>
      <c r="BC13" s="62">
        <f t="shared" si="1"/>
        <v>50.8</v>
      </c>
    </row>
    <row r="14" spans="2:55" ht="15.75" customHeight="1" x14ac:dyDescent="0.2">
      <c r="B14" s="33">
        <v>30</v>
      </c>
      <c r="C14" s="34">
        <v>0.6</v>
      </c>
      <c r="D14" s="45">
        <v>25</v>
      </c>
      <c r="E14" s="36"/>
      <c r="F14" s="46">
        <v>60</v>
      </c>
      <c r="H14" s="63">
        <v>2</v>
      </c>
      <c r="I14" s="64">
        <f t="shared" si="0"/>
        <v>50.8</v>
      </c>
      <c r="J14" s="39"/>
      <c r="K14" s="40"/>
      <c r="L14" s="41"/>
      <c r="M14" s="39">
        <v>35</v>
      </c>
      <c r="N14" s="40"/>
      <c r="O14" s="41">
        <v>70</v>
      </c>
      <c r="P14" s="39">
        <v>90</v>
      </c>
      <c r="Q14" s="40"/>
      <c r="R14" s="41">
        <v>100</v>
      </c>
      <c r="S14" s="42">
        <v>95</v>
      </c>
      <c r="T14" s="43"/>
      <c r="U14" s="44">
        <v>100</v>
      </c>
      <c r="V14" s="39"/>
      <c r="W14" s="40">
        <v>100</v>
      </c>
      <c r="X14" s="41"/>
      <c r="Y14" s="42"/>
      <c r="Z14" s="43">
        <v>100</v>
      </c>
      <c r="AA14" s="44"/>
      <c r="AB14" s="39"/>
      <c r="AC14" s="40"/>
      <c r="AD14" s="41"/>
      <c r="AE14" s="39"/>
      <c r="AF14" s="40"/>
      <c r="AG14" s="41"/>
      <c r="AH14" s="42"/>
      <c r="AI14" s="43"/>
      <c r="AJ14" s="44"/>
      <c r="AK14" s="39"/>
      <c r="AL14" s="40"/>
      <c r="AM14" s="41"/>
      <c r="AN14" s="42"/>
      <c r="AO14" s="43"/>
      <c r="AP14" s="44"/>
      <c r="AQ14" s="42"/>
      <c r="AR14" s="43"/>
      <c r="AS14" s="44"/>
      <c r="AT14" s="39"/>
      <c r="AU14" s="40"/>
      <c r="AV14" s="41"/>
      <c r="BB14" s="59">
        <v>1.5</v>
      </c>
      <c r="BC14" s="62">
        <f t="shared" si="1"/>
        <v>38.1</v>
      </c>
    </row>
    <row r="15" spans="2:55" ht="15.75" customHeight="1" x14ac:dyDescent="0.2">
      <c r="B15" s="33">
        <v>50</v>
      </c>
      <c r="C15" s="34">
        <v>0.3</v>
      </c>
      <c r="D15" s="45">
        <v>5</v>
      </c>
      <c r="E15" s="36"/>
      <c r="F15" s="46">
        <v>30</v>
      </c>
      <c r="H15" s="63">
        <v>1.5</v>
      </c>
      <c r="I15" s="64">
        <f t="shared" si="0"/>
        <v>38.1</v>
      </c>
      <c r="J15" s="39">
        <v>0</v>
      </c>
      <c r="K15" s="40"/>
      <c r="L15" s="41">
        <v>15</v>
      </c>
      <c r="M15" s="39">
        <v>0</v>
      </c>
      <c r="N15" s="40"/>
      <c r="O15" s="41">
        <v>15</v>
      </c>
      <c r="P15" s="39">
        <v>35</v>
      </c>
      <c r="Q15" s="40"/>
      <c r="R15" s="41">
        <v>70</v>
      </c>
      <c r="S15" s="42"/>
      <c r="T15" s="43"/>
      <c r="U15" s="44"/>
      <c r="V15" s="39">
        <v>90</v>
      </c>
      <c r="W15" s="40"/>
      <c r="X15" s="41">
        <v>100</v>
      </c>
      <c r="Y15" s="42">
        <v>95</v>
      </c>
      <c r="Z15" s="43"/>
      <c r="AA15" s="44">
        <v>100</v>
      </c>
      <c r="AB15" s="39"/>
      <c r="AC15" s="40">
        <v>100</v>
      </c>
      <c r="AD15" s="41"/>
      <c r="AE15" s="39"/>
      <c r="AF15" s="40">
        <v>100</v>
      </c>
      <c r="AG15" s="41"/>
      <c r="AH15" s="42"/>
      <c r="AI15" s="43">
        <v>100</v>
      </c>
      <c r="AJ15" s="44"/>
      <c r="AK15" s="39"/>
      <c r="AL15" s="40"/>
      <c r="AM15" s="41"/>
      <c r="AN15" s="42"/>
      <c r="AO15" s="43"/>
      <c r="AP15" s="44"/>
      <c r="AQ15" s="42"/>
      <c r="AR15" s="43"/>
      <c r="AS15" s="44"/>
      <c r="AT15" s="39"/>
      <c r="AU15" s="40"/>
      <c r="AV15" s="41"/>
      <c r="BB15" s="59">
        <v>1</v>
      </c>
      <c r="BC15" s="62">
        <f t="shared" si="1"/>
        <v>25.4</v>
      </c>
    </row>
    <row r="16" spans="2:55" ht="15.75" customHeight="1" x14ac:dyDescent="0.2">
      <c r="B16" s="33">
        <v>100</v>
      </c>
      <c r="C16" s="34">
        <v>0.14899999999999999</v>
      </c>
      <c r="D16" s="45">
        <v>0</v>
      </c>
      <c r="E16" s="36"/>
      <c r="F16" s="46">
        <v>10</v>
      </c>
      <c r="H16" s="63">
        <v>1</v>
      </c>
      <c r="I16" s="64">
        <f t="shared" si="0"/>
        <v>25.4</v>
      </c>
      <c r="J16" s="39"/>
      <c r="K16" s="40"/>
      <c r="L16" s="41"/>
      <c r="M16" s="39"/>
      <c r="N16" s="40"/>
      <c r="O16" s="41"/>
      <c r="P16" s="39">
        <v>0</v>
      </c>
      <c r="Q16" s="40"/>
      <c r="R16" s="41">
        <v>15</v>
      </c>
      <c r="S16" s="42">
        <v>32</v>
      </c>
      <c r="T16" s="43"/>
      <c r="U16" s="44">
        <v>70</v>
      </c>
      <c r="V16" s="39">
        <v>20</v>
      </c>
      <c r="W16" s="40"/>
      <c r="X16" s="41">
        <v>55</v>
      </c>
      <c r="Y16" s="42"/>
      <c r="Z16" s="43"/>
      <c r="AA16" s="44"/>
      <c r="AB16" s="39">
        <v>90</v>
      </c>
      <c r="AC16" s="40"/>
      <c r="AD16" s="41">
        <v>100</v>
      </c>
      <c r="AE16" s="39">
        <v>90</v>
      </c>
      <c r="AF16" s="40"/>
      <c r="AG16" s="41">
        <v>100</v>
      </c>
      <c r="AH16" s="42">
        <v>95</v>
      </c>
      <c r="AI16" s="43"/>
      <c r="AJ16" s="44">
        <v>100</v>
      </c>
      <c r="AK16" s="39"/>
      <c r="AL16" s="40">
        <v>100</v>
      </c>
      <c r="AM16" s="41"/>
      <c r="AN16" s="42"/>
      <c r="AO16" s="43">
        <v>100</v>
      </c>
      <c r="AP16" s="44"/>
      <c r="AQ16" s="42"/>
      <c r="AR16" s="43"/>
      <c r="AS16" s="44"/>
      <c r="AT16" s="39"/>
      <c r="AU16" s="40"/>
      <c r="AV16" s="41"/>
      <c r="BB16" s="59">
        <v>0.75</v>
      </c>
      <c r="BC16" s="62">
        <f t="shared" si="1"/>
        <v>19.05</v>
      </c>
    </row>
    <row r="17" spans="3:55" ht="15.75" customHeight="1" x14ac:dyDescent="0.25">
      <c r="C17" s="47"/>
      <c r="D17" s="48"/>
      <c r="E17" s="49"/>
      <c r="F17" s="50"/>
      <c r="H17" s="63">
        <v>0.75</v>
      </c>
      <c r="I17" s="64">
        <f t="shared" si="0"/>
        <v>19.05</v>
      </c>
      <c r="J17" s="39">
        <v>0</v>
      </c>
      <c r="K17" s="40"/>
      <c r="L17" s="41">
        <v>5</v>
      </c>
      <c r="M17" s="39">
        <v>0</v>
      </c>
      <c r="N17" s="40"/>
      <c r="O17" s="41">
        <v>5</v>
      </c>
      <c r="P17" s="39"/>
      <c r="Q17" s="40"/>
      <c r="R17" s="41"/>
      <c r="S17" s="42"/>
      <c r="T17" s="43"/>
      <c r="U17" s="44"/>
      <c r="V17" s="39">
        <v>0</v>
      </c>
      <c r="W17" s="40"/>
      <c r="X17" s="41">
        <v>15</v>
      </c>
      <c r="Y17" s="42">
        <v>35</v>
      </c>
      <c r="Z17" s="43"/>
      <c r="AA17" s="44">
        <v>70</v>
      </c>
      <c r="AB17" s="39">
        <v>20</v>
      </c>
      <c r="AC17" s="40"/>
      <c r="AD17" s="41">
        <v>55</v>
      </c>
      <c r="AE17" s="39">
        <v>40</v>
      </c>
      <c r="AF17" s="40"/>
      <c r="AG17" s="41">
        <v>85</v>
      </c>
      <c r="AH17" s="42"/>
      <c r="AI17" s="43"/>
      <c r="AJ17" s="44"/>
      <c r="AK17" s="39">
        <v>90</v>
      </c>
      <c r="AL17" s="40"/>
      <c r="AM17" s="41">
        <v>100</v>
      </c>
      <c r="AN17" s="42">
        <v>90</v>
      </c>
      <c r="AO17" s="43"/>
      <c r="AP17" s="44">
        <v>100</v>
      </c>
      <c r="AQ17" s="42"/>
      <c r="AR17" s="43">
        <v>100</v>
      </c>
      <c r="AS17" s="44"/>
      <c r="AT17" s="39"/>
      <c r="AU17" s="40"/>
      <c r="AV17" s="41"/>
      <c r="BB17" s="59">
        <v>0.5</v>
      </c>
      <c r="BC17" s="62">
        <f t="shared" si="1"/>
        <v>12.7</v>
      </c>
    </row>
    <row r="18" spans="3:55" ht="15.75" customHeight="1" x14ac:dyDescent="0.25">
      <c r="C18" s="47"/>
      <c r="D18" s="51"/>
      <c r="E18" s="52"/>
      <c r="F18" s="30"/>
      <c r="H18" s="63">
        <v>0.5</v>
      </c>
      <c r="I18" s="64">
        <f t="shared" si="0"/>
        <v>12.7</v>
      </c>
      <c r="J18" s="39"/>
      <c r="K18" s="40"/>
      <c r="L18" s="41"/>
      <c r="M18" s="39"/>
      <c r="N18" s="40"/>
      <c r="O18" s="41"/>
      <c r="P18" s="39">
        <v>0</v>
      </c>
      <c r="Q18" s="40"/>
      <c r="R18" s="41">
        <v>5</v>
      </c>
      <c r="S18" s="42">
        <v>10</v>
      </c>
      <c r="T18" s="43"/>
      <c r="U18" s="44">
        <v>30</v>
      </c>
      <c r="V18" s="39"/>
      <c r="W18" s="40"/>
      <c r="X18" s="41"/>
      <c r="Y18" s="42"/>
      <c r="Z18" s="43"/>
      <c r="AA18" s="44"/>
      <c r="AB18" s="39">
        <v>0</v>
      </c>
      <c r="AC18" s="40"/>
      <c r="AD18" s="41">
        <v>10</v>
      </c>
      <c r="AE18" s="39">
        <v>10</v>
      </c>
      <c r="AF18" s="40"/>
      <c r="AG18" s="41">
        <v>40</v>
      </c>
      <c r="AH18" s="42">
        <v>25</v>
      </c>
      <c r="AI18" s="43"/>
      <c r="AJ18" s="44">
        <v>60</v>
      </c>
      <c r="AK18" s="39">
        <v>20</v>
      </c>
      <c r="AL18" s="40"/>
      <c r="AM18" s="41">
        <v>55</v>
      </c>
      <c r="AN18" s="42"/>
      <c r="AO18" s="43"/>
      <c r="AP18" s="44"/>
      <c r="AQ18" s="42">
        <v>90</v>
      </c>
      <c r="AR18" s="43"/>
      <c r="AS18" s="44">
        <v>100</v>
      </c>
      <c r="AT18" s="39"/>
      <c r="AU18" s="40">
        <v>100</v>
      </c>
      <c r="AV18" s="41"/>
      <c r="BB18" s="59">
        <v>0.375</v>
      </c>
      <c r="BC18" s="62">
        <f t="shared" si="1"/>
        <v>9.5250000000000004</v>
      </c>
    </row>
    <row r="19" spans="3:55" ht="15.75" customHeight="1" x14ac:dyDescent="0.2">
      <c r="C19" s="47"/>
      <c r="D19" s="47"/>
      <c r="E19" s="17"/>
      <c r="H19" s="63">
        <v>0.375</v>
      </c>
      <c r="I19" s="64">
        <f t="shared" si="0"/>
        <v>9.5250000000000004</v>
      </c>
      <c r="J19" s="39"/>
      <c r="K19" s="40"/>
      <c r="L19" s="41"/>
      <c r="M19" s="39"/>
      <c r="N19" s="40"/>
      <c r="O19" s="41"/>
      <c r="P19" s="39"/>
      <c r="Q19" s="40"/>
      <c r="R19" s="41"/>
      <c r="S19" s="42"/>
      <c r="T19" s="43"/>
      <c r="U19" s="44"/>
      <c r="V19" s="39">
        <v>0</v>
      </c>
      <c r="W19" s="40"/>
      <c r="X19" s="41">
        <v>5</v>
      </c>
      <c r="Y19" s="42">
        <v>10</v>
      </c>
      <c r="Z19" s="43"/>
      <c r="AA19" s="44">
        <v>30</v>
      </c>
      <c r="AB19" s="39">
        <v>0</v>
      </c>
      <c r="AC19" s="40"/>
      <c r="AD19" s="41">
        <v>5</v>
      </c>
      <c r="AE19" s="39">
        <v>0</v>
      </c>
      <c r="AF19" s="40"/>
      <c r="AG19" s="41">
        <v>15</v>
      </c>
      <c r="AH19" s="42"/>
      <c r="AI19" s="43"/>
      <c r="AJ19" s="44"/>
      <c r="AK19" s="39">
        <v>0</v>
      </c>
      <c r="AL19" s="40"/>
      <c r="AM19" s="41">
        <v>15</v>
      </c>
      <c r="AN19" s="42">
        <v>20</v>
      </c>
      <c r="AO19" s="43"/>
      <c r="AP19" s="44">
        <v>55</v>
      </c>
      <c r="AQ19" s="42">
        <v>40</v>
      </c>
      <c r="AR19" s="43"/>
      <c r="AS19" s="44">
        <v>70</v>
      </c>
      <c r="AT19" s="39">
        <v>85</v>
      </c>
      <c r="AU19" s="40"/>
      <c r="AV19" s="41">
        <v>100</v>
      </c>
      <c r="BB19" s="59">
        <v>0.25</v>
      </c>
      <c r="BC19" s="62">
        <f t="shared" si="1"/>
        <v>6.35</v>
      </c>
    </row>
    <row r="20" spans="3:55" ht="15.75" customHeight="1" x14ac:dyDescent="0.2">
      <c r="C20" s="47"/>
      <c r="D20" s="47"/>
      <c r="E20" s="17"/>
      <c r="H20" s="38" t="s">
        <v>47</v>
      </c>
      <c r="I20" s="64">
        <v>4.76</v>
      </c>
      <c r="J20" s="39"/>
      <c r="K20" s="40"/>
      <c r="L20" s="41"/>
      <c r="M20" s="39"/>
      <c r="N20" s="40"/>
      <c r="O20" s="41"/>
      <c r="P20" s="39"/>
      <c r="Q20" s="40"/>
      <c r="R20" s="41"/>
      <c r="S20" s="42">
        <v>0</v>
      </c>
      <c r="T20" s="43"/>
      <c r="U20" s="44">
        <v>5</v>
      </c>
      <c r="V20" s="39"/>
      <c r="W20" s="40"/>
      <c r="X20" s="41"/>
      <c r="Y20" s="42">
        <v>0</v>
      </c>
      <c r="Z20" s="43"/>
      <c r="AA20" s="44">
        <v>5</v>
      </c>
      <c r="AB20" s="39"/>
      <c r="AC20" s="40"/>
      <c r="AD20" s="41"/>
      <c r="AE20" s="39">
        <v>0</v>
      </c>
      <c r="AF20" s="40"/>
      <c r="AG20" s="41">
        <v>5</v>
      </c>
      <c r="AH20" s="42">
        <v>0</v>
      </c>
      <c r="AI20" s="43"/>
      <c r="AJ20" s="44">
        <v>10</v>
      </c>
      <c r="AK20" s="39">
        <v>0</v>
      </c>
      <c r="AL20" s="40"/>
      <c r="AM20" s="41">
        <v>5</v>
      </c>
      <c r="AN20" s="42">
        <v>0</v>
      </c>
      <c r="AO20" s="43"/>
      <c r="AP20" s="44">
        <v>10</v>
      </c>
      <c r="AQ20" s="42">
        <v>0</v>
      </c>
      <c r="AR20" s="43"/>
      <c r="AS20" s="44">
        <v>10</v>
      </c>
      <c r="AT20" s="39">
        <v>10</v>
      </c>
      <c r="AU20" s="40"/>
      <c r="AV20" s="41">
        <v>30</v>
      </c>
      <c r="BB20" s="56" t="s">
        <v>20</v>
      </c>
      <c r="BC20" s="62">
        <v>4.76</v>
      </c>
    </row>
    <row r="21" spans="3:55" ht="15.75" customHeight="1" x14ac:dyDescent="0.2">
      <c r="C21" s="47"/>
      <c r="D21" s="47"/>
      <c r="E21" s="17"/>
      <c r="H21" s="38" t="s">
        <v>48</v>
      </c>
      <c r="I21" s="64">
        <v>2.36</v>
      </c>
      <c r="J21" s="39"/>
      <c r="K21" s="40"/>
      <c r="L21" s="41"/>
      <c r="M21" s="39"/>
      <c r="N21" s="40"/>
      <c r="O21" s="41"/>
      <c r="P21" s="39"/>
      <c r="Q21" s="40"/>
      <c r="R21" s="41"/>
      <c r="S21" s="42"/>
      <c r="T21" s="43"/>
      <c r="U21" s="44"/>
      <c r="V21" s="39"/>
      <c r="W21" s="40"/>
      <c r="X21" s="41"/>
      <c r="Y21" s="42"/>
      <c r="Z21" s="43"/>
      <c r="AA21" s="44"/>
      <c r="AB21" s="39"/>
      <c r="AC21" s="40"/>
      <c r="AD21" s="41"/>
      <c r="AE21" s="39"/>
      <c r="AF21" s="40"/>
      <c r="AG21" s="41"/>
      <c r="AH21" s="42">
        <v>0</v>
      </c>
      <c r="AI21" s="43"/>
      <c r="AJ21" s="44">
        <v>5</v>
      </c>
      <c r="AK21" s="39"/>
      <c r="AL21" s="40"/>
      <c r="AM21" s="41"/>
      <c r="AN21" s="42">
        <v>0</v>
      </c>
      <c r="AO21" s="43"/>
      <c r="AP21" s="44">
        <v>5</v>
      </c>
      <c r="AQ21" s="42">
        <v>0</v>
      </c>
      <c r="AR21" s="43"/>
      <c r="AS21" s="44">
        <v>5</v>
      </c>
      <c r="AT21" s="39">
        <v>0</v>
      </c>
      <c r="AU21" s="40"/>
      <c r="AV21" s="41">
        <v>10</v>
      </c>
      <c r="BB21" s="56">
        <v>8</v>
      </c>
      <c r="BC21" s="62">
        <v>2.36</v>
      </c>
    </row>
    <row r="22" spans="3:55" ht="15.75" customHeight="1" x14ac:dyDescent="0.2">
      <c r="C22" s="17"/>
      <c r="D22" s="17"/>
      <c r="E22" s="17"/>
      <c r="H22" s="38" t="s">
        <v>49</v>
      </c>
      <c r="I22" s="64">
        <v>1.19</v>
      </c>
      <c r="J22" s="39"/>
      <c r="K22" s="40"/>
      <c r="L22" s="41"/>
      <c r="M22" s="39"/>
      <c r="N22" s="40"/>
      <c r="O22" s="41"/>
      <c r="P22" s="39"/>
      <c r="Q22" s="40"/>
      <c r="R22" s="41"/>
      <c r="S22" s="42"/>
      <c r="T22" s="43"/>
      <c r="U22" s="44"/>
      <c r="V22" s="39"/>
      <c r="W22" s="40"/>
      <c r="X22" s="41"/>
      <c r="Y22" s="42"/>
      <c r="Z22" s="43"/>
      <c r="AA22" s="44"/>
      <c r="AB22" s="39"/>
      <c r="AC22" s="40"/>
      <c r="AD22" s="41"/>
      <c r="AE22" s="39"/>
      <c r="AF22" s="40"/>
      <c r="AG22" s="41"/>
      <c r="AH22" s="42"/>
      <c r="AI22" s="43"/>
      <c r="AJ22" s="44"/>
      <c r="AK22" s="39"/>
      <c r="AL22" s="40"/>
      <c r="AM22" s="41"/>
      <c r="AN22" s="42"/>
      <c r="AO22" s="43"/>
      <c r="AP22" s="44"/>
      <c r="AQ22" s="42"/>
      <c r="AR22" s="43"/>
      <c r="AS22" s="44"/>
      <c r="AT22" s="39">
        <v>0</v>
      </c>
      <c r="AU22" s="40"/>
      <c r="AV22" s="41">
        <v>5</v>
      </c>
      <c r="BB22" s="56">
        <v>10</v>
      </c>
      <c r="BC22" s="62">
        <v>2</v>
      </c>
    </row>
    <row r="23" spans="3:55" ht="15.75" customHeight="1" x14ac:dyDescent="0.2">
      <c r="C23" s="17"/>
      <c r="D23" s="17"/>
      <c r="E23" s="17"/>
      <c r="H23" s="38" t="s">
        <v>50</v>
      </c>
      <c r="I23" s="64">
        <v>0.3</v>
      </c>
      <c r="J23" s="39"/>
      <c r="K23" s="40"/>
      <c r="L23" s="41"/>
      <c r="M23" s="39"/>
      <c r="N23" s="40"/>
      <c r="O23" s="41"/>
      <c r="P23" s="39"/>
      <c r="Q23" s="40"/>
      <c r="R23" s="41"/>
      <c r="S23" s="42"/>
      <c r="T23" s="43"/>
      <c r="U23" s="44"/>
      <c r="V23" s="39"/>
      <c r="W23" s="40"/>
      <c r="X23" s="41"/>
      <c r="Y23" s="42"/>
      <c r="Z23" s="43"/>
      <c r="AA23" s="44"/>
      <c r="AB23" s="39"/>
      <c r="AC23" s="40"/>
      <c r="AD23" s="41"/>
      <c r="AE23" s="39"/>
      <c r="AF23" s="40"/>
      <c r="AG23" s="41"/>
      <c r="AH23" s="42"/>
      <c r="AI23" s="43"/>
      <c r="AJ23" s="44"/>
      <c r="AK23" s="39"/>
      <c r="AL23" s="40"/>
      <c r="AM23" s="41"/>
      <c r="AN23" s="42"/>
      <c r="AO23" s="43"/>
      <c r="AP23" s="44"/>
      <c r="AQ23" s="42"/>
      <c r="AR23" s="43"/>
      <c r="AS23" s="44"/>
      <c r="AT23" s="39"/>
      <c r="AU23" s="40"/>
      <c r="AV23" s="41"/>
      <c r="BB23" s="56">
        <v>16</v>
      </c>
      <c r="BC23" s="62">
        <v>1.19</v>
      </c>
    </row>
    <row r="24" spans="3:55" ht="15.75" customHeight="1" x14ac:dyDescent="0.2">
      <c r="C24" s="6"/>
      <c r="D24" s="6"/>
      <c r="E24" s="6"/>
      <c r="Q24" s="25"/>
      <c r="R24" s="25"/>
      <c r="S24" s="25"/>
      <c r="T24" s="25"/>
      <c r="BB24" s="56">
        <v>30</v>
      </c>
      <c r="BC24" s="62">
        <v>0.6</v>
      </c>
    </row>
    <row r="25" spans="3:55" ht="15.75" customHeight="1" x14ac:dyDescent="0.2">
      <c r="C25" s="6"/>
      <c r="D25" s="6"/>
      <c r="E25" s="6"/>
      <c r="H25" s="53" t="s">
        <v>65</v>
      </c>
      <c r="I25" s="60">
        <v>0.75</v>
      </c>
      <c r="J25" s="979" t="s">
        <v>46</v>
      </c>
      <c r="K25" s="980"/>
      <c r="L25" s="981"/>
      <c r="Q25" s="25"/>
      <c r="R25" s="25"/>
      <c r="S25" s="25"/>
      <c r="T25" s="25"/>
      <c r="AI25" s="72">
        <v>2</v>
      </c>
      <c r="BB25" s="56">
        <v>40</v>
      </c>
      <c r="BC25" s="62">
        <v>0.42</v>
      </c>
    </row>
    <row r="26" spans="3:55" ht="15.75" customHeight="1" x14ac:dyDescent="0.2">
      <c r="C26" s="6"/>
      <c r="D26" s="6"/>
      <c r="E26" s="6"/>
      <c r="H26" s="31" t="s">
        <v>11</v>
      </c>
      <c r="I26" s="31" t="s">
        <v>12</v>
      </c>
      <c r="J26" s="982"/>
      <c r="K26" s="983"/>
      <c r="L26" s="984"/>
      <c r="Q26" s="25"/>
      <c r="R26" s="25"/>
      <c r="S26" s="1001" t="s">
        <v>43</v>
      </c>
      <c r="T26" s="1002"/>
      <c r="U26" s="1003"/>
      <c r="AI26" s="73">
        <v>1.5</v>
      </c>
      <c r="BB26" s="56">
        <v>50</v>
      </c>
      <c r="BC26" s="62">
        <v>0.3</v>
      </c>
    </row>
    <row r="27" spans="3:55" ht="15.75" customHeight="1" x14ac:dyDescent="0.2">
      <c r="C27" s="6"/>
      <c r="D27" s="6"/>
      <c r="E27" s="6"/>
      <c r="G27" s="61"/>
      <c r="H27" s="58">
        <f>IF($I$25=2,H13,IF($I$25=1.5,H14,IF($I$25=1,H15,IF($I$25=0.75,H16,IF($I$25=0.5,H17)))))</f>
        <v>1</v>
      </c>
      <c r="I27" s="64">
        <f>H27*2.54*10</f>
        <v>25.4</v>
      </c>
      <c r="J27" s="985"/>
      <c r="K27" s="986"/>
      <c r="L27" s="987"/>
      <c r="Q27" s="25"/>
      <c r="R27" s="25"/>
      <c r="S27" s="42"/>
      <c r="T27" s="43">
        <v>100</v>
      </c>
      <c r="U27" s="44"/>
      <c r="AI27" s="72">
        <v>1</v>
      </c>
      <c r="BB27" s="56">
        <v>100</v>
      </c>
      <c r="BC27" s="62">
        <v>0.14899999999999999</v>
      </c>
    </row>
    <row r="28" spans="3:55" ht="15.75" customHeight="1" x14ac:dyDescent="0.2">
      <c r="C28" s="6"/>
      <c r="D28" s="6"/>
      <c r="E28" s="6"/>
      <c r="H28" s="58">
        <f>IF($I$25=2,H14,IF($I$25=1.5,H15,IF($I$25=1,H16,IF($I$25=0.75,H17,IF($I$25=0.5,H18)))))</f>
        <v>0.75</v>
      </c>
      <c r="I28" s="64">
        <f>H28*2.54*10</f>
        <v>19.05</v>
      </c>
      <c r="J28" s="35"/>
      <c r="K28" s="36">
        <v>100</v>
      </c>
      <c r="L28" s="37"/>
      <c r="Q28" s="25"/>
      <c r="R28" s="25"/>
      <c r="S28" s="42">
        <f>IF($I$25=2,S14,IF($I$25=1.5,Y15,IF($I$25=1,AH16,IF($I$25=0.75,AN17,IF($I$25=0.5,AQ18)))))</f>
        <v>90</v>
      </c>
      <c r="T28" s="43"/>
      <c r="U28" s="44">
        <f>IF($I$25=2,U14,IF($I$25=1.5,AA15,IF($I$25=1,AJ16,IF($I$25=0.75,AP17,IF($I$25=0.5,AS18)))))</f>
        <v>100</v>
      </c>
      <c r="AI28" s="72">
        <v>0.75</v>
      </c>
      <c r="BB28" s="56">
        <v>200</v>
      </c>
      <c r="BC28" s="62">
        <v>7.3999999999999996E-2</v>
      </c>
    </row>
    <row r="29" spans="3:55" ht="15.75" customHeight="1" x14ac:dyDescent="0.2">
      <c r="C29" s="6"/>
      <c r="D29" s="6"/>
      <c r="E29" s="6"/>
      <c r="H29" s="58">
        <f>IF($I$25=2,H16,IF($I$25=1.5,H17,IF($I$25=1,H18,IF($I$25=0.75,H19,IF($I$25=0.5,H19)))))</f>
        <v>0.375</v>
      </c>
      <c r="I29" s="64">
        <f>H29*2.54*10</f>
        <v>9.5250000000000004</v>
      </c>
      <c r="J29" s="45">
        <v>95</v>
      </c>
      <c r="K29" s="36"/>
      <c r="L29" s="46">
        <v>100</v>
      </c>
      <c r="Q29" s="25"/>
      <c r="R29" s="25"/>
      <c r="S29" s="42">
        <f>IF($I$25=2,S16,IF($I$25=1.5,Y17,IF($I$25=1,AH18,IF($I$25=0.75,AN19,IF($I$25=0.5,AQ19)))))</f>
        <v>20</v>
      </c>
      <c r="T29" s="43"/>
      <c r="U29" s="44">
        <f>IF($I$25=2,U16,IF($I$25=1.5,AA17,IF($I$25=1,AJ18,IF($I$25=0.75,AP19,IF($I$25=0.5,AS19)))))</f>
        <v>55</v>
      </c>
      <c r="AI29" s="72">
        <v>0.5</v>
      </c>
      <c r="BB29" s="57"/>
    </row>
    <row r="30" spans="3:55" ht="15.75" customHeight="1" x14ac:dyDescent="0.2">
      <c r="C30" s="6"/>
      <c r="D30" s="6"/>
      <c r="E30" s="6"/>
      <c r="H30" s="58" t="str">
        <f>IF($I$25=2,H18,IF($I$25=1.5,H19,IF($I$25=1,H20,IF($I$25=0.75,H20,IF($I$25=0.5,H20)))))</f>
        <v>N° 4</v>
      </c>
      <c r="I30" s="33">
        <f>IF(H30="N° 4",I20,IF(H30="N° 8",I21,H30*2.54*10))</f>
        <v>4.76</v>
      </c>
      <c r="J30" s="45">
        <v>80</v>
      </c>
      <c r="K30" s="36"/>
      <c r="L30" s="46">
        <v>100</v>
      </c>
      <c r="Q30" s="25"/>
      <c r="R30" s="25"/>
      <c r="S30" s="42">
        <f>IF($I$25=2,S18,IF($I$25=1.5,Y19,IF($I$25=1,AH20,IF($I$25=0.75,AN20,IF($I$25=0.5,AQ20)))))</f>
        <v>0</v>
      </c>
      <c r="T30" s="43"/>
      <c r="U30" s="44">
        <f>IF($I$25=2,U18,IF($I$25=1.5,AA19,IF($I$25=1,AJ20,IF($I$25=0.75,AP20,IF($I$25=0.5,AS20)))))</f>
        <v>10</v>
      </c>
    </row>
    <row r="31" spans="3:55" ht="15.75" customHeight="1" x14ac:dyDescent="0.2">
      <c r="C31" s="6"/>
      <c r="D31" s="6"/>
      <c r="E31" s="6"/>
      <c r="H31" s="58" t="str">
        <f>IF($I$25=2,H20,IF($I$25=1.5,H20,IF($I$25=1,H21,IF($I$25=0.75,H21,IF($I$25=0.5,H21)))))</f>
        <v>N° 8</v>
      </c>
      <c r="I31" s="33">
        <f>IF(H31="N° 4",I20,IF(H31="N° 8",I21,H31*2.54*10))</f>
        <v>2.36</v>
      </c>
      <c r="J31" s="45">
        <v>50</v>
      </c>
      <c r="K31" s="36"/>
      <c r="L31" s="46">
        <v>85</v>
      </c>
      <c r="S31" s="42">
        <f>IF($I$25=2,S20,IF($I$25=1.5,Y20,IF($I$25=1,AH21,IF($I$25=0.75,AN21,IF($I$25=0.5,AQ21)))))</f>
        <v>0</v>
      </c>
      <c r="T31" s="43"/>
      <c r="U31" s="44">
        <f>IF($I$25=2,U20,IF($I$25=1.5,AA20,IF($I$25=1,AJ21,IF($I$25=0.75,AP21,IF($I$25=0.5,AS21)))))</f>
        <v>5</v>
      </c>
    </row>
    <row r="32" spans="3:55" ht="15.75" customHeight="1" x14ac:dyDescent="0.2">
      <c r="H32" s="55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3:21" ht="15.75" customHeight="1" x14ac:dyDescent="0.2">
      <c r="C33" s="974"/>
      <c r="D33" s="974"/>
      <c r="E33" s="974"/>
      <c r="F33" s="974"/>
      <c r="G33" s="97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3:21" ht="15.75" customHeight="1" x14ac:dyDescent="0.2">
      <c r="J34" s="45">
        <v>0</v>
      </c>
      <c r="K34" s="36"/>
      <c r="L34" s="46">
        <v>10</v>
      </c>
    </row>
    <row r="35" spans="3:21" ht="15.75" customHeight="1" x14ac:dyDescent="0.2"/>
  </sheetData>
  <mergeCells count="46">
    <mergeCell ref="B5:F5"/>
    <mergeCell ref="H6:AS6"/>
    <mergeCell ref="H5:AS5"/>
    <mergeCell ref="J25:L27"/>
    <mergeCell ref="S26:U26"/>
    <mergeCell ref="S7:U7"/>
    <mergeCell ref="Y7:AA7"/>
    <mergeCell ref="AH7:AJ7"/>
    <mergeCell ref="AN7:AP7"/>
    <mergeCell ref="AQ7:AS7"/>
    <mergeCell ref="AN9:AP9"/>
    <mergeCell ref="AQ8:AS8"/>
    <mergeCell ref="AQ9:AS9"/>
    <mergeCell ref="Y8:AA8"/>
    <mergeCell ref="Y9:AA9"/>
    <mergeCell ref="AB8:AD8"/>
    <mergeCell ref="AT8:AV8"/>
    <mergeCell ref="AT9:AV9"/>
    <mergeCell ref="AN8:AP8"/>
    <mergeCell ref="B6:F6"/>
    <mergeCell ref="V7:X7"/>
    <mergeCell ref="AB7:AD7"/>
    <mergeCell ref="AE7:AG7"/>
    <mergeCell ref="AK7:AM7"/>
    <mergeCell ref="AE8:AG8"/>
    <mergeCell ref="AE9:AG9"/>
    <mergeCell ref="AH8:AJ8"/>
    <mergeCell ref="AH9:AJ9"/>
    <mergeCell ref="AK8:AM8"/>
    <mergeCell ref="AK9:AM9"/>
    <mergeCell ref="V8:X8"/>
    <mergeCell ref="V9:X9"/>
    <mergeCell ref="AB9:AD9"/>
    <mergeCell ref="M8:O8"/>
    <mergeCell ref="M9:O9"/>
    <mergeCell ref="P8:R8"/>
    <mergeCell ref="P9:R9"/>
    <mergeCell ref="S8:U8"/>
    <mergeCell ref="S9:U9"/>
    <mergeCell ref="C33:G33"/>
    <mergeCell ref="B7:C8"/>
    <mergeCell ref="D7:F9"/>
    <mergeCell ref="J9:L9"/>
    <mergeCell ref="J8:L8"/>
    <mergeCell ref="H7:I7"/>
    <mergeCell ref="H8:I8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FORMATO</vt:lpstr>
      <vt:lpstr>GRANULOMETRIA (2)</vt:lpstr>
      <vt:lpstr>GRANULOMETRIA (3)</vt:lpstr>
      <vt:lpstr>datos</vt:lpstr>
      <vt:lpstr>Incertidumbre</vt:lpstr>
      <vt:lpstr>Balanza</vt:lpstr>
      <vt:lpstr>ASFALTO</vt:lpstr>
      <vt:lpstr>FINO</vt:lpstr>
      <vt:lpstr>GRAVA</vt:lpstr>
      <vt:lpstr>TABLA ASTM C-33</vt:lpstr>
      <vt:lpstr>FORMATO!Área_de_impresión</vt:lpstr>
      <vt:lpstr>'GRANULOMETRIA (2)'!Área_de_impresión</vt:lpstr>
      <vt:lpstr>'GRANULOMETRIA (3)'!Área_de_impresión</vt:lpstr>
    </vt:vector>
  </TitlesOfParts>
  <Company>GEOFAL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GRANULOMETRIA</dc:title>
  <dc:subject>Analisis Granulometrico</dc:subject>
  <dc:creator>Fabian La Rosa</dc:creator>
  <cp:keywords>Calidad</cp:keywords>
  <cp:lastModifiedBy>kevin skibidi</cp:lastModifiedBy>
  <cp:lastPrinted>2026-06-13T16:41:23Z</cp:lastPrinted>
  <dcterms:created xsi:type="dcterms:W3CDTF">1999-11-07T15:11:55Z</dcterms:created>
  <dcterms:modified xsi:type="dcterms:W3CDTF">2026-07-20T15:39:00Z</dcterms:modified>
</cp:coreProperties>
</file>