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embeddings/oleObject1.bin" ContentType="application/vnd.openxmlformats-officedocument.oleObject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informes\Proctor\"/>
    </mc:Choice>
  </mc:AlternateContent>
  <xr:revisionPtr revIDLastSave="0" documentId="13_ncr:1_{32786F6F-23D0-48A5-A7B1-610B1D93056E}" xr6:coauthVersionLast="47" xr6:coauthVersionMax="47" xr10:uidLastSave="{00000000-0000-0000-0000-000000000000}"/>
  <bookViews>
    <workbookView xWindow="-108" yWindow="-108" windowWidth="23256" windowHeight="12456" tabRatio="613" activeTab="1" xr2:uid="{00000000-000D-0000-FFFF-FFFF00000000}"/>
  </bookViews>
  <sheets>
    <sheet name="formato" sheetId="102" r:id="rId1"/>
    <sheet name="Proctor" sheetId="95" r:id="rId2"/>
    <sheet name="DATOS" sheetId="100" r:id="rId3"/>
    <sheet name="Incertidumbre" sheetId="98" r:id="rId4"/>
    <sheet name="Balanza" sheetId="99" r:id="rId5"/>
    <sheet name="precision" sheetId="101" r:id="rId6"/>
    <sheet name="Correccion" sheetId="97" state="hidden" r:id="rId7"/>
    <sheet name="A.Granul" sheetId="91" state="hidden" r:id="rId8"/>
    <sheet name="LL-LP" sheetId="94" state="hidden" r:id="rId9"/>
    <sheet name="GR-Esp" sheetId="96" state="hidden" r:id="rId10"/>
    <sheet name="Sucs " sheetId="93" state="hidden" r:id="rId11"/>
    <sheet name="Aashto" sheetId="92" state="hidden" r:id="rId12"/>
    <sheet name="Hoja1" sheetId="49" state="hidden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4">#REF!</definedName>
    <definedName name="_L1" localSheetId="6">#REF!</definedName>
    <definedName name="_L1" localSheetId="2">#REF!</definedName>
    <definedName name="_L1" localSheetId="3">#REF!</definedName>
    <definedName name="_L1" localSheetId="1">#REF!</definedName>
    <definedName name="_L1" localSheetId="10">#REF!</definedName>
    <definedName name="_L1">#REF!</definedName>
    <definedName name="_Ll1">[2]Sucs!$L$3</definedName>
    <definedName name="_W1" localSheetId="4">#REF!</definedName>
    <definedName name="_W1" localSheetId="6">#REF!</definedName>
    <definedName name="_W1" localSheetId="2">#REF!</definedName>
    <definedName name="_W1" localSheetId="3">#REF!</definedName>
    <definedName name="_W1" localSheetId="1">#REF!</definedName>
    <definedName name="_W1" localSheetId="10">#REF!</definedName>
    <definedName name="_W1">#REF!</definedName>
    <definedName name="Abra">[3]Sucs!$C$3</definedName>
    <definedName name="_xlnm.Print_Area" localSheetId="7">A.Granul!$A$1:$K$64</definedName>
    <definedName name="_xlnm.Print_Area" localSheetId="11">Aashto!$A$1:$O$47</definedName>
    <definedName name="_xlnm.Print_Area" localSheetId="6">Correccion!$A$1:$J$58</definedName>
    <definedName name="_xlnm.Print_Area" localSheetId="2">DATOS!$A$82:$J$84</definedName>
    <definedName name="_xlnm.Print_Area" localSheetId="9">'GR-Esp'!$A$1:$J$54</definedName>
    <definedName name="_xlnm.Print_Area" localSheetId="8">'LL-LP'!$A$1:$K$50</definedName>
    <definedName name="_xlnm.Print_Area" localSheetId="1">Proctor!$A$1:$L$101</definedName>
    <definedName name="CC" localSheetId="4">#REF!</definedName>
    <definedName name="CC" localSheetId="6">#REF!</definedName>
    <definedName name="CC" localSheetId="2">#REF!</definedName>
    <definedName name="CC" localSheetId="3">#REF!</definedName>
    <definedName name="CC" localSheetId="1">#REF!</definedName>
    <definedName name="CC" localSheetId="10">'Sucs '!$L$6</definedName>
    <definedName name="CC">#REF!</definedName>
    <definedName name="CCf">'[2]Sucs(Fino)'!$L$6</definedName>
    <definedName name="CCVB">[4]Sucs!$L$3</definedName>
    <definedName name="CM">[5]BGA!$H$9</definedName>
    <definedName name="CU" localSheetId="4">#REF!</definedName>
    <definedName name="CU" localSheetId="6">#REF!</definedName>
    <definedName name="CU" localSheetId="2">#REF!</definedName>
    <definedName name="CU" localSheetId="3">#REF!</definedName>
    <definedName name="CU" localSheetId="1">#REF!</definedName>
    <definedName name="CU" localSheetId="10">'Sucs '!$L$5</definedName>
    <definedName name="CU">#REF!</definedName>
    <definedName name="CUf">'[2]Sucs(Fino)'!$L$5</definedName>
    <definedName name="hh" localSheetId="4">#REF!</definedName>
    <definedName name="hh" localSheetId="6">#REF!</definedName>
    <definedName name="hh" localSheetId="2">#REF!</definedName>
    <definedName name="hh" localSheetId="3">#REF!</definedName>
    <definedName name="hh" localSheetId="1">#REF!</definedName>
    <definedName name="hh">#REF!</definedName>
    <definedName name="IP" localSheetId="4">#REF!</definedName>
    <definedName name="IP" localSheetId="6">#REF!</definedName>
    <definedName name="IP" localSheetId="2">#REF!</definedName>
    <definedName name="IP" localSheetId="3">#REF!</definedName>
    <definedName name="IP" localSheetId="1">#REF!</definedName>
    <definedName name="IP" localSheetId="10">'Sucs '!$L$4</definedName>
    <definedName name="IP">#REF!</definedName>
    <definedName name="IPf">'[2]Sucs(Fino)'!$L$4</definedName>
    <definedName name="L" localSheetId="4">#REF!</definedName>
    <definedName name="L" localSheetId="6">#REF!</definedName>
    <definedName name="L" localSheetId="2">#REF!</definedName>
    <definedName name="L" localSheetId="3">#REF!</definedName>
    <definedName name="L" localSheetId="1">#REF!</definedName>
    <definedName name="L" localSheetId="10">#REF!</definedName>
    <definedName name="L">#REF!</definedName>
    <definedName name="LIf">'[2]Sucs(Fino)'!$L$3</definedName>
    <definedName name="Ll" localSheetId="4">#REF!</definedName>
    <definedName name="Ll" localSheetId="6">#REF!</definedName>
    <definedName name="Ll" localSheetId="2">#REF!</definedName>
    <definedName name="Ll" localSheetId="3">#REF!</definedName>
    <definedName name="Ll" localSheetId="1">#REF!</definedName>
    <definedName name="Ll" localSheetId="10">'Sucs '!$L$3</definedName>
    <definedName name="Ll">#REF!</definedName>
    <definedName name="MORA">[5]BGA!$H$13</definedName>
    <definedName name="N_10" localSheetId="4">#REF!</definedName>
    <definedName name="N_10" localSheetId="6">#REF!</definedName>
    <definedName name="N_10" localSheetId="2">#REF!</definedName>
    <definedName name="N_10" localSheetId="3">#REF!</definedName>
    <definedName name="N_10" localSheetId="1">#REF!</definedName>
    <definedName name="N_10" localSheetId="10">'Sucs '!$C$5</definedName>
    <definedName name="N_10">#REF!</definedName>
    <definedName name="N_101">[2]Sucs!$C$5</definedName>
    <definedName name="N_10f">'[2]Sucs(Fino)'!$C$5</definedName>
    <definedName name="N_200" localSheetId="4">#REF!</definedName>
    <definedName name="N_200" localSheetId="6">#REF!</definedName>
    <definedName name="N_200" localSheetId="2">#REF!</definedName>
    <definedName name="N_200" localSheetId="3">#REF!</definedName>
    <definedName name="N_200" localSheetId="1">#REF!</definedName>
    <definedName name="N_200" localSheetId="10">'Sucs '!$C$3</definedName>
    <definedName name="N_200">#REF!</definedName>
    <definedName name="N_2001">[2]Sucs!$C$3</definedName>
    <definedName name="N_200f">'[2]Sucs(Fino)'!$C$3</definedName>
    <definedName name="N_40" localSheetId="4">#REF!</definedName>
    <definedName name="N_40" localSheetId="6">#REF!</definedName>
    <definedName name="N_40" localSheetId="2">#REF!</definedName>
    <definedName name="N_40" localSheetId="3">#REF!</definedName>
    <definedName name="N_40" localSheetId="1">#REF!</definedName>
    <definedName name="N_40" localSheetId="10">'Sucs '!$C$4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4">#REF!</definedName>
    <definedName name="TABLA" localSheetId="6">#REF!</definedName>
    <definedName name="TABLA" localSheetId="2">#REF!</definedName>
    <definedName name="TABLA" localSheetId="3">#REF!</definedName>
    <definedName name="TABLA" localSheetId="1">#REF!</definedName>
    <definedName name="TABLA">#REF!</definedName>
    <definedName name="tipodegranulometria" localSheetId="4">'[6]G-LL '!$X$2:$X$3</definedName>
    <definedName name="tipodegranulometria" localSheetId="3">'[6]G-LL '!$X$2:$X$3</definedName>
    <definedName name="tipodegranulometria">'[7]G-LL '!$X$2:$X$3</definedName>
    <definedName name="tipodemateria" localSheetId="4">'[6]G-LL '!$X$5:$X$6</definedName>
    <definedName name="tipodemateria" localSheetId="3">'[6]G-LL '!$X$5:$X$6</definedName>
    <definedName name="tipodemateria">'[7]G-LL '!$X$5:$X$6</definedName>
    <definedName name="_xlnm.Print_Titles" localSheetId="2">DATOS!$82:$84</definedName>
    <definedName name="_xlnm.Print_Titles" localSheetId="1">Proctor!$1:$13</definedName>
    <definedName name="W" localSheetId="4">#REF!</definedName>
    <definedName name="W" localSheetId="6">#REF!</definedName>
    <definedName name="W" localSheetId="2">#REF!</definedName>
    <definedName name="W" localSheetId="3">#REF!</definedName>
    <definedName name="W" localSheetId="1">#REF!</definedName>
    <definedName name="W" localSheetId="10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" i="95" l="1"/>
  <c r="L11" i="95"/>
  <c r="E24" i="100" l="1"/>
  <c r="L20" i="95"/>
  <c r="L19" i="95"/>
  <c r="L18" i="95"/>
  <c r="L10" i="95"/>
  <c r="E20" i="95"/>
  <c r="E19" i="95"/>
  <c r="E18" i="95"/>
  <c r="C10" i="95"/>
  <c r="C11" i="95"/>
  <c r="C12" i="95"/>
  <c r="C9" i="95"/>
  <c r="M20" i="95"/>
  <c r="G73" i="95"/>
  <c r="G72" i="95"/>
  <c r="G71" i="95"/>
  <c r="F68" i="95"/>
  <c r="F67" i="95"/>
  <c r="F66" i="95"/>
  <c r="D53" i="100"/>
  <c r="D54" i="100"/>
  <c r="D55" i="100"/>
  <c r="D52" i="100"/>
  <c r="K29" i="100"/>
  <c r="I29" i="100"/>
  <c r="G29" i="100"/>
  <c r="K24" i="100"/>
  <c r="K25" i="100"/>
  <c r="K26" i="100"/>
  <c r="K27" i="100"/>
  <c r="I24" i="100"/>
  <c r="I25" i="100"/>
  <c r="I26" i="100"/>
  <c r="I27" i="100"/>
  <c r="G24" i="100"/>
  <c r="G25" i="100"/>
  <c r="G26" i="100"/>
  <c r="G27" i="100"/>
  <c r="E29" i="100"/>
  <c r="E25" i="100"/>
  <c r="E26" i="100"/>
  <c r="E27" i="100"/>
  <c r="K23" i="100"/>
  <c r="I23" i="100"/>
  <c r="G23" i="100"/>
  <c r="E23" i="100"/>
  <c r="E20" i="100"/>
  <c r="E18" i="100"/>
  <c r="K17" i="100"/>
  <c r="I17" i="100"/>
  <c r="G17" i="100"/>
  <c r="E17" i="100"/>
  <c r="K16" i="100"/>
  <c r="I16" i="100"/>
  <c r="G16" i="100"/>
  <c r="E16" i="100"/>
  <c r="I20" i="99"/>
  <c r="G28" i="100" l="1"/>
  <c r="D56" i="100"/>
  <c r="K28" i="100"/>
  <c r="N8" i="100"/>
  <c r="N10" i="100"/>
  <c r="N9" i="100"/>
  <c r="I10" i="100"/>
  <c r="I9" i="100"/>
  <c r="I8" i="100"/>
  <c r="E54" i="100" s="1"/>
  <c r="D10" i="100"/>
  <c r="D9" i="100"/>
  <c r="D8" i="100"/>
  <c r="L17" i="100" s="1"/>
  <c r="F18" i="100" l="1"/>
  <c r="E52" i="100"/>
  <c r="F17" i="100"/>
  <c r="H17" i="100"/>
  <c r="J17" i="100"/>
  <c r="E55" i="100"/>
  <c r="E53" i="100"/>
  <c r="R24" i="100"/>
  <c r="R26" i="100"/>
  <c r="S24" i="100"/>
  <c r="X20" i="99" l="1"/>
  <c r="W20" i="99"/>
  <c r="V20" i="99"/>
  <c r="X21" i="99" l="1"/>
  <c r="W21" i="99"/>
  <c r="V21" i="99"/>
  <c r="G32" i="95"/>
  <c r="H74" i="95"/>
  <c r="H75" i="95"/>
  <c r="U26" i="100"/>
  <c r="T26" i="100"/>
  <c r="S26" i="100"/>
  <c r="U24" i="100"/>
  <c r="T24" i="100"/>
  <c r="N21" i="99" l="1"/>
  <c r="Y93" i="98" l="1"/>
  <c r="Q93" i="98" s="1"/>
  <c r="Y92" i="98"/>
  <c r="Q92" i="98" s="1"/>
  <c r="Y91" i="98"/>
  <c r="Q91" i="98" s="1"/>
  <c r="Y90" i="98"/>
  <c r="Q90" i="98" s="1"/>
  <c r="Y89" i="98"/>
  <c r="Q89" i="98" s="1"/>
  <c r="Y88" i="98"/>
  <c r="Q88" i="98" s="1"/>
  <c r="V89" i="98"/>
  <c r="O89" i="98" s="1"/>
  <c r="V90" i="98"/>
  <c r="O90" i="98" s="1"/>
  <c r="V91" i="98"/>
  <c r="O91" i="98" s="1"/>
  <c r="V92" i="98"/>
  <c r="O92" i="98" s="1"/>
  <c r="V93" i="98"/>
  <c r="O93" i="98" s="1"/>
  <c r="V88" i="98"/>
  <c r="O88" i="98" s="1"/>
  <c r="K35" i="100" l="1"/>
  <c r="L35" i="100" s="1"/>
  <c r="I35" i="100"/>
  <c r="J35" i="100" s="1"/>
  <c r="G35" i="100"/>
  <c r="H35" i="100" s="1"/>
  <c r="E35" i="100"/>
  <c r="F35" i="100" s="1"/>
  <c r="V69" i="98" l="1"/>
  <c r="V65" i="98"/>
  <c r="V61" i="98"/>
  <c r="P69" i="98"/>
  <c r="P65" i="98"/>
  <c r="P61" i="98"/>
  <c r="J69" i="98"/>
  <c r="J65" i="98"/>
  <c r="J61" i="98"/>
  <c r="D69" i="98"/>
  <c r="D65" i="98"/>
  <c r="D61" i="98"/>
  <c r="E20" i="99"/>
  <c r="F20" i="99"/>
  <c r="G20" i="99"/>
  <c r="H20" i="99"/>
  <c r="D20" i="99"/>
  <c r="O20" i="99" l="1"/>
  <c r="P20" i="99"/>
  <c r="Q20" i="99"/>
  <c r="R20" i="99"/>
  <c r="N20" i="99"/>
  <c r="D25" i="99" l="1"/>
  <c r="K86" i="98" l="1"/>
  <c r="C92" i="98" l="1"/>
  <c r="C88" i="98"/>
  <c r="N94" i="98"/>
  <c r="C87" i="98" l="1"/>
  <c r="G92" i="98"/>
  <c r="D90" i="98"/>
  <c r="G88" i="98"/>
  <c r="D94" i="98"/>
  <c r="Q94" i="98"/>
  <c r="R94" i="98"/>
  <c r="O94" i="98"/>
  <c r="P94" i="98"/>
  <c r="D93" i="98" l="1"/>
  <c r="F93" i="98" s="1"/>
  <c r="D89" i="98"/>
  <c r="F89" i="98" s="1"/>
  <c r="F95" i="98"/>
  <c r="F91" i="98"/>
  <c r="I7" i="99" l="1"/>
  <c r="J7" i="99"/>
  <c r="F94" i="98" l="1"/>
  <c r="F92" i="98" s="1"/>
  <c r="H92" i="98" s="1"/>
  <c r="F90" i="98"/>
  <c r="F88" i="98" s="1"/>
  <c r="H88" i="98" s="1"/>
  <c r="J43" i="98"/>
  <c r="L43" i="98" s="1"/>
  <c r="P43" i="98"/>
  <c r="R43" i="98" s="1"/>
  <c r="V43" i="98"/>
  <c r="X43" i="98" s="1"/>
  <c r="R21" i="99" l="1"/>
  <c r="H96" i="98"/>
  <c r="Q21" i="99"/>
  <c r="O21" i="99"/>
  <c r="P21" i="99"/>
  <c r="X48" i="98" l="1"/>
  <c r="R48" i="98"/>
  <c r="L48" i="98"/>
  <c r="F48" i="98"/>
  <c r="H97" i="98"/>
  <c r="F20" i="100" l="1"/>
  <c r="I21" i="99"/>
  <c r="K15" i="100" l="1"/>
  <c r="I15" i="100"/>
  <c r="G15" i="100"/>
  <c r="F30" i="95" l="1"/>
  <c r="I43" i="100"/>
  <c r="H43" i="100"/>
  <c r="G43" i="100"/>
  <c r="L20" i="100"/>
  <c r="J20" i="100"/>
  <c r="H27" i="99" s="1"/>
  <c r="H20" i="100"/>
  <c r="F27" i="99" s="1"/>
  <c r="F25" i="99"/>
  <c r="D26" i="99"/>
  <c r="C50" i="98" l="1"/>
  <c r="U50" i="98" s="1"/>
  <c r="X50" i="98" s="1"/>
  <c r="Z50" i="98" s="1"/>
  <c r="C70" i="98"/>
  <c r="H25" i="99"/>
  <c r="J27" i="99"/>
  <c r="J25" i="99"/>
  <c r="I28" i="100"/>
  <c r="E28" i="100"/>
  <c r="K20" i="100"/>
  <c r="I20" i="100"/>
  <c r="G20" i="100"/>
  <c r="E19" i="100"/>
  <c r="E21" i="100" s="1"/>
  <c r="K18" i="100"/>
  <c r="L18" i="100" s="1"/>
  <c r="I18" i="100"/>
  <c r="J18" i="100" s="1"/>
  <c r="G18" i="100"/>
  <c r="H18" i="100" s="1"/>
  <c r="L16" i="100"/>
  <c r="I37" i="95" s="1"/>
  <c r="J16" i="100"/>
  <c r="H37" i="95" s="1"/>
  <c r="H16" i="100"/>
  <c r="G37" i="95" s="1"/>
  <c r="F16" i="100"/>
  <c r="F37" i="95" s="1"/>
  <c r="L15" i="100"/>
  <c r="I36" i="95" s="1"/>
  <c r="J15" i="100"/>
  <c r="H36" i="95" s="1"/>
  <c r="H15" i="100"/>
  <c r="G36" i="95" s="1"/>
  <c r="F15" i="100"/>
  <c r="F36" i="95" s="1"/>
  <c r="E56" i="100"/>
  <c r="U70" i="98" l="1"/>
  <c r="I50" i="98"/>
  <c r="O50" i="98"/>
  <c r="R50" i="98" s="1"/>
  <c r="T50" i="98" s="1"/>
  <c r="F50" i="98"/>
  <c r="H50" i="98" s="1"/>
  <c r="I70" i="98"/>
  <c r="O70" i="98"/>
  <c r="D27" i="99"/>
  <c r="C48" i="98" s="1"/>
  <c r="F26" i="99"/>
  <c r="F54" i="100"/>
  <c r="F27" i="95" s="1"/>
  <c r="G45" i="100"/>
  <c r="G30" i="95" s="1"/>
  <c r="H45" i="100"/>
  <c r="H30" i="95" s="1"/>
  <c r="I45" i="100"/>
  <c r="I30" i="95" s="1"/>
  <c r="K19" i="100"/>
  <c r="K21" i="100" s="1"/>
  <c r="J26" i="99"/>
  <c r="I19" i="100"/>
  <c r="I21" i="100" s="1"/>
  <c r="H26" i="99"/>
  <c r="G19" i="100"/>
  <c r="G21" i="100" s="1"/>
  <c r="F55" i="100"/>
  <c r="F28" i="95" s="1"/>
  <c r="H19" i="100"/>
  <c r="F19" i="100"/>
  <c r="F52" i="100"/>
  <c r="F53" i="100"/>
  <c r="F26" i="95" s="1"/>
  <c r="L50" i="98" l="1"/>
  <c r="N50" i="98" s="1"/>
  <c r="I48" i="98"/>
  <c r="U48" i="98"/>
  <c r="O48" i="98"/>
  <c r="G52" i="100"/>
  <c r="F25" i="95"/>
  <c r="L19" i="100"/>
  <c r="H21" i="100"/>
  <c r="J19" i="100"/>
  <c r="C64" i="100"/>
  <c r="I64" i="100" s="1"/>
  <c r="F21" i="100"/>
  <c r="G25" i="95" l="1"/>
  <c r="H52" i="100"/>
  <c r="H25" i="95" s="1"/>
  <c r="G53" i="100"/>
  <c r="H53" i="100" s="1"/>
  <c r="H26" i="95" s="1"/>
  <c r="G38" i="95"/>
  <c r="F38" i="95"/>
  <c r="L21" i="100"/>
  <c r="D64" i="100"/>
  <c r="K64" i="100" s="1"/>
  <c r="E64" i="100"/>
  <c r="F64" i="100"/>
  <c r="G64" i="100"/>
  <c r="H64" i="100"/>
  <c r="J21" i="100"/>
  <c r="B80" i="98"/>
  <c r="B79" i="98"/>
  <c r="B78" i="98"/>
  <c r="B77" i="98"/>
  <c r="X70" i="98"/>
  <c r="Z70" i="98" s="1"/>
  <c r="X69" i="98"/>
  <c r="X65" i="98"/>
  <c r="X61" i="98"/>
  <c r="R70" i="98"/>
  <c r="T70" i="98" s="1"/>
  <c r="R69" i="98"/>
  <c r="R65" i="98"/>
  <c r="R61" i="98"/>
  <c r="L70" i="98"/>
  <c r="N70" i="98" s="1"/>
  <c r="L69" i="98"/>
  <c r="L65" i="98"/>
  <c r="L61" i="98"/>
  <c r="V47" i="98"/>
  <c r="X47" i="98" s="1"/>
  <c r="P47" i="98"/>
  <c r="R47" i="98" s="1"/>
  <c r="J47" i="98"/>
  <c r="L47" i="98" s="1"/>
  <c r="I40" i="98"/>
  <c r="D47" i="98"/>
  <c r="F47" i="98" s="1"/>
  <c r="D43" i="98"/>
  <c r="F43" i="98" s="1"/>
  <c r="D21" i="99"/>
  <c r="E21" i="99"/>
  <c r="F21" i="99"/>
  <c r="G21" i="99"/>
  <c r="H21" i="99"/>
  <c r="C80" i="98"/>
  <c r="F61" i="98"/>
  <c r="F65" i="98"/>
  <c r="F69" i="98"/>
  <c r="E25" i="99" l="1"/>
  <c r="D41" i="98" s="1"/>
  <c r="G25" i="99"/>
  <c r="K25" i="99"/>
  <c r="I25" i="99"/>
  <c r="P41" i="98" s="1"/>
  <c r="E26" i="99"/>
  <c r="D45" i="98" s="1"/>
  <c r="K26" i="99"/>
  <c r="I26" i="99"/>
  <c r="G26" i="99"/>
  <c r="E38" i="99"/>
  <c r="E36" i="99"/>
  <c r="E34" i="99"/>
  <c r="G54" i="100"/>
  <c r="C50" i="100" s="1"/>
  <c r="F24" i="100" s="1"/>
  <c r="J42" i="98"/>
  <c r="L42" i="98" s="1"/>
  <c r="G26" i="95"/>
  <c r="J64" i="100"/>
  <c r="L64" i="100"/>
  <c r="I38" i="95"/>
  <c r="H38" i="95"/>
  <c r="C40" i="98"/>
  <c r="C44" i="98"/>
  <c r="O40" i="98"/>
  <c r="P42" i="98" s="1"/>
  <c r="U40" i="98"/>
  <c r="F70" i="98"/>
  <c r="L29" i="100" l="1"/>
  <c r="H26" i="100"/>
  <c r="L24" i="100"/>
  <c r="F26" i="100"/>
  <c r="J25" i="100"/>
  <c r="J27" i="100"/>
  <c r="J24" i="100"/>
  <c r="L25" i="100"/>
  <c r="H27" i="100"/>
  <c r="F29" i="100"/>
  <c r="J29" i="100"/>
  <c r="H29" i="100"/>
  <c r="L26" i="100"/>
  <c r="H24" i="100"/>
  <c r="L27" i="100"/>
  <c r="F25" i="100"/>
  <c r="F27" i="100"/>
  <c r="J26" i="100"/>
  <c r="H25" i="100"/>
  <c r="G27" i="95"/>
  <c r="H54" i="100"/>
  <c r="H27" i="95" s="1"/>
  <c r="J45" i="95"/>
  <c r="G55" i="100"/>
  <c r="H55" i="100" s="1"/>
  <c r="H28" i="95" s="1"/>
  <c r="D46" i="98"/>
  <c r="F46" i="98" s="1"/>
  <c r="V42" i="98"/>
  <c r="X42" i="98" s="1"/>
  <c r="J41" i="98"/>
  <c r="L41" i="98" s="1"/>
  <c r="L40" i="98" s="1"/>
  <c r="V41" i="98"/>
  <c r="X41" i="98" s="1"/>
  <c r="H70" i="98"/>
  <c r="D42" i="98"/>
  <c r="F42" i="98" s="1"/>
  <c r="R42" i="98"/>
  <c r="R41" i="98"/>
  <c r="F41" i="98"/>
  <c r="F45" i="98"/>
  <c r="R27" i="100" l="1"/>
  <c r="F40" i="98"/>
  <c r="G28" i="95"/>
  <c r="R40" i="98"/>
  <c r="X40" i="98"/>
  <c r="F44" i="98"/>
  <c r="X31" i="99" l="1"/>
  <c r="Y31" i="99" s="1"/>
  <c r="Q26" i="99"/>
  <c r="H28" i="100"/>
  <c r="V32" i="99"/>
  <c r="W32" i="99" s="1"/>
  <c r="O27" i="99"/>
  <c r="F30" i="100"/>
  <c r="X32" i="99"/>
  <c r="Y32" i="99" s="1"/>
  <c r="Q27" i="99"/>
  <c r="H30" i="100"/>
  <c r="V31" i="99"/>
  <c r="W31" i="99" s="1"/>
  <c r="O26" i="99"/>
  <c r="F28" i="100"/>
  <c r="AB32" i="99"/>
  <c r="AC32" i="99" s="1"/>
  <c r="U27" i="99"/>
  <c r="L30" i="100"/>
  <c r="Z32" i="99"/>
  <c r="AA32" i="99" s="1"/>
  <c r="S27" i="99"/>
  <c r="J30" i="100"/>
  <c r="AB33" i="99"/>
  <c r="AC33" i="99" s="1"/>
  <c r="U28" i="99"/>
  <c r="Z33" i="99"/>
  <c r="AA33" i="99" s="1"/>
  <c r="S28" i="99"/>
  <c r="X33" i="99"/>
  <c r="Y33" i="99" s="1"/>
  <c r="Q28" i="99"/>
  <c r="Z31" i="99"/>
  <c r="AA31" i="99" s="1"/>
  <c r="S26" i="99"/>
  <c r="J28" i="100"/>
  <c r="AB31" i="99"/>
  <c r="AC31" i="99" s="1"/>
  <c r="U26" i="99"/>
  <c r="L28" i="100"/>
  <c r="F34" i="100"/>
  <c r="H34" i="100"/>
  <c r="L34" i="100"/>
  <c r="J34" i="100"/>
  <c r="V33" i="99"/>
  <c r="W33" i="99" s="1"/>
  <c r="O28" i="99"/>
  <c r="H28" i="97"/>
  <c r="H29" i="97"/>
  <c r="J31" i="100" l="1"/>
  <c r="F31" i="100"/>
  <c r="F32" i="100" s="1"/>
  <c r="L31" i="100"/>
  <c r="C63" i="100" s="1"/>
  <c r="P26" i="99"/>
  <c r="D59" i="98" s="1"/>
  <c r="F59" i="98" s="1"/>
  <c r="C58" i="98"/>
  <c r="V26" i="99"/>
  <c r="V59" i="98" s="1"/>
  <c r="X59" i="98" s="1"/>
  <c r="U58" i="98"/>
  <c r="O62" i="98"/>
  <c r="T27" i="99"/>
  <c r="P63" i="98" s="1"/>
  <c r="R63" i="98" s="1"/>
  <c r="P27" i="99"/>
  <c r="D63" i="98" s="1"/>
  <c r="F63" i="98" s="1"/>
  <c r="C62" i="98"/>
  <c r="P28" i="99"/>
  <c r="D67" i="98" s="1"/>
  <c r="F67" i="98" s="1"/>
  <c r="C66" i="98"/>
  <c r="D68" i="98" s="1"/>
  <c r="F68" i="98" s="1"/>
  <c r="R28" i="99"/>
  <c r="J67" i="98" s="1"/>
  <c r="L67" i="98" s="1"/>
  <c r="I66" i="98"/>
  <c r="J68" i="98" s="1"/>
  <c r="L68" i="98" s="1"/>
  <c r="T28" i="99"/>
  <c r="P67" i="98" s="1"/>
  <c r="R67" i="98" s="1"/>
  <c r="O66" i="98"/>
  <c r="P68" i="98" s="1"/>
  <c r="R68" i="98" s="1"/>
  <c r="H31" i="100"/>
  <c r="I62" i="98"/>
  <c r="R27" i="99"/>
  <c r="J63" i="98" s="1"/>
  <c r="L63" i="98" s="1"/>
  <c r="O58" i="98"/>
  <c r="T26" i="99"/>
  <c r="P59" i="98" s="1"/>
  <c r="R59" i="98" s="1"/>
  <c r="U62" i="98"/>
  <c r="V27" i="99"/>
  <c r="V63" i="98" s="1"/>
  <c r="X63" i="98" s="1"/>
  <c r="R26" i="99"/>
  <c r="J59" i="98" s="1"/>
  <c r="L59" i="98" s="1"/>
  <c r="I58" i="98"/>
  <c r="U66" i="98"/>
  <c r="V68" i="98" s="1"/>
  <c r="X68" i="98" s="1"/>
  <c r="V28" i="99"/>
  <c r="V67" i="98" s="1"/>
  <c r="X67" i="98" s="1"/>
  <c r="J21" i="97"/>
  <c r="J20" i="97"/>
  <c r="J19" i="97"/>
  <c r="C20" i="97"/>
  <c r="C21" i="97"/>
  <c r="C19" i="97"/>
  <c r="J12" i="97"/>
  <c r="J11" i="97"/>
  <c r="C11" i="97"/>
  <c r="C12" i="97"/>
  <c r="C13" i="97"/>
  <c r="C10" i="97"/>
  <c r="I40" i="95" l="1"/>
  <c r="L32" i="100"/>
  <c r="L33" i="100" s="1"/>
  <c r="F40" i="95"/>
  <c r="C60" i="100"/>
  <c r="I60" i="100" s="1"/>
  <c r="X66" i="98"/>
  <c r="F66" i="98"/>
  <c r="L66" i="98"/>
  <c r="V64" i="98"/>
  <c r="X64" i="98" s="1"/>
  <c r="X62" i="98" s="1"/>
  <c r="Y58" i="98"/>
  <c r="P64" i="98"/>
  <c r="R64" i="98" s="1"/>
  <c r="R62" i="98" s="1"/>
  <c r="S58" i="98"/>
  <c r="V60" i="98"/>
  <c r="X60" i="98" s="1"/>
  <c r="X58" i="98" s="1"/>
  <c r="Y62" i="98"/>
  <c r="Y66" i="98"/>
  <c r="U57" i="98"/>
  <c r="U49" i="98" s="1"/>
  <c r="P60" i="98"/>
  <c r="R60" i="98" s="1"/>
  <c r="R58" i="98" s="1"/>
  <c r="S62" i="98"/>
  <c r="O57" i="98"/>
  <c r="O49" i="98" s="1"/>
  <c r="S66" i="98"/>
  <c r="J64" i="98"/>
  <c r="L64" i="98" s="1"/>
  <c r="L62" i="98" s="1"/>
  <c r="M58" i="98"/>
  <c r="F41" i="95"/>
  <c r="F33" i="100"/>
  <c r="D60" i="100"/>
  <c r="R66" i="98"/>
  <c r="D64" i="98"/>
  <c r="F64" i="98" s="1"/>
  <c r="F62" i="98" s="1"/>
  <c r="G58" i="98"/>
  <c r="J60" i="98"/>
  <c r="L60" i="98" s="1"/>
  <c r="L58" i="98" s="1"/>
  <c r="I57" i="98"/>
  <c r="M62" i="98"/>
  <c r="M66" i="98"/>
  <c r="G63" i="100"/>
  <c r="E63" i="100"/>
  <c r="I63" i="100"/>
  <c r="F63" i="100"/>
  <c r="H63" i="100"/>
  <c r="C61" i="100"/>
  <c r="G40" i="95"/>
  <c r="H32" i="100"/>
  <c r="C62" i="100"/>
  <c r="H40" i="95"/>
  <c r="J32" i="100"/>
  <c r="D60" i="98"/>
  <c r="F60" i="98" s="1"/>
  <c r="F58" i="98" s="1"/>
  <c r="C57" i="98"/>
  <c r="G62" i="98"/>
  <c r="G66" i="98"/>
  <c r="I41" i="95" l="1"/>
  <c r="D63" i="100"/>
  <c r="L63" i="100" s="1"/>
  <c r="N66" i="98"/>
  <c r="K60" i="100"/>
  <c r="G60" i="100"/>
  <c r="H60" i="100"/>
  <c r="F60" i="100"/>
  <c r="E60" i="100"/>
  <c r="Z58" i="98"/>
  <c r="Z66" i="98"/>
  <c r="H66" i="98"/>
  <c r="C65" i="100"/>
  <c r="C68" i="100" s="1"/>
  <c r="J60" i="100"/>
  <c r="L60" i="100"/>
  <c r="H58" i="98"/>
  <c r="H62" i="98"/>
  <c r="S44" i="98"/>
  <c r="S40" i="98"/>
  <c r="F61" i="100"/>
  <c r="I61" i="100"/>
  <c r="E61" i="100"/>
  <c r="H61" i="100"/>
  <c r="G61" i="100"/>
  <c r="I44" i="100"/>
  <c r="I46" i="100" s="1"/>
  <c r="I31" i="95" s="1"/>
  <c r="I42" i="95"/>
  <c r="F42" i="95"/>
  <c r="F44" i="100"/>
  <c r="I72" i="98"/>
  <c r="I49" i="98"/>
  <c r="T58" i="98"/>
  <c r="Y44" i="98"/>
  <c r="Y40" i="98"/>
  <c r="J33" i="100"/>
  <c r="H41" i="95"/>
  <c r="D62" i="100"/>
  <c r="K62" i="100" s="1"/>
  <c r="Z62" i="98"/>
  <c r="N58" i="98"/>
  <c r="T62" i="98"/>
  <c r="N62" i="98"/>
  <c r="C67" i="100"/>
  <c r="E62" i="100"/>
  <c r="G62" i="100"/>
  <c r="F62" i="100"/>
  <c r="I62" i="100"/>
  <c r="H62" i="100"/>
  <c r="H33" i="100"/>
  <c r="D61" i="100"/>
  <c r="G41" i="95"/>
  <c r="T66" i="98"/>
  <c r="K63" i="100" l="1"/>
  <c r="J63" i="100"/>
  <c r="H65" i="100"/>
  <c r="E70" i="100" s="1"/>
  <c r="E65" i="100"/>
  <c r="D68" i="100" s="1"/>
  <c r="Z71" i="98"/>
  <c r="X49" i="98" s="1"/>
  <c r="D65" i="100"/>
  <c r="G67" i="100" s="1"/>
  <c r="G72" i="100" s="1"/>
  <c r="D67" i="100"/>
  <c r="L62" i="100"/>
  <c r="G65" i="100"/>
  <c r="F68" i="100" s="1"/>
  <c r="I65" i="100"/>
  <c r="F70" i="100" s="1"/>
  <c r="F65" i="100"/>
  <c r="C70" i="100" s="1"/>
  <c r="J62" i="100"/>
  <c r="J61" i="100"/>
  <c r="K61" i="100"/>
  <c r="K65" i="100" s="1"/>
  <c r="G69" i="100" s="1"/>
  <c r="G74" i="100" s="1"/>
  <c r="L61" i="100"/>
  <c r="T71" i="98"/>
  <c r="R49" i="98" s="1"/>
  <c r="H71" i="98"/>
  <c r="F49" i="98" s="1"/>
  <c r="N71" i="98"/>
  <c r="L49" i="98" s="1"/>
  <c r="F46" i="100"/>
  <c r="M44" i="98"/>
  <c r="M40" i="98"/>
  <c r="G44" i="100"/>
  <c r="G46" i="100" s="1"/>
  <c r="G31" i="95" s="1"/>
  <c r="G42" i="95"/>
  <c r="H44" i="100"/>
  <c r="H46" i="100" s="1"/>
  <c r="H42" i="95"/>
  <c r="F69" i="100" l="1"/>
  <c r="C69" i="100"/>
  <c r="E67" i="100"/>
  <c r="J65" i="100"/>
  <c r="G68" i="100" s="1"/>
  <c r="G73" i="100" s="1"/>
  <c r="L65" i="100"/>
  <c r="G70" i="100" s="1"/>
  <c r="G75" i="100" s="1"/>
  <c r="D70" i="100"/>
  <c r="E69" i="100"/>
  <c r="E68" i="100"/>
  <c r="F67" i="100"/>
  <c r="D69" i="100"/>
  <c r="K44" i="100"/>
  <c r="K45" i="100"/>
  <c r="K43" i="100"/>
  <c r="K46" i="100"/>
  <c r="F31" i="95"/>
  <c r="L44" i="100"/>
  <c r="L45" i="100"/>
  <c r="L43" i="100"/>
  <c r="L46" i="100"/>
  <c r="H31" i="95"/>
  <c r="U44" i="98"/>
  <c r="V45" i="98"/>
  <c r="J45" i="98"/>
  <c r="L45" i="98" s="1"/>
  <c r="I44" i="98"/>
  <c r="C49" i="98"/>
  <c r="C39" i="98" s="1"/>
  <c r="P45" i="98"/>
  <c r="O44" i="98"/>
  <c r="C72" i="100" l="1" a="1"/>
  <c r="F75" i="100" s="1"/>
  <c r="M49" i="98"/>
  <c r="N49" i="98" s="1"/>
  <c r="M48" i="98"/>
  <c r="N48" i="98" s="1"/>
  <c r="I39" i="98"/>
  <c r="H72" i="98" s="1"/>
  <c r="S49" i="98"/>
  <c r="T49" i="98" s="1"/>
  <c r="S48" i="98"/>
  <c r="T48" i="98" s="1"/>
  <c r="O39" i="98"/>
  <c r="G44" i="98"/>
  <c r="G40" i="98"/>
  <c r="H40" i="98" s="1"/>
  <c r="G49" i="98"/>
  <c r="H49" i="98" s="1"/>
  <c r="G48" i="98"/>
  <c r="Y48" i="98"/>
  <c r="Z48" i="98" s="1"/>
  <c r="Y49" i="98"/>
  <c r="Z49" i="98" s="1"/>
  <c r="U39" i="98"/>
  <c r="R45" i="98"/>
  <c r="V46" i="98"/>
  <c r="Z40" i="98"/>
  <c r="P46" i="98"/>
  <c r="T40" i="98"/>
  <c r="J46" i="98"/>
  <c r="N40" i="98"/>
  <c r="X45" i="98"/>
  <c r="F73" i="100" l="1"/>
  <c r="C72" i="100"/>
  <c r="C73" i="100"/>
  <c r="D74" i="100"/>
  <c r="E75" i="100"/>
  <c r="D73" i="100"/>
  <c r="D72" i="100"/>
  <c r="E72" i="100"/>
  <c r="C75" i="100"/>
  <c r="F74" i="100"/>
  <c r="C74" i="100"/>
  <c r="E73" i="100"/>
  <c r="E74" i="100"/>
  <c r="F72" i="100"/>
  <c r="D75" i="100"/>
  <c r="I52" i="98"/>
  <c r="H48" i="98"/>
  <c r="C79" i="98" s="1"/>
  <c r="H44" i="98"/>
  <c r="C78" i="98" s="1"/>
  <c r="C77" i="98"/>
  <c r="L46" i="98"/>
  <c r="L44" i="98" s="1"/>
  <c r="N44" i="98" s="1"/>
  <c r="N51" i="98" s="1"/>
  <c r="X46" i="98"/>
  <c r="X44" i="98" s="1"/>
  <c r="Z44" i="98" s="1"/>
  <c r="Z51" i="98" s="1"/>
  <c r="R46" i="98"/>
  <c r="R44" i="98" s="1"/>
  <c r="T44" i="98" s="1"/>
  <c r="T51" i="98" s="1"/>
  <c r="O6" i="91"/>
  <c r="J69" i="100" l="1" a="1"/>
  <c r="J70" i="100" s="1"/>
  <c r="K70" i="100" s="1"/>
  <c r="H52" i="98"/>
  <c r="H53" i="98" s="1"/>
  <c r="H51" i="98"/>
  <c r="R30" i="96"/>
  <c r="R29" i="96"/>
  <c r="R28" i="96"/>
  <c r="R27" i="96"/>
  <c r="F27" i="96"/>
  <c r="F26" i="96"/>
  <c r="F25" i="96"/>
  <c r="A9" i="96"/>
  <c r="J69" i="100" l="1"/>
  <c r="J71" i="100"/>
  <c r="K71" i="100" s="1"/>
  <c r="J72" i="100"/>
  <c r="K72" i="100" s="1"/>
  <c r="F32" i="96"/>
  <c r="G32" i="96" s="1"/>
  <c r="F30" i="96"/>
  <c r="G30" i="96" s="1"/>
  <c r="F33" i="96"/>
  <c r="F31" i="96"/>
  <c r="J74" i="100" l="1"/>
  <c r="J50" i="95" s="1"/>
  <c r="O21" i="97"/>
  <c r="G31" i="96"/>
  <c r="G33" i="96"/>
  <c r="J75" i="100" l="1"/>
  <c r="N46" i="95" s="1"/>
  <c r="N51" i="95" s="1"/>
  <c r="N52" i="95" s="1"/>
  <c r="J47" i="95" s="1"/>
  <c r="O45" i="95"/>
  <c r="O50" i="95" s="1"/>
  <c r="O51" i="95" s="1"/>
  <c r="O22" i="97"/>
  <c r="O24" i="97" l="1"/>
  <c r="O23" i="97"/>
  <c r="L2" i="93"/>
  <c r="F37" i="91"/>
  <c r="F35" i="91"/>
  <c r="S32" i="94"/>
  <c r="H32" i="94" s="1"/>
  <c r="R32" i="94"/>
  <c r="Q32" i="94"/>
  <c r="P32" i="94"/>
  <c r="O32" i="94"/>
  <c r="G32" i="94"/>
  <c r="F32" i="94"/>
  <c r="E32" i="94"/>
  <c r="D32" i="94"/>
  <c r="S31" i="94"/>
  <c r="R31" i="94"/>
  <c r="Q31" i="94"/>
  <c r="P31" i="94"/>
  <c r="O31" i="94"/>
  <c r="H31" i="94"/>
  <c r="G31" i="94"/>
  <c r="F31" i="94"/>
  <c r="D31" i="94"/>
  <c r="H30" i="94"/>
  <c r="G30" i="94"/>
  <c r="F30" i="94"/>
  <c r="E30" i="94"/>
  <c r="D30" i="94"/>
  <c r="H29" i="94"/>
  <c r="G29" i="94"/>
  <c r="F29" i="94"/>
  <c r="E29" i="94"/>
  <c r="D29" i="94"/>
  <c r="H28" i="94"/>
  <c r="G28" i="94"/>
  <c r="F28" i="94"/>
  <c r="E28" i="94"/>
  <c r="D28" i="94"/>
  <c r="F27" i="94"/>
  <c r="N38" i="94" s="1"/>
  <c r="E27" i="94"/>
  <c r="N37" i="94" s="1"/>
  <c r="D27" i="94"/>
  <c r="N36" i="94" s="1"/>
  <c r="H26" i="94"/>
  <c r="G26" i="94"/>
  <c r="F26" i="94"/>
  <c r="E26" i="94"/>
  <c r="D26" i="94"/>
  <c r="H25" i="94"/>
  <c r="G25" i="94"/>
  <c r="F25" i="94"/>
  <c r="E25" i="94"/>
  <c r="D25" i="94"/>
  <c r="A9" i="94"/>
  <c r="H24" i="97" l="1"/>
  <c r="Q33" i="94"/>
  <c r="F33" i="94" s="1"/>
  <c r="O38" i="94" s="1"/>
  <c r="R33" i="94"/>
  <c r="O33" i="94"/>
  <c r="D33" i="94" s="1"/>
  <c r="O36" i="94" s="1"/>
  <c r="P33" i="94"/>
  <c r="E33" i="94" s="1"/>
  <c r="O37" i="94" s="1"/>
  <c r="G33" i="94"/>
  <c r="S33" i="94"/>
  <c r="H33" i="94" s="1"/>
  <c r="E31" i="94"/>
  <c r="Q40" i="94" l="1"/>
  <c r="H25" i="97"/>
  <c r="H27" i="97"/>
  <c r="G25" i="97"/>
  <c r="C26" i="97"/>
  <c r="C27" i="97"/>
  <c r="P40" i="94"/>
  <c r="P41" i="94" s="1"/>
  <c r="O40" i="94" s="1"/>
  <c r="O42" i="94"/>
  <c r="H38" i="94" s="1"/>
  <c r="H26" i="97" l="1"/>
  <c r="O41" i="94"/>
  <c r="H35" i="94"/>
  <c r="C5" i="93" s="1"/>
  <c r="L3" i="93" s="1"/>
  <c r="H41" i="94" l="1"/>
  <c r="C20" i="92"/>
  <c r="C21" i="92" l="1"/>
  <c r="C6" i="93"/>
  <c r="L4" i="93" s="1"/>
  <c r="O46" i="95" l="1"/>
  <c r="H30" i="97"/>
  <c r="H35" i="97" s="1"/>
  <c r="D36" i="92"/>
  <c r="D35" i="92"/>
  <c r="H31" i="97" l="1"/>
  <c r="H38" i="97" s="1"/>
  <c r="N47" i="95"/>
  <c r="L24" i="93"/>
  <c r="P24" i="93" s="1"/>
  <c r="Q13" i="91" l="1"/>
  <c r="X10" i="91" s="1"/>
  <c r="Y10" i="91"/>
  <c r="P6" i="91"/>
  <c r="Z32" i="91" l="1"/>
  <c r="Z31" i="91"/>
  <c r="T13" i="91"/>
  <c r="P7" i="91" s="1"/>
  <c r="P8" i="91" s="1"/>
  <c r="Q12" i="91" l="1"/>
  <c r="Q18" i="91" s="1"/>
  <c r="A8" i="91"/>
  <c r="Q27" i="91" l="1"/>
  <c r="Q20" i="91"/>
  <c r="X12" i="91"/>
  <c r="Q26" i="91"/>
  <c r="Q23" i="91"/>
  <c r="Q19" i="91"/>
  <c r="Q24" i="91"/>
  <c r="Q21" i="91"/>
  <c r="Q22" i="91"/>
  <c r="Q25" i="91"/>
  <c r="R18" i="91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I28" i="91" l="1"/>
  <c r="I29" i="91"/>
  <c r="S18" i="91"/>
  <c r="R19" i="91"/>
  <c r="A5" i="49"/>
  <c r="S19" i="91" l="1"/>
  <c r="R20" i="91"/>
  <c r="D25" i="91"/>
  <c r="B5" i="49"/>
  <c r="A7" i="49" s="1"/>
  <c r="C5" i="49" l="1"/>
  <c r="S20" i="91"/>
  <c r="R21" i="91"/>
  <c r="P39" i="91"/>
  <c r="O39" i="91"/>
  <c r="N39" i="91"/>
  <c r="B7" i="49"/>
  <c r="C7" i="49" s="1"/>
  <c r="S21" i="91" l="1"/>
  <c r="R22" i="91"/>
  <c r="D26" i="91"/>
  <c r="N40" i="91"/>
  <c r="P40" i="91"/>
  <c r="O40" i="91"/>
  <c r="S22" i="91" l="1"/>
  <c r="R23" i="91"/>
  <c r="D27" i="91"/>
  <c r="P41" i="91"/>
  <c r="O41" i="91"/>
  <c r="N41" i="91"/>
  <c r="S23" i="91" l="1"/>
  <c r="R24" i="91"/>
  <c r="D28" i="91"/>
  <c r="O42" i="91"/>
  <c r="N42" i="91"/>
  <c r="P42" i="91"/>
  <c r="S24" i="91" l="1"/>
  <c r="R25" i="91"/>
  <c r="D29" i="91"/>
  <c r="N43" i="91"/>
  <c r="P43" i="91"/>
  <c r="O43" i="91"/>
  <c r="S25" i="91" l="1"/>
  <c r="R26" i="91"/>
  <c r="N44" i="91"/>
  <c r="P44" i="91"/>
  <c r="O44" i="91"/>
  <c r="S26" i="91" l="1"/>
  <c r="N46" i="91" s="1"/>
  <c r="R27" i="91"/>
  <c r="D30" i="91"/>
  <c r="P45" i="91"/>
  <c r="N45" i="91"/>
  <c r="O45" i="91"/>
  <c r="G28" i="91" l="1"/>
  <c r="S27" i="91"/>
  <c r="C4" i="93" s="1"/>
  <c r="O46" i="91"/>
  <c r="P46" i="91"/>
  <c r="Q33" i="91" l="1"/>
  <c r="Q32" i="91"/>
  <c r="Q31" i="91"/>
  <c r="Q28" i="91"/>
  <c r="Q29" i="91"/>
  <c r="Q30" i="91"/>
  <c r="Q35" i="91"/>
  <c r="Q34" i="91"/>
  <c r="O47" i="91"/>
  <c r="N47" i="91"/>
  <c r="P47" i="91"/>
  <c r="D31" i="91"/>
  <c r="R28" i="91" l="1"/>
  <c r="I30" i="91"/>
  <c r="I31" i="91"/>
  <c r="I32" i="91"/>
  <c r="S28" i="91" l="1"/>
  <c r="R29" i="91"/>
  <c r="S29" i="91" l="1"/>
  <c r="R30" i="91"/>
  <c r="D32" i="91"/>
  <c r="N48" i="91"/>
  <c r="O48" i="91"/>
  <c r="P48" i="91"/>
  <c r="N49" i="91" l="1"/>
  <c r="C11" i="92"/>
  <c r="P49" i="91"/>
  <c r="O49" i="91"/>
  <c r="S30" i="91"/>
  <c r="N50" i="91" s="1"/>
  <c r="R31" i="91"/>
  <c r="O50" i="91" l="1"/>
  <c r="P50" i="91"/>
  <c r="S31" i="91"/>
  <c r="O51" i="91" s="1"/>
  <c r="R32" i="91"/>
  <c r="D33" i="91"/>
  <c r="P51" i="91" l="1"/>
  <c r="N51" i="91"/>
  <c r="S32" i="91"/>
  <c r="P52" i="91" s="1"/>
  <c r="R33" i="91"/>
  <c r="D34" i="91"/>
  <c r="N52" i="91" l="1"/>
  <c r="O52" i="91"/>
  <c r="C12" i="92"/>
  <c r="S33" i="91"/>
  <c r="P53" i="91" s="1"/>
  <c r="R34" i="91"/>
  <c r="D35" i="91"/>
  <c r="N53" i="91" l="1"/>
  <c r="O53" i="91"/>
  <c r="S34" i="91"/>
  <c r="N54" i="91" s="1"/>
  <c r="R35" i="91"/>
  <c r="S35" i="91" s="1"/>
  <c r="D36" i="91"/>
  <c r="C3" i="93" l="1"/>
  <c r="C13" i="92"/>
  <c r="O54" i="91"/>
  <c r="P54" i="91"/>
  <c r="G33" i="91"/>
  <c r="G30" i="91" s="1"/>
  <c r="D38" i="91"/>
  <c r="D37" i="91"/>
  <c r="O55" i="91"/>
  <c r="N55" i="91"/>
  <c r="P55" i="91"/>
  <c r="D34" i="92" l="1"/>
  <c r="D33" i="92"/>
  <c r="L18" i="93"/>
  <c r="P18" i="93" s="1"/>
  <c r="L11" i="93"/>
  <c r="L16" i="93"/>
  <c r="P16" i="93" s="1"/>
  <c r="L20" i="93"/>
  <c r="P20" i="93" s="1"/>
  <c r="L12" i="93"/>
  <c r="P12" i="93" s="1"/>
  <c r="L21" i="93"/>
  <c r="P21" i="93" s="1"/>
  <c r="L19" i="93"/>
  <c r="P19" i="93" s="1"/>
  <c r="L23" i="93"/>
  <c r="P23" i="93" s="1"/>
  <c r="M15" i="93"/>
  <c r="M11" i="93"/>
  <c r="L17" i="93"/>
  <c r="P17" i="93" s="1"/>
  <c r="L15" i="93"/>
  <c r="L22" i="93"/>
  <c r="P22" i="93" s="1"/>
  <c r="C38" i="92" l="1"/>
  <c r="D38" i="92" s="1"/>
  <c r="F38" i="92" s="1"/>
  <c r="P15" i="93"/>
  <c r="P11" i="93"/>
  <c r="C23" i="92" l="1"/>
  <c r="J29" i="92" s="1"/>
  <c r="N29" i="92" l="1"/>
  <c r="E29" i="92"/>
  <c r="I29" i="92"/>
  <c r="F29" i="92"/>
  <c r="D29" i="92"/>
  <c r="G29" i="92"/>
  <c r="L29" i="92"/>
  <c r="M29" i="92"/>
  <c r="O29" i="92"/>
  <c r="H29" i="92"/>
  <c r="K29" i="92"/>
  <c r="E30" i="92" l="1"/>
  <c r="L30" i="92"/>
  <c r="G30" i="92"/>
  <c r="F30" i="92"/>
  <c r="D30" i="92"/>
  <c r="I30" i="92"/>
  <c r="H30" i="92"/>
  <c r="O30" i="92"/>
  <c r="K30" i="92"/>
  <c r="M30" i="92"/>
  <c r="J30" i="92"/>
  <c r="N30" i="92"/>
  <c r="P36" i="91"/>
  <c r="Q36" i="91" s="1"/>
  <c r="H35" i="91"/>
  <c r="D31" i="92" l="1"/>
  <c r="J26" i="92" s="1"/>
  <c r="H37" i="91" s="1"/>
  <c r="X11" i="91"/>
  <c r="X13" i="91" s="1"/>
  <c r="Q14" i="91" s="1"/>
  <c r="R36" i="91"/>
  <c r="S36" i="91" s="1"/>
  <c r="S37" i="91" s="1"/>
  <c r="I33" i="91"/>
  <c r="N56" i="91" l="1"/>
  <c r="N59" i="91" s="1"/>
  <c r="P56" i="91"/>
  <c r="P59" i="91" s="1"/>
  <c r="O56" i="91"/>
  <c r="O59" i="91" s="1"/>
  <c r="P60" i="91" l="1"/>
  <c r="E3" i="93" s="1"/>
  <c r="L5" i="93" s="1"/>
  <c r="P61" i="91"/>
  <c r="E4" i="93" s="1"/>
  <c r="L6" i="93" s="1"/>
  <c r="O10" i="93" l="1"/>
  <c r="N10" i="93"/>
  <c r="O9" i="93"/>
  <c r="N9" i="93"/>
  <c r="L10" i="93"/>
  <c r="N14" i="93"/>
  <c r="M10" i="93"/>
  <c r="O13" i="93"/>
  <c r="L13" i="93"/>
  <c r="L9" i="93"/>
  <c r="M13" i="93"/>
  <c r="L14" i="93"/>
  <c r="N13" i="93"/>
  <c r="M9" i="93"/>
  <c r="O14" i="93"/>
  <c r="M14" i="93"/>
  <c r="P9" i="93" l="1"/>
  <c r="P13" i="93"/>
  <c r="P10" i="93"/>
  <c r="P14" i="93"/>
  <c r="Q9" i="93" l="1"/>
  <c r="G4" i="93" s="1"/>
  <c r="C81" i="98" l="1"/>
  <c r="D80" i="98" l="1"/>
  <c r="D81" i="98"/>
  <c r="D79" i="98"/>
  <c r="D77" i="98"/>
  <c r="D78" i="98"/>
  <c r="N28" i="95" l="1"/>
  <c r="N29" i="95"/>
  <c r="N30" i="95"/>
  <c r="N31" i="95"/>
  <c r="O28" i="95"/>
  <c r="O29" i="95"/>
  <c r="O30" i="95"/>
  <c r="O31" i="95"/>
</calcChain>
</file>

<file path=xl/sharedStrings.xml><?xml version="1.0" encoding="utf-8"?>
<sst xmlns="http://schemas.openxmlformats.org/spreadsheetml/2006/main" count="1380" uniqueCount="668">
  <si>
    <t>LABORATORIO DE ENSAYO DE MATERIALES</t>
  </si>
  <si>
    <t>CLIENTE</t>
  </si>
  <si>
    <t>:</t>
  </si>
  <si>
    <t xml:space="preserve">                 CÓDIGO</t>
  </si>
  <si>
    <t>F-LEM-P-SU-19.02</t>
  </si>
  <si>
    <t>DIRECCIÓN **</t>
  </si>
  <si>
    <t>N° OT</t>
  </si>
  <si>
    <t>PROYECTO **</t>
  </si>
  <si>
    <t>FECHA EMISIÓN:</t>
  </si>
  <si>
    <t>UBICACIÓN **</t>
  </si>
  <si>
    <t>** Datos proporcionados por el cliente</t>
  </si>
  <si>
    <t>STANDARD TEST METHODS FOR
LABORATORY COMPACTION CHARACTERISTICS OF SOIL USING MODIFIED EFFORT (56,000 ft-lbf/ft³ (2,700 kN-m/m³))</t>
  </si>
  <si>
    <t>ASTM D1557-12(2021)</t>
  </si>
  <si>
    <t>DATOS DE LA MUESTRA</t>
  </si>
  <si>
    <t>CANTERA / SONDAJE **</t>
  </si>
  <si>
    <t>CÓDIGO DE LA MUESTRA</t>
  </si>
  <si>
    <t>N° MUESTRA **</t>
  </si>
  <si>
    <t>M-1</t>
  </si>
  <si>
    <t>FECHA DE RECEPCIÓN</t>
  </si>
  <si>
    <t>TIPO DE MUESTRA**</t>
  </si>
  <si>
    <t>FECHA DE EJECUCIÓN</t>
  </si>
  <si>
    <t>LUGAR DE ENSAYO</t>
  </si>
  <si>
    <t>Laboratorio de materiales</t>
  </si>
  <si>
    <t>Densidad húmeda</t>
  </si>
  <si>
    <t>Prueba Nº</t>
  </si>
  <si>
    <t>Número de capas</t>
  </si>
  <si>
    <t>Número de golpes</t>
  </si>
  <si>
    <t>Masa suelo compactado (g)</t>
  </si>
  <si>
    <r>
      <t>Densidad húmeda (g/cm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)</t>
    </r>
  </si>
  <si>
    <t>Contenido humedad - Densidad Seca</t>
  </si>
  <si>
    <t>Recipiente Nº</t>
  </si>
  <si>
    <t>Masa de agua (g)</t>
  </si>
  <si>
    <t>Masa de suelo seco (g)</t>
  </si>
  <si>
    <t>Contenido de Humedad suelo (%)</t>
  </si>
  <si>
    <r>
      <t>Densidad Seca (g/cm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)</t>
    </r>
  </si>
  <si>
    <t>Método de Ensayo</t>
  </si>
  <si>
    <t>PESO UNITARIO SECO MÁXIMO</t>
  </si>
  <si>
    <t>ÓPTIMO CONTENIDO DE AGUA</t>
  </si>
  <si>
    <t>VALORES  (g/cm3)</t>
  </si>
  <si>
    <t>Página 1 de 2</t>
  </si>
  <si>
    <t>Designaciòn de Tamices</t>
  </si>
  <si>
    <t>Masa retenida en el tamiz (g)</t>
  </si>
  <si>
    <t xml:space="preserve"> Porcenteje Reten. Tamiz (%) </t>
  </si>
  <si>
    <t>Porcentaje acum. Reten. (%)</t>
  </si>
  <si>
    <t>Porcentaje que pasa el tamiz (%)</t>
  </si>
  <si>
    <t>3/4 in. (19mm)</t>
  </si>
  <si>
    <t xml:space="preserve">3/8 in (9.5 mm) </t>
  </si>
  <si>
    <t>No. 4 (4.75 mm)</t>
  </si>
  <si>
    <t>Menor (No. 4)</t>
  </si>
  <si>
    <t>Curva de 100% saturación</t>
  </si>
  <si>
    <t>Total</t>
  </si>
  <si>
    <t>gd</t>
  </si>
  <si>
    <t>wsat</t>
  </si>
  <si>
    <t>Contenido de agua saturación</t>
  </si>
  <si>
    <t>Gravedad especifica de sólido del suelo</t>
  </si>
  <si>
    <t>contenido de agua saturación (%)</t>
  </si>
  <si>
    <t xml:space="preserve">Gravedad especifica de sólido del suelo: </t>
  </si>
  <si>
    <t>Descripción de la muestra:</t>
  </si>
  <si>
    <t>- Condición de la muestra</t>
  </si>
  <si>
    <t>- Tamaño máximo de la particula (in.)</t>
  </si>
  <si>
    <t>- Forma de la particula</t>
  </si>
  <si>
    <t xml:space="preserve">Condiciones del ensayo </t>
  </si>
  <si>
    <t>- Se excluyó algún material de la muestra de ensayo</t>
  </si>
  <si>
    <t>No</t>
  </si>
  <si>
    <t>- Método de Preparación</t>
  </si>
  <si>
    <t>- Tipo de Apisonador</t>
  </si>
  <si>
    <t xml:space="preserve">- Contenido de Humedad natural </t>
  </si>
  <si>
    <t>-</t>
  </si>
  <si>
    <t>- Clasificación muestra ASTM D2487-17</t>
  </si>
  <si>
    <t>- Tamiz para la selección del Metodo (in)</t>
  </si>
  <si>
    <t>Nota:</t>
  </si>
  <si>
    <t>Observaciones:</t>
  </si>
  <si>
    <t>Página 2 de 2</t>
  </si>
  <si>
    <t>Fin del Informe</t>
  </si>
  <si>
    <t>COMPACTACIÓN</t>
  </si>
  <si>
    <t>Informacion para la Correccion por Certificado de Calibración: balanza 15kg</t>
  </si>
  <si>
    <t>MOLDE</t>
  </si>
  <si>
    <t>Precision Balanza al</t>
  </si>
  <si>
    <t>Correccion</t>
  </si>
  <si>
    <t>Codigo balanza</t>
  </si>
  <si>
    <t>EQP-0054</t>
  </si>
  <si>
    <t>EQP-0046</t>
  </si>
  <si>
    <t>Fecha de calibración</t>
  </si>
  <si>
    <t>Compactación</t>
  </si>
  <si>
    <t>DATOS</t>
  </si>
  <si>
    <t>CORRECCIÓN</t>
  </si>
  <si>
    <t>Masa suelo + molde (g)</t>
  </si>
  <si>
    <t>Masa molde (g)</t>
  </si>
  <si>
    <r>
      <t>Volúmen del molde (cm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)</t>
    </r>
  </si>
  <si>
    <t>Densidad húmeda (g/cm3)</t>
  </si>
  <si>
    <t>4 digitos</t>
  </si>
  <si>
    <t>Humedad (%)</t>
  </si>
  <si>
    <t>Tara Nº</t>
  </si>
  <si>
    <t>Tara + suelo húmedo (g)</t>
  </si>
  <si>
    <t>Tara + suelo seco 1(g)</t>
  </si>
  <si>
    <t>Tara + suelo seco 2 (g)</t>
  </si>
  <si>
    <t>Tara + suelo seco 3 (g)</t>
  </si>
  <si>
    <t>Masa de tara (g)</t>
  </si>
  <si>
    <t>Contenido de Humedad moldeo (%)</t>
  </si>
  <si>
    <t>Reportar al 0.1%</t>
  </si>
  <si>
    <r>
      <t>Densidad Seca (g/cm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)</t>
    </r>
  </si>
  <si>
    <t xml:space="preserve">Perdida de masa seca constante es &lt; 0.1% </t>
  </si>
  <si>
    <t>Posicion</t>
  </si>
  <si>
    <t>peso unitario del agua</t>
  </si>
  <si>
    <t>Peso unitario seco del suelo</t>
  </si>
  <si>
    <t>Gravedad especifica del suelo</t>
  </si>
  <si>
    <t>contenido de agua saturación</t>
  </si>
  <si>
    <t>%</t>
  </si>
  <si>
    <t>19 mm (¾ in.)</t>
  </si>
  <si>
    <t>9.5 mm (3/8 in.)</t>
  </si>
  <si>
    <t>4.75 mm (No. 4)</t>
  </si>
  <si>
    <t>Xi</t>
  </si>
  <si>
    <t>Yi</t>
  </si>
  <si>
    <t>Xi2</t>
  </si>
  <si>
    <t>Xi3</t>
  </si>
  <si>
    <t>Xi4</t>
  </si>
  <si>
    <t>Xi5</t>
  </si>
  <si>
    <t>Xi6</t>
  </si>
  <si>
    <t>XiYi</t>
  </si>
  <si>
    <t>Xi2Yi</t>
  </si>
  <si>
    <t>Xi3Yi</t>
  </si>
  <si>
    <t>Cte.</t>
  </si>
  <si>
    <t>X</t>
  </si>
  <si>
    <t>X2</t>
  </si>
  <si>
    <t>X3</t>
  </si>
  <si>
    <t>x=</t>
  </si>
  <si>
    <t>ÓPTIMO CONTENIDO DE HUMEDAD</t>
  </si>
  <si>
    <t>y=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</si>
  <si>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</si>
  <si>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</si>
  <si>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</si>
  <si>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</si>
  <si>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</si>
  <si>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</si>
  <si>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</si>
  <si>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</si>
  <si>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STANDARD TEST METHODS FOR LABORATORY COMPACTION CHARACTERISTICS OF SOIL USING MODIFIED EFFORT (56,000 ft-lbf/ft³ (2,700 kN-m/m³))</t>
  </si>
  <si>
    <t>Norma:</t>
  </si>
  <si>
    <t>Matriz:</t>
  </si>
  <si>
    <t>Suelo</t>
  </si>
  <si>
    <t>Variables:</t>
  </si>
  <si>
    <t>CH</t>
  </si>
  <si>
    <t>Mt = Masa de suelo en molde y molde</t>
  </si>
  <si>
    <t>Masa humeda (Mcms)</t>
  </si>
  <si>
    <t>Mmd = Masa del molde de compactación</t>
  </si>
  <si>
    <t>Masa seca ( Mcdc)</t>
  </si>
  <si>
    <t>V= Volumen de molde de compactación</t>
  </si>
  <si>
    <t>Masa tara (Mc)</t>
  </si>
  <si>
    <t>K:Constante de conversión (unidades-densidad)</t>
  </si>
  <si>
    <t>Fórmula:</t>
  </si>
  <si>
    <t xml:space="preserve"> </t>
  </si>
  <si>
    <t>Equipos a utilizar:</t>
  </si>
  <si>
    <t>Balanza con resulución de lectura de 0.1g y 0.01g</t>
  </si>
  <si>
    <t>Paso 2. Definición de las variables aleatorias</t>
  </si>
  <si>
    <t>Fuentes</t>
  </si>
  <si>
    <t>Unidades</t>
  </si>
  <si>
    <t>Valor</t>
  </si>
  <si>
    <t>Incertidumbre Original</t>
  </si>
  <si>
    <t>Distribución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</si>
  <si>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</si>
  <si>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t>Coeficiente de Sensibilidad</t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</si>
  <si>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</si>
  <si>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 xml:space="preserve">Maxima Densidad Seca </t>
  </si>
  <si>
    <t>(g/cm3)</t>
  </si>
  <si>
    <t>---</t>
  </si>
  <si>
    <t>Masa molde + Suelo Humedo</t>
  </si>
  <si>
    <t>g.</t>
  </si>
  <si>
    <t>Repetibilidad de la pesada</t>
  </si>
  <si>
    <t>Normal, K=1</t>
  </si>
  <si>
    <t>Certificado de Calibración</t>
  </si>
  <si>
    <t>Normal, K=2</t>
  </si>
  <si>
    <t>Resolución</t>
  </si>
  <si>
    <t>Rectangular</t>
  </si>
  <si>
    <t xml:space="preserve">Masa Molde </t>
  </si>
  <si>
    <t>Volumen del Molde</t>
  </si>
  <si>
    <t>cm3</t>
  </si>
  <si>
    <t>Contenido humedad</t>
  </si>
  <si>
    <t>factor de presición MDS</t>
  </si>
  <si>
    <t>Incertidumbre Estándar Combinada por cada Densidad Humeda (g/cm3)</t>
  </si>
  <si>
    <t xml:space="preserve"> (g/cm3)</t>
  </si>
  <si>
    <t>Incertidumbre Expandida, K = 2</t>
  </si>
  <si>
    <t>Masa Humeda y tara</t>
  </si>
  <si>
    <t>g</t>
  </si>
  <si>
    <t>Masa Seca y tara</t>
  </si>
  <si>
    <t>Masa Tara</t>
  </si>
  <si>
    <t>factor de presición OCH</t>
  </si>
  <si>
    <t>Norma, K=1</t>
  </si>
  <si>
    <t>Incertidumbre Estándar Combinada</t>
  </si>
  <si>
    <t>CONTRIBUCION</t>
  </si>
  <si>
    <t>Factor de influencia</t>
  </si>
  <si>
    <t>valor</t>
  </si>
  <si>
    <t>MOLDE USADO</t>
  </si>
  <si>
    <t>Volumen molde</t>
  </si>
  <si>
    <t>mm3</t>
  </si>
  <si>
    <t xml:space="preserve"> VERIFICACION MOLDE</t>
  </si>
  <si>
    <t>diametro 6</t>
  </si>
  <si>
    <t>altura 6</t>
  </si>
  <si>
    <t>diametro 4</t>
  </si>
  <si>
    <t>altura 4</t>
  </si>
  <si>
    <t>Altura</t>
  </si>
  <si>
    <t>mm</t>
  </si>
  <si>
    <t>DIAMENTRO P</t>
  </si>
  <si>
    <t>ALTURA P</t>
  </si>
  <si>
    <t>Repetibilidad medida</t>
  </si>
  <si>
    <t>Diametro</t>
  </si>
  <si>
    <t>u</t>
  </si>
  <si>
    <t>CALIBRACION DE LA BALANZA</t>
  </si>
  <si>
    <t>VALOR ADOPTADO</t>
  </si>
  <si>
    <t>Variables</t>
  </si>
  <si>
    <t>Ecuacion</t>
  </si>
  <si>
    <t>Resolucion</t>
  </si>
  <si>
    <t xml:space="preserve">Codigo </t>
  </si>
  <si>
    <t>ITEM</t>
  </si>
  <si>
    <t>MES</t>
  </si>
  <si>
    <t>DESV STD</t>
  </si>
  <si>
    <t>Busqueda de Repetibilidad de la masa</t>
  </si>
  <si>
    <t>ENSAYO DE LA MUESTRA</t>
  </si>
  <si>
    <t>Densidad humeda</t>
  </si>
  <si>
    <r>
      <t>Volúmen del molde (cm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)</t>
    </r>
  </si>
  <si>
    <t>humedad (%) y densidad seca</t>
  </si>
  <si>
    <t>PISÓN</t>
  </si>
  <si>
    <t xml:space="preserve">Peso del Pisón medido (g)                             </t>
  </si>
  <si>
    <t>Molde de 6 in</t>
  </si>
  <si>
    <t>Promedio Masa del agua</t>
  </si>
  <si>
    <t>Molde de 4 in</t>
  </si>
  <si>
    <t>Fecha de evaluacion:</t>
  </si>
  <si>
    <t>FECHA DE EMISIÓN:</t>
  </si>
  <si>
    <t>STANDARD PRACTICE FOR CORRECTION OF UNIT WEIGHT AND WATER CONTENT FOR SOILS CONTAINING OVERSIZE PARTICLES</t>
  </si>
  <si>
    <t>ASTM D4718</t>
  </si>
  <si>
    <t>CODIGO DE LA MUESTRA</t>
  </si>
  <si>
    <t>Tamiz</t>
  </si>
  <si>
    <t>% Reten. Acumulado</t>
  </si>
  <si>
    <t>19 mm ( ¾” )</t>
  </si>
  <si>
    <t xml:space="preserve"> Laboratorio de Ensayo de Materiales</t>
  </si>
  <si>
    <t>9.5 mm ( 3/8” )</t>
  </si>
  <si>
    <t>1.0 DATOS DEL ENSAYO DE COMPACTACIÒN</t>
  </si>
  <si>
    <t>4.75 mm ( Nº 4 )</t>
  </si>
  <si>
    <t>Metodo de compactaciòn</t>
  </si>
  <si>
    <t>Menor ( Nº 4 )</t>
  </si>
  <si>
    <t>Tamaño de tamiz usado para separa la fraccion</t>
  </si>
  <si>
    <t>Pf</t>
  </si>
  <si>
    <t>Pc</t>
  </si>
  <si>
    <t>Contenido de Humedad de la fraccion sobre tamaño</t>
  </si>
  <si>
    <t>Wc</t>
  </si>
  <si>
    <t>Densidad Especifica de la fraccion de gran tamaño</t>
  </si>
  <si>
    <t>Gm</t>
  </si>
  <si>
    <t>gr/cm³</t>
  </si>
  <si>
    <t>Optimo Contenido de Humedad (ASTM D1557 )</t>
  </si>
  <si>
    <t>Wf</t>
  </si>
  <si>
    <t>Maxima Densidad Seca (ASTM D1557 )</t>
  </si>
  <si>
    <t>Df</t>
  </si>
  <si>
    <t>Peso Especifico del Agua</t>
  </si>
  <si>
    <t>Yw</t>
  </si>
  <si>
    <t>2.0 CALCULO DEL OPTIMO CONTENIDO DE HUMEDAD CORREGIDO</t>
  </si>
  <si>
    <t xml:space="preserve"> Wt = (Pf*Wf+Pc*Wc)/100</t>
  </si>
  <si>
    <t xml:space="preserve"> Optimo contenido de Humedad Corregido</t>
  </si>
  <si>
    <t>Wt</t>
  </si>
  <si>
    <t>3.0 CALCULO DE LA DENSIDAD SECA CORREGIDA</t>
  </si>
  <si>
    <t xml:space="preserve"> Dt = 100*Df*Gm*Yw / (Df*Pc+Gm*Yw*Pf)</t>
  </si>
  <si>
    <t xml:space="preserve"> Maxima Densidad Seca Corregida</t>
  </si>
  <si>
    <t>Dt</t>
  </si>
  <si>
    <t>Estos datos del presente informe de ensayo sólo aplica  a las muestra proporcionada por el cliente. La muestra fue identificada por el cliente. Prohibida la reproducción total o parcial del presente informe de ensayo sin la autorización escrita de GEOFAL S.A.C.</t>
  </si>
  <si>
    <t>Fin del documento</t>
  </si>
  <si>
    <t>Página 1 de 1</t>
  </si>
  <si>
    <t>Versión: 01 (17-05-2021)</t>
  </si>
  <si>
    <t>Metodo</t>
  </si>
  <si>
    <t>Fraccionada</t>
  </si>
  <si>
    <t>Si</t>
  </si>
  <si>
    <t>Clasificacion</t>
  </si>
  <si>
    <t>Inorganico</t>
  </si>
  <si>
    <t>Global</t>
  </si>
  <si>
    <t>Grava</t>
  </si>
  <si>
    <t>Arena</t>
  </si>
  <si>
    <t>Organico</t>
  </si>
  <si>
    <t>total</t>
  </si>
  <si>
    <t>Turba</t>
  </si>
  <si>
    <t>SOLICITANTE</t>
  </si>
  <si>
    <t>METRO</t>
  </si>
  <si>
    <t>F-LEM-P-SU-10.02</t>
  </si>
  <si>
    <t>Granulometría (ASTM D-422)</t>
  </si>
  <si>
    <t>humeda de la fraccion</t>
  </si>
  <si>
    <t>PROYECTO</t>
  </si>
  <si>
    <t>CONJUNTO RESIDENCIAL SAN BORJA HOMETOWN</t>
  </si>
  <si>
    <t>150-20</t>
  </si>
  <si>
    <t>Datos de ensayo</t>
  </si>
  <si>
    <t>SH</t>
  </si>
  <si>
    <t>UBICACIÓN</t>
  </si>
  <si>
    <t xml:space="preserve">CA. DURERO CDRA. 4 S/N, ALT. LA CDRA 13 DE LA AV. SAN </t>
  </si>
  <si>
    <t>N° CERT.</t>
  </si>
  <si>
    <t>Peso Total                  :</t>
  </si>
  <si>
    <t>SS</t>
  </si>
  <si>
    <t>PesoFraccion Fino</t>
  </si>
  <si>
    <t>% W</t>
  </si>
  <si>
    <t>METODO DE ENSAYO PARA EL ANALISIS GRANULOMETRICO POR TAMIZADO</t>
  </si>
  <si>
    <t>Peso muestra lavada   :</t>
  </si>
  <si>
    <t>NORMA  NTP 339.128</t>
  </si>
  <si>
    <t>Malla</t>
  </si>
  <si>
    <t>Peso</t>
  </si>
  <si>
    <t>% Ret</t>
  </si>
  <si>
    <t>% que</t>
  </si>
  <si>
    <t>Especificaciones</t>
  </si>
  <si>
    <t>mm.</t>
  </si>
  <si>
    <t>(gr)</t>
  </si>
  <si>
    <t>Parcial</t>
  </si>
  <si>
    <t>Acum.</t>
  </si>
  <si>
    <t>Pasa</t>
  </si>
  <si>
    <t>Afirmado "A"</t>
  </si>
  <si>
    <t>CANTERA / SONDAJE</t>
  </si>
  <si>
    <t>CANTERA TRAPICHE</t>
  </si>
  <si>
    <t>COD. MUESTRA</t>
  </si>
  <si>
    <t>3"</t>
  </si>
  <si>
    <t>N° MUESTRA</t>
  </si>
  <si>
    <t>FECHA RECEP.</t>
  </si>
  <si>
    <t>2 1/2"</t>
  </si>
  <si>
    <t>TIPO DE MUESTRA</t>
  </si>
  <si>
    <t>AFIRMADO</t>
  </si>
  <si>
    <t>FECHA ENSAYO</t>
  </si>
  <si>
    <t>2"</t>
  </si>
  <si>
    <t>1 1/2"</t>
  </si>
  <si>
    <t>1"</t>
  </si>
  <si>
    <t>% que Pasa</t>
  </si>
  <si>
    <t>Tamaño maximo de las particulas</t>
  </si>
  <si>
    <t>3/4"</t>
  </si>
  <si>
    <t>pulg</t>
  </si>
  <si>
    <t>1/2"</t>
  </si>
  <si>
    <t>3/8"</t>
  </si>
  <si>
    <t>Distribucion granulometrica</t>
  </si>
  <si>
    <t>1/4"</t>
  </si>
  <si>
    <t>No4</t>
  </si>
  <si>
    <t>% GRAVA</t>
  </si>
  <si>
    <t>Gruesa</t>
  </si>
  <si>
    <t>Fina</t>
  </si>
  <si>
    <t>% ARENA</t>
  </si>
  <si>
    <t>Media</t>
  </si>
  <si>
    <t>% FINO</t>
  </si>
  <si>
    <t>&lt; 200</t>
  </si>
  <si>
    <t>D60</t>
  </si>
  <si>
    <t>D30</t>
  </si>
  <si>
    <t>D10</t>
  </si>
  <si>
    <t>Nota :</t>
  </si>
  <si>
    <t>RESULTADOS</t>
  </si>
  <si>
    <t>La muestra fue proporcionada e identificada por el solicitante.</t>
  </si>
  <si>
    <t>Cu</t>
  </si>
  <si>
    <t>Versión : 01 (02-12-2019)</t>
  </si>
  <si>
    <t>Cc</t>
  </si>
  <si>
    <t>WEB: www.geofal.com.pe   E-MAIL: laboratorio@geofal.com.pe / geofal.sac@gmail.com                                                                                                                         Av. Marañon 763, Los Olivos-Lima / Teléfono  01 522-1851</t>
  </si>
  <si>
    <t>F-LEM-P-SU-11.02</t>
  </si>
  <si>
    <t>METODO DE ENSAYO PARA DETERMINAR EL LIMITE LIQUIDO, LIMITE PLASTICO E INDICE DE PLASTICIDAD DE SUELOS</t>
  </si>
  <si>
    <t>NORMA  NTP 339.129</t>
  </si>
  <si>
    <t>SI</t>
  </si>
  <si>
    <t>NO</t>
  </si>
  <si>
    <t>LIMITE LIQUIDO</t>
  </si>
  <si>
    <t>LIMITE PLASTICO</t>
  </si>
  <si>
    <t>Ensayo</t>
  </si>
  <si>
    <t>Nº de Golpes</t>
  </si>
  <si>
    <t>R + Suelo Hum.</t>
  </si>
  <si>
    <t>R + Suelo Seco</t>
  </si>
  <si>
    <t>Peso Recip.</t>
  </si>
  <si>
    <t>Peso Agua</t>
  </si>
  <si>
    <t>Peso S. Seco</t>
  </si>
  <si>
    <t>% de Humedad</t>
  </si>
  <si>
    <t>LL</t>
  </si>
  <si>
    <t>Golp.</t>
  </si>
  <si>
    <t>% Humed</t>
  </si>
  <si>
    <t>LP</t>
  </si>
  <si>
    <t>IP</t>
  </si>
  <si>
    <t>F-LEM-P-AG-04.02</t>
  </si>
  <si>
    <t>METODO DE ENSAYO PARA LA DENSIDAD, LA DENSIDAD RELATIVA (PESO ESPECIFICO) Y ABSORCION DEL AGREGADO GRUESO</t>
  </si>
  <si>
    <t>NORMA  NTP 400.021</t>
  </si>
  <si>
    <t>A</t>
  </si>
  <si>
    <t>Peso Mat.Sat. Sup. Seca ( En Aire ) (gr)</t>
  </si>
  <si>
    <t>B</t>
  </si>
  <si>
    <t>Peso Mat.Sat. Sup. Seca ( En Agua ) (gr)</t>
  </si>
  <si>
    <t>C</t>
  </si>
  <si>
    <t>Peso material seco en estufa ( 105 ºC )(gr)</t>
  </si>
  <si>
    <t>D</t>
  </si>
  <si>
    <t>Gravedad Esp. (OD) ( Base seca ) = C/(A-B)</t>
  </si>
  <si>
    <t>E</t>
  </si>
  <si>
    <t>Gravedad Esp. (SSD) ( Base saturada) = A/(A-B)</t>
  </si>
  <si>
    <t>Gravedad Especifica</t>
  </si>
  <si>
    <t>Densidad</t>
  </si>
  <si>
    <t>F</t>
  </si>
  <si>
    <t>Gravedad Esp. Aparente ( Base Seca ) = C/(C-B)</t>
  </si>
  <si>
    <t>Gravedad Esp. (OD) ( Base seca )</t>
  </si>
  <si>
    <t>G</t>
  </si>
  <si>
    <t>% de absorción = ((A-C)/C*100)</t>
  </si>
  <si>
    <t>Gravedad Esp. (SSD) ( Base saturada)</t>
  </si>
  <si>
    <t>Gravedad Esp. Aparente ( Base Seca )</t>
  </si>
  <si>
    <t>% de absorción</t>
  </si>
  <si>
    <t>esa</t>
  </si>
  <si>
    <t>SISTEMA UNIFICADO DE CLASIFICACION</t>
  </si>
  <si>
    <t>N 200=</t>
  </si>
  <si>
    <t>Cu =</t>
  </si>
  <si>
    <t>L.L.</t>
  </si>
  <si>
    <t>N 4=</t>
  </si>
  <si>
    <t>Cc =</t>
  </si>
  <si>
    <t>CLASIFICACION SUCS</t>
  </si>
  <si>
    <t>I.P.</t>
  </si>
  <si>
    <t>L.L.=</t>
  </si>
  <si>
    <t>CU</t>
  </si>
  <si>
    <t>I.P.=</t>
  </si>
  <si>
    <t>CC</t>
  </si>
  <si>
    <t>DIVISIONES MAYORES</t>
  </si>
  <si>
    <t>SIMBOLO
DE GRUPO</t>
  </si>
  <si>
    <t>NOMBRES TIPICOS</t>
  </si>
  <si>
    <t>CRITERIOS DE CLASIFICACION
PARA SUELOS GRANULARES</t>
  </si>
  <si>
    <t>CLASIF</t>
  </si>
  <si>
    <t>SIMBOLOS
 DOBLES</t>
  </si>
  <si>
    <t>SIMBOLOS 
TRIPLES</t>
  </si>
  <si>
    <t>CLASIFICACION</t>
  </si>
  <si>
    <t>SIMBOLO</t>
  </si>
  <si>
    <t>Suelos de grano grueso
(mas  del 50 % del material es mayor en tamaño que el tamiz No 200</t>
  </si>
  <si>
    <t>Gravas
(mas de la mitad de la fracción
gruesa es mayor que el tamiz No 4)</t>
  </si>
  <si>
    <t>Gravas Limpias
(poco o
ningun fino)</t>
  </si>
  <si>
    <t>GW</t>
  </si>
  <si>
    <t>Gravas bien gradadas, mezclas gravosas, poco o ningun fino</t>
  </si>
  <si>
    <t>Cu &gt; 4
1 &lt; Cc &lt; 3</t>
  </si>
  <si>
    <t>GP</t>
  </si>
  <si>
    <t>Gravas pobremente gradadas,`mezclas grava-arena, pocos o ningun fino</t>
  </si>
  <si>
    <t>No cumple todos los requisitos
de gradadcion para GW</t>
  </si>
  <si>
    <t>Gravas con finos
(cantidad apre-
ciable de finos)</t>
  </si>
  <si>
    <t>GM</t>
  </si>
  <si>
    <t>Gravas limosas, mezcla grava- arena-limo</t>
  </si>
  <si>
    <t>Límites de Atteberg por debajo de la linea A o Ip &lt; 4</t>
  </si>
  <si>
    <t>A los materiales sobre la linea A con 4 &lt; Ip &lt; 7 se considera de frontera y se les asigna doble símbolo</t>
  </si>
  <si>
    <t>GC</t>
  </si>
  <si>
    <t>Gravas arcillosas, mezcla gravo-areno-
arcillosas</t>
  </si>
  <si>
    <t>Límites de Atteberg por encima de la línea A ó Ip &gt; 7</t>
  </si>
  <si>
    <t>Arenas
(mas de la mitad de la fracción
gruesa es menor que el tamiz No 4)</t>
  </si>
  <si>
    <t>Arenas Limpias
(poco o
ningun fino)</t>
  </si>
  <si>
    <t>SW</t>
  </si>
  <si>
    <t>Arenas bien gradadas, arenas gravosas, 
pocos o ningun fino</t>
  </si>
  <si>
    <t>Cu &gt; 6
1 &lt; Cc &lt; 3</t>
  </si>
  <si>
    <t>SP</t>
  </si>
  <si>
    <t>Arenas pobremente gradadas, arenas
gravosas, pocos o ningun fino</t>
  </si>
  <si>
    <t>No cumple todos los requisitos
de gradadcion para SW</t>
  </si>
  <si>
    <t>Arenas con finos
(cantidad apre-
ciable de finos)</t>
  </si>
  <si>
    <t>SM</t>
  </si>
  <si>
    <t>Arenas limosas mezcla de arena-limo</t>
  </si>
  <si>
    <t>Límites de Atteberg
por debajo de la 
linea A ó Ip &lt; 4</t>
  </si>
  <si>
    <t>Si el material está
en la zona sombreada
 con 4 &lt; Ip &lt; 7 se
considera de 
frontera y se les
asigna doble
símbolo</t>
  </si>
  <si>
    <t>SC</t>
  </si>
  <si>
    <t>Arenas arcillosas, mezclas arena-arcilla</t>
  </si>
  <si>
    <t>Límites de Atteberg
por encima de la 
linea A ó Ip &gt; 7</t>
  </si>
  <si>
    <t>Suelos de grano fino
(mas  del 50 % del material pasa el tamiz No 200</t>
  </si>
  <si>
    <t>limos y arcillas
(Límite líquido wl&lt;50</t>
  </si>
  <si>
    <t>ML</t>
  </si>
  <si>
    <t>Limos inorgánicos y arena muy finas, polvo
de roca, arenas finas limosas o arcillosas,
o limos arcillosos con poca plasticidad</t>
  </si>
  <si>
    <t>1, Determinar el porcentaje de arenas y
     gravas de la curva granulometrica.
2, Dependiendo del porcentaje de fino
    (fracción menor que el tamiz No 200 los
     suelos gruesos se clasifican como sigue:
    Menos del 5%  - GW, GP, SW, SP 
    Mas del 12 %  -   GM, GC, SM, SC
    De 5 a 12 %  -  casos frontera que 
    requieren doble símbolo</t>
  </si>
  <si>
    <t>CL</t>
  </si>
  <si>
    <t>Arcillas inorganicas de plasticidad baja a
media, arcillas gravosas, arcillas arenosas,
arcillas limosas, arcillas magras.</t>
  </si>
  <si>
    <t>OL</t>
  </si>
  <si>
    <t>Limos organicos, arcillas limosas orgánicas
de baja plasticidad</t>
  </si>
  <si>
    <t>limos y arcillas
(Límite líquido wl&gt;50</t>
  </si>
  <si>
    <t>MH</t>
  </si>
  <si>
    <t>Limos inorganicos, suelos limosos o arenosos
finos micaceos o diatomaceos, suelos
elasticos.</t>
  </si>
  <si>
    <t>Arcillas inorganicas de alta plasticidad,
arcillas grasas.</t>
  </si>
  <si>
    <t>OH</t>
  </si>
  <si>
    <t>Arcillas organicas de plasticidad media a alta,
limos orgánicos</t>
  </si>
  <si>
    <t>Suelos
Altamen-
te orgá-
nicos</t>
  </si>
  <si>
    <t>Pt</t>
  </si>
  <si>
    <t>Turba o otros suelos altamente organicos</t>
  </si>
  <si>
    <t>CLASIFICACION
GENERAL</t>
  </si>
  <si>
    <t>MATERIALES GRANULARES (35% O MENOS DEL TOTAL PASA
EL TAMIZ NO 200)</t>
  </si>
  <si>
    <t>MATERIALES LIMO-ARCILLOSOS (MAS DEL
35% DEL TOTAL PASA EL TAMIZ No 200)</t>
  </si>
  <si>
    <t>CLASIFICACION
DE GRUPO</t>
  </si>
  <si>
    <t>A-1</t>
  </si>
  <si>
    <t>A-3</t>
  </si>
  <si>
    <t>A-2</t>
  </si>
  <si>
    <t>A-4</t>
  </si>
  <si>
    <t>A-5</t>
  </si>
  <si>
    <t>A-6</t>
  </si>
  <si>
    <t>A-7</t>
  </si>
  <si>
    <t>A-1-a</t>
  </si>
  <si>
    <t>A-1-b</t>
  </si>
  <si>
    <t>A-2-4</t>
  </si>
  <si>
    <t>A-2-5</t>
  </si>
  <si>
    <t>A-2-6</t>
  </si>
  <si>
    <t>A-2-7</t>
  </si>
  <si>
    <t>A-7-5</t>
  </si>
  <si>
    <t>A-7-6</t>
  </si>
  <si>
    <t>Porcentaje de material</t>
  </si>
  <si>
    <t>que pasa el  tamiz</t>
  </si>
  <si>
    <t>No 10</t>
  </si>
  <si>
    <t>50 max</t>
  </si>
  <si>
    <t>No 40</t>
  </si>
  <si>
    <t>30 max</t>
  </si>
  <si>
    <t>51 min</t>
  </si>
  <si>
    <t>No 200</t>
  </si>
  <si>
    <t>15 max</t>
  </si>
  <si>
    <t>25 max</t>
  </si>
  <si>
    <t>10 max</t>
  </si>
  <si>
    <t>35 max</t>
  </si>
  <si>
    <t>36 min</t>
  </si>
  <si>
    <t>Caracteristicas de la</t>
  </si>
  <si>
    <t>fraccion que pasa el</t>
  </si>
  <si>
    <t>tamiz No 40</t>
  </si>
  <si>
    <t>Limite líquido</t>
  </si>
  <si>
    <t>40 max</t>
  </si>
  <si>
    <t>41 min</t>
  </si>
  <si>
    <t>Indice plástico</t>
  </si>
  <si>
    <t>6 max</t>
  </si>
  <si>
    <t>N.P.</t>
  </si>
  <si>
    <t>11 min</t>
  </si>
  <si>
    <t>11`min</t>
  </si>
  <si>
    <t>Indice de Grupo</t>
  </si>
  <si>
    <t>4 max</t>
  </si>
  <si>
    <t>8 max</t>
  </si>
  <si>
    <t>12 max</t>
  </si>
  <si>
    <t>16 max</t>
  </si>
  <si>
    <t>20 max</t>
  </si>
  <si>
    <t>CLASIFICACION   AASHTO   :</t>
  </si>
  <si>
    <t>CODIGO</t>
  </si>
  <si>
    <t>CONCATENADOS</t>
  </si>
  <si>
    <t>DESCRIPCION</t>
  </si>
  <si>
    <t>FC</t>
  </si>
  <si>
    <t>F. MOLDEO</t>
  </si>
  <si>
    <t>DIA</t>
  </si>
  <si>
    <t>DIAMETRO</t>
  </si>
  <si>
    <t>CARGA</t>
  </si>
  <si>
    <t>AREA</t>
  </si>
  <si>
    <t>RESIS. CONCRETO</t>
  </si>
  <si>
    <t>% RESIS</t>
  </si>
  <si>
    <t>TIPO DE FALLA</t>
  </si>
  <si>
    <t>Columnas C-9;5-3/G.H</t>
  </si>
  <si>
    <t>Informacion para la Correccion por Certificado de Calibración: balanza 30kg</t>
  </si>
  <si>
    <t xml:space="preserve">  </t>
  </si>
  <si>
    <t>molde 6</t>
  </si>
  <si>
    <t>molde 4</t>
  </si>
  <si>
    <t xml:space="preserve">Incertidumbre Estándar Combinada </t>
  </si>
  <si>
    <t>OPERADORES</t>
  </si>
  <si>
    <t>ASTM D1557-12 (Reapproved 2021)</t>
  </si>
  <si>
    <t>Gravedad especifica de sólido del suelo ASTM D854-14 (*):</t>
  </si>
  <si>
    <t>RECEPCIÓN N°</t>
  </si>
  <si>
    <t xml:space="preserve">metodo </t>
  </si>
  <si>
    <t>3/4</t>
  </si>
  <si>
    <t>3/8</t>
  </si>
  <si>
    <t>No 4</t>
  </si>
  <si>
    <t>Peso minimo</t>
  </si>
  <si>
    <t>2500g</t>
  </si>
  <si>
    <t>500g</t>
  </si>
  <si>
    <t>100g</t>
  </si>
  <si>
    <t>precision bal</t>
  </si>
  <si>
    <t>0.1 g</t>
  </si>
  <si>
    <t>0.01g</t>
  </si>
  <si>
    <t>contenido hum</t>
  </si>
  <si>
    <t>peso suelo S</t>
  </si>
  <si>
    <t>peso suelo Hum</t>
  </si>
  <si>
    <t>HUMEDAD</t>
  </si>
  <si>
    <t>- Contenido de Humedad natural ASTM D2216-19</t>
  </si>
  <si>
    <t>TIPO DE MUESTRA **</t>
  </si>
  <si>
    <t xml:space="preserve"> Porcentaje Reten. Tamiz (%) </t>
  </si>
  <si>
    <t>Ensayo de Granulometria: Porcentaje de la fracción retenida y pasante</t>
  </si>
  <si>
    <t>Densidad húmeda-Densidad Seca-Contenido humedad</t>
  </si>
  <si>
    <t>0.1g</t>
  </si>
  <si>
    <t>Precision Balanza al 0.1g</t>
  </si>
  <si>
    <t>0.01</t>
  </si>
  <si>
    <t>EQP-0045</t>
  </si>
  <si>
    <t>Información para la Corrección por Certificado de Calibración: Balanza 2.2kg</t>
  </si>
  <si>
    <t>Precisión de la Balanza al 0.01g</t>
  </si>
  <si>
    <t>Corrección</t>
  </si>
  <si>
    <t xml:space="preserve">CODIGO </t>
  </si>
  <si>
    <t>Fecha</t>
  </si>
  <si>
    <t>Peso unitario seco del suelo kN/m3</t>
  </si>
  <si>
    <t>kN/m3</t>
  </si>
  <si>
    <r>
      <t>Peso unitario seco del suelo kN/m</t>
    </r>
    <r>
      <rPr>
        <vertAlign val="superscript"/>
        <sz val="8"/>
        <color theme="1"/>
        <rFont val="Arial"/>
        <family val="2"/>
      </rPr>
      <t>3</t>
    </r>
  </si>
  <si>
    <t>VALORES (kN/m3)</t>
  </si>
  <si>
    <t xml:space="preserve">Peso minimo </t>
  </si>
  <si>
    <t>Masa humeda minima</t>
  </si>
  <si>
    <t>AL 0.02</t>
  </si>
  <si>
    <t>Fecha ultima calibracion</t>
  </si>
  <si>
    <t>STANDARD TEST METHODS FOR LABORATORY COMPACTION CHARACTERISTICS OF SOIL 
USING MODIFIED EFFORT (56,000 ft-lbf/ft³ (2,700 kN-m/m³))</t>
  </si>
  <si>
    <r>
      <t>- Clasificación muestra ASTM D2487-17</t>
    </r>
    <r>
      <rPr>
        <vertAlign val="superscript"/>
        <sz val="9"/>
        <color theme="1"/>
        <rFont val="Arial"/>
        <family val="2"/>
      </rPr>
      <t>ε1</t>
    </r>
  </si>
  <si>
    <t>Masa retenida en el tamiz (g) Corregida</t>
  </si>
  <si>
    <r>
      <t>Desviacion Estándar Repetibilidad (S</t>
    </r>
    <r>
      <rPr>
        <vertAlign val="subscript"/>
        <sz val="10"/>
        <color theme="1"/>
        <rFont val="Arial"/>
        <family val="2"/>
      </rPr>
      <t>r</t>
    </r>
    <r>
      <rPr>
        <sz val="10"/>
        <color theme="1"/>
        <rFont val="Arial"/>
        <family val="2"/>
      </rPr>
      <t>)</t>
    </r>
  </si>
  <si>
    <r>
      <t>Desviacion Estándar Reproducibilidad (S</t>
    </r>
    <r>
      <rPr>
        <vertAlign val="subscript"/>
        <sz val="10"/>
        <color theme="1"/>
        <rFont val="Arial"/>
        <family val="2"/>
      </rPr>
      <t>R</t>
    </r>
    <r>
      <rPr>
        <sz val="10"/>
        <color theme="1"/>
        <rFont val="Arial"/>
        <family val="2"/>
      </rPr>
      <t>)</t>
    </r>
  </si>
  <si>
    <r>
      <t>KN/M</t>
    </r>
    <r>
      <rPr>
        <vertAlign val="superscript"/>
        <sz val="9"/>
        <rFont val="Arial"/>
        <family val="2"/>
      </rPr>
      <t>3</t>
    </r>
  </si>
  <si>
    <t>56 golpes</t>
  </si>
  <si>
    <t>25 golpes</t>
  </si>
  <si>
    <t>6 in</t>
  </si>
  <si>
    <t>4 in</t>
  </si>
  <si>
    <t>Nº Golpes</t>
  </si>
  <si>
    <t>Molde</t>
  </si>
  <si>
    <t>Masa g</t>
  </si>
  <si>
    <t>Volumen cm3</t>
  </si>
  <si>
    <t>VERIFICADO</t>
  </si>
  <si>
    <t>PROX. VERIF.</t>
  </si>
  <si>
    <t>FORMATO N° F-LEM-P-SU-19.01</t>
  </si>
  <si>
    <t>MUESTRA</t>
  </si>
  <si>
    <t>FECHA DE ENSAYO</t>
  </si>
  <si>
    <t>REALIZADO</t>
  </si>
  <si>
    <t>Standard Test Methods for Laboratory Compaction Characteristics of Soil Using
Modified Effort (56,000 ft-lbf/ft³ (2,700 kN-m/m³))</t>
  </si>
  <si>
    <t>und</t>
  </si>
  <si>
    <t>--</t>
  </si>
  <si>
    <t>Masa de suelo húmedo y molde (A)</t>
  </si>
  <si>
    <t>Masa del molde compactación (B)</t>
  </si>
  <si>
    <t>Masa suelo compactado (C=A-B)</t>
  </si>
  <si>
    <t>Volúmen de molde compactación (D)</t>
  </si>
  <si>
    <r>
      <t>cm</t>
    </r>
    <r>
      <rPr>
        <vertAlign val="superscript"/>
        <sz val="8"/>
        <rFont val="Arial"/>
        <family val="2"/>
      </rPr>
      <t>3</t>
    </r>
  </si>
  <si>
    <t>Densidad húmeda (X= C/D)</t>
  </si>
  <si>
    <r>
      <t>g/cm</t>
    </r>
    <r>
      <rPr>
        <vertAlign val="superscript"/>
        <sz val="8"/>
        <rFont val="Arial"/>
        <family val="2"/>
      </rPr>
      <t>3</t>
    </r>
  </si>
  <si>
    <t>Masa recipiente y suelo húmedo (E)</t>
  </si>
  <si>
    <t xml:space="preserve">Masa recipiente y suelo seco 1               </t>
  </si>
  <si>
    <t xml:space="preserve">Masa recipiente y suelo seco 2             </t>
  </si>
  <si>
    <t>Masa recipiente y suelo seco 3 (F)</t>
  </si>
  <si>
    <t>Masa de agua (Y= E-F)</t>
  </si>
  <si>
    <t>Masa de recipiente (G)</t>
  </si>
  <si>
    <t>Masa de suelo seco (Z=  F-G)</t>
  </si>
  <si>
    <t>Contenido de Humedad moldeo (W= Y/Z*100)</t>
  </si>
  <si>
    <t>Densidad Seca X=(1+(W/100))</t>
  </si>
  <si>
    <t xml:space="preserve">* W Perdida de masa seca constante (adicional), para metodo B es &lt; 0.1% </t>
  </si>
  <si>
    <t>Tipo de muestra</t>
  </si>
  <si>
    <t>% Retenido (1)/(2)*100</t>
  </si>
  <si>
    <t>Condición de la muestra</t>
  </si>
  <si>
    <t>Tamaño máximo de la particula (in)</t>
  </si>
  <si>
    <t>19 mm (¾ in)</t>
  </si>
  <si>
    <t>Forma de la particula</t>
  </si>
  <si>
    <t>9.5 mm (3/8 in)</t>
  </si>
  <si>
    <t>Clasificación SUCS o Visual</t>
  </si>
  <si>
    <t>Método de ensayo</t>
  </si>
  <si>
    <t xml:space="preserve">Total </t>
  </si>
  <si>
    <t>Método de Preparación</t>
  </si>
  <si>
    <t>Tipo de Apisonador</t>
  </si>
  <si>
    <t>Equipo utilizado</t>
  </si>
  <si>
    <t>Código</t>
  </si>
  <si>
    <t>Contenido de Humedad natural (%)</t>
  </si>
  <si>
    <t>Tamiz utilizado método</t>
  </si>
  <si>
    <t>Se excluyó algún material de la muestra de ensayo:</t>
  </si>
  <si>
    <t>Balanza 1 g</t>
  </si>
  <si>
    <t xml:space="preserve">Balanza </t>
  </si>
  <si>
    <t>Horno 110 ºC</t>
  </si>
  <si>
    <t>Pison</t>
  </si>
  <si>
    <t>Versión: 03 (02-05-2022)</t>
  </si>
  <si>
    <t>Prohibido reproducir sin  autorización</t>
  </si>
  <si>
    <t>WEB: www.geofal.com.pe   E-MAIL: laboratorio@geofal.com.pe / geofal.sac@gmail.com                                                                                                                         Av. Marañon 763, Los Olivos-Lima / Teléfono 01 522-1851</t>
  </si>
  <si>
    <t>2*RAIZ(0.0000443+0.000000000230xR2)</t>
  </si>
  <si>
    <t>2*RAIZ(0.00416+0.000000000243*R2)</t>
  </si>
  <si>
    <t>Ecuación</t>
  </si>
  <si>
    <t xml:space="preserve">Código </t>
  </si>
  <si>
    <t>Fecha ultima calibración</t>
  </si>
  <si>
    <t>F. EMISIÓN</t>
  </si>
  <si>
    <t>OT N°</t>
  </si>
  <si>
    <t>CANTERA/SONDAJE **</t>
  </si>
  <si>
    <t>Peso unitario seco y óptimo contenido de humedad</t>
  </si>
  <si>
    <t>Paso 1. Definición del proceso de medición</t>
  </si>
  <si>
    <t>CÁLCULO:  MÁXIMA DENSIDAD SECA</t>
  </si>
  <si>
    <t>CÁLCULO: ÓPTIMO CONTENIDO DE HUMEDAD</t>
  </si>
  <si>
    <t>VOLUMEN MOLDE: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</si>
  <si>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</si>
  <si>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</si>
  <si>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</si>
  <si>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</si>
  <si>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</si>
  <si>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</si>
  <si>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Mensurando:</t>
  </si>
  <si>
    <t>Factor de precision PROCTOR MODIFICADO</t>
  </si>
  <si>
    <t>Maxima densidad seca</t>
  </si>
  <si>
    <t>contenido humedad suelo</t>
  </si>
  <si>
    <t>Factor de precision HUMEDAD SUELO</t>
  </si>
  <si>
    <t>verificación enero 2026</t>
  </si>
  <si>
    <t>verificación marzo 2026</t>
  </si>
  <si>
    <t>2*RAIZ(1.14+0.000000000248*R2)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</si>
  <si>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</si>
  <si>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</si>
  <si>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</si>
  <si>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</si>
  <si>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</si>
  <si>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Versión: 08 (11-06-2026)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</si>
</sst>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7">
    <numFmt numFmtId="164" formatCode="0.0"/>
    <numFmt numFmtId="165" formatCode="0\ &quot;/ CO-06&quot;"/>
    <numFmt numFmtId="166" formatCode="#,##0.0"/>
    <numFmt numFmtId="167" formatCode="0.000"/>
    <numFmt numFmtId="168" formatCode="&quot;CERTIFICADO N°&quot;000&quot;-2020&quot;"/>
    <numFmt numFmtId="169" formatCode="\L\ \-\ 0000"/>
    <numFmt numFmtId="170" formatCode="dd\-mmm\-yyyy"/>
    <numFmt numFmtId="171" formatCode="dd/mm/yyyy;@"/>
    <numFmt numFmtId="172" formatCode="000"/>
    <numFmt numFmtId="173" formatCode="000&quot;-20 SU10&quot;"/>
    <numFmt numFmtId="174" formatCode="&quot;CERTIFICADO N°&quot;000&quot;-20 SU10&quot;"/>
    <numFmt numFmtId="175" formatCode="000&quot;-20 SU11&quot;"/>
    <numFmt numFmtId="176" formatCode="&quot;CERTIFICADO N°&quot;000&quot;-20 SU11&quot;"/>
    <numFmt numFmtId="177" formatCode="0.0\ &quot;%&quot;"/>
    <numFmt numFmtId="178" formatCode="0.000\ &quot;gr/cm3&quot;"/>
    <numFmt numFmtId="179" formatCode="&quot;CERTIFICADO N°&quot;000&quot;-20 AG04&quot;"/>
    <numFmt numFmtId="180" formatCode="00\1\-\ &quot;20&quot;"/>
    <numFmt numFmtId="181" formatCode="00\1\-\ &quot;20 SU01&quot;"/>
    <numFmt numFmtId="182" formatCode="000&quot;-20 AG04&quot;"/>
    <numFmt numFmtId="183" formatCode="0\ &quot;kg/m3&quot;"/>
    <numFmt numFmtId="184" formatCode="0.00\ &quot;%&quot;"/>
    <numFmt numFmtId="185" formatCode="0.0000"/>
    <numFmt numFmtId="186" formatCode="000\-\ &quot;21&quot;"/>
    <numFmt numFmtId="187" formatCode="000&quot;-SU-21&quot;"/>
    <numFmt numFmtId="188" formatCode="dd\-mm\-yy;@"/>
    <numFmt numFmtId="189" formatCode="&quot;INFORME DE ENSAYO N°&quot;000&quot;-21 SU08&quot;"/>
    <numFmt numFmtId="190" formatCode="0.00000000"/>
    <numFmt numFmtId="191" formatCode="0.000000"/>
    <numFmt numFmtId="192" formatCode="0.0&quot;''&quot;"/>
    <numFmt numFmtId="193" formatCode="0.00000"/>
    <numFmt numFmtId="194" formatCode="&quot;0&quot;0"/>
    <numFmt numFmtId="195" formatCode="0.0E+00"/>
    <numFmt numFmtId="196" formatCode="0.0%"/>
    <numFmt numFmtId="197" formatCode="&quot;Ref. Informe N°&quot;000&quot;-24 SU 20&quot;"/>
    <numFmt numFmtId="198" formatCode="&quot;Ref. Informe N°&quot;000&quot;-24 SU 22&quot;"/>
    <numFmt numFmtId="199" formatCode="&quot;Ref. Informe N°&quot;000&quot;-24 SU 32&quot;"/>
    <numFmt numFmtId="200" formatCode="0.00\ &quot;kN/m³&quot;"/>
    <numFmt numFmtId="201" formatCode="yyyy\-mm\-dd;@"/>
    <numFmt numFmtId="202" formatCode="[$-C0A]d\-mmm\-yy;@"/>
    <numFmt numFmtId="203" formatCode="&quot;INFORME DE ENSAYO N°&quot;000&quot;-26 SU19&quot;"/>
    <numFmt numFmtId="204" formatCode="000\-\ &quot;26&quot;"/>
    <numFmt numFmtId="205" formatCode="000&quot;-AG-26&quot;"/>
    <numFmt numFmtId="206" formatCode="&quot;Ref. Informe N°&quot;000&quot;-26 SU 20&quot;"/>
    <numFmt numFmtId="207" formatCode="&quot;Ref. Informe N°&quot;000&quot;-26 SU 22&quot;"/>
    <numFmt numFmtId="208" formatCode="&quot;Ref. Informe N°&quot;000&quot;-26 SU 32&quot;"/>
    <numFmt numFmtId="209" formatCode="&quot;CERTIFICADO N°&quot;000&quot;-20 SU08&quot;"/>
    <numFmt numFmtId="210" formatCode="000&quot;-20 SU08&quot;"/>
  </numFmts>
  <fonts count="12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9"/>
      <name val="Times New Roman"/>
      <family val="1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8"/>
      <name val="Times New Roman"/>
      <family val="1"/>
    </font>
    <font>
      <sz val="10"/>
      <color indexed="10"/>
      <name val="Times New Roman"/>
      <family val="1"/>
    </font>
    <font>
      <sz val="6"/>
      <name val="Times New Roman"/>
      <family val="1"/>
    </font>
    <font>
      <sz val="10"/>
      <color indexed="18"/>
      <name val="Arial"/>
      <family val="2"/>
    </font>
    <font>
      <b/>
      <sz val="8"/>
      <color indexed="9"/>
      <name val="Arial"/>
      <family val="2"/>
    </font>
    <font>
      <sz val="8"/>
      <color indexed="13"/>
      <name val="Arial"/>
      <family val="2"/>
    </font>
    <font>
      <sz val="8"/>
      <color indexed="11"/>
      <name val="Arial"/>
      <family val="2"/>
    </font>
    <font>
      <sz val="10"/>
      <color indexed="13"/>
      <name val="Arial"/>
      <family val="2"/>
    </font>
    <font>
      <sz val="10"/>
      <color indexed="11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i/>
      <sz val="12"/>
      <color indexed="9"/>
      <name val="Arial"/>
      <family val="2"/>
    </font>
    <font>
      <b/>
      <sz val="10"/>
      <color indexed="18"/>
      <name val="Arial"/>
      <family val="2"/>
    </font>
    <font>
      <b/>
      <sz val="14"/>
      <name val="Arial"/>
      <family val="2"/>
    </font>
    <font>
      <b/>
      <sz val="10"/>
      <color indexed="51"/>
      <name val="Arial"/>
      <family val="2"/>
    </font>
    <font>
      <b/>
      <sz val="10"/>
      <color indexed="8"/>
      <name val="Arial"/>
      <family val="2"/>
    </font>
    <font>
      <b/>
      <i/>
      <sz val="12"/>
      <color indexed="13"/>
      <name val="Arial"/>
      <family val="2"/>
    </font>
    <font>
      <b/>
      <sz val="12"/>
      <color indexed="8"/>
      <name val="Arial"/>
      <family val="2"/>
    </font>
    <font>
      <sz val="10"/>
      <color indexed="10"/>
      <name val="Arial"/>
      <family val="2"/>
    </font>
    <font>
      <b/>
      <sz val="10"/>
      <color indexed="12"/>
      <name val="Arial"/>
      <family val="2"/>
    </font>
    <font>
      <sz val="9"/>
      <color indexed="13"/>
      <name val="Arial"/>
      <family val="2"/>
    </font>
    <font>
      <b/>
      <sz val="10"/>
      <color indexed="43"/>
      <name val="Arial"/>
      <family val="2"/>
    </font>
    <font>
      <sz val="8"/>
      <color indexed="43"/>
      <name val="Arial"/>
      <family val="2"/>
    </font>
    <font>
      <sz val="8"/>
      <color indexed="51"/>
      <name val="Arial"/>
      <family val="2"/>
    </font>
    <font>
      <sz val="9"/>
      <color indexed="9"/>
      <name val="Arial"/>
      <family val="2"/>
    </font>
    <font>
      <b/>
      <sz val="10"/>
      <color indexed="47"/>
      <name val="Arial"/>
      <family val="2"/>
    </font>
    <font>
      <sz val="8"/>
      <color indexed="47"/>
      <name val="Arial"/>
      <family val="2"/>
    </font>
    <font>
      <sz val="10"/>
      <color indexed="47"/>
      <name val="Arial"/>
      <family val="2"/>
    </font>
    <font>
      <b/>
      <sz val="8"/>
      <color indexed="45"/>
      <name val="Arial"/>
      <family val="2"/>
    </font>
    <font>
      <sz val="8"/>
      <color indexed="45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color rgb="FF0000FF"/>
      <name val="Arial"/>
      <family val="2"/>
    </font>
    <font>
      <sz val="8"/>
      <color rgb="FF0000FF"/>
      <name val="Times New Roman"/>
      <family val="1"/>
    </font>
    <font>
      <sz val="11"/>
      <color theme="1"/>
      <name val="Times New Roman"/>
      <family val="1"/>
    </font>
    <font>
      <sz val="11"/>
      <color rgb="FF0000FF"/>
      <name val="Times New Roman"/>
      <family val="1"/>
    </font>
    <font>
      <sz val="10"/>
      <color rgb="FFFF0000"/>
      <name val="Times New Roman"/>
      <family val="1"/>
    </font>
    <font>
      <sz val="8"/>
      <color rgb="FF0000FF"/>
      <name val="Arial"/>
      <family val="2"/>
    </font>
    <font>
      <b/>
      <sz val="8"/>
      <color rgb="FF0000FF"/>
      <name val="Arial"/>
      <family val="2"/>
    </font>
    <font>
      <b/>
      <i/>
      <u/>
      <sz val="8"/>
      <name val="Arial"/>
      <family val="2"/>
    </font>
    <font>
      <sz val="8"/>
      <color indexed="9"/>
      <name val="Arial"/>
      <family val="2"/>
    </font>
    <font>
      <sz val="8"/>
      <color indexed="10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b/>
      <sz val="8"/>
      <color indexed="10"/>
      <name val="Arial"/>
      <family val="2"/>
    </font>
    <font>
      <vertAlign val="superscript"/>
      <sz val="8"/>
      <name val="Arial"/>
      <family val="2"/>
    </font>
    <font>
      <b/>
      <sz val="9"/>
      <color rgb="FF0000FF"/>
      <name val="Arial"/>
      <family val="2"/>
    </font>
    <font>
      <sz val="9"/>
      <color rgb="FF0000FF"/>
      <name val="Times New Roman"/>
      <family val="1"/>
    </font>
    <font>
      <i/>
      <sz val="8"/>
      <name val="Arial"/>
      <family val="2"/>
    </font>
    <font>
      <sz val="9"/>
      <color indexed="10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i/>
      <u/>
      <sz val="9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Times New Roman"/>
      <family val="1"/>
    </font>
    <font>
      <sz val="11"/>
      <color rgb="FFFFFF00"/>
      <name val="Arial"/>
      <family val="2"/>
    </font>
    <font>
      <sz val="6"/>
      <name val="Arial"/>
      <family val="2"/>
    </font>
    <font>
      <b/>
      <u/>
      <sz val="9"/>
      <name val="Arial"/>
      <family val="2"/>
    </font>
    <font>
      <sz val="12"/>
      <name val="Symbol"/>
      <family val="1"/>
      <charset val="2"/>
    </font>
    <font>
      <sz val="12"/>
      <name val="Arial"/>
      <family val="2"/>
    </font>
    <font>
      <b/>
      <i/>
      <u/>
      <sz val="9"/>
      <color theme="1"/>
      <name val="Times New Roman"/>
      <family val="1"/>
    </font>
    <font>
      <b/>
      <sz val="7"/>
      <name val="Bookman Old Style"/>
      <family val="1"/>
    </font>
    <font>
      <sz val="7"/>
      <name val="Bookman Old Style"/>
      <family val="1"/>
    </font>
    <font>
      <i/>
      <sz val="7"/>
      <name val="Arial"/>
      <family val="2"/>
    </font>
    <font>
      <b/>
      <sz val="9"/>
      <name val="Cambria"/>
      <family val="1"/>
      <scheme val="major"/>
    </font>
    <font>
      <i/>
      <sz val="10"/>
      <name val="Arial"/>
      <family val="2"/>
    </font>
    <font>
      <i/>
      <vertAlign val="subscript"/>
      <sz val="10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  <font>
      <b/>
      <sz val="10"/>
      <color theme="1"/>
      <name val="Arial"/>
      <family val="2"/>
    </font>
    <font>
      <sz val="10.5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u/>
      <sz val="10"/>
      <name val="Arial"/>
      <family val="2"/>
    </font>
    <font>
      <sz val="11"/>
      <color rgb="FFFF0000"/>
      <name val="Arial"/>
      <family val="2"/>
    </font>
    <font>
      <vertAlign val="superscript"/>
      <sz val="9"/>
      <name val="Arial"/>
      <family val="2"/>
    </font>
    <font>
      <sz val="11"/>
      <color rgb="FF00B0F0"/>
      <name val="Arial"/>
      <family val="2"/>
    </font>
    <font>
      <u/>
      <sz val="10"/>
      <name val="Arial"/>
      <family val="2"/>
    </font>
    <font>
      <b/>
      <sz val="8"/>
      <color rgb="FF00B0F0"/>
      <name val="Arial"/>
      <family val="2"/>
    </font>
    <font>
      <sz val="10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9"/>
      <color rgb="FFFF0000"/>
      <name val="Arial"/>
      <family val="2"/>
    </font>
    <font>
      <sz val="9"/>
      <name val="Cambria"/>
      <family val="1"/>
      <scheme val="major"/>
    </font>
    <font>
      <b/>
      <sz val="8"/>
      <color rgb="FFFF0000"/>
      <name val="Arial"/>
      <family val="2"/>
    </font>
    <font>
      <sz val="9"/>
      <color rgb="FF00B0F0"/>
      <name val="Arial"/>
      <family val="2"/>
    </font>
    <font>
      <sz val="9"/>
      <color theme="0"/>
      <name val="Arial"/>
      <family val="2"/>
    </font>
    <font>
      <vertAlign val="superscript"/>
      <sz val="9"/>
      <color theme="1"/>
      <name val="Arial"/>
      <family val="2"/>
    </font>
    <font>
      <sz val="11"/>
      <color rgb="FF0000FF"/>
      <name val="Arial"/>
      <family val="2"/>
    </font>
    <font>
      <sz val="11"/>
      <color theme="0"/>
      <name val="Arial"/>
      <family val="2"/>
    </font>
    <font>
      <vertAlign val="superscript"/>
      <sz val="8"/>
      <color theme="1"/>
      <name val="Arial"/>
      <family val="2"/>
    </font>
    <font>
      <vertAlign val="subscript"/>
      <sz val="10"/>
      <color theme="1"/>
      <name val="Arial"/>
      <family val="2"/>
    </font>
    <font>
      <sz val="9"/>
      <color rgb="FF000000"/>
      <name val="Arial"/>
      <family val="2"/>
    </font>
    <font>
      <b/>
      <u/>
      <sz val="10"/>
      <color theme="1"/>
      <name val="Arial"/>
      <family val="2"/>
    </font>
    <font>
      <u/>
      <sz val="8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</fills>
  <borders count="17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64"/>
      </right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/>
      <top style="medium">
        <color indexed="9"/>
      </top>
      <bottom style="thin">
        <color indexed="9"/>
      </bottom>
      <diagonal/>
    </border>
    <border>
      <left/>
      <right style="medium">
        <color indexed="9"/>
      </right>
      <top style="medium">
        <color indexed="9"/>
      </top>
      <bottom style="thin">
        <color indexed="9"/>
      </bottom>
      <diagonal/>
    </border>
    <border>
      <left/>
      <right/>
      <top style="medium">
        <color indexed="9"/>
      </top>
      <bottom style="thin">
        <color indexed="9"/>
      </bottom>
      <diagonal/>
    </border>
    <border>
      <left style="medium">
        <color indexed="9"/>
      </left>
      <right/>
      <top style="medium">
        <color indexed="9"/>
      </top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/>
      <right style="medium">
        <color indexed="64"/>
      </right>
      <top style="medium">
        <color indexed="9"/>
      </top>
      <bottom style="thin">
        <color indexed="9"/>
      </bottom>
      <diagonal/>
    </border>
    <border>
      <left style="medium">
        <color indexed="9"/>
      </left>
      <right/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/>
      <bottom/>
      <diagonal/>
    </border>
    <border>
      <left/>
      <right style="thin">
        <color indexed="9"/>
      </right>
      <top/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 style="thin">
        <color indexed="64"/>
      </right>
      <top/>
      <bottom style="thin">
        <color indexed="9"/>
      </bottom>
      <diagonal/>
    </border>
    <border>
      <left/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medium">
        <color indexed="9"/>
      </right>
      <top/>
      <bottom style="thin">
        <color indexed="9"/>
      </bottom>
      <diagonal/>
    </border>
    <border>
      <left style="medium">
        <color indexed="9"/>
      </left>
      <right/>
      <top/>
      <bottom style="thin">
        <color indexed="9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9"/>
      </left>
      <right style="medium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medium">
        <color indexed="64"/>
      </right>
      <top/>
      <bottom/>
      <diagonal/>
    </border>
    <border>
      <left style="thin">
        <color indexed="9"/>
      </left>
      <right style="medium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indexed="64"/>
      </right>
      <top/>
      <bottom style="thin">
        <color indexed="9"/>
      </bottom>
      <diagonal/>
    </border>
    <border>
      <left/>
      <right/>
      <top style="thin">
        <color indexed="9"/>
      </top>
      <bottom style="thick">
        <color indexed="64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thick">
        <color indexed="64"/>
      </bottom>
      <diagonal/>
    </border>
    <border>
      <left style="medium">
        <color indexed="9"/>
      </left>
      <right/>
      <top style="thin">
        <color indexed="9"/>
      </top>
      <bottom style="thick">
        <color indexed="64"/>
      </bottom>
      <diagonal/>
    </border>
    <border>
      <left/>
      <right style="medium">
        <color indexed="9"/>
      </right>
      <top style="thin">
        <color indexed="9"/>
      </top>
      <bottom style="thick">
        <color indexed="64"/>
      </bottom>
      <diagonal/>
    </border>
    <border>
      <left/>
      <right style="thin">
        <color indexed="9"/>
      </right>
      <top style="thin">
        <color indexed="9"/>
      </top>
      <bottom style="thick">
        <color indexed="64"/>
      </bottom>
      <diagonal/>
    </border>
    <border>
      <left style="medium">
        <color indexed="9"/>
      </left>
      <right style="medium">
        <color indexed="9"/>
      </right>
      <top style="thin">
        <color indexed="9"/>
      </top>
      <bottom style="thick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ck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1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2" fillId="0" borderId="0"/>
  </cellStyleXfs>
  <cellXfs count="1595">
    <xf numFmtId="0" fontId="0" fillId="0" borderId="0" xfId="0"/>
    <xf numFmtId="0" fontId="8" fillId="0" borderId="0" xfId="0" applyFont="1" applyProtection="1">
      <protection hidden="1"/>
    </xf>
    <xf numFmtId="0" fontId="9" fillId="0" borderId="0" xfId="0" applyFont="1" applyAlignment="1" applyProtection="1">
      <alignment vertical="center"/>
      <protection hidden="1"/>
    </xf>
    <xf numFmtId="0" fontId="10" fillId="0" borderId="0" xfId="0" applyFont="1" applyProtection="1">
      <protection hidden="1"/>
    </xf>
    <xf numFmtId="0" fontId="20" fillId="0" borderId="0" xfId="0" applyFont="1" applyProtection="1">
      <protection hidden="1"/>
    </xf>
    <xf numFmtId="0" fontId="7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7" fillId="2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16" fillId="3" borderId="3" xfId="0" applyFont="1" applyFill="1" applyBorder="1" applyAlignment="1">
      <alignment vertical="center"/>
    </xf>
    <xf numFmtId="0" fontId="8" fillId="0" borderId="3" xfId="0" applyFont="1" applyBorder="1" applyProtection="1">
      <protection hidden="1"/>
    </xf>
    <xf numFmtId="0" fontId="8" fillId="0" borderId="4" xfId="0" applyFont="1" applyBorder="1" applyProtection="1">
      <protection hidden="1"/>
    </xf>
    <xf numFmtId="0" fontId="5" fillId="3" borderId="5" xfId="0" applyFont="1" applyFill="1" applyBorder="1" applyAlignment="1">
      <alignment vertical="center"/>
    </xf>
    <xf numFmtId="0" fontId="8" fillId="0" borderId="6" xfId="0" applyFont="1" applyBorder="1" applyProtection="1">
      <protection hidden="1"/>
    </xf>
    <xf numFmtId="0" fontId="7" fillId="2" borderId="7" xfId="0" applyFont="1" applyFill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hidden="1"/>
    </xf>
    <xf numFmtId="10" fontId="10" fillId="3" borderId="0" xfId="0" applyNumberFormat="1" applyFont="1" applyFill="1" applyAlignment="1">
      <alignment horizontal="center" vertical="center" wrapText="1"/>
    </xf>
    <xf numFmtId="0" fontId="22" fillId="2" borderId="0" xfId="3" applyFont="1" applyFill="1" applyAlignment="1">
      <alignment vertical="center"/>
    </xf>
    <xf numFmtId="0" fontId="22" fillId="2" borderId="0" xfId="3" applyFont="1" applyFill="1" applyAlignment="1">
      <alignment horizontal="center" vertical="center"/>
    </xf>
    <xf numFmtId="0" fontId="22" fillId="2" borderId="0" xfId="0" applyFont="1" applyFill="1" applyAlignment="1">
      <alignment horizontal="right" vertical="center"/>
    </xf>
    <xf numFmtId="0" fontId="2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22" fillId="2" borderId="0" xfId="3" applyFont="1" applyFill="1" applyAlignment="1">
      <alignment horizontal="right" vertical="center"/>
    </xf>
    <xf numFmtId="17" fontId="12" fillId="2" borderId="0" xfId="0" applyNumberFormat="1" applyFont="1" applyFill="1" applyAlignment="1">
      <alignment vertical="center"/>
    </xf>
    <xf numFmtId="0" fontId="23" fillId="0" borderId="0" xfId="0" applyFont="1" applyProtection="1">
      <protection hidden="1"/>
    </xf>
    <xf numFmtId="0" fontId="23" fillId="0" borderId="0" xfId="0" applyFont="1" applyAlignment="1" applyProtection="1">
      <alignment vertical="center"/>
      <protection hidden="1"/>
    </xf>
    <xf numFmtId="0" fontId="5" fillId="0" borderId="0" xfId="0" applyFont="1" applyProtection="1">
      <protection hidden="1"/>
    </xf>
    <xf numFmtId="0" fontId="5" fillId="0" borderId="0" xfId="0" applyFont="1" applyAlignment="1" applyProtection="1">
      <alignment vertical="center"/>
      <protection hidden="1"/>
    </xf>
    <xf numFmtId="0" fontId="12" fillId="2" borderId="0" xfId="3" applyFont="1" applyFill="1" applyAlignment="1">
      <alignment horizontal="center" vertical="center"/>
    </xf>
    <xf numFmtId="0" fontId="12" fillId="2" borderId="0" xfId="3" applyFont="1" applyFill="1" applyAlignment="1">
      <alignment horizontal="right" vertical="center"/>
    </xf>
    <xf numFmtId="0" fontId="22" fillId="2" borderId="9" xfId="3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left" vertical="center" wrapText="1"/>
    </xf>
    <xf numFmtId="0" fontId="22" fillId="2" borderId="9" xfId="3" applyFont="1" applyFill="1" applyBorder="1" applyAlignment="1">
      <alignment horizontal="right" vertical="center"/>
    </xf>
    <xf numFmtId="0" fontId="10" fillId="2" borderId="0" xfId="0" applyFont="1" applyFill="1" applyAlignment="1">
      <alignment vertical="center"/>
    </xf>
    <xf numFmtId="0" fontId="22" fillId="2" borderId="10" xfId="3" applyFont="1" applyFill="1" applyBorder="1" applyAlignment="1">
      <alignment vertical="center"/>
    </xf>
    <xf numFmtId="17" fontId="12" fillId="2" borderId="11" xfId="0" applyNumberFormat="1" applyFont="1" applyFill="1" applyBorder="1" applyAlignment="1">
      <alignment vertical="center"/>
    </xf>
    <xf numFmtId="14" fontId="12" fillId="0" borderId="13" xfId="0" applyNumberFormat="1" applyFont="1" applyBorder="1" applyAlignment="1" applyProtection="1">
      <alignment horizontal="left" vertical="center"/>
      <protection hidden="1"/>
    </xf>
    <xf numFmtId="0" fontId="8" fillId="0" borderId="15" xfId="0" applyFont="1" applyBorder="1" applyProtection="1">
      <protection hidden="1"/>
    </xf>
    <xf numFmtId="164" fontId="10" fillId="2" borderId="0" xfId="0" applyNumberFormat="1" applyFont="1" applyFill="1" applyAlignment="1">
      <alignment vertical="center"/>
    </xf>
    <xf numFmtId="1" fontId="10" fillId="2" borderId="0" xfId="0" applyNumberFormat="1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2" fontId="27" fillId="2" borderId="0" xfId="0" applyNumberFormat="1" applyFont="1" applyFill="1" applyAlignment="1">
      <alignment horizontal="center" vertical="center"/>
    </xf>
    <xf numFmtId="164" fontId="27" fillId="2" borderId="0" xfId="0" applyNumberFormat="1" applyFont="1" applyFill="1" applyAlignment="1">
      <alignment horizontal="center" vertical="center"/>
    </xf>
    <xf numFmtId="0" fontId="28" fillId="2" borderId="0" xfId="0" applyFont="1" applyFill="1" applyAlignment="1">
      <alignment vertical="center"/>
    </xf>
    <xf numFmtId="2" fontId="10" fillId="2" borderId="0" xfId="0" applyNumberFormat="1" applyFont="1" applyFill="1" applyAlignment="1">
      <alignment vertical="center"/>
    </xf>
    <xf numFmtId="2" fontId="13" fillId="2" borderId="0" xfId="0" applyNumberFormat="1" applyFont="1" applyFill="1" applyAlignment="1">
      <alignment vertical="center"/>
    </xf>
    <xf numFmtId="164" fontId="9" fillId="2" borderId="0" xfId="0" applyNumberFormat="1" applyFont="1" applyFill="1" applyAlignment="1">
      <alignment vertical="center"/>
    </xf>
    <xf numFmtId="1" fontId="10" fillId="3" borderId="0" xfId="0" applyNumberFormat="1" applyFont="1" applyFill="1" applyAlignment="1">
      <alignment horizontal="center" vertical="center" wrapText="1"/>
    </xf>
    <xf numFmtId="0" fontId="4" fillId="5" borderId="0" xfId="4" applyFill="1"/>
    <xf numFmtId="0" fontId="4" fillId="2" borderId="0" xfId="4" applyFill="1"/>
    <xf numFmtId="0" fontId="29" fillId="5" borderId="0" xfId="4" applyFont="1" applyFill="1"/>
    <xf numFmtId="0" fontId="29" fillId="2" borderId="0" xfId="4" applyFont="1" applyFill="1"/>
    <xf numFmtId="0" fontId="30" fillId="7" borderId="0" xfId="4" applyFont="1" applyFill="1" applyAlignment="1">
      <alignment vertical="center"/>
    </xf>
    <xf numFmtId="0" fontId="33" fillId="7" borderId="43" xfId="4" applyFont="1" applyFill="1" applyBorder="1" applyAlignment="1">
      <alignment horizontal="center" vertical="center"/>
    </xf>
    <xf numFmtId="0" fontId="33" fillId="7" borderId="0" xfId="4" applyFont="1" applyFill="1" applyAlignment="1">
      <alignment horizontal="center" vertical="center"/>
    </xf>
    <xf numFmtId="0" fontId="34" fillId="7" borderId="43" xfId="4" applyFont="1" applyFill="1" applyBorder="1" applyAlignment="1">
      <alignment horizontal="center" vertical="center"/>
    </xf>
    <xf numFmtId="0" fontId="34" fillId="7" borderId="44" xfId="4" applyFont="1" applyFill="1" applyBorder="1" applyAlignment="1">
      <alignment horizontal="center" vertical="center"/>
    </xf>
    <xf numFmtId="0" fontId="34" fillId="7" borderId="0" xfId="4" applyFont="1" applyFill="1" applyAlignment="1">
      <alignment horizontal="center" vertical="center"/>
    </xf>
    <xf numFmtId="0" fontId="35" fillId="7" borderId="0" xfId="4" applyFont="1" applyFill="1" applyAlignment="1">
      <alignment horizontal="center" vertical="center"/>
    </xf>
    <xf numFmtId="0" fontId="35" fillId="7" borderId="0" xfId="4" applyFont="1" applyFill="1" applyAlignment="1">
      <alignment vertical="center"/>
    </xf>
    <xf numFmtId="0" fontId="36" fillId="7" borderId="0" xfId="4" applyFont="1" applyFill="1" applyAlignment="1">
      <alignment vertical="center"/>
    </xf>
    <xf numFmtId="0" fontId="4" fillId="8" borderId="0" xfId="4" applyFill="1" applyAlignment="1">
      <alignment vertical="center"/>
    </xf>
    <xf numFmtId="0" fontId="33" fillId="8" borderId="43" xfId="4" applyFont="1" applyFill="1" applyBorder="1" applyAlignment="1">
      <alignment horizontal="center" vertical="center"/>
    </xf>
    <xf numFmtId="0" fontId="33" fillId="8" borderId="0" xfId="4" applyFont="1" applyFill="1" applyAlignment="1">
      <alignment horizontal="center" vertical="center"/>
    </xf>
    <xf numFmtId="0" fontId="34" fillId="8" borderId="43" xfId="4" applyFont="1" applyFill="1" applyBorder="1" applyAlignment="1">
      <alignment horizontal="center" vertical="center"/>
    </xf>
    <xf numFmtId="0" fontId="34" fillId="8" borderId="44" xfId="4" applyFont="1" applyFill="1" applyBorder="1" applyAlignment="1">
      <alignment horizontal="center" vertical="center"/>
    </xf>
    <xf numFmtId="0" fontId="34" fillId="8" borderId="0" xfId="4" applyFont="1" applyFill="1" applyAlignment="1">
      <alignment horizontal="center" vertical="center"/>
    </xf>
    <xf numFmtId="0" fontId="35" fillId="8" borderId="0" xfId="4" applyFont="1" applyFill="1" applyAlignment="1">
      <alignment horizontal="center" vertical="center"/>
    </xf>
    <xf numFmtId="0" fontId="35" fillId="8" borderId="0" xfId="4" applyFont="1" applyFill="1" applyAlignment="1">
      <alignment vertical="center"/>
    </xf>
    <xf numFmtId="0" fontId="36" fillId="8" borderId="0" xfId="4" applyFont="1" applyFill="1" applyAlignment="1">
      <alignment vertical="center"/>
    </xf>
    <xf numFmtId="0" fontId="37" fillId="5" borderId="0" xfId="4" applyFont="1" applyFill="1"/>
    <xf numFmtId="0" fontId="38" fillId="5" borderId="0" xfId="4" applyFont="1" applyFill="1"/>
    <xf numFmtId="0" fontId="4" fillId="0" borderId="0" xfId="4"/>
    <xf numFmtId="164" fontId="5" fillId="0" borderId="0" xfId="4" applyNumberFormat="1" applyFont="1"/>
    <xf numFmtId="0" fontId="4" fillId="0" borderId="0" xfId="4" applyAlignment="1">
      <alignment horizontal="left"/>
    </xf>
    <xf numFmtId="2" fontId="4" fillId="0" borderId="0" xfId="4" applyNumberFormat="1"/>
    <xf numFmtId="1" fontId="4" fillId="0" borderId="0" xfId="4" applyNumberFormat="1"/>
    <xf numFmtId="0" fontId="4" fillId="6" borderId="0" xfId="4" applyFill="1"/>
    <xf numFmtId="0" fontId="41" fillId="0" borderId="0" xfId="4" applyFont="1" applyAlignment="1">
      <alignment horizontal="center"/>
    </xf>
    <xf numFmtId="0" fontId="40" fillId="6" borderId="0" xfId="4" applyFont="1" applyFill="1" applyAlignment="1">
      <alignment horizontal="right"/>
    </xf>
    <xf numFmtId="2" fontId="40" fillId="6" borderId="0" xfId="4" applyNumberFormat="1" applyFont="1" applyFill="1" applyAlignment="1">
      <alignment horizontal="left"/>
    </xf>
    <xf numFmtId="0" fontId="42" fillId="6" borderId="0" xfId="4" applyFont="1" applyFill="1"/>
    <xf numFmtId="0" fontId="43" fillId="10" borderId="0" xfId="4" applyFont="1" applyFill="1" applyAlignment="1">
      <alignment horizontal="center"/>
    </xf>
    <xf numFmtId="0" fontId="41" fillId="6" borderId="0" xfId="4" applyFont="1" applyFill="1" applyAlignment="1">
      <alignment horizontal="center"/>
    </xf>
    <xf numFmtId="0" fontId="5" fillId="0" borderId="0" xfId="4" applyFont="1" applyAlignment="1">
      <alignment horizontal="center"/>
    </xf>
    <xf numFmtId="0" fontId="44" fillId="0" borderId="0" xfId="4" applyFont="1"/>
    <xf numFmtId="0" fontId="44" fillId="0" borderId="0" xfId="4" applyFont="1" applyAlignment="1">
      <alignment wrapText="1"/>
    </xf>
    <xf numFmtId="0" fontId="45" fillId="0" borderId="0" xfId="4" applyFont="1"/>
    <xf numFmtId="0" fontId="47" fillId="5" borderId="45" xfId="4" applyFont="1" applyFill="1" applyBorder="1" applyAlignment="1">
      <alignment horizontal="center" vertical="center"/>
    </xf>
    <xf numFmtId="0" fontId="40" fillId="11" borderId="45" xfId="4" applyFont="1" applyFill="1" applyBorder="1" applyAlignment="1">
      <alignment horizontal="center" vertical="center"/>
    </xf>
    <xf numFmtId="0" fontId="52" fillId="13" borderId="50" xfId="4" applyFont="1" applyFill="1" applyBorder="1" applyAlignment="1">
      <alignment vertical="center" wrapText="1"/>
    </xf>
    <xf numFmtId="0" fontId="53" fillId="6" borderId="0" xfId="4" applyFont="1" applyFill="1" applyAlignment="1">
      <alignment vertical="center"/>
    </xf>
    <xf numFmtId="0" fontId="49" fillId="14" borderId="50" xfId="4" applyFont="1" applyFill="1" applyBorder="1" applyAlignment="1">
      <alignment vertical="center" wrapText="1"/>
    </xf>
    <xf numFmtId="0" fontId="40" fillId="14" borderId="16" xfId="4" applyFont="1" applyFill="1" applyBorder="1" applyAlignment="1">
      <alignment horizontal="center" vertical="center"/>
    </xf>
    <xf numFmtId="0" fontId="33" fillId="6" borderId="0" xfId="4" applyFont="1" applyFill="1"/>
    <xf numFmtId="0" fontId="22" fillId="6" borderId="0" xfId="4" applyFont="1" applyFill="1" applyAlignment="1">
      <alignment horizontal="center"/>
    </xf>
    <xf numFmtId="0" fontId="12" fillId="6" borderId="0" xfId="4" applyFont="1" applyFill="1"/>
    <xf numFmtId="0" fontId="5" fillId="6" borderId="0" xfId="4" applyFont="1" applyFill="1" applyAlignment="1">
      <alignment horizontal="center"/>
    </xf>
    <xf numFmtId="0" fontId="12" fillId="0" borderId="0" xfId="4" applyFont="1"/>
    <xf numFmtId="0" fontId="5" fillId="3" borderId="2" xfId="4" applyFont="1" applyFill="1" applyBorder="1" applyAlignment="1">
      <alignment vertical="center"/>
    </xf>
    <xf numFmtId="0" fontId="5" fillId="3" borderId="3" xfId="4" applyFont="1" applyFill="1" applyBorder="1" applyAlignment="1">
      <alignment vertical="center"/>
    </xf>
    <xf numFmtId="0" fontId="16" fillId="3" borderId="3" xfId="4" applyFont="1" applyFill="1" applyBorder="1" applyAlignment="1">
      <alignment vertical="center"/>
    </xf>
    <xf numFmtId="0" fontId="8" fillId="0" borderId="3" xfId="4" applyFont="1" applyBorder="1" applyProtection="1">
      <protection hidden="1"/>
    </xf>
    <xf numFmtId="0" fontId="8" fillId="0" borderId="4" xfId="4" applyFont="1" applyBorder="1" applyProtection="1">
      <protection hidden="1"/>
    </xf>
    <xf numFmtId="0" fontId="8" fillId="0" borderId="0" xfId="4" applyFont="1" applyProtection="1">
      <protection hidden="1"/>
    </xf>
    <xf numFmtId="0" fontId="5" fillId="3" borderId="5" xfId="4" applyFont="1" applyFill="1" applyBorder="1" applyAlignment="1">
      <alignment vertical="center"/>
    </xf>
    <xf numFmtId="0" fontId="5" fillId="3" borderId="0" xfId="4" applyFont="1" applyFill="1" applyAlignment="1">
      <alignment vertical="center"/>
    </xf>
    <xf numFmtId="0" fontId="16" fillId="3" borderId="0" xfId="4" applyFont="1" applyFill="1" applyAlignment="1">
      <alignment vertical="center"/>
    </xf>
    <xf numFmtId="0" fontId="8" fillId="0" borderId="6" xfId="4" applyFont="1" applyBorder="1" applyProtection="1">
      <protection hidden="1"/>
    </xf>
    <xf numFmtId="1" fontId="8" fillId="0" borderId="0" xfId="4" applyNumberFormat="1" applyFont="1" applyProtection="1">
      <protection hidden="1"/>
    </xf>
    <xf numFmtId="0" fontId="7" fillId="2" borderId="7" xfId="4" applyFont="1" applyFill="1" applyBorder="1" applyAlignment="1">
      <alignment vertical="center"/>
    </xf>
    <xf numFmtId="0" fontId="7" fillId="2" borderId="1" xfId="4" applyFont="1" applyFill="1" applyBorder="1" applyAlignment="1">
      <alignment vertical="center"/>
    </xf>
    <xf numFmtId="0" fontId="7" fillId="2" borderId="8" xfId="4" applyFont="1" applyFill="1" applyBorder="1" applyAlignment="1">
      <alignment vertical="center"/>
    </xf>
    <xf numFmtId="0" fontId="7" fillId="2" borderId="0" xfId="4" applyFont="1" applyFill="1" applyAlignment="1">
      <alignment vertical="center"/>
    </xf>
    <xf numFmtId="168" fontId="8" fillId="0" borderId="0" xfId="4" applyNumberFormat="1" applyFont="1" applyProtection="1">
      <protection hidden="1"/>
    </xf>
    <xf numFmtId="0" fontId="15" fillId="2" borderId="0" xfId="4" applyFont="1" applyFill="1" applyAlignment="1">
      <alignment horizontal="center" vertical="center"/>
    </xf>
    <xf numFmtId="0" fontId="22" fillId="2" borderId="0" xfId="4" applyFont="1" applyFill="1" applyAlignment="1">
      <alignment horizontal="right" vertical="center"/>
    </xf>
    <xf numFmtId="0" fontId="22" fillId="2" borderId="0" xfId="4" applyFont="1" applyFill="1" applyAlignment="1">
      <alignment horizontal="center" vertical="center"/>
    </xf>
    <xf numFmtId="0" fontId="12" fillId="0" borderId="0" xfId="4" applyFont="1" applyAlignment="1">
      <alignment vertical="center"/>
    </xf>
    <xf numFmtId="0" fontId="10" fillId="0" borderId="0" xfId="4" applyFont="1" applyProtection="1">
      <protection hidden="1"/>
    </xf>
    <xf numFmtId="0" fontId="13" fillId="2" borderId="0" xfId="4" applyFont="1" applyFill="1" applyAlignment="1">
      <alignment vertical="center"/>
    </xf>
    <xf numFmtId="0" fontId="12" fillId="2" borderId="0" xfId="4" applyFont="1" applyFill="1" applyAlignment="1">
      <alignment vertical="center"/>
    </xf>
    <xf numFmtId="0" fontId="8" fillId="2" borderId="0" xfId="3" applyFont="1" applyFill="1"/>
    <xf numFmtId="0" fontId="8" fillId="0" borderId="0" xfId="4" applyFont="1" applyAlignment="1" applyProtection="1">
      <alignment horizontal="left"/>
      <protection hidden="1"/>
    </xf>
    <xf numFmtId="169" fontId="8" fillId="0" borderId="0" xfId="4" applyNumberFormat="1" applyFont="1" applyAlignment="1" applyProtection="1">
      <alignment horizontal="left" vertical="center"/>
      <protection hidden="1"/>
    </xf>
    <xf numFmtId="17" fontId="12" fillId="2" borderId="0" xfId="4" applyNumberFormat="1" applyFont="1" applyFill="1" applyAlignment="1">
      <alignment vertical="center"/>
    </xf>
    <xf numFmtId="0" fontId="12" fillId="2" borderId="9" xfId="4" applyFont="1" applyFill="1" applyBorder="1" applyAlignment="1">
      <alignment horizontal="left" vertical="center" wrapText="1"/>
    </xf>
    <xf numFmtId="171" fontId="8" fillId="0" borderId="0" xfId="4" applyNumberFormat="1" applyFont="1" applyAlignment="1" applyProtection="1">
      <alignment horizontal="left"/>
      <protection hidden="1"/>
    </xf>
    <xf numFmtId="0" fontId="12" fillId="2" borderId="49" xfId="3" applyFont="1" applyFill="1" applyBorder="1" applyAlignment="1">
      <alignment vertical="center"/>
    </xf>
    <xf numFmtId="0" fontId="23" fillId="0" borderId="0" xfId="4" applyFont="1" applyProtection="1">
      <protection hidden="1"/>
    </xf>
    <xf numFmtId="0" fontId="23" fillId="0" borderId="0" xfId="4" applyFont="1" applyAlignment="1" applyProtection="1">
      <alignment vertical="center"/>
      <protection hidden="1"/>
    </xf>
    <xf numFmtId="0" fontId="23" fillId="0" borderId="13" xfId="4" applyFont="1" applyBorder="1" applyAlignment="1" applyProtection="1">
      <alignment vertical="center"/>
      <protection hidden="1"/>
    </xf>
    <xf numFmtId="14" fontId="12" fillId="0" borderId="13" xfId="4" applyNumberFormat="1" applyFont="1" applyBorder="1" applyAlignment="1" applyProtection="1">
      <alignment horizontal="left" vertical="center"/>
      <protection hidden="1"/>
    </xf>
    <xf numFmtId="0" fontId="8" fillId="0" borderId="15" xfId="4" applyFont="1" applyBorder="1" applyProtection="1">
      <protection hidden="1"/>
    </xf>
    <xf numFmtId="0" fontId="9" fillId="0" borderId="0" xfId="4" applyFont="1" applyAlignment="1" applyProtection="1">
      <alignment horizontal="center" vertical="center"/>
      <protection hidden="1"/>
    </xf>
    <xf numFmtId="171" fontId="8" fillId="0" borderId="0" xfId="4" applyNumberFormat="1" applyFont="1" applyProtection="1">
      <protection hidden="1"/>
    </xf>
    <xf numFmtId="0" fontId="8" fillId="0" borderId="49" xfId="4" applyFont="1" applyBorder="1" applyProtection="1">
      <protection hidden="1"/>
    </xf>
    <xf numFmtId="3" fontId="11" fillId="3" borderId="13" xfId="4" applyNumberFormat="1" applyFont="1" applyFill="1" applyBorder="1" applyAlignment="1">
      <alignment horizontal="center" vertical="center" wrapText="1"/>
    </xf>
    <xf numFmtId="10" fontId="10" fillId="3" borderId="0" xfId="4" applyNumberFormat="1" applyFont="1" applyFill="1" applyAlignment="1">
      <alignment horizontal="center" vertical="center" wrapText="1"/>
    </xf>
    <xf numFmtId="0" fontId="58" fillId="2" borderId="46" xfId="4" applyFont="1" applyFill="1" applyBorder="1" applyAlignment="1">
      <alignment horizontal="center" vertical="center"/>
    </xf>
    <xf numFmtId="0" fontId="58" fillId="2" borderId="51" xfId="4" applyFont="1" applyFill="1" applyBorder="1" applyAlignment="1">
      <alignment horizontal="center" vertical="center"/>
    </xf>
    <xf numFmtId="172" fontId="58" fillId="3" borderId="46" xfId="4" quotePrefix="1" applyNumberFormat="1" applyFont="1" applyFill="1" applyBorder="1" applyAlignment="1">
      <alignment vertical="center"/>
    </xf>
    <xf numFmtId="172" fontId="17" fillId="3" borderId="46" xfId="4" quotePrefix="1" applyNumberFormat="1" applyFont="1" applyFill="1" applyBorder="1" applyAlignment="1">
      <alignment horizontal="left" vertical="center"/>
    </xf>
    <xf numFmtId="172" fontId="17" fillId="3" borderId="52" xfId="4" quotePrefix="1" applyNumberFormat="1" applyFont="1" applyFill="1" applyBorder="1" applyAlignment="1">
      <alignment horizontal="left" vertical="center"/>
    </xf>
    <xf numFmtId="0" fontId="59" fillId="2" borderId="46" xfId="4" applyFont="1" applyFill="1" applyBorder="1" applyAlignment="1">
      <alignment horizontal="center" vertical="center"/>
    </xf>
    <xf numFmtId="0" fontId="59" fillId="2" borderId="51" xfId="4" applyFont="1" applyFill="1" applyBorder="1" applyAlignment="1">
      <alignment horizontal="center" vertical="center"/>
    </xf>
    <xf numFmtId="2" fontId="21" fillId="3" borderId="13" xfId="4" applyNumberFormat="1" applyFont="1" applyFill="1" applyBorder="1" applyAlignment="1">
      <alignment horizontal="center" vertical="center"/>
    </xf>
    <xf numFmtId="0" fontId="20" fillId="0" borderId="0" xfId="4" applyFont="1" applyProtection="1">
      <protection hidden="1"/>
    </xf>
    <xf numFmtId="0" fontId="60" fillId="2" borderId="46" xfId="4" applyFont="1" applyFill="1" applyBorder="1" applyAlignment="1">
      <alignment horizontal="center" vertical="center"/>
    </xf>
    <xf numFmtId="0" fontId="62" fillId="0" borderId="53" xfId="4" applyFont="1" applyBorder="1" applyProtection="1">
      <protection hidden="1"/>
    </xf>
    <xf numFmtId="0" fontId="62" fillId="0" borderId="52" xfId="4" applyFont="1" applyBorder="1" applyProtection="1">
      <protection hidden="1"/>
    </xf>
    <xf numFmtId="0" fontId="9" fillId="0" borderId="0" xfId="4" applyFont="1" applyAlignment="1" applyProtection="1">
      <alignment vertical="center"/>
      <protection hidden="1"/>
    </xf>
    <xf numFmtId="0" fontId="9" fillId="0" borderId="13" xfId="4" applyFont="1" applyBorder="1" applyAlignment="1" applyProtection="1">
      <alignment vertical="center"/>
      <protection hidden="1"/>
    </xf>
    <xf numFmtId="0" fontId="63" fillId="0" borderId="46" xfId="4" applyFont="1" applyBorder="1" applyProtection="1">
      <protection hidden="1"/>
    </xf>
    <xf numFmtId="0" fontId="63" fillId="0" borderId="52" xfId="4" applyFont="1" applyBorder="1" applyProtection="1">
      <protection hidden="1"/>
    </xf>
    <xf numFmtId="2" fontId="60" fillId="2" borderId="46" xfId="4" applyNumberFormat="1" applyFont="1" applyFill="1" applyBorder="1" applyAlignment="1">
      <alignment horizontal="center" vertical="center"/>
    </xf>
    <xf numFmtId="2" fontId="17" fillId="2" borderId="46" xfId="4" applyNumberFormat="1" applyFont="1" applyFill="1" applyBorder="1" applyAlignment="1">
      <alignment horizontal="center" vertical="center"/>
    </xf>
    <xf numFmtId="2" fontId="59" fillId="2" borderId="46" xfId="4" applyNumberFormat="1" applyFont="1" applyFill="1" applyBorder="1" applyAlignment="1">
      <alignment horizontal="center" vertical="center"/>
    </xf>
    <xf numFmtId="2" fontId="59" fillId="2" borderId="51" xfId="4" applyNumberFormat="1" applyFont="1" applyFill="1" applyBorder="1" applyAlignment="1">
      <alignment horizontal="center" vertical="center"/>
    </xf>
    <xf numFmtId="0" fontId="9" fillId="0" borderId="49" xfId="4" applyFont="1" applyBorder="1" applyAlignment="1" applyProtection="1">
      <alignment vertical="center"/>
      <protection hidden="1"/>
    </xf>
    <xf numFmtId="0" fontId="10" fillId="2" borderId="0" xfId="4" applyFont="1" applyFill="1" applyAlignment="1">
      <alignment vertical="center"/>
    </xf>
    <xf numFmtId="2" fontId="14" fillId="2" borderId="0" xfId="4" applyNumberFormat="1" applyFont="1" applyFill="1" applyAlignment="1">
      <alignment vertical="center"/>
    </xf>
    <xf numFmtId="0" fontId="17" fillId="2" borderId="0" xfId="4" applyFont="1" applyFill="1" applyAlignment="1">
      <alignment vertical="center"/>
    </xf>
    <xf numFmtId="0" fontId="58" fillId="2" borderId="0" xfId="4" applyFont="1" applyFill="1" applyAlignment="1">
      <alignment horizontal="center" vertical="center"/>
    </xf>
    <xf numFmtId="0" fontId="5" fillId="0" borderId="0" xfId="4" applyFont="1" applyProtection="1">
      <protection hidden="1"/>
    </xf>
    <xf numFmtId="0" fontId="5" fillId="0" borderId="0" xfId="4" applyFont="1" applyAlignment="1" applyProtection="1">
      <alignment vertical="center"/>
      <protection hidden="1"/>
    </xf>
    <xf numFmtId="0" fontId="17" fillId="2" borderId="17" xfId="4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0" fontId="17" fillId="2" borderId="0" xfId="4" applyFont="1" applyFill="1" applyAlignment="1">
      <alignment horizontal="center" vertical="center"/>
    </xf>
    <xf numFmtId="0" fontId="4" fillId="0" borderId="0" xfId="4" applyAlignment="1" applyProtection="1">
      <alignment horizontal="left" indent="1"/>
      <protection hidden="1"/>
    </xf>
    <xf numFmtId="0" fontId="12" fillId="0" borderId="49" xfId="4" applyFont="1" applyBorder="1" applyAlignment="1" applyProtection="1">
      <alignment horizontal="left" indent="1"/>
      <protection hidden="1"/>
    </xf>
    <xf numFmtId="0" fontId="17" fillId="2" borderId="18" xfId="4" applyFont="1" applyFill="1" applyBorder="1" applyAlignment="1">
      <alignment horizontal="center" vertical="center"/>
    </xf>
    <xf numFmtId="164" fontId="17" fillId="2" borderId="18" xfId="4" applyNumberFormat="1" applyFont="1" applyFill="1" applyBorder="1" applyAlignment="1">
      <alignment horizontal="center" vertical="center"/>
    </xf>
    <xf numFmtId="2" fontId="17" fillId="2" borderId="0" xfId="4" applyNumberFormat="1" applyFont="1" applyFill="1" applyAlignment="1">
      <alignment horizontal="center" vertical="center"/>
    </xf>
    <xf numFmtId="0" fontId="64" fillId="2" borderId="0" xfId="4" applyFont="1" applyFill="1" applyAlignment="1">
      <alignment vertical="center"/>
    </xf>
    <xf numFmtId="0" fontId="12" fillId="0" borderId="49" xfId="4" applyFont="1" applyBorder="1" applyAlignment="1" applyProtection="1">
      <alignment horizontal="left" vertical="center" indent="2"/>
      <protection hidden="1"/>
    </xf>
    <xf numFmtId="0" fontId="9" fillId="0" borderId="15" xfId="4" applyFont="1" applyBorder="1" applyAlignment="1" applyProtection="1">
      <alignment vertical="center"/>
      <protection hidden="1"/>
    </xf>
    <xf numFmtId="2" fontId="13" fillId="2" borderId="0" xfId="4" applyNumberFormat="1" applyFont="1" applyFill="1" applyAlignment="1">
      <alignment horizontal="center" vertical="center"/>
    </xf>
    <xf numFmtId="0" fontId="12" fillId="4" borderId="0" xfId="4" applyFont="1" applyFill="1" applyAlignment="1" applyProtection="1">
      <alignment horizontal="left" indent="1"/>
      <protection hidden="1"/>
    </xf>
    <xf numFmtId="0" fontId="12" fillId="0" borderId="0" xfId="4" applyFont="1" applyAlignment="1" applyProtection="1">
      <alignment horizontal="left" vertical="center" indent="2"/>
      <protection hidden="1"/>
    </xf>
    <xf numFmtId="0" fontId="12" fillId="4" borderId="0" xfId="4" applyFont="1" applyFill="1" applyAlignment="1" applyProtection="1">
      <alignment vertical="center"/>
      <protection hidden="1"/>
    </xf>
    <xf numFmtId="0" fontId="10" fillId="2" borderId="45" xfId="0" applyFont="1" applyFill="1" applyBorder="1" applyAlignment="1">
      <alignment vertical="center"/>
    </xf>
    <xf numFmtId="0" fontId="12" fillId="0" borderId="13" xfId="0" applyFont="1" applyBorder="1" applyAlignment="1" applyProtection="1">
      <alignment vertical="center"/>
      <protection hidden="1"/>
    </xf>
    <xf numFmtId="0" fontId="58" fillId="0" borderId="10" xfId="0" applyFont="1" applyBorder="1" applyAlignment="1">
      <alignment horizontal="center" vertical="center" wrapText="1"/>
    </xf>
    <xf numFmtId="0" fontId="58" fillId="0" borderId="9" xfId="0" applyFont="1" applyBorder="1" applyAlignment="1">
      <alignment vertical="center" wrapText="1"/>
    </xf>
    <xf numFmtId="0" fontId="58" fillId="0" borderId="11" xfId="0" applyFont="1" applyBorder="1" applyAlignment="1">
      <alignment horizontal="center" vertical="center" wrapText="1"/>
    </xf>
    <xf numFmtId="3" fontId="17" fillId="3" borderId="0" xfId="0" applyNumberFormat="1" applyFont="1" applyFill="1" applyAlignment="1">
      <alignment vertical="center" wrapText="1"/>
    </xf>
    <xf numFmtId="3" fontId="17" fillId="3" borderId="13" xfId="0" applyNumberFormat="1" applyFont="1" applyFill="1" applyBorder="1" applyAlignment="1">
      <alignment horizontal="center" vertical="center" wrapText="1"/>
    </xf>
    <xf numFmtId="166" fontId="59" fillId="3" borderId="0" xfId="0" applyNumberFormat="1" applyFont="1" applyFill="1" applyAlignment="1">
      <alignment vertical="center" wrapText="1"/>
    </xf>
    <xf numFmtId="2" fontId="59" fillId="3" borderId="13" xfId="0" applyNumberFormat="1" applyFont="1" applyFill="1" applyBorder="1" applyAlignment="1">
      <alignment horizontal="center" vertical="center"/>
    </xf>
    <xf numFmtId="0" fontId="12" fillId="0" borderId="0" xfId="0" applyFont="1" applyProtection="1">
      <protection hidden="1"/>
    </xf>
    <xf numFmtId="0" fontId="17" fillId="0" borderId="9" xfId="0" applyFont="1" applyBorder="1" applyProtection="1">
      <protection hidden="1"/>
    </xf>
    <xf numFmtId="0" fontId="17" fillId="0" borderId="0" xfId="0" applyFont="1" applyProtection="1">
      <protection hidden="1"/>
    </xf>
    <xf numFmtId="0" fontId="17" fillId="2" borderId="17" xfId="0" applyFont="1" applyFill="1" applyBorder="1" applyAlignment="1" applyProtection="1">
      <alignment horizontal="center" vertical="center"/>
      <protection hidden="1"/>
    </xf>
    <xf numFmtId="164" fontId="60" fillId="2" borderId="17" xfId="0" applyNumberFormat="1" applyFont="1" applyFill="1" applyBorder="1" applyAlignment="1">
      <alignment horizontal="center" vertical="center"/>
    </xf>
    <xf numFmtId="0" fontId="58" fillId="0" borderId="0" xfId="0" applyFont="1" applyAlignment="1" applyProtection="1">
      <alignment vertical="center"/>
      <protection hidden="1"/>
    </xf>
    <xf numFmtId="0" fontId="58" fillId="0" borderId="13" xfId="0" applyFont="1" applyBorder="1" applyAlignment="1" applyProtection="1">
      <alignment vertical="center"/>
      <protection hidden="1"/>
    </xf>
    <xf numFmtId="12" fontId="17" fillId="2" borderId="17" xfId="0" applyNumberFormat="1" applyFont="1" applyFill="1" applyBorder="1" applyAlignment="1" applyProtection="1">
      <alignment horizontal="center" vertical="center"/>
      <protection hidden="1"/>
    </xf>
    <xf numFmtId="0" fontId="17" fillId="2" borderId="19" xfId="0" applyFont="1" applyFill="1" applyBorder="1" applyAlignment="1">
      <alignment horizontal="left" vertical="center"/>
    </xf>
    <xf numFmtId="164" fontId="17" fillId="2" borderId="20" xfId="0" applyNumberFormat="1" applyFont="1" applyFill="1" applyBorder="1" applyAlignment="1">
      <alignment horizontal="center" vertical="center"/>
    </xf>
    <xf numFmtId="164" fontId="17" fillId="2" borderId="21" xfId="0" applyNumberFormat="1" applyFont="1" applyFill="1" applyBorder="1" applyAlignment="1">
      <alignment horizontal="center" vertical="center"/>
    </xf>
    <xf numFmtId="0" fontId="17" fillId="2" borderId="21" xfId="0" applyFont="1" applyFill="1" applyBorder="1" applyAlignment="1">
      <alignment horizontal="left" vertical="center"/>
    </xf>
    <xf numFmtId="164" fontId="17" fillId="2" borderId="22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 applyProtection="1">
      <alignment horizontal="center" vertical="center"/>
      <protection hidden="1"/>
    </xf>
    <xf numFmtId="164" fontId="60" fillId="2" borderId="18" xfId="0" applyNumberFormat="1" applyFont="1" applyFill="1" applyBorder="1" applyAlignment="1">
      <alignment horizontal="center" vertical="center"/>
    </xf>
    <xf numFmtId="0" fontId="58" fillId="0" borderId="15" xfId="0" applyFont="1" applyBorder="1" applyAlignment="1" applyProtection="1">
      <alignment vertical="center"/>
      <protection hidden="1"/>
    </xf>
    <xf numFmtId="0" fontId="66" fillId="4" borderId="0" xfId="0" applyFont="1" applyFill="1" applyAlignment="1">
      <alignment vertical="center"/>
    </xf>
    <xf numFmtId="1" fontId="12" fillId="2" borderId="13" xfId="0" applyNumberFormat="1" applyFont="1" applyFill="1" applyBorder="1" applyAlignment="1">
      <alignment vertical="center"/>
    </xf>
    <xf numFmtId="0" fontId="67" fillId="2" borderId="10" xfId="0" applyFont="1" applyFill="1" applyBorder="1" applyAlignment="1">
      <alignment horizontal="left" vertical="center"/>
    </xf>
    <xf numFmtId="0" fontId="22" fillId="2" borderId="9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vertical="center"/>
    </xf>
    <xf numFmtId="0" fontId="68" fillId="2" borderId="9" xfId="0" applyFont="1" applyFill="1" applyBorder="1" applyAlignment="1">
      <alignment vertical="center"/>
    </xf>
    <xf numFmtId="0" fontId="67" fillId="2" borderId="9" xfId="0" applyFont="1" applyFill="1" applyBorder="1" applyAlignment="1">
      <alignment horizontal="center" vertical="center"/>
    </xf>
    <xf numFmtId="0" fontId="67" fillId="2" borderId="11" xfId="0" applyFont="1" applyFill="1" applyBorder="1" applyAlignment="1">
      <alignment horizontal="center" vertical="center"/>
    </xf>
    <xf numFmtId="0" fontId="22" fillId="2" borderId="0" xfId="0" applyFont="1" applyFill="1" applyAlignment="1">
      <alignment vertical="center"/>
    </xf>
    <xf numFmtId="0" fontId="12" fillId="2" borderId="13" xfId="0" applyFont="1" applyFill="1" applyBorder="1" applyAlignment="1">
      <alignment vertical="center"/>
    </xf>
    <xf numFmtId="164" fontId="12" fillId="2" borderId="0" xfId="0" applyNumberFormat="1" applyFont="1" applyFill="1" applyAlignment="1">
      <alignment horizontal="left" vertical="center"/>
    </xf>
    <xf numFmtId="164" fontId="65" fillId="2" borderId="13" xfId="0" applyNumberFormat="1" applyFont="1" applyFill="1" applyBorder="1" applyAlignment="1">
      <alignment horizontal="center" vertical="center"/>
    </xf>
    <xf numFmtId="1" fontId="66" fillId="3" borderId="0" xfId="0" applyNumberFormat="1" applyFont="1" applyFill="1" applyAlignment="1">
      <alignment vertical="center"/>
    </xf>
    <xf numFmtId="2" fontId="69" fillId="2" borderId="13" xfId="0" applyNumberFormat="1" applyFont="1" applyFill="1" applyBorder="1" applyAlignment="1">
      <alignment vertical="center"/>
    </xf>
    <xf numFmtId="164" fontId="12" fillId="2" borderId="13" xfId="0" applyNumberFormat="1" applyFont="1" applyFill="1" applyBorder="1" applyAlignment="1">
      <alignment vertical="center"/>
    </xf>
    <xf numFmtId="164" fontId="12" fillId="2" borderId="0" xfId="0" applyNumberFormat="1" applyFont="1" applyFill="1" applyAlignment="1">
      <alignment vertical="center"/>
    </xf>
    <xf numFmtId="164" fontId="12" fillId="2" borderId="15" xfId="0" applyNumberFormat="1" applyFont="1" applyFill="1" applyBorder="1" applyAlignment="1">
      <alignment vertical="center"/>
    </xf>
    <xf numFmtId="0" fontId="12" fillId="2" borderId="15" xfId="0" applyFont="1" applyFill="1" applyBorder="1" applyAlignment="1">
      <alignment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164" fontId="12" fillId="2" borderId="15" xfId="0" applyNumberFormat="1" applyFont="1" applyFill="1" applyBorder="1" applyAlignment="1">
      <alignment horizontal="center" vertical="center"/>
    </xf>
    <xf numFmtId="164" fontId="12" fillId="2" borderId="0" xfId="0" applyNumberFormat="1" applyFont="1" applyFill="1" applyAlignment="1">
      <alignment horizontal="center" vertical="center"/>
    </xf>
    <xf numFmtId="1" fontId="22" fillId="2" borderId="10" xfId="0" applyNumberFormat="1" applyFont="1" applyFill="1" applyBorder="1" applyAlignment="1">
      <alignment horizontal="left" vertical="center"/>
    </xf>
    <xf numFmtId="0" fontId="12" fillId="2" borderId="11" xfId="0" applyFont="1" applyFill="1" applyBorder="1" applyAlignment="1">
      <alignment horizontal="left" vertical="center"/>
    </xf>
    <xf numFmtId="2" fontId="22" fillId="2" borderId="11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left" vertical="center"/>
    </xf>
    <xf numFmtId="2" fontId="22" fillId="2" borderId="15" xfId="0" applyNumberFormat="1" applyFont="1" applyFill="1" applyBorder="1" applyAlignment="1">
      <alignment horizontal="center" vertical="center"/>
    </xf>
    <xf numFmtId="0" fontId="17" fillId="2" borderId="28" xfId="0" applyFont="1" applyFill="1" applyBorder="1" applyAlignment="1">
      <alignment horizontal="left" vertical="center"/>
    </xf>
    <xf numFmtId="173" fontId="12" fillId="2" borderId="0" xfId="0" applyNumberFormat="1" applyFont="1" applyFill="1" applyAlignment="1">
      <alignment horizontal="left" vertical="center"/>
    </xf>
    <xf numFmtId="175" fontId="12" fillId="2" borderId="0" xfId="4" applyNumberFormat="1" applyFont="1" applyFill="1" applyAlignment="1">
      <alignment horizontal="left" vertical="center"/>
    </xf>
    <xf numFmtId="0" fontId="12" fillId="3" borderId="0" xfId="0" applyFont="1" applyFill="1" applyAlignment="1">
      <alignment vertical="center"/>
    </xf>
    <xf numFmtId="180" fontId="12" fillId="2" borderId="0" xfId="4" applyNumberFormat="1" applyFont="1" applyFill="1" applyAlignment="1">
      <alignment horizontal="left" vertical="center"/>
    </xf>
    <xf numFmtId="181" fontId="12" fillId="2" borderId="0" xfId="4" applyNumberFormat="1" applyFont="1" applyFill="1" applyAlignment="1">
      <alignment horizontal="left" vertical="center"/>
    </xf>
    <xf numFmtId="182" fontId="12" fillId="2" borderId="0" xfId="4" applyNumberFormat="1" applyFont="1" applyFill="1" applyAlignment="1">
      <alignment horizontal="left" vertical="center"/>
    </xf>
    <xf numFmtId="0" fontId="8" fillId="0" borderId="59" xfId="4" applyFont="1" applyBorder="1" applyProtection="1">
      <protection hidden="1"/>
    </xf>
    <xf numFmtId="0" fontId="17" fillId="0" borderId="9" xfId="4" applyFont="1" applyBorder="1" applyProtection="1">
      <protection hidden="1"/>
    </xf>
    <xf numFmtId="0" fontId="17" fillId="0" borderId="0" xfId="4" applyFont="1" applyProtection="1">
      <protection hidden="1"/>
    </xf>
    <xf numFmtId="171" fontId="17" fillId="0" borderId="0" xfId="4" applyNumberFormat="1" applyFont="1" applyAlignment="1" applyProtection="1">
      <alignment horizontal="left"/>
      <protection hidden="1"/>
    </xf>
    <xf numFmtId="0" fontId="17" fillId="0" borderId="49" xfId="4" applyFont="1" applyBorder="1" applyProtection="1">
      <protection hidden="1"/>
    </xf>
    <xf numFmtId="0" fontId="17" fillId="0" borderId="13" xfId="4" applyFont="1" applyBorder="1" applyProtection="1">
      <protection hidden="1"/>
    </xf>
    <xf numFmtId="0" fontId="17" fillId="2" borderId="54" xfId="4" applyFont="1" applyFill="1" applyBorder="1" applyAlignment="1">
      <alignment horizontal="center"/>
    </xf>
    <xf numFmtId="0" fontId="17" fillId="2" borderId="60" xfId="4" applyFont="1" applyFill="1" applyBorder="1" applyAlignment="1">
      <alignment vertical="center"/>
    </xf>
    <xf numFmtId="0" fontId="17" fillId="2" borderId="66" xfId="4" applyFont="1" applyFill="1" applyBorder="1" applyAlignment="1">
      <alignment horizontal="center" vertical="center"/>
    </xf>
    <xf numFmtId="0" fontId="17" fillId="2" borderId="66" xfId="4" applyFont="1" applyFill="1" applyBorder="1" applyAlignment="1">
      <alignment vertical="center"/>
    </xf>
    <xf numFmtId="0" fontId="17" fillId="0" borderId="61" xfId="4" applyFont="1" applyBorder="1" applyProtection="1">
      <protection hidden="1"/>
    </xf>
    <xf numFmtId="0" fontId="74" fillId="3" borderId="54" xfId="4" applyFont="1" applyFill="1" applyBorder="1" applyAlignment="1" applyProtection="1">
      <alignment horizontal="center" vertical="center"/>
      <protection locked="0"/>
    </xf>
    <xf numFmtId="0" fontId="17" fillId="3" borderId="54" xfId="4" applyFont="1" applyFill="1" applyBorder="1" applyAlignment="1" applyProtection="1">
      <alignment horizontal="center" vertical="center"/>
      <protection locked="0"/>
    </xf>
    <xf numFmtId="0" fontId="17" fillId="0" borderId="0" xfId="4" applyFont="1" applyAlignment="1" applyProtection="1">
      <alignment vertical="center"/>
      <protection hidden="1"/>
    </xf>
    <xf numFmtId="0" fontId="58" fillId="0" borderId="0" xfId="4" applyFont="1" applyAlignment="1">
      <alignment vertical="center" wrapText="1"/>
    </xf>
    <xf numFmtId="3" fontId="17" fillId="3" borderId="0" xfId="4" applyNumberFormat="1" applyFont="1" applyFill="1" applyAlignment="1">
      <alignment vertical="center" wrapText="1"/>
    </xf>
    <xf numFmtId="3" fontId="17" fillId="3" borderId="13" xfId="4" applyNumberFormat="1" applyFont="1" applyFill="1" applyBorder="1" applyAlignment="1">
      <alignment horizontal="center" vertical="center" wrapText="1"/>
    </xf>
    <xf numFmtId="0" fontId="17" fillId="2" borderId="17" xfId="4" applyFont="1" applyFill="1" applyBorder="1" applyAlignment="1">
      <alignment horizontal="center"/>
    </xf>
    <xf numFmtId="0" fontId="17" fillId="2" borderId="55" xfId="4" applyFont="1" applyFill="1" applyBorder="1" applyAlignment="1">
      <alignment vertical="center"/>
    </xf>
    <xf numFmtId="0" fontId="17" fillId="2" borderId="56" xfId="4" applyFont="1" applyFill="1" applyBorder="1" applyAlignment="1">
      <alignment horizontal="center" vertical="center"/>
    </xf>
    <xf numFmtId="0" fontId="17" fillId="2" borderId="56" xfId="4" applyFont="1" applyFill="1" applyBorder="1" applyAlignment="1">
      <alignment vertical="center"/>
    </xf>
    <xf numFmtId="0" fontId="17" fillId="0" borderId="57" xfId="4" applyFont="1" applyBorder="1" applyProtection="1">
      <protection hidden="1"/>
    </xf>
    <xf numFmtId="164" fontId="74" fillId="3" borderId="17" xfId="4" applyNumberFormat="1" applyFont="1" applyFill="1" applyBorder="1" applyAlignment="1" applyProtection="1">
      <alignment horizontal="center" vertical="center"/>
      <protection locked="0"/>
    </xf>
    <xf numFmtId="164" fontId="17" fillId="3" borderId="17" xfId="4" applyNumberFormat="1" applyFont="1" applyFill="1" applyBorder="1" applyAlignment="1" applyProtection="1">
      <alignment horizontal="center" vertical="center"/>
      <protection locked="0"/>
    </xf>
    <xf numFmtId="166" fontId="59" fillId="3" borderId="0" xfId="4" applyNumberFormat="1" applyFont="1" applyFill="1" applyAlignment="1">
      <alignment vertical="center" wrapText="1"/>
    </xf>
    <xf numFmtId="0" fontId="59" fillId="0" borderId="0" xfId="4" applyFont="1" applyProtection="1">
      <protection hidden="1"/>
    </xf>
    <xf numFmtId="0" fontId="17" fillId="0" borderId="13" xfId="4" applyFont="1" applyBorder="1" applyAlignment="1" applyProtection="1">
      <alignment vertical="center"/>
      <protection hidden="1"/>
    </xf>
    <xf numFmtId="167" fontId="17" fillId="3" borderId="17" xfId="4" applyNumberFormat="1" applyFont="1" applyFill="1" applyBorder="1" applyAlignment="1" applyProtection="1">
      <alignment horizontal="center" vertical="center"/>
      <protection hidden="1"/>
    </xf>
    <xf numFmtId="0" fontId="58" fillId="0" borderId="58" xfId="4" applyFont="1" applyBorder="1" applyAlignment="1" applyProtection="1">
      <alignment horizontal="center" vertical="center"/>
      <protection hidden="1"/>
    </xf>
    <xf numFmtId="0" fontId="17" fillId="0" borderId="49" xfId="4" applyFont="1" applyBorder="1" applyAlignment="1" applyProtection="1">
      <alignment vertical="center"/>
      <protection hidden="1"/>
    </xf>
    <xf numFmtId="0" fontId="17" fillId="2" borderId="67" xfId="4" applyFont="1" applyFill="1" applyBorder="1" applyAlignment="1">
      <alignment vertical="center"/>
    </xf>
    <xf numFmtId="0" fontId="17" fillId="2" borderId="68" xfId="4" applyFont="1" applyFill="1" applyBorder="1" applyAlignment="1">
      <alignment horizontal="center" vertical="center"/>
    </xf>
    <xf numFmtId="0" fontId="17" fillId="2" borderId="68" xfId="4" applyFont="1" applyFill="1" applyBorder="1" applyAlignment="1">
      <alignment vertical="center"/>
    </xf>
    <xf numFmtId="167" fontId="17" fillId="3" borderId="69" xfId="4" applyNumberFormat="1" applyFont="1" applyFill="1" applyBorder="1" applyAlignment="1" applyProtection="1">
      <alignment horizontal="center" vertical="center"/>
      <protection hidden="1"/>
    </xf>
    <xf numFmtId="183" fontId="17" fillId="0" borderId="54" xfId="4" applyNumberFormat="1" applyFont="1" applyBorder="1" applyAlignment="1" applyProtection="1">
      <alignment horizontal="center" vertical="center"/>
      <protection hidden="1"/>
    </xf>
    <xf numFmtId="0" fontId="17" fillId="0" borderId="49" xfId="4" applyFont="1" applyBorder="1" applyAlignment="1" applyProtection="1">
      <alignment horizontal="right"/>
      <protection hidden="1"/>
    </xf>
    <xf numFmtId="0" fontId="58" fillId="0" borderId="0" xfId="4" applyFont="1" applyAlignment="1" applyProtection="1">
      <alignment vertical="center"/>
      <protection hidden="1"/>
    </xf>
    <xf numFmtId="0" fontId="17" fillId="2" borderId="18" xfId="4" applyFont="1" applyFill="1" applyBorder="1" applyAlignment="1">
      <alignment horizontal="center"/>
    </xf>
    <xf numFmtId="0" fontId="17" fillId="2" borderId="62" xfId="4" applyFont="1" applyFill="1" applyBorder="1" applyAlignment="1">
      <alignment vertical="center"/>
    </xf>
    <xf numFmtId="0" fontId="17" fillId="2" borderId="70" xfId="4" applyFont="1" applyFill="1" applyBorder="1" applyAlignment="1">
      <alignment horizontal="center" vertical="center"/>
    </xf>
    <xf numFmtId="0" fontId="17" fillId="2" borderId="70" xfId="4" applyFont="1" applyFill="1" applyBorder="1" applyAlignment="1">
      <alignment vertical="center"/>
    </xf>
    <xf numFmtId="0" fontId="17" fillId="0" borderId="63" xfId="4" applyFont="1" applyBorder="1" applyProtection="1">
      <protection hidden="1"/>
    </xf>
    <xf numFmtId="2" fontId="58" fillId="3" borderId="18" xfId="4" applyNumberFormat="1" applyFont="1" applyFill="1" applyBorder="1" applyAlignment="1" applyProtection="1">
      <alignment horizontal="center" vertical="center"/>
      <protection hidden="1"/>
    </xf>
    <xf numFmtId="183" fontId="58" fillId="0" borderId="54" xfId="4" applyNumberFormat="1" applyFont="1" applyBorder="1" applyAlignment="1" applyProtection="1">
      <alignment horizontal="center" vertical="center"/>
      <protection hidden="1"/>
    </xf>
    <xf numFmtId="184" fontId="58" fillId="0" borderId="18" xfId="4" applyNumberFormat="1" applyFont="1" applyBorder="1" applyAlignment="1" applyProtection="1">
      <alignment horizontal="center" vertical="center"/>
      <protection hidden="1"/>
    </xf>
    <xf numFmtId="0" fontId="58" fillId="0" borderId="49" xfId="4" applyFont="1" applyBorder="1" applyAlignment="1" applyProtection="1">
      <alignment horizontal="right" vertical="center"/>
      <protection hidden="1"/>
    </xf>
    <xf numFmtId="0" fontId="12" fillId="0" borderId="59" xfId="4" applyFont="1" applyBorder="1" applyProtection="1">
      <protection hidden="1"/>
    </xf>
    <xf numFmtId="0" fontId="22" fillId="0" borderId="59" xfId="4" applyFont="1" applyBorder="1" applyAlignment="1" applyProtection="1">
      <alignment vertical="center"/>
      <protection hidden="1"/>
    </xf>
    <xf numFmtId="0" fontId="12" fillId="0" borderId="0" xfId="4" applyFont="1" applyProtection="1">
      <protection hidden="1"/>
    </xf>
    <xf numFmtId="0" fontId="22" fillId="0" borderId="0" xfId="4" applyFont="1" applyAlignment="1" applyProtection="1">
      <alignment vertical="center"/>
      <protection hidden="1"/>
    </xf>
    <xf numFmtId="0" fontId="12" fillId="0" borderId="0" xfId="4" applyFont="1" applyAlignment="1" applyProtection="1">
      <alignment horizontal="left" indent="1"/>
      <protection hidden="1"/>
    </xf>
    <xf numFmtId="0" fontId="12" fillId="0" borderId="0" xfId="4" applyFont="1" applyAlignment="1" applyProtection="1">
      <alignment vertical="center"/>
      <protection hidden="1"/>
    </xf>
    <xf numFmtId="164" fontId="14" fillId="2" borderId="46" xfId="0" applyNumberFormat="1" applyFont="1" applyFill="1" applyBorder="1" applyAlignment="1">
      <alignment horizontal="center" vertical="center"/>
    </xf>
    <xf numFmtId="164" fontId="14" fillId="2" borderId="52" xfId="0" applyNumberFormat="1" applyFont="1" applyFill="1" applyBorder="1" applyAlignment="1">
      <alignment horizontal="center" vertical="center"/>
    </xf>
    <xf numFmtId="164" fontId="14" fillId="2" borderId="46" xfId="0" applyNumberFormat="1" applyFont="1" applyFill="1" applyBorder="1" applyAlignment="1">
      <alignment vertical="center"/>
    </xf>
    <xf numFmtId="164" fontId="14" fillId="2" borderId="52" xfId="0" applyNumberFormat="1" applyFont="1" applyFill="1" applyBorder="1" applyAlignment="1">
      <alignment vertical="center"/>
    </xf>
    <xf numFmtId="1" fontId="14" fillId="2" borderId="46" xfId="0" applyNumberFormat="1" applyFont="1" applyFill="1" applyBorder="1" applyAlignment="1">
      <alignment horizontal="center" vertical="center"/>
    </xf>
    <xf numFmtId="1" fontId="14" fillId="2" borderId="52" xfId="0" applyNumberFormat="1" applyFont="1" applyFill="1" applyBorder="1" applyAlignment="1">
      <alignment horizontal="center" vertical="center"/>
    </xf>
    <xf numFmtId="1" fontId="26" fillId="2" borderId="46" xfId="0" applyNumberFormat="1" applyFont="1" applyFill="1" applyBorder="1" applyAlignment="1">
      <alignment horizontal="center" vertical="center"/>
    </xf>
    <xf numFmtId="1" fontId="26" fillId="2" borderId="52" xfId="0" applyNumberFormat="1" applyFont="1" applyFill="1" applyBorder="1" applyAlignment="1">
      <alignment horizontal="center" vertical="center"/>
    </xf>
    <xf numFmtId="164" fontId="75" fillId="4" borderId="58" xfId="0" applyNumberFormat="1" applyFont="1" applyFill="1" applyBorder="1" applyAlignment="1">
      <alignment horizontal="center" vertical="center"/>
    </xf>
    <xf numFmtId="0" fontId="66" fillId="4" borderId="9" xfId="0" applyFont="1" applyFill="1" applyBorder="1" applyAlignment="1">
      <alignment vertical="center"/>
    </xf>
    <xf numFmtId="0" fontId="12" fillId="2" borderId="49" xfId="0" applyFont="1" applyFill="1" applyBorder="1" applyAlignment="1">
      <alignment vertical="center"/>
    </xf>
    <xf numFmtId="0" fontId="12" fillId="2" borderId="59" xfId="0" applyFont="1" applyFill="1" applyBorder="1" applyAlignment="1">
      <alignment vertical="center"/>
    </xf>
    <xf numFmtId="0" fontId="12" fillId="0" borderId="0" xfId="0" applyFont="1" applyAlignment="1" applyProtection="1">
      <alignment horizontal="left" indent="1"/>
      <protection hidden="1"/>
    </xf>
    <xf numFmtId="0" fontId="12" fillId="0" borderId="0" xfId="0" applyFont="1" applyAlignment="1" applyProtection="1">
      <alignment horizontal="left" vertical="center" indent="2"/>
      <protection hidden="1"/>
    </xf>
    <xf numFmtId="0" fontId="12" fillId="0" borderId="0" xfId="0" applyFont="1" applyAlignment="1" applyProtection="1">
      <alignment vertical="center"/>
      <protection hidden="1"/>
    </xf>
    <xf numFmtId="0" fontId="76" fillId="0" borderId="0" xfId="5" applyFont="1"/>
    <xf numFmtId="0" fontId="12" fillId="0" borderId="0" xfId="6" applyFont="1"/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22" fillId="0" borderId="10" xfId="3" applyFont="1" applyBorder="1" applyAlignment="1">
      <alignment vertical="center"/>
    </xf>
    <xf numFmtId="0" fontId="22" fillId="0" borderId="9" xfId="3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 wrapText="1"/>
    </xf>
    <xf numFmtId="0" fontId="22" fillId="0" borderId="9" xfId="3" applyFont="1" applyBorder="1" applyAlignment="1">
      <alignment horizontal="right" vertical="center"/>
    </xf>
    <xf numFmtId="17" fontId="12" fillId="0" borderId="11" xfId="0" applyNumberFormat="1" applyFont="1" applyBorder="1" applyAlignment="1">
      <alignment vertical="center"/>
    </xf>
    <xf numFmtId="0" fontId="12" fillId="0" borderId="0" xfId="3" applyFont="1" applyAlignment="1">
      <alignment horizontal="center" vertical="center"/>
    </xf>
    <xf numFmtId="2" fontId="12" fillId="0" borderId="0" xfId="0" applyNumberFormat="1" applyFont="1"/>
    <xf numFmtId="0" fontId="12" fillId="0" borderId="0" xfId="0" applyFont="1"/>
    <xf numFmtId="0" fontId="58" fillId="0" borderId="0" xfId="4" applyFont="1" applyAlignment="1">
      <alignment vertical="center"/>
    </xf>
    <xf numFmtId="164" fontId="12" fillId="0" borderId="17" xfId="4" applyNumberFormat="1" applyFont="1" applyBorder="1" applyAlignment="1">
      <alignment horizontal="center" vertical="center"/>
    </xf>
    <xf numFmtId="0" fontId="78" fillId="0" borderId="59" xfId="0" applyFont="1" applyBorder="1" applyProtection="1">
      <protection hidden="1"/>
    </xf>
    <xf numFmtId="0" fontId="22" fillId="0" borderId="0" xfId="3" applyFont="1" applyAlignment="1">
      <alignment horizontal="right" vertical="center"/>
    </xf>
    <xf numFmtId="0" fontId="12" fillId="0" borderId="0" xfId="3" applyFont="1" applyAlignment="1">
      <alignment horizontal="right" vertical="center"/>
    </xf>
    <xf numFmtId="187" fontId="12" fillId="0" borderId="13" xfId="0" applyNumberFormat="1" applyFont="1" applyBorder="1" applyAlignment="1" applyProtection="1">
      <alignment horizontal="left" vertical="center"/>
      <protection hidden="1"/>
    </xf>
    <xf numFmtId="188" fontId="12" fillId="0" borderId="13" xfId="0" applyNumberFormat="1" applyFont="1" applyBorder="1" applyAlignment="1" applyProtection="1">
      <alignment horizontal="left" vertical="center"/>
      <protection hidden="1"/>
    </xf>
    <xf numFmtId="0" fontId="58" fillId="0" borderId="0" xfId="0" applyFont="1" applyAlignment="1">
      <alignment vertical="center" wrapText="1"/>
    </xf>
    <xf numFmtId="0" fontId="22" fillId="0" borderId="0" xfId="4" applyFont="1" applyAlignment="1">
      <alignment vertical="center"/>
    </xf>
    <xf numFmtId="1" fontId="12" fillId="0" borderId="0" xfId="4" applyNumberFormat="1" applyFont="1" applyProtection="1">
      <protection locked="0"/>
    </xf>
    <xf numFmtId="1" fontId="12" fillId="0" borderId="0" xfId="4" applyNumberFormat="1" applyFont="1" applyAlignment="1">
      <alignment vertical="center"/>
    </xf>
    <xf numFmtId="167" fontId="12" fillId="0" borderId="0" xfId="4" applyNumberFormat="1" applyFont="1" applyAlignment="1">
      <alignment vertical="center"/>
    </xf>
    <xf numFmtId="2" fontId="12" fillId="0" borderId="0" xfId="4" applyNumberFormat="1" applyFont="1" applyProtection="1">
      <protection locked="0"/>
    </xf>
    <xf numFmtId="2" fontId="12" fillId="0" borderId="0" xfId="4" applyNumberFormat="1" applyFont="1" applyAlignment="1">
      <alignment vertical="center"/>
    </xf>
    <xf numFmtId="164" fontId="12" fillId="0" borderId="0" xfId="4" applyNumberFormat="1" applyFont="1" applyAlignment="1">
      <alignment vertical="center"/>
    </xf>
    <xf numFmtId="0" fontId="4" fillId="0" borderId="0" xfId="0" applyFont="1" applyProtection="1">
      <protection hidden="1"/>
    </xf>
    <xf numFmtId="167" fontId="12" fillId="0" borderId="0" xfId="0" applyNumberFormat="1" applyFont="1"/>
    <xf numFmtId="185" fontId="12" fillId="0" borderId="0" xfId="0" applyNumberFormat="1" applyFont="1"/>
    <xf numFmtId="0" fontId="5" fillId="0" borderId="0" xfId="0" applyFont="1" applyAlignment="1" applyProtection="1">
      <alignment horizontal="center" vertical="center"/>
      <protection hidden="1"/>
    </xf>
    <xf numFmtId="1" fontId="4" fillId="0" borderId="0" xfId="0" applyNumberFormat="1" applyFont="1" applyAlignment="1">
      <alignment horizontal="center" vertical="center" wrapText="1"/>
    </xf>
    <xf numFmtId="10" fontId="4" fillId="0" borderId="0" xfId="0" applyNumberFormat="1" applyFont="1" applyAlignment="1">
      <alignment horizontal="center" vertical="center" wrapText="1"/>
    </xf>
    <xf numFmtId="0" fontId="81" fillId="0" borderId="0" xfId="0" applyFont="1" applyProtection="1">
      <protection hidden="1"/>
    </xf>
    <xf numFmtId="0" fontId="23" fillId="0" borderId="0" xfId="4" applyFont="1" applyAlignment="1">
      <alignment vertical="center"/>
    </xf>
    <xf numFmtId="0" fontId="12" fillId="0" borderId="0" xfId="0" applyFont="1" applyAlignment="1">
      <alignment horizontal="left"/>
    </xf>
    <xf numFmtId="0" fontId="86" fillId="0" borderId="0" xfId="0" applyFont="1" applyProtection="1">
      <protection hidden="1"/>
    </xf>
    <xf numFmtId="2" fontId="9" fillId="3" borderId="0" xfId="0" applyNumberFormat="1" applyFont="1" applyFill="1" applyAlignment="1" applyProtection="1">
      <alignment horizontal="left" vertical="center"/>
      <protection hidden="1"/>
    </xf>
    <xf numFmtId="0" fontId="4" fillId="3" borderId="0" xfId="0" applyFont="1" applyFill="1" applyProtection="1">
      <protection hidden="1"/>
    </xf>
    <xf numFmtId="0" fontId="4" fillId="3" borderId="0" xfId="0" applyFont="1" applyFill="1" applyAlignment="1" applyProtection="1">
      <alignment vertical="center"/>
      <protection hidden="1"/>
    </xf>
    <xf numFmtId="0" fontId="85" fillId="3" borderId="0" xfId="0" applyFont="1" applyFill="1" applyAlignment="1" applyProtection="1">
      <alignment vertical="center"/>
      <protection hidden="1"/>
    </xf>
    <xf numFmtId="11" fontId="79" fillId="3" borderId="0" xfId="0" applyNumberFormat="1" applyFont="1" applyFill="1" applyAlignment="1" applyProtection="1">
      <alignment horizontal="center" vertical="center"/>
      <protection hidden="1"/>
    </xf>
    <xf numFmtId="0" fontId="9" fillId="3" borderId="0" xfId="0" applyFont="1" applyFill="1" applyAlignment="1" applyProtection="1">
      <alignment horizontal="left" vertical="center"/>
      <protection hidden="1"/>
    </xf>
    <xf numFmtId="1" fontId="12" fillId="0" borderId="0" xfId="4" applyNumberFormat="1" applyFont="1" applyAlignment="1">
      <alignment horizontal="center" vertical="center"/>
    </xf>
    <xf numFmtId="0" fontId="22" fillId="0" borderId="49" xfId="3" applyFont="1" applyBorder="1" applyAlignment="1">
      <alignment vertical="center"/>
    </xf>
    <xf numFmtId="0" fontId="12" fillId="0" borderId="0" xfId="0" applyFont="1" applyAlignment="1" applyProtection="1">
      <alignment horizontal="left" vertical="center" indent="1"/>
      <protection hidden="1"/>
    </xf>
    <xf numFmtId="0" fontId="91" fillId="0" borderId="0" xfId="7" applyFont="1" applyAlignment="1">
      <alignment vertical="center"/>
    </xf>
    <xf numFmtId="0" fontId="78" fillId="0" borderId="0" xfId="0" applyFont="1" applyProtection="1">
      <protection hidden="1"/>
    </xf>
    <xf numFmtId="0" fontId="78" fillId="0" borderId="0" xfId="0" applyFont="1"/>
    <xf numFmtId="0" fontId="92" fillId="0" borderId="0" xfId="0" applyFont="1" applyAlignment="1">
      <alignment horizontal="center"/>
    </xf>
    <xf numFmtId="164" fontId="93" fillId="0" borderId="0" xfId="0" applyNumberFormat="1" applyFont="1" applyAlignment="1">
      <alignment horizontal="center" vertical="center" wrapText="1"/>
    </xf>
    <xf numFmtId="167" fontId="93" fillId="0" borderId="0" xfId="0" applyNumberFormat="1" applyFont="1" applyAlignment="1">
      <alignment horizontal="center" vertical="center" wrapText="1"/>
    </xf>
    <xf numFmtId="164" fontId="92" fillId="0" borderId="0" xfId="0" applyNumberFormat="1" applyFont="1" applyAlignment="1">
      <alignment horizontal="center" vertical="center" wrapText="1"/>
    </xf>
    <xf numFmtId="167" fontId="92" fillId="0" borderId="0" xfId="0" applyNumberFormat="1" applyFont="1" applyAlignment="1">
      <alignment horizontal="center" vertical="center" wrapText="1"/>
    </xf>
    <xf numFmtId="0" fontId="92" fillId="0" borderId="0" xfId="0" applyFont="1" applyAlignment="1">
      <alignment horizontal="center" vertical="center" wrapText="1"/>
    </xf>
    <xf numFmtId="0" fontId="94" fillId="0" borderId="0" xfId="5" applyFont="1"/>
    <xf numFmtId="0" fontId="93" fillId="0" borderId="0" xfId="0" applyFont="1" applyAlignment="1">
      <alignment horizontal="center" vertical="center" wrapText="1"/>
    </xf>
    <xf numFmtId="190" fontId="93" fillId="0" borderId="0" xfId="0" applyNumberFormat="1" applyFont="1" applyProtection="1">
      <protection hidden="1"/>
    </xf>
    <xf numFmtId="191" fontId="78" fillId="0" borderId="0" xfId="0" applyNumberFormat="1" applyFont="1" applyProtection="1">
      <protection hidden="1"/>
    </xf>
    <xf numFmtId="191" fontId="93" fillId="0" borderId="0" xfId="0" applyNumberFormat="1" applyFont="1" applyProtection="1">
      <protection hidden="1"/>
    </xf>
    <xf numFmtId="0" fontId="93" fillId="0" borderId="0" xfId="0" applyFont="1" applyProtection="1">
      <protection hidden="1"/>
    </xf>
    <xf numFmtId="0" fontId="92" fillId="0" borderId="0" xfId="0" applyFont="1" applyAlignment="1">
      <alignment horizontal="right"/>
    </xf>
    <xf numFmtId="2" fontId="92" fillId="0" borderId="0" xfId="0" applyNumberFormat="1" applyFont="1"/>
    <xf numFmtId="167" fontId="92" fillId="0" borderId="0" xfId="0" applyNumberFormat="1" applyFont="1"/>
    <xf numFmtId="0" fontId="4" fillId="0" borderId="0" xfId="0" applyFont="1" applyAlignment="1">
      <alignment vertical="center"/>
    </xf>
    <xf numFmtId="164" fontId="82" fillId="0" borderId="0" xfId="0" applyNumberFormat="1" applyFont="1" applyAlignment="1">
      <alignment horizontal="center" vertical="center"/>
    </xf>
    <xf numFmtId="164" fontId="4" fillId="0" borderId="0" xfId="4" applyNumberFormat="1" applyAlignment="1">
      <alignment horizontal="center" vertical="center"/>
    </xf>
    <xf numFmtId="0" fontId="17" fillId="0" borderId="0" xfId="4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0" fillId="2" borderId="0" xfId="0" applyFill="1" applyAlignment="1" applyProtection="1">
      <alignment vertical="center"/>
      <protection hidden="1"/>
    </xf>
    <xf numFmtId="0" fontId="89" fillId="2" borderId="0" xfId="0" applyFont="1" applyFill="1" applyAlignment="1" applyProtection="1">
      <alignment horizontal="center" vertical="center"/>
      <protection hidden="1"/>
    </xf>
    <xf numFmtId="0" fontId="90" fillId="2" borderId="0" xfId="0" applyFont="1" applyFill="1" applyAlignment="1" applyProtection="1">
      <alignment horizontal="center" vertical="center"/>
      <protection hidden="1"/>
    </xf>
    <xf numFmtId="2" fontId="4" fillId="17" borderId="0" xfId="0" applyNumberFormat="1" applyFont="1" applyFill="1" applyAlignment="1" applyProtection="1">
      <alignment horizontal="center" vertical="center"/>
      <protection locked="0"/>
    </xf>
    <xf numFmtId="164" fontId="0" fillId="2" borderId="0" xfId="0" applyNumberFormat="1" applyFill="1" applyAlignment="1" applyProtection="1">
      <alignment horizontal="center" vertical="center"/>
      <protection hidden="1"/>
    </xf>
    <xf numFmtId="0" fontId="22" fillId="4" borderId="0" xfId="4" applyFont="1" applyFill="1" applyAlignment="1">
      <alignment horizontal="center" vertical="center"/>
    </xf>
    <xf numFmtId="1" fontId="80" fillId="0" borderId="0" xfId="4" applyNumberFormat="1" applyFont="1" applyAlignment="1">
      <alignment horizontal="center" vertical="center"/>
    </xf>
    <xf numFmtId="0" fontId="23" fillId="0" borderId="0" xfId="0" applyFont="1" applyAlignment="1" applyProtection="1">
      <alignment horizontal="center"/>
      <protection hidden="1"/>
    </xf>
    <xf numFmtId="0" fontId="70" fillId="0" borderId="0" xfId="4" applyFont="1" applyAlignment="1">
      <alignment horizontal="center" vertical="center"/>
    </xf>
    <xf numFmtId="0" fontId="12" fillId="4" borderId="0" xfId="4" applyFont="1" applyFill="1" applyAlignment="1">
      <alignment horizontal="center" vertical="center"/>
    </xf>
    <xf numFmtId="1" fontId="80" fillId="0" borderId="0" xfId="4" applyNumberFormat="1" applyFont="1" applyAlignment="1" applyProtection="1">
      <alignment horizontal="center"/>
      <protection locked="0"/>
    </xf>
    <xf numFmtId="0" fontId="80" fillId="0" borderId="0" xfId="4" applyFont="1" applyAlignment="1">
      <alignment horizontal="center" vertical="center"/>
    </xf>
    <xf numFmtId="1" fontId="12" fillId="4" borderId="0" xfId="4" applyNumberFormat="1" applyFont="1" applyFill="1" applyAlignment="1" applyProtection="1">
      <alignment horizontal="center"/>
      <protection locked="0"/>
    </xf>
    <xf numFmtId="1" fontId="12" fillId="4" borderId="0" xfId="4" applyNumberFormat="1" applyFont="1" applyFill="1" applyAlignment="1">
      <alignment horizontal="center" vertical="center"/>
    </xf>
    <xf numFmtId="1" fontId="12" fillId="3" borderId="0" xfId="4" applyNumberFormat="1" applyFont="1" applyFill="1" applyAlignment="1">
      <alignment horizontal="center" vertical="center"/>
    </xf>
    <xf numFmtId="164" fontId="12" fillId="4" borderId="0" xfId="4" applyNumberFormat="1" applyFont="1" applyFill="1" applyAlignment="1" applyProtection="1">
      <alignment horizontal="center"/>
      <protection locked="0"/>
    </xf>
    <xf numFmtId="164" fontId="80" fillId="0" borderId="0" xfId="4" applyNumberFormat="1" applyFont="1" applyAlignment="1">
      <alignment horizontal="center" vertical="center"/>
    </xf>
    <xf numFmtId="164" fontId="12" fillId="4" borderId="0" xfId="4" applyNumberFormat="1" applyFont="1" applyFill="1" applyAlignment="1">
      <alignment horizontal="center" vertical="center"/>
    </xf>
    <xf numFmtId="167" fontId="12" fillId="3" borderId="0" xfId="4" applyNumberFormat="1" applyFont="1" applyFill="1" applyAlignment="1">
      <alignment horizontal="center" vertical="center"/>
    </xf>
    <xf numFmtId="167" fontId="80" fillId="0" borderId="0" xfId="4" applyNumberFormat="1" applyFont="1" applyAlignment="1">
      <alignment horizontal="center" vertical="center"/>
    </xf>
    <xf numFmtId="167" fontId="80" fillId="3" borderId="0" xfId="4" applyNumberFormat="1" applyFont="1" applyFill="1" applyAlignment="1">
      <alignment horizontal="center" vertical="center"/>
    </xf>
    <xf numFmtId="0" fontId="71" fillId="0" borderId="0" xfId="4" applyFont="1" applyAlignment="1">
      <alignment horizontal="center" vertical="center"/>
    </xf>
    <xf numFmtId="2" fontId="12" fillId="4" borderId="0" xfId="4" applyNumberFormat="1" applyFont="1" applyFill="1" applyAlignment="1" applyProtection="1">
      <alignment horizontal="center"/>
      <protection locked="0"/>
    </xf>
    <xf numFmtId="2" fontId="80" fillId="0" borderId="0" xfId="4" applyNumberFormat="1" applyFont="1" applyAlignment="1">
      <alignment horizontal="center" vertical="center"/>
    </xf>
    <xf numFmtId="2" fontId="12" fillId="0" borderId="0" xfId="4" applyNumberFormat="1" applyFont="1" applyAlignment="1">
      <alignment horizontal="center" vertical="center"/>
    </xf>
    <xf numFmtId="2" fontId="12" fillId="4" borderId="0" xfId="4" applyNumberFormat="1" applyFont="1" applyFill="1" applyAlignment="1">
      <alignment horizontal="center" vertical="center"/>
    </xf>
    <xf numFmtId="167" fontId="12" fillId="0" borderId="0" xfId="4" applyNumberFormat="1" applyFont="1" applyAlignment="1">
      <alignment horizontal="center" vertical="center"/>
    </xf>
    <xf numFmtId="0" fontId="12" fillId="0" borderId="0" xfId="5" applyFont="1"/>
    <xf numFmtId="2" fontId="5" fillId="3" borderId="0" xfId="0" applyNumberFormat="1" applyFont="1" applyFill="1" applyAlignment="1" applyProtection="1">
      <alignment horizontal="left" vertical="center"/>
      <protection hidden="1"/>
    </xf>
    <xf numFmtId="0" fontId="5" fillId="3" borderId="0" xfId="0" applyFont="1" applyFill="1" applyAlignment="1" applyProtection="1">
      <alignment horizontal="center"/>
      <protection hidden="1"/>
    </xf>
    <xf numFmtId="0" fontId="4" fillId="3" borderId="0" xfId="0" applyFont="1" applyFill="1"/>
    <xf numFmtId="0" fontId="84" fillId="3" borderId="0" xfId="0" applyFont="1" applyFill="1" applyAlignment="1" applyProtection="1">
      <alignment vertical="center"/>
      <protection hidden="1"/>
    </xf>
    <xf numFmtId="0" fontId="5" fillId="3" borderId="0" xfId="0" applyFont="1" applyFill="1" applyAlignment="1" applyProtection="1">
      <alignment horizontal="left" vertical="center"/>
      <protection hidden="1"/>
    </xf>
    <xf numFmtId="14" fontId="5" fillId="3" borderId="0" xfId="0" applyNumberFormat="1" applyFont="1" applyFill="1" applyAlignment="1" applyProtection="1">
      <alignment vertical="center"/>
      <protection hidden="1"/>
    </xf>
    <xf numFmtId="0" fontId="22" fillId="16" borderId="0" xfId="0" applyFont="1" applyFill="1" applyAlignment="1" applyProtection="1">
      <alignment vertical="center" wrapText="1"/>
      <protection hidden="1"/>
    </xf>
    <xf numFmtId="167" fontId="77" fillId="0" borderId="0" xfId="4" applyNumberFormat="1" applyFont="1" applyAlignment="1">
      <alignment horizontal="center" vertical="center"/>
    </xf>
    <xf numFmtId="167" fontId="17" fillId="0" borderId="0" xfId="4" applyNumberFormat="1" applyFont="1" applyAlignment="1">
      <alignment horizontal="center" vertical="center"/>
    </xf>
    <xf numFmtId="0" fontId="71" fillId="0" borderId="13" xfId="4" applyFont="1" applyBorder="1" applyAlignment="1">
      <alignment horizontal="center" vertical="center"/>
    </xf>
    <xf numFmtId="1" fontId="71" fillId="0" borderId="13" xfId="4" applyNumberFormat="1" applyFont="1" applyBorder="1" applyAlignment="1" applyProtection="1">
      <alignment horizontal="center"/>
      <protection locked="0"/>
    </xf>
    <xf numFmtId="1" fontId="71" fillId="0" borderId="13" xfId="4" applyNumberFormat="1" applyFont="1" applyBorder="1" applyAlignment="1">
      <alignment horizontal="center" vertical="center"/>
    </xf>
    <xf numFmtId="164" fontId="12" fillId="0" borderId="0" xfId="4" applyNumberFormat="1" applyFont="1" applyProtection="1">
      <protection locked="0"/>
    </xf>
    <xf numFmtId="0" fontId="22" fillId="0" borderId="0" xfId="3" applyFont="1" applyAlignment="1">
      <alignment vertical="center"/>
    </xf>
    <xf numFmtId="0" fontId="22" fillId="0" borderId="0" xfId="3" applyFont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186" fontId="12" fillId="0" borderId="0" xfId="0" applyNumberFormat="1" applyFont="1" applyAlignment="1">
      <alignment horizontal="left" vertical="center"/>
    </xf>
    <xf numFmtId="188" fontId="12" fillId="0" borderId="0" xfId="0" applyNumberFormat="1" applyFont="1" applyAlignment="1" applyProtection="1">
      <alignment horizontal="left" vertical="center"/>
      <protection hidden="1"/>
    </xf>
    <xf numFmtId="0" fontId="22" fillId="0" borderId="59" xfId="3" applyFont="1" applyBorder="1" applyAlignment="1">
      <alignment horizontal="center" vertical="center"/>
    </xf>
    <xf numFmtId="0" fontId="12" fillId="0" borderId="59" xfId="0" applyFont="1" applyBorder="1" applyAlignment="1">
      <alignment horizontal="left" vertical="center" wrapText="1"/>
    </xf>
    <xf numFmtId="0" fontId="22" fillId="0" borderId="59" xfId="3" applyFont="1" applyBorder="1" applyAlignment="1">
      <alignment horizontal="right" vertical="center"/>
    </xf>
    <xf numFmtId="17" fontId="12" fillId="0" borderId="59" xfId="0" applyNumberFormat="1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2" fillId="0" borderId="18" xfId="0" applyFont="1" applyBorder="1" applyAlignment="1">
      <alignment vertical="center"/>
    </xf>
    <xf numFmtId="164" fontId="12" fillId="0" borderId="18" xfId="4" applyNumberFormat="1" applyFont="1" applyBorder="1" applyAlignment="1">
      <alignment horizontal="center" vertical="center"/>
    </xf>
    <xf numFmtId="2" fontId="0" fillId="0" borderId="0" xfId="0" applyNumberFormat="1" applyAlignment="1">
      <alignment vertical="center" wrapText="1"/>
    </xf>
    <xf numFmtId="0" fontId="23" fillId="0" borderId="49" xfId="0" applyFont="1" applyBorder="1" applyProtection="1">
      <protection hidden="1"/>
    </xf>
    <xf numFmtId="0" fontId="12" fillId="0" borderId="59" xfId="4" applyFont="1" applyBorder="1" applyAlignment="1">
      <alignment vertical="center"/>
    </xf>
    <xf numFmtId="167" fontId="12" fillId="0" borderId="59" xfId="4" applyNumberFormat="1" applyFont="1" applyBorder="1" applyAlignment="1">
      <alignment vertical="center"/>
    </xf>
    <xf numFmtId="0" fontId="23" fillId="0" borderId="59" xfId="0" applyFont="1" applyBorder="1" applyProtection="1">
      <protection hidden="1"/>
    </xf>
    <xf numFmtId="1" fontId="12" fillId="0" borderId="59" xfId="4" applyNumberFormat="1" applyFont="1" applyBorder="1" applyAlignment="1">
      <alignment horizontal="center" vertical="center"/>
    </xf>
    <xf numFmtId="0" fontId="22" fillId="0" borderId="59" xfId="4" applyFont="1" applyBorder="1" applyAlignment="1">
      <alignment vertical="center"/>
    </xf>
    <xf numFmtId="0" fontId="12" fillId="0" borderId="59" xfId="0" applyFont="1" applyBorder="1" applyProtection="1">
      <protection hidden="1"/>
    </xf>
    <xf numFmtId="1" fontId="22" fillId="0" borderId="59" xfId="4" applyNumberFormat="1" applyFont="1" applyBorder="1" applyAlignment="1">
      <alignment horizontal="center" vertical="center"/>
    </xf>
    <xf numFmtId="164" fontId="22" fillId="0" borderId="59" xfId="4" applyNumberFormat="1" applyFont="1" applyBorder="1" applyAlignment="1">
      <alignment vertical="center"/>
    </xf>
    <xf numFmtId="2" fontId="12" fillId="0" borderId="59" xfId="4" applyNumberFormat="1" applyFont="1" applyBorder="1" applyProtection="1">
      <protection locked="0"/>
    </xf>
    <xf numFmtId="167" fontId="22" fillId="0" borderId="59" xfId="4" applyNumberFormat="1" applyFont="1" applyBorder="1" applyAlignment="1">
      <alignment vertical="center"/>
    </xf>
    <xf numFmtId="2" fontId="12" fillId="0" borderId="59" xfId="4" applyNumberFormat="1" applyFont="1" applyBorder="1" applyAlignment="1">
      <alignment vertical="center"/>
    </xf>
    <xf numFmtId="164" fontId="71" fillId="0" borderId="0" xfId="4" applyNumberFormat="1" applyFont="1" applyAlignment="1">
      <alignment horizontal="center" vertical="center"/>
    </xf>
    <xf numFmtId="0" fontId="17" fillId="0" borderId="0" xfId="0" applyFont="1" applyAlignment="1" applyProtection="1">
      <alignment horizontal="left" vertical="center" indent="2"/>
      <protection hidden="1"/>
    </xf>
    <xf numFmtId="164" fontId="12" fillId="0" borderId="0" xfId="4" applyNumberFormat="1" applyFont="1" applyAlignment="1">
      <alignment horizontal="right" vertical="center"/>
    </xf>
    <xf numFmtId="2" fontId="12" fillId="0" borderId="0" xfId="4" applyNumberFormat="1" applyFont="1" applyAlignment="1">
      <alignment horizontal="right" vertical="center"/>
    </xf>
    <xf numFmtId="167" fontId="12" fillId="0" borderId="0" xfId="4" applyNumberFormat="1" applyFont="1" applyAlignment="1">
      <alignment horizontal="right" vertical="center"/>
    </xf>
    <xf numFmtId="167" fontId="12" fillId="0" borderId="59" xfId="4" applyNumberFormat="1" applyFont="1" applyBorder="1" applyAlignment="1">
      <alignment horizontal="right" vertical="center"/>
    </xf>
    <xf numFmtId="0" fontId="22" fillId="0" borderId="59" xfId="4" applyFont="1" applyBorder="1" applyAlignment="1">
      <alignment horizontal="left" vertical="center"/>
    </xf>
    <xf numFmtId="0" fontId="22" fillId="0" borderId="0" xfId="0" applyFont="1" applyAlignment="1" applyProtection="1">
      <alignment horizontal="center" vertical="center"/>
      <protection hidden="1"/>
    </xf>
    <xf numFmtId="0" fontId="12" fillId="0" borderId="13" xfId="4" applyFont="1" applyBorder="1" applyAlignment="1">
      <alignment vertical="center"/>
    </xf>
    <xf numFmtId="192" fontId="12" fillId="0" borderId="0" xfId="4" applyNumberFormat="1" applyFont="1" applyAlignment="1">
      <alignment horizontal="right" vertical="center"/>
    </xf>
    <xf numFmtId="164" fontId="12" fillId="0" borderId="0" xfId="0" applyNumberFormat="1" applyFont="1" applyAlignment="1" applyProtection="1">
      <alignment horizontal="center"/>
      <protection hidden="1"/>
    </xf>
    <xf numFmtId="164" fontId="22" fillId="0" borderId="0" xfId="0" applyNumberFormat="1" applyFont="1" applyAlignment="1" applyProtection="1">
      <alignment horizontal="center"/>
      <protection hidden="1"/>
    </xf>
    <xf numFmtId="164" fontId="22" fillId="0" borderId="59" xfId="0" applyNumberFormat="1" applyFont="1" applyBorder="1" applyAlignment="1" applyProtection="1">
      <alignment horizontal="center"/>
      <protection hidden="1"/>
    </xf>
    <xf numFmtId="0" fontId="12" fillId="0" borderId="54" xfId="0" applyFont="1" applyBorder="1" applyAlignment="1">
      <alignment vertical="center"/>
    </xf>
    <xf numFmtId="164" fontId="12" fillId="0" borderId="54" xfId="4" applyNumberFormat="1" applyFont="1" applyBorder="1" applyAlignment="1">
      <alignment horizontal="center" vertical="center"/>
    </xf>
    <xf numFmtId="177" fontId="12" fillId="0" borderId="0" xfId="4" applyNumberFormat="1" applyFont="1" applyAlignment="1">
      <alignment vertical="center"/>
    </xf>
    <xf numFmtId="0" fontId="12" fillId="4" borderId="0" xfId="0" applyFont="1" applyFill="1" applyAlignment="1">
      <alignment vertical="center"/>
    </xf>
    <xf numFmtId="0" fontId="95" fillId="18" borderId="0" xfId="0" applyFont="1" applyFill="1" applyAlignment="1">
      <alignment vertical="center" wrapText="1"/>
    </xf>
    <xf numFmtId="0" fontId="4" fillId="3" borderId="71" xfId="0" applyFont="1" applyFill="1" applyBorder="1"/>
    <xf numFmtId="0" fontId="102" fillId="3" borderId="71" xfId="0" applyFont="1" applyFill="1" applyBorder="1" applyAlignment="1">
      <alignment vertical="center"/>
    </xf>
    <xf numFmtId="0" fontId="0" fillId="3" borderId="0" xfId="0" applyFill="1"/>
    <xf numFmtId="0" fontId="4" fillId="3" borderId="0" xfId="4" applyFill="1"/>
    <xf numFmtId="0" fontId="4" fillId="3" borderId="0" xfId="4" applyFill="1" applyAlignment="1">
      <alignment horizontal="left"/>
    </xf>
    <xf numFmtId="185" fontId="17" fillId="3" borderId="0" xfId="0" quotePrefix="1" applyNumberFormat="1" applyFont="1" applyFill="1" applyAlignment="1" applyProtection="1">
      <alignment horizontal="center" vertical="center"/>
      <protection hidden="1"/>
    </xf>
    <xf numFmtId="0" fontId="17" fillId="3" borderId="0" xfId="0" applyFont="1" applyFill="1"/>
    <xf numFmtId="0" fontId="12" fillId="0" borderId="0" xfId="0" applyFont="1" applyAlignment="1" applyProtection="1">
      <alignment vertical="center"/>
      <protection locked="0"/>
    </xf>
    <xf numFmtId="0" fontId="102" fillId="3" borderId="46" xfId="0" applyFont="1" applyFill="1" applyBorder="1" applyAlignment="1">
      <alignment horizontal="left" vertical="center" indent="1"/>
    </xf>
    <xf numFmtId="0" fontId="107" fillId="0" borderId="0" xfId="0" applyFont="1" applyAlignment="1" applyProtection="1">
      <alignment vertical="center"/>
      <protection locked="0"/>
    </xf>
    <xf numFmtId="0" fontId="23" fillId="0" borderId="0" xfId="0" applyFont="1" applyAlignment="1">
      <alignment vertical="center"/>
    </xf>
    <xf numFmtId="0" fontId="12" fillId="0" borderId="58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04" fillId="3" borderId="0" xfId="4" applyFont="1" applyFill="1"/>
    <xf numFmtId="0" fontId="110" fillId="3" borderId="0" xfId="0" applyFont="1" applyFill="1"/>
    <xf numFmtId="0" fontId="4" fillId="3" borderId="0" xfId="0" applyFont="1" applyFill="1" applyAlignment="1">
      <alignment horizontal="center" vertical="center"/>
    </xf>
    <xf numFmtId="0" fontId="81" fillId="3" borderId="58" xfId="9" applyFont="1" applyFill="1" applyBorder="1" applyAlignment="1">
      <alignment horizontal="center" vertical="center"/>
    </xf>
    <xf numFmtId="0" fontId="4" fillId="3" borderId="49" xfId="0" applyFont="1" applyFill="1" applyBorder="1"/>
    <xf numFmtId="0" fontId="4" fillId="3" borderId="58" xfId="0" applyFont="1" applyFill="1" applyBorder="1" applyAlignment="1">
      <alignment horizontal="center" vertical="center"/>
    </xf>
    <xf numFmtId="0" fontId="4" fillId="3" borderId="74" xfId="0" applyFont="1" applyFill="1" applyBorder="1"/>
    <xf numFmtId="0" fontId="4" fillId="3" borderId="0" xfId="0" applyFont="1" applyFill="1" applyAlignment="1">
      <alignment horizontal="right"/>
    </xf>
    <xf numFmtId="2" fontId="17" fillId="3" borderId="80" xfId="0" applyNumberFormat="1" applyFont="1" applyFill="1" applyBorder="1" applyAlignment="1" applyProtection="1">
      <alignment horizontal="center" vertical="center"/>
      <protection hidden="1"/>
    </xf>
    <xf numFmtId="0" fontId="4" fillId="3" borderId="80" xfId="0" applyFont="1" applyFill="1" applyBorder="1"/>
    <xf numFmtId="2" fontId="17" fillId="3" borderId="74" xfId="0" applyNumberFormat="1" applyFont="1" applyFill="1" applyBorder="1" applyAlignment="1">
      <alignment vertical="center"/>
    </xf>
    <xf numFmtId="2" fontId="17" fillId="3" borderId="74" xfId="0" applyNumberFormat="1" applyFont="1" applyFill="1" applyBorder="1" applyAlignment="1">
      <alignment horizontal="center" vertical="center"/>
    </xf>
    <xf numFmtId="0" fontId="22" fillId="0" borderId="58" xfId="0" applyFont="1" applyBorder="1" applyAlignment="1">
      <alignment horizontal="center" vertical="center" wrapText="1"/>
    </xf>
    <xf numFmtId="14" fontId="4" fillId="3" borderId="0" xfId="0" applyNumberFormat="1" applyFont="1" applyFill="1" applyAlignment="1" applyProtection="1">
      <alignment horizontal="center" vertical="center"/>
      <protection locked="0"/>
    </xf>
    <xf numFmtId="0" fontId="4" fillId="0" borderId="49" xfId="0" applyFont="1" applyBorder="1" applyAlignment="1">
      <alignment vertical="center"/>
    </xf>
    <xf numFmtId="0" fontId="102" fillId="3" borderId="0" xfId="0" applyFont="1" applyFill="1"/>
    <xf numFmtId="0" fontId="5" fillId="3" borderId="58" xfId="4" applyFont="1" applyFill="1" applyBorder="1"/>
    <xf numFmtId="0" fontId="4" fillId="3" borderId="58" xfId="4" applyFill="1" applyBorder="1" applyAlignment="1">
      <alignment horizontal="center"/>
    </xf>
    <xf numFmtId="0" fontId="5" fillId="3" borderId="58" xfId="4" applyFont="1" applyFill="1" applyBorder="1" applyAlignment="1">
      <alignment horizontal="center"/>
    </xf>
    <xf numFmtId="193" fontId="4" fillId="3" borderId="58" xfId="4" applyNumberFormat="1" applyFill="1" applyBorder="1" applyAlignment="1">
      <alignment horizontal="center"/>
    </xf>
    <xf numFmtId="193" fontId="4" fillId="3" borderId="58" xfId="0" applyNumberFormat="1" applyFont="1" applyFill="1" applyBorder="1" applyAlignment="1">
      <alignment horizontal="center"/>
    </xf>
    <xf numFmtId="164" fontId="4" fillId="3" borderId="58" xfId="0" applyNumberFormat="1" applyFont="1" applyFill="1" applyBorder="1" applyAlignment="1">
      <alignment horizontal="center"/>
    </xf>
    <xf numFmtId="2" fontId="4" fillId="3" borderId="58" xfId="0" applyNumberFormat="1" applyFont="1" applyFill="1" applyBorder="1" applyAlignment="1">
      <alignment horizontal="center"/>
    </xf>
    <xf numFmtId="0" fontId="12" fillId="3" borderId="58" xfId="4" applyFont="1" applyFill="1" applyBorder="1" applyAlignment="1">
      <alignment vertical="center"/>
    </xf>
    <xf numFmtId="0" fontId="0" fillId="3" borderId="58" xfId="0" applyFill="1" applyBorder="1"/>
    <xf numFmtId="0" fontId="23" fillId="3" borderId="58" xfId="0" applyFont="1" applyFill="1" applyBorder="1" applyAlignment="1">
      <alignment vertical="center"/>
    </xf>
    <xf numFmtId="0" fontId="79" fillId="3" borderId="0" xfId="0" applyFont="1" applyFill="1"/>
    <xf numFmtId="0" fontId="5" fillId="3" borderId="0" xfId="4" applyFont="1" applyFill="1" applyAlignment="1">
      <alignment horizontal="left"/>
    </xf>
    <xf numFmtId="0" fontId="5" fillId="3" borderId="0" xfId="4" applyFont="1" applyFill="1"/>
    <xf numFmtId="0" fontId="104" fillId="3" borderId="0" xfId="4" applyFont="1" applyFill="1" applyAlignment="1">
      <alignment vertical="center"/>
    </xf>
    <xf numFmtId="0" fontId="88" fillId="3" borderId="0" xfId="4" applyFont="1" applyFill="1" applyAlignment="1">
      <alignment horizontal="left" vertical="center"/>
    </xf>
    <xf numFmtId="167" fontId="17" fillId="3" borderId="19" xfId="0" quotePrefix="1" applyNumberFormat="1" applyFont="1" applyFill="1" applyBorder="1" applyAlignment="1" applyProtection="1">
      <alignment horizontal="center" vertical="center"/>
      <protection locked="0"/>
    </xf>
    <xf numFmtId="2" fontId="17" fillId="3" borderId="19" xfId="4" quotePrefix="1" applyNumberFormat="1" applyFont="1" applyFill="1" applyBorder="1" applyAlignment="1" applyProtection="1">
      <alignment horizontal="center" vertical="center"/>
      <protection hidden="1"/>
    </xf>
    <xf numFmtId="167" fontId="17" fillId="3" borderId="19" xfId="4" applyNumberFormat="1" applyFont="1" applyFill="1" applyBorder="1" applyAlignment="1" applyProtection="1">
      <alignment horizontal="center" vertical="center" wrapText="1"/>
      <protection hidden="1"/>
    </xf>
    <xf numFmtId="11" fontId="17" fillId="3" borderId="19" xfId="4" applyNumberFormat="1" applyFont="1" applyFill="1" applyBorder="1" applyAlignment="1" applyProtection="1">
      <alignment horizontal="center" vertical="center"/>
      <protection hidden="1"/>
    </xf>
    <xf numFmtId="185" fontId="17" fillId="3" borderId="19" xfId="0" quotePrefix="1" applyNumberFormat="1" applyFont="1" applyFill="1" applyBorder="1" applyAlignment="1" applyProtection="1">
      <alignment horizontal="center" vertical="center"/>
      <protection locked="0"/>
    </xf>
    <xf numFmtId="2" fontId="17" fillId="3" borderId="19" xfId="0" applyNumberFormat="1" applyFont="1" applyFill="1" applyBorder="1" applyAlignment="1" applyProtection="1">
      <alignment vertical="center"/>
      <protection hidden="1"/>
    </xf>
    <xf numFmtId="185" fontId="17" fillId="3" borderId="19" xfId="0" applyNumberFormat="1" applyFont="1" applyFill="1" applyBorder="1" applyAlignment="1" applyProtection="1">
      <alignment horizontal="center" vertical="center"/>
      <protection hidden="1"/>
    </xf>
    <xf numFmtId="185" fontId="17" fillId="3" borderId="19" xfId="0" quotePrefix="1" applyNumberFormat="1" applyFont="1" applyFill="1" applyBorder="1" applyAlignment="1" applyProtection="1">
      <alignment horizontal="center" vertical="center" wrapText="1"/>
      <protection hidden="1"/>
    </xf>
    <xf numFmtId="2" fontId="17" fillId="3" borderId="19" xfId="0" applyNumberFormat="1" applyFont="1" applyFill="1" applyBorder="1" applyAlignment="1" applyProtection="1">
      <alignment horizontal="center" vertical="center"/>
      <protection locked="0"/>
    </xf>
    <xf numFmtId="2" fontId="17" fillId="3" borderId="19" xfId="0" applyNumberFormat="1" applyFont="1" applyFill="1" applyBorder="1" applyAlignment="1" applyProtection="1">
      <alignment horizontal="left" vertical="center"/>
      <protection hidden="1"/>
    </xf>
    <xf numFmtId="0" fontId="17" fillId="3" borderId="19" xfId="0" quotePrefix="1" applyFont="1" applyFill="1" applyBorder="1" applyAlignment="1" applyProtection="1">
      <alignment horizontal="center" vertical="center"/>
      <protection hidden="1"/>
    </xf>
    <xf numFmtId="2" fontId="17" fillId="3" borderId="19" xfId="0" quotePrefix="1" applyNumberFormat="1" applyFont="1" applyFill="1" applyBorder="1" applyAlignment="1" applyProtection="1">
      <alignment horizontal="center" vertical="center"/>
      <protection hidden="1"/>
    </xf>
    <xf numFmtId="185" fontId="17" fillId="3" borderId="19" xfId="0" quotePrefix="1" applyNumberFormat="1" applyFont="1" applyFill="1" applyBorder="1" applyAlignment="1" applyProtection="1">
      <alignment horizontal="center" vertical="center"/>
      <protection hidden="1"/>
    </xf>
    <xf numFmtId="193" fontId="17" fillId="3" borderId="19" xfId="0" quotePrefix="1" applyNumberFormat="1" applyFont="1" applyFill="1" applyBorder="1" applyAlignment="1" applyProtection="1">
      <alignment horizontal="center" vertical="center"/>
      <protection hidden="1"/>
    </xf>
    <xf numFmtId="2" fontId="17" fillId="3" borderId="19" xfId="0" applyNumberFormat="1" applyFont="1" applyFill="1" applyBorder="1" applyAlignment="1" applyProtection="1">
      <alignment horizontal="center" vertical="center"/>
      <protection hidden="1"/>
    </xf>
    <xf numFmtId="0" fontId="17" fillId="3" borderId="23" xfId="0" quotePrefix="1" applyFont="1" applyFill="1" applyBorder="1" applyAlignment="1">
      <alignment horizontal="center" vertical="center" wrapText="1"/>
    </xf>
    <xf numFmtId="0" fontId="4" fillId="19" borderId="73" xfId="0" applyFont="1" applyFill="1" applyBorder="1" applyAlignment="1">
      <alignment horizontal="center" vertical="center"/>
    </xf>
    <xf numFmtId="0" fontId="4" fillId="19" borderId="78" xfId="0" applyFont="1" applyFill="1" applyBorder="1" applyAlignment="1">
      <alignment horizontal="center" vertical="center" wrapText="1"/>
    </xf>
    <xf numFmtId="0" fontId="4" fillId="19" borderId="75" xfId="0" applyFont="1" applyFill="1" applyBorder="1" applyAlignment="1">
      <alignment horizontal="center" vertical="center" wrapText="1"/>
    </xf>
    <xf numFmtId="0" fontId="4" fillId="19" borderId="76" xfId="0" applyFont="1" applyFill="1" applyBorder="1" applyAlignment="1">
      <alignment horizontal="center" vertical="center" wrapText="1"/>
    </xf>
    <xf numFmtId="0" fontId="4" fillId="19" borderId="82" xfId="0" applyFont="1" applyFill="1" applyBorder="1" applyAlignment="1">
      <alignment horizontal="center" vertical="center"/>
    </xf>
    <xf numFmtId="0" fontId="98" fillId="18" borderId="72" xfId="8" applyFont="1" applyFill="1" applyBorder="1" applyAlignment="1">
      <alignment vertical="center" wrapText="1"/>
    </xf>
    <xf numFmtId="0" fontId="25" fillId="18" borderId="72" xfId="8" applyFont="1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25" fillId="18" borderId="0" xfId="8" applyFont="1" applyFill="1" applyAlignment="1">
      <alignment horizontal="left" vertical="center"/>
    </xf>
    <xf numFmtId="0" fontId="98" fillId="18" borderId="0" xfId="8" applyFont="1" applyFill="1" applyAlignment="1">
      <alignment vertical="center" wrapText="1"/>
    </xf>
    <xf numFmtId="0" fontId="4" fillId="3" borderId="0" xfId="4" applyFill="1" applyAlignment="1">
      <alignment wrapText="1"/>
    </xf>
    <xf numFmtId="0" fontId="4" fillId="3" borderId="0" xfId="4" applyFill="1" applyAlignment="1">
      <alignment vertical="top" wrapText="1"/>
    </xf>
    <xf numFmtId="0" fontId="58" fillId="3" borderId="83" xfId="0" applyFont="1" applyFill="1" applyBorder="1" applyAlignment="1">
      <alignment vertical="center" wrapText="1"/>
    </xf>
    <xf numFmtId="0" fontId="17" fillId="3" borderId="84" xfId="0" quotePrefix="1" applyFont="1" applyFill="1" applyBorder="1" applyAlignment="1">
      <alignment horizontal="center" vertical="center" wrapText="1"/>
    </xf>
    <xf numFmtId="0" fontId="17" fillId="3" borderId="85" xfId="0" quotePrefix="1" applyFont="1" applyFill="1" applyBorder="1" applyAlignment="1">
      <alignment horizontal="center" vertical="center" wrapText="1"/>
    </xf>
    <xf numFmtId="0" fontId="22" fillId="3" borderId="86" xfId="0" applyFont="1" applyFill="1" applyBorder="1" applyAlignment="1">
      <alignment vertical="center" wrapText="1"/>
    </xf>
    <xf numFmtId="193" fontId="17" fillId="3" borderId="19" xfId="4" applyNumberFormat="1" applyFont="1" applyFill="1" applyBorder="1" applyAlignment="1" applyProtection="1">
      <alignment horizontal="center" vertical="center" wrapText="1"/>
      <protection hidden="1"/>
    </xf>
    <xf numFmtId="0" fontId="12" fillId="3" borderId="86" xfId="0" applyFont="1" applyFill="1" applyBorder="1" applyAlignment="1">
      <alignment vertical="center" wrapText="1"/>
    </xf>
    <xf numFmtId="185" fontId="17" fillId="3" borderId="87" xfId="0" quotePrefix="1" applyNumberFormat="1" applyFont="1" applyFill="1" applyBorder="1" applyAlignment="1" applyProtection="1">
      <alignment horizontal="center" vertical="center" wrapText="1"/>
      <protection hidden="1"/>
    </xf>
    <xf numFmtId="0" fontId="58" fillId="3" borderId="86" xfId="0" applyFont="1" applyFill="1" applyBorder="1" applyAlignment="1">
      <alignment vertical="center" wrapText="1"/>
    </xf>
    <xf numFmtId="0" fontId="58" fillId="3" borderId="88" xfId="0" applyFont="1" applyFill="1" applyBorder="1" applyAlignment="1">
      <alignment horizontal="left" vertical="center" wrapText="1"/>
    </xf>
    <xf numFmtId="0" fontId="113" fillId="3" borderId="89" xfId="0" applyFont="1" applyFill="1" applyBorder="1" applyAlignment="1">
      <alignment vertical="center" wrapText="1"/>
    </xf>
    <xf numFmtId="185" fontId="113" fillId="3" borderId="89" xfId="0" applyNumberFormat="1" applyFont="1" applyFill="1" applyBorder="1" applyAlignment="1">
      <alignment horizontal="center" vertical="center" wrapText="1"/>
    </xf>
    <xf numFmtId="0" fontId="113" fillId="3" borderId="89" xfId="0" applyFont="1" applyFill="1" applyBorder="1" applyAlignment="1">
      <alignment horizontal="center" vertical="center" wrapText="1"/>
    </xf>
    <xf numFmtId="185" fontId="17" fillId="3" borderId="89" xfId="0" applyNumberFormat="1" applyFont="1" applyFill="1" applyBorder="1" applyAlignment="1" applyProtection="1">
      <alignment horizontal="center" vertical="center"/>
      <protection hidden="1"/>
    </xf>
    <xf numFmtId="185" fontId="113" fillId="3" borderId="89" xfId="0" applyNumberFormat="1" applyFont="1" applyFill="1" applyBorder="1" applyAlignment="1">
      <alignment vertical="center" wrapText="1"/>
    </xf>
    <xf numFmtId="0" fontId="17" fillId="3" borderId="91" xfId="0" quotePrefix="1" applyFont="1" applyFill="1" applyBorder="1" applyAlignment="1">
      <alignment horizontal="center" vertical="center" wrapText="1"/>
    </xf>
    <xf numFmtId="185" fontId="17" fillId="3" borderId="92" xfId="4" quotePrefix="1" applyNumberFormat="1" applyFont="1" applyFill="1" applyBorder="1" applyAlignment="1" applyProtection="1">
      <alignment horizontal="center" vertical="center"/>
      <protection hidden="1"/>
    </xf>
    <xf numFmtId="0" fontId="17" fillId="3" borderId="92" xfId="0" applyFont="1" applyFill="1" applyBorder="1" applyAlignment="1" applyProtection="1">
      <alignment horizontal="center" vertical="center"/>
      <protection hidden="1"/>
    </xf>
    <xf numFmtId="2" fontId="17" fillId="3" borderId="93" xfId="0" applyNumberFormat="1" applyFont="1" applyFill="1" applyBorder="1" applyAlignment="1" applyProtection="1">
      <alignment horizontal="center" vertical="center"/>
      <protection hidden="1"/>
    </xf>
    <xf numFmtId="164" fontId="17" fillId="3" borderId="95" xfId="4" applyNumberFormat="1" applyFont="1" applyFill="1" applyBorder="1" applyAlignment="1" applyProtection="1">
      <alignment horizontal="center" vertical="center"/>
      <protection locked="0" hidden="1"/>
    </xf>
    <xf numFmtId="0" fontId="4" fillId="3" borderId="95" xfId="0" applyFont="1" applyFill="1" applyBorder="1"/>
    <xf numFmtId="164" fontId="17" fillId="3" borderId="95" xfId="0" quotePrefix="1" applyNumberFormat="1" applyFont="1" applyFill="1" applyBorder="1" applyAlignment="1" applyProtection="1">
      <alignment horizontal="center" vertical="center"/>
      <protection locked="0"/>
    </xf>
    <xf numFmtId="185" fontId="113" fillId="3" borderId="96" xfId="0" applyNumberFormat="1" applyFont="1" applyFill="1" applyBorder="1" applyAlignment="1">
      <alignment vertical="center" wrapText="1"/>
    </xf>
    <xf numFmtId="164" fontId="17" fillId="3" borderId="86" xfId="4" applyNumberFormat="1" applyFont="1" applyFill="1" applyBorder="1" applyAlignment="1" applyProtection="1">
      <alignment horizontal="center" vertical="center"/>
      <protection locked="0" hidden="1"/>
    </xf>
    <xf numFmtId="0" fontId="4" fillId="3" borderId="86" xfId="0" applyFont="1" applyFill="1" applyBorder="1"/>
    <xf numFmtId="164" fontId="17" fillId="3" borderId="86" xfId="0" quotePrefix="1" applyNumberFormat="1" applyFont="1" applyFill="1" applyBorder="1" applyAlignment="1" applyProtection="1">
      <alignment horizontal="center" vertical="center"/>
      <protection locked="0"/>
    </xf>
    <xf numFmtId="185" fontId="17" fillId="3" borderId="87" xfId="0" applyNumberFormat="1" applyFont="1" applyFill="1" applyBorder="1" applyAlignment="1" applyProtection="1">
      <alignment horizontal="center" vertical="center"/>
      <protection hidden="1"/>
    </xf>
    <xf numFmtId="185" fontId="17" fillId="3" borderId="88" xfId="0" quotePrefix="1" applyNumberFormat="1" applyFont="1" applyFill="1" applyBorder="1" applyAlignment="1" applyProtection="1">
      <alignment horizontal="center" vertical="center"/>
      <protection locked="0"/>
    </xf>
    <xf numFmtId="185" fontId="17" fillId="3" borderId="90" xfId="0" applyNumberFormat="1" applyFont="1" applyFill="1" applyBorder="1" applyAlignment="1" applyProtection="1">
      <alignment horizontal="center" vertical="center"/>
      <protection hidden="1"/>
    </xf>
    <xf numFmtId="167" fontId="17" fillId="3" borderId="92" xfId="4" applyNumberFormat="1" applyFont="1" applyFill="1" applyBorder="1" applyAlignment="1" applyProtection="1">
      <alignment horizontal="center" vertical="center" wrapText="1"/>
      <protection hidden="1"/>
    </xf>
    <xf numFmtId="185" fontId="17" fillId="3" borderId="92" xfId="0" quotePrefix="1" applyNumberFormat="1" applyFont="1" applyFill="1" applyBorder="1" applyAlignment="1" applyProtection="1">
      <alignment horizontal="center" vertical="center" wrapText="1"/>
      <protection hidden="1"/>
    </xf>
    <xf numFmtId="185" fontId="17" fillId="3" borderId="92" xfId="0" applyNumberFormat="1" applyFont="1" applyFill="1" applyBorder="1" applyAlignment="1" applyProtection="1">
      <alignment horizontal="center" vertical="center"/>
      <protection hidden="1"/>
    </xf>
    <xf numFmtId="185" fontId="17" fillId="3" borderId="93" xfId="0" applyNumberFormat="1" applyFont="1" applyFill="1" applyBorder="1" applyAlignment="1" applyProtection="1">
      <alignment horizontal="center" vertical="center"/>
      <protection hidden="1"/>
    </xf>
    <xf numFmtId="185" fontId="4" fillId="3" borderId="96" xfId="0" applyNumberFormat="1" applyFont="1" applyFill="1" applyBorder="1"/>
    <xf numFmtId="185" fontId="4" fillId="3" borderId="88" xfId="0" applyNumberFormat="1" applyFont="1" applyFill="1" applyBorder="1"/>
    <xf numFmtId="167" fontId="17" fillId="3" borderId="87" xfId="4" applyNumberFormat="1" applyFont="1" applyFill="1" applyBorder="1" applyAlignment="1" applyProtection="1">
      <alignment horizontal="center" vertical="center" wrapText="1"/>
      <protection hidden="1"/>
    </xf>
    <xf numFmtId="193" fontId="17" fillId="3" borderId="87" xfId="0" applyNumberFormat="1" applyFont="1" applyFill="1" applyBorder="1" applyAlignment="1" applyProtection="1">
      <alignment horizontal="center" vertical="center"/>
      <protection hidden="1"/>
    </xf>
    <xf numFmtId="185" fontId="17" fillId="3" borderId="89" xfId="0" quotePrefix="1" applyNumberFormat="1" applyFont="1" applyFill="1" applyBorder="1" applyAlignment="1" applyProtection="1">
      <alignment horizontal="center" vertical="center"/>
      <protection hidden="1"/>
    </xf>
    <xf numFmtId="2" fontId="17" fillId="3" borderId="89" xfId="0" applyNumberFormat="1" applyFont="1" applyFill="1" applyBorder="1" applyAlignment="1" applyProtection="1">
      <alignment vertical="center"/>
      <protection hidden="1"/>
    </xf>
    <xf numFmtId="0" fontId="58" fillId="3" borderId="101" xfId="0" applyFont="1" applyFill="1" applyBorder="1" applyAlignment="1">
      <alignment vertical="center" wrapText="1"/>
    </xf>
    <xf numFmtId="0" fontId="17" fillId="3" borderId="102" xfId="0" quotePrefix="1" applyFont="1" applyFill="1" applyBorder="1" applyAlignment="1">
      <alignment horizontal="center" vertical="center" wrapText="1"/>
    </xf>
    <xf numFmtId="0" fontId="17" fillId="3" borderId="104" xfId="0" applyFont="1" applyFill="1" applyBorder="1"/>
    <xf numFmtId="0" fontId="17" fillId="3" borderId="92" xfId="0" applyFont="1" applyFill="1" applyBorder="1" applyAlignment="1">
      <alignment horizontal="center"/>
    </xf>
    <xf numFmtId="164" fontId="17" fillId="3" borderId="106" xfId="4" quotePrefix="1" applyNumberFormat="1" applyFont="1" applyFill="1" applyBorder="1" applyAlignment="1" applyProtection="1">
      <alignment horizontal="center" vertical="center"/>
      <protection locked="0"/>
    </xf>
    <xf numFmtId="0" fontId="17" fillId="3" borderId="95" xfId="0" applyFont="1" applyFill="1" applyBorder="1"/>
    <xf numFmtId="185" fontId="17" fillId="3" borderId="96" xfId="0" quotePrefix="1" applyNumberFormat="1" applyFont="1" applyFill="1" applyBorder="1" applyAlignment="1" applyProtection="1">
      <alignment horizontal="center" vertical="center"/>
      <protection locked="0"/>
    </xf>
    <xf numFmtId="164" fontId="17" fillId="3" borderId="101" xfId="4" quotePrefix="1" applyNumberFormat="1" applyFont="1" applyFill="1" applyBorder="1" applyAlignment="1" applyProtection="1">
      <alignment horizontal="center" vertical="center"/>
      <protection locked="0"/>
    </xf>
    <xf numFmtId="0" fontId="17" fillId="3" borderId="86" xfId="0" applyFont="1" applyFill="1" applyBorder="1"/>
    <xf numFmtId="2" fontId="17" fillId="3" borderId="81" xfId="0" applyNumberFormat="1" applyFont="1" applyFill="1" applyBorder="1" applyAlignment="1">
      <alignment horizontal="center" vertical="center"/>
    </xf>
    <xf numFmtId="0" fontId="113" fillId="18" borderId="0" xfId="0" applyFont="1" applyFill="1" applyAlignment="1">
      <alignment vertical="center" wrapText="1"/>
    </xf>
    <xf numFmtId="0" fontId="58" fillId="3" borderId="107" xfId="0" applyFont="1" applyFill="1" applyBorder="1" applyAlignment="1">
      <alignment horizontal="left" vertical="center" wrapText="1"/>
    </xf>
    <xf numFmtId="185" fontId="17" fillId="3" borderId="107" xfId="0" quotePrefix="1" applyNumberFormat="1" applyFont="1" applyFill="1" applyBorder="1" applyAlignment="1" applyProtection="1">
      <alignment horizontal="center" vertical="center"/>
      <protection locked="0"/>
    </xf>
    <xf numFmtId="0" fontId="113" fillId="3" borderId="30" xfId="0" applyFont="1" applyFill="1" applyBorder="1" applyAlignment="1">
      <alignment horizontal="center" vertical="center" wrapText="1"/>
    </xf>
    <xf numFmtId="185" fontId="17" fillId="3" borderId="109" xfId="0" applyNumberFormat="1" applyFont="1" applyFill="1" applyBorder="1" applyAlignment="1" applyProtection="1">
      <alignment horizontal="center" vertical="center"/>
      <protection hidden="1"/>
    </xf>
    <xf numFmtId="2" fontId="17" fillId="3" borderId="79" xfId="0" applyNumberFormat="1" applyFont="1" applyFill="1" applyBorder="1" applyAlignment="1">
      <alignment vertical="center"/>
    </xf>
    <xf numFmtId="2" fontId="17" fillId="3" borderId="80" xfId="0" applyNumberFormat="1" applyFont="1" applyFill="1" applyBorder="1" applyAlignment="1">
      <alignment vertical="center"/>
    </xf>
    <xf numFmtId="2" fontId="17" fillId="3" borderId="80" xfId="0" applyNumberFormat="1" applyFont="1" applyFill="1" applyBorder="1" applyAlignment="1">
      <alignment horizontal="center" vertical="center"/>
    </xf>
    <xf numFmtId="0" fontId="58" fillId="0" borderId="86" xfId="4" applyFont="1" applyBorder="1" applyAlignment="1">
      <alignment vertical="center" wrapText="1"/>
    </xf>
    <xf numFmtId="0" fontId="17" fillId="0" borderId="92" xfId="0" applyFont="1" applyBorder="1" applyAlignment="1">
      <alignment horizontal="center"/>
    </xf>
    <xf numFmtId="2" fontId="17" fillId="0" borderId="86" xfId="4" applyNumberFormat="1" applyFont="1" applyBorder="1" applyAlignment="1" applyProtection="1">
      <alignment horizontal="center" vertical="center"/>
      <protection locked="0" hidden="1"/>
    </xf>
    <xf numFmtId="2" fontId="17" fillId="0" borderId="19" xfId="4" quotePrefix="1" applyNumberFormat="1" applyFont="1" applyBorder="1" applyAlignment="1" applyProtection="1">
      <alignment horizontal="center" vertical="center"/>
      <protection hidden="1"/>
    </xf>
    <xf numFmtId="167" fontId="17" fillId="0" borderId="19" xfId="4" applyNumberFormat="1" applyFont="1" applyBorder="1" applyAlignment="1" applyProtection="1">
      <alignment horizontal="center" vertical="center" wrapText="1"/>
      <protection hidden="1"/>
    </xf>
    <xf numFmtId="11" fontId="17" fillId="0" borderId="19" xfId="4" applyNumberFormat="1" applyFont="1" applyBorder="1" applyAlignment="1" applyProtection="1">
      <alignment horizontal="center" vertical="center"/>
      <protection hidden="1"/>
    </xf>
    <xf numFmtId="167" fontId="17" fillId="0" borderId="87" xfId="4" applyNumberFormat="1" applyFont="1" applyBorder="1" applyAlignment="1" applyProtection="1">
      <alignment horizontal="center" vertical="center" wrapText="1"/>
      <protection hidden="1"/>
    </xf>
    <xf numFmtId="2" fontId="17" fillId="0" borderId="95" xfId="4" applyNumberFormat="1" applyFont="1" applyBorder="1" applyAlignment="1" applyProtection="1">
      <alignment horizontal="center" vertical="center"/>
      <protection locked="0" hidden="1"/>
    </xf>
    <xf numFmtId="0" fontId="12" fillId="0" borderId="86" xfId="0" applyFont="1" applyBorder="1" applyAlignment="1">
      <alignment vertical="center" wrapText="1"/>
    </xf>
    <xf numFmtId="0" fontId="17" fillId="0" borderId="86" xfId="0" applyFont="1" applyBorder="1"/>
    <xf numFmtId="185" fontId="17" fillId="0" borderId="19" xfId="0" quotePrefix="1" applyNumberFormat="1" applyFont="1" applyBorder="1" applyAlignment="1" applyProtection="1">
      <alignment horizontal="center" vertical="center"/>
      <protection locked="0"/>
    </xf>
    <xf numFmtId="2" fontId="17" fillId="0" borderId="19" xfId="0" applyNumberFormat="1" applyFont="1" applyBorder="1" applyAlignment="1" applyProtection="1">
      <alignment vertical="center"/>
      <protection hidden="1"/>
    </xf>
    <xf numFmtId="185" fontId="17" fillId="0" borderId="19" xfId="0" applyNumberFormat="1" applyFont="1" applyBorder="1" applyAlignment="1" applyProtection="1">
      <alignment horizontal="center" vertical="center"/>
      <protection hidden="1"/>
    </xf>
    <xf numFmtId="167" fontId="17" fillId="0" borderId="19" xfId="0" quotePrefix="1" applyNumberFormat="1" applyFont="1" applyBorder="1" applyAlignment="1" applyProtection="1">
      <alignment horizontal="center" vertical="center" wrapText="1"/>
      <protection hidden="1"/>
    </xf>
    <xf numFmtId="185" fontId="17" fillId="0" borderId="87" xfId="0" quotePrefix="1" applyNumberFormat="1" applyFont="1" applyBorder="1" applyAlignment="1" applyProtection="1">
      <alignment horizontal="center" vertical="center" wrapText="1"/>
      <protection hidden="1"/>
    </xf>
    <xf numFmtId="0" fontId="17" fillId="0" borderId="95" xfId="0" applyFont="1" applyBorder="1"/>
    <xf numFmtId="2" fontId="17" fillId="0" borderId="19" xfId="0" applyNumberFormat="1" applyFont="1" applyBorder="1" applyAlignment="1" applyProtection="1">
      <alignment horizontal="center" vertical="center"/>
      <protection locked="0"/>
    </xf>
    <xf numFmtId="2" fontId="17" fillId="0" borderId="19" xfId="0" applyNumberFormat="1" applyFont="1" applyBorder="1" applyAlignment="1" applyProtection="1">
      <alignment horizontal="left" vertical="center"/>
      <protection hidden="1"/>
    </xf>
    <xf numFmtId="0" fontId="58" fillId="0" borderId="86" xfId="0" applyFont="1" applyBorder="1" applyAlignment="1">
      <alignment vertical="center" wrapText="1"/>
    </xf>
    <xf numFmtId="0" fontId="17" fillId="0" borderId="19" xfId="0" quotePrefix="1" applyFont="1" applyBorder="1" applyAlignment="1" applyProtection="1">
      <alignment horizontal="center" vertical="center"/>
      <protection hidden="1"/>
    </xf>
    <xf numFmtId="2" fontId="17" fillId="0" borderId="19" xfId="0" quotePrefix="1" applyNumberFormat="1" applyFont="1" applyBorder="1" applyAlignment="1" applyProtection="1">
      <alignment horizontal="center" vertical="center"/>
      <protection hidden="1"/>
    </xf>
    <xf numFmtId="167" fontId="17" fillId="0" borderId="19" xfId="4" quotePrefix="1" applyNumberFormat="1" applyFont="1" applyBorder="1" applyAlignment="1" applyProtection="1">
      <alignment horizontal="center" vertical="center"/>
      <protection hidden="1"/>
    </xf>
    <xf numFmtId="185" fontId="17" fillId="0" borderId="87" xfId="0" applyNumberFormat="1" applyFont="1" applyBorder="1" applyAlignment="1" applyProtection="1">
      <alignment horizontal="center" vertical="center"/>
      <protection hidden="1"/>
    </xf>
    <xf numFmtId="193" fontId="17" fillId="0" borderId="87" xfId="0" applyNumberFormat="1" applyFont="1" applyBorder="1" applyAlignment="1" applyProtection="1">
      <alignment horizontal="center" vertical="center"/>
      <protection hidden="1"/>
    </xf>
    <xf numFmtId="0" fontId="4" fillId="19" borderId="98" xfId="0" applyFont="1" applyFill="1" applyBorder="1" applyAlignment="1">
      <alignment horizontal="center" vertical="center"/>
    </xf>
    <xf numFmtId="0" fontId="4" fillId="19" borderId="103" xfId="0" applyFont="1" applyFill="1" applyBorder="1" applyAlignment="1">
      <alignment horizontal="center" vertical="center" wrapText="1"/>
    </xf>
    <xf numFmtId="0" fontId="4" fillId="19" borderId="99" xfId="0" applyFont="1" applyFill="1" applyBorder="1" applyAlignment="1">
      <alignment horizontal="center" vertical="center" wrapText="1"/>
    </xf>
    <xf numFmtId="0" fontId="4" fillId="19" borderId="100" xfId="0" applyFont="1" applyFill="1" applyBorder="1" applyAlignment="1">
      <alignment horizontal="center" vertical="center" wrapText="1"/>
    </xf>
    <xf numFmtId="0" fontId="4" fillId="19" borderId="105" xfId="0" applyFont="1" applyFill="1" applyBorder="1" applyAlignment="1">
      <alignment horizontal="center" vertical="center"/>
    </xf>
    <xf numFmtId="0" fontId="17" fillId="3" borderId="108" xfId="0" applyFont="1" applyFill="1" applyBorder="1" applyAlignment="1">
      <alignment horizontal="center"/>
    </xf>
    <xf numFmtId="185" fontId="17" fillId="3" borderId="30" xfId="0" quotePrefix="1" applyNumberFormat="1" applyFont="1" applyFill="1" applyBorder="1" applyAlignment="1" applyProtection="1">
      <alignment horizontal="center" vertical="center"/>
      <protection hidden="1"/>
    </xf>
    <xf numFmtId="2" fontId="17" fillId="3" borderId="30" xfId="0" applyNumberFormat="1" applyFont="1" applyFill="1" applyBorder="1" applyAlignment="1" applyProtection="1">
      <alignment vertical="center"/>
      <protection hidden="1"/>
    </xf>
    <xf numFmtId="185" fontId="17" fillId="3" borderId="30" xfId="0" applyNumberFormat="1" applyFont="1" applyFill="1" applyBorder="1" applyAlignment="1" applyProtection="1">
      <alignment horizontal="center" vertical="center"/>
      <protection hidden="1"/>
    </xf>
    <xf numFmtId="2" fontId="58" fillId="3" borderId="77" xfId="0" applyNumberFormat="1" applyFont="1" applyFill="1" applyBorder="1" applyAlignment="1">
      <alignment vertical="center"/>
    </xf>
    <xf numFmtId="0" fontId="17" fillId="3" borderId="74" xfId="0" applyFont="1" applyFill="1" applyBorder="1"/>
    <xf numFmtId="0" fontId="4" fillId="3" borderId="74" xfId="0" applyFont="1" applyFill="1" applyBorder="1" applyAlignment="1">
      <alignment horizontal="center"/>
    </xf>
    <xf numFmtId="2" fontId="58" fillId="3" borderId="111" xfId="0" applyNumberFormat="1" applyFont="1" applyFill="1" applyBorder="1" applyAlignment="1">
      <alignment horizontal="center" vertical="center"/>
    </xf>
    <xf numFmtId="2" fontId="58" fillId="3" borderId="110" xfId="0" applyNumberFormat="1" applyFont="1" applyFill="1" applyBorder="1" applyAlignment="1" applyProtection="1">
      <alignment horizontal="center" vertical="center"/>
      <protection hidden="1"/>
    </xf>
    <xf numFmtId="0" fontId="95" fillId="18" borderId="10" xfId="0" applyFont="1" applyFill="1" applyBorder="1" applyAlignment="1">
      <alignment vertical="center" wrapText="1"/>
    </xf>
    <xf numFmtId="0" fontId="17" fillId="3" borderId="11" xfId="4" applyFont="1" applyFill="1" applyBorder="1" applyAlignment="1" applyProtection="1">
      <alignment horizontal="right" vertical="center"/>
      <protection hidden="1"/>
    </xf>
    <xf numFmtId="0" fontId="95" fillId="18" borderId="49" xfId="0" applyFont="1" applyFill="1" applyBorder="1" applyAlignment="1">
      <alignment vertical="center" wrapText="1"/>
    </xf>
    <xf numFmtId="0" fontId="17" fillId="3" borderId="13" xfId="4" applyFont="1" applyFill="1" applyBorder="1" applyAlignment="1" applyProtection="1">
      <alignment horizontal="right" vertical="center"/>
      <protection hidden="1"/>
    </xf>
    <xf numFmtId="0" fontId="4" fillId="3" borderId="13" xfId="0" applyFont="1" applyFill="1" applyBorder="1" applyAlignment="1">
      <alignment horizontal="right"/>
    </xf>
    <xf numFmtId="195" fontId="17" fillId="3" borderId="10" xfId="4" applyNumberFormat="1" applyFont="1" applyFill="1" applyBorder="1" applyAlignment="1" applyProtection="1">
      <alignment horizontal="center" vertical="center"/>
      <protection hidden="1"/>
    </xf>
    <xf numFmtId="195" fontId="17" fillId="3" borderId="49" xfId="4" applyNumberFormat="1" applyFont="1" applyFill="1" applyBorder="1" applyAlignment="1" applyProtection="1">
      <alignment horizontal="center" vertical="center"/>
      <protection hidden="1"/>
    </xf>
    <xf numFmtId="0" fontId="95" fillId="18" borderId="58" xfId="0" applyFont="1" applyFill="1" applyBorder="1" applyAlignment="1">
      <alignment horizontal="center" vertical="center" wrapText="1"/>
    </xf>
    <xf numFmtId="196" fontId="113" fillId="18" borderId="24" xfId="0" applyNumberFormat="1" applyFont="1" applyFill="1" applyBorder="1" applyAlignment="1">
      <alignment horizontal="center" vertical="center" wrapText="1"/>
    </xf>
    <xf numFmtId="196" fontId="113" fillId="18" borderId="45" xfId="0" applyNumberFormat="1" applyFont="1" applyFill="1" applyBorder="1" applyAlignment="1">
      <alignment horizontal="center" vertical="center" wrapText="1"/>
    </xf>
    <xf numFmtId="196" fontId="113" fillId="18" borderId="58" xfId="0" applyNumberFormat="1" applyFont="1" applyFill="1" applyBorder="1" applyAlignment="1">
      <alignment horizontal="center" vertical="center" wrapText="1"/>
    </xf>
    <xf numFmtId="195" fontId="17" fillId="3" borderId="45" xfId="0" applyNumberFormat="1" applyFont="1" applyFill="1" applyBorder="1" applyAlignment="1">
      <alignment horizontal="center"/>
    </xf>
    <xf numFmtId="0" fontId="4" fillId="3" borderId="0" xfId="4" applyFill="1" applyAlignment="1">
      <alignment horizontal="center"/>
    </xf>
    <xf numFmtId="0" fontId="4" fillId="3" borderId="0" xfId="4" quotePrefix="1" applyFill="1" applyAlignment="1">
      <alignment horizontal="left"/>
    </xf>
    <xf numFmtId="193" fontId="4" fillId="3" borderId="0" xfId="4" applyNumberFormat="1" applyFill="1" applyAlignment="1">
      <alignment horizontal="center"/>
    </xf>
    <xf numFmtId="0" fontId="24" fillId="3" borderId="58" xfId="4" applyFont="1" applyFill="1" applyBorder="1" applyAlignment="1">
      <alignment horizontal="left" vertical="center"/>
    </xf>
    <xf numFmtId="0" fontId="4" fillId="3" borderId="58" xfId="0" applyFont="1" applyFill="1" applyBorder="1"/>
    <xf numFmtId="0" fontId="4" fillId="3" borderId="58" xfId="0" applyFont="1" applyFill="1" applyBorder="1" applyAlignment="1">
      <alignment vertical="center"/>
    </xf>
    <xf numFmtId="0" fontId="17" fillId="3" borderId="58" xfId="4" applyFont="1" applyFill="1" applyBorder="1" applyAlignment="1">
      <alignment horizontal="right"/>
    </xf>
    <xf numFmtId="2" fontId="17" fillId="0" borderId="81" xfId="0" applyNumberFormat="1" applyFont="1" applyBorder="1" applyAlignment="1">
      <alignment horizontal="center" vertical="center"/>
    </xf>
    <xf numFmtId="0" fontId="111" fillId="18" borderId="0" xfId="8" applyFont="1" applyFill="1" applyAlignment="1">
      <alignment vertical="center" wrapText="1"/>
    </xf>
    <xf numFmtId="0" fontId="79" fillId="3" borderId="0" xfId="0" applyFont="1" applyFill="1" applyAlignment="1">
      <alignment horizontal="center"/>
    </xf>
    <xf numFmtId="2" fontId="17" fillId="0" borderId="19" xfId="0" quotePrefix="1" applyNumberFormat="1" applyFont="1" applyBorder="1" applyAlignment="1" applyProtection="1">
      <alignment horizontal="center" vertical="center"/>
      <protection locked="0"/>
    </xf>
    <xf numFmtId="0" fontId="17" fillId="3" borderId="58" xfId="0" applyFont="1" applyFill="1" applyBorder="1" applyAlignment="1">
      <alignment horizontal="center" vertical="center"/>
    </xf>
    <xf numFmtId="0" fontId="60" fillId="3" borderId="58" xfId="0" applyFont="1" applyFill="1" applyBorder="1" applyAlignment="1">
      <alignment horizontal="center" vertical="center"/>
    </xf>
    <xf numFmtId="185" fontId="17" fillId="0" borderId="19" xfId="0" applyNumberFormat="1" applyFont="1" applyBorder="1" applyAlignment="1" applyProtection="1">
      <alignment horizontal="center" vertical="center"/>
      <protection locked="0"/>
    </xf>
    <xf numFmtId="0" fontId="17" fillId="3" borderId="104" xfId="0" applyFont="1" applyFill="1" applyBorder="1" applyAlignment="1">
      <alignment horizontal="center"/>
    </xf>
    <xf numFmtId="2" fontId="58" fillId="3" borderId="83" xfId="0" applyNumberFormat="1" applyFont="1" applyFill="1" applyBorder="1" applyAlignment="1">
      <alignment vertical="center"/>
    </xf>
    <xf numFmtId="2" fontId="58" fillId="3" borderId="84" xfId="0" applyNumberFormat="1" applyFont="1" applyFill="1" applyBorder="1" applyAlignment="1">
      <alignment vertical="center"/>
    </xf>
    <xf numFmtId="0" fontId="17" fillId="3" borderId="84" xfId="0" applyFont="1" applyFill="1" applyBorder="1"/>
    <xf numFmtId="2" fontId="58" fillId="3" borderId="85" xfId="0" applyNumberFormat="1" applyFont="1" applyFill="1" applyBorder="1" applyAlignment="1">
      <alignment horizontal="center" vertical="center"/>
    </xf>
    <xf numFmtId="2" fontId="58" fillId="3" borderId="88" xfId="0" applyNumberFormat="1" applyFont="1" applyFill="1" applyBorder="1" applyAlignment="1">
      <alignment vertical="center"/>
    </xf>
    <xf numFmtId="2" fontId="58" fillId="3" borderId="89" xfId="0" applyNumberFormat="1" applyFont="1" applyFill="1" applyBorder="1" applyAlignment="1" applyProtection="1">
      <alignment vertical="center"/>
      <protection hidden="1"/>
    </xf>
    <xf numFmtId="0" fontId="17" fillId="3" borderId="89" xfId="0" applyFont="1" applyFill="1" applyBorder="1"/>
    <xf numFmtId="2" fontId="58" fillId="3" borderId="90" xfId="0" applyNumberFormat="1" applyFont="1" applyFill="1" applyBorder="1" applyAlignment="1">
      <alignment horizontal="center" vertical="center"/>
    </xf>
    <xf numFmtId="0" fontId="82" fillId="3" borderId="58" xfId="0" applyFont="1" applyFill="1" applyBorder="1" applyAlignment="1">
      <alignment horizontal="center"/>
    </xf>
    <xf numFmtId="185" fontId="4" fillId="3" borderId="58" xfId="0" applyNumberFormat="1" applyFont="1" applyFill="1" applyBorder="1" applyAlignment="1">
      <alignment horizontal="center"/>
    </xf>
    <xf numFmtId="0" fontId="5" fillId="3" borderId="58" xfId="0" applyFont="1" applyFill="1" applyBorder="1" applyAlignment="1">
      <alignment vertical="center"/>
    </xf>
    <xf numFmtId="0" fontId="104" fillId="3" borderId="0" xfId="0" applyFont="1" applyFill="1"/>
    <xf numFmtId="0" fontId="12" fillId="3" borderId="0" xfId="0" applyFont="1" applyFill="1"/>
    <xf numFmtId="0" fontId="101" fillId="3" borderId="0" xfId="0" applyFont="1" applyFill="1" applyAlignment="1">
      <alignment horizontal="right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/>
    </xf>
    <xf numFmtId="0" fontId="59" fillId="0" borderId="46" xfId="7" quotePrefix="1" applyFont="1" applyBorder="1" applyAlignment="1">
      <alignment horizontal="left" vertical="center"/>
    </xf>
    <xf numFmtId="2" fontId="17" fillId="0" borderId="58" xfId="4" applyNumberFormat="1" applyFont="1" applyBorder="1" applyAlignment="1">
      <alignment horizontal="center" vertical="center"/>
    </xf>
    <xf numFmtId="167" fontId="4" fillId="0" borderId="58" xfId="4" applyNumberFormat="1" applyBorder="1" applyAlignment="1">
      <alignment horizontal="center" vertical="center"/>
    </xf>
    <xf numFmtId="0" fontId="5" fillId="0" borderId="58" xfId="4" applyFont="1" applyBorder="1" applyAlignment="1">
      <alignment horizontal="center"/>
    </xf>
    <xf numFmtId="0" fontId="5" fillId="0" borderId="0" xfId="4" applyFont="1" applyAlignment="1">
      <alignment vertical="center"/>
    </xf>
    <xf numFmtId="167" fontId="17" fillId="0" borderId="58" xfId="4" applyNumberFormat="1" applyFont="1" applyBorder="1" applyAlignment="1">
      <alignment horizontal="center" vertical="center"/>
    </xf>
    <xf numFmtId="0" fontId="17" fillId="0" borderId="58" xfId="4" applyFont="1" applyBorder="1" applyAlignment="1">
      <alignment horizontal="left" vertical="center"/>
    </xf>
    <xf numFmtId="0" fontId="115" fillId="0" borderId="58" xfId="4" applyFont="1" applyBorder="1" applyAlignment="1">
      <alignment horizontal="center" vertical="center"/>
    </xf>
    <xf numFmtId="0" fontId="17" fillId="0" borderId="0" xfId="0" applyFont="1" applyAlignment="1" applyProtection="1">
      <alignment vertical="center"/>
      <protection locked="0"/>
    </xf>
    <xf numFmtId="0" fontId="4" fillId="3" borderId="46" xfId="4" applyFill="1" applyBorder="1"/>
    <xf numFmtId="0" fontId="0" fillId="3" borderId="52" xfId="0" applyFill="1" applyBorder="1"/>
    <xf numFmtId="0" fontId="4" fillId="3" borderId="10" xfId="4" applyFill="1" applyBorder="1"/>
    <xf numFmtId="0" fontId="0" fillId="3" borderId="11" xfId="0" applyFill="1" applyBorder="1"/>
    <xf numFmtId="0" fontId="4" fillId="3" borderId="49" xfId="4" applyFill="1" applyBorder="1"/>
    <xf numFmtId="0" fontId="0" fillId="3" borderId="13" xfId="0" applyFill="1" applyBorder="1"/>
    <xf numFmtId="0" fontId="5" fillId="3" borderId="58" xfId="4" applyFont="1" applyFill="1" applyBorder="1" applyAlignment="1">
      <alignment horizontal="center" vertical="center"/>
    </xf>
    <xf numFmtId="164" fontId="82" fillId="3" borderId="58" xfId="4" applyNumberFormat="1" applyFont="1" applyFill="1" applyBorder="1" applyAlignment="1" applyProtection="1">
      <alignment horizontal="center"/>
      <protection locked="0"/>
    </xf>
    <xf numFmtId="0" fontId="65" fillId="3" borderId="58" xfId="4" applyFont="1" applyFill="1" applyBorder="1" applyAlignment="1" applyProtection="1">
      <alignment horizontal="center"/>
      <protection locked="0"/>
    </xf>
    <xf numFmtId="11" fontId="4" fillId="3" borderId="0" xfId="4" applyNumberFormat="1" applyFill="1" applyAlignment="1">
      <alignment horizontal="center"/>
    </xf>
    <xf numFmtId="2" fontId="4" fillId="3" borderId="0" xfId="0" applyNumberFormat="1" applyFont="1" applyFill="1" applyAlignment="1">
      <alignment horizontal="center"/>
    </xf>
    <xf numFmtId="0" fontId="74" fillId="19" borderId="15" xfId="4" applyFont="1" applyFill="1" applyBorder="1" applyAlignment="1" applyProtection="1">
      <alignment horizontal="center" vertical="center"/>
      <protection locked="0"/>
    </xf>
    <xf numFmtId="164" fontId="82" fillId="3" borderId="58" xfId="0" applyNumberFormat="1" applyFont="1" applyFill="1" applyBorder="1" applyAlignment="1">
      <alignment horizontal="center" vertical="center"/>
    </xf>
    <xf numFmtId="1" fontId="82" fillId="3" borderId="58" xfId="0" applyNumberFormat="1" applyFont="1" applyFill="1" applyBorder="1" applyAlignment="1">
      <alignment horizontal="center"/>
    </xf>
    <xf numFmtId="1" fontId="4" fillId="3" borderId="58" xfId="0" applyNumberFormat="1" applyFont="1" applyFill="1" applyBorder="1"/>
    <xf numFmtId="0" fontId="23" fillId="0" borderId="0" xfId="0" applyFont="1" applyAlignment="1" applyProtection="1">
      <alignment vertical="center"/>
      <protection locked="0"/>
    </xf>
    <xf numFmtId="0" fontId="5" fillId="0" borderId="58" xfId="4" applyFont="1" applyBorder="1" applyAlignment="1">
      <alignment horizontal="center" vertical="center"/>
    </xf>
    <xf numFmtId="0" fontId="23" fillId="0" borderId="59" xfId="0" applyFont="1" applyBorder="1" applyAlignment="1" applyProtection="1">
      <alignment vertical="center"/>
      <protection locked="0"/>
    </xf>
    <xf numFmtId="170" fontId="23" fillId="0" borderId="0" xfId="0" applyNumberFormat="1" applyFont="1" applyAlignment="1" applyProtection="1">
      <alignment horizontal="left" vertical="center"/>
      <protection locked="0"/>
    </xf>
    <xf numFmtId="0" fontId="23" fillId="0" borderId="71" xfId="0" applyFont="1" applyBorder="1" applyAlignment="1" applyProtection="1">
      <alignment vertical="center"/>
      <protection locked="0"/>
    </xf>
    <xf numFmtId="0" fontId="23" fillId="0" borderId="52" xfId="0" applyFont="1" applyBorder="1" applyAlignment="1" applyProtection="1">
      <alignment vertical="center"/>
      <protection locked="0"/>
    </xf>
    <xf numFmtId="0" fontId="23" fillId="0" borderId="10" xfId="0" applyFont="1" applyBorder="1" applyAlignment="1" applyProtection="1">
      <alignment vertical="center"/>
      <protection locked="0"/>
    </xf>
    <xf numFmtId="0" fontId="23" fillId="0" borderId="9" xfId="0" applyFont="1" applyBorder="1" applyAlignment="1" applyProtection="1">
      <alignment vertical="center"/>
      <protection locked="0"/>
    </xf>
    <xf numFmtId="0" fontId="23" fillId="0" borderId="11" xfId="0" applyFont="1" applyBorder="1" applyAlignment="1" applyProtection="1">
      <alignment vertical="center"/>
      <protection locked="0"/>
    </xf>
    <xf numFmtId="0" fontId="23" fillId="0" borderId="49" xfId="0" applyFont="1" applyBorder="1" applyAlignment="1" applyProtection="1">
      <alignment vertical="center"/>
      <protection locked="0"/>
    </xf>
    <xf numFmtId="0" fontId="23" fillId="0" borderId="13" xfId="0" applyFont="1" applyBorder="1" applyAlignment="1" applyProtection="1">
      <alignment vertical="center"/>
      <protection locked="0"/>
    </xf>
    <xf numFmtId="167" fontId="23" fillId="0" borderId="0" xfId="0" applyNumberFormat="1" applyFont="1" applyAlignment="1" applyProtection="1">
      <alignment vertical="center"/>
      <protection locked="0"/>
    </xf>
    <xf numFmtId="0" fontId="78" fillId="0" borderId="59" xfId="0" applyFont="1" applyBorder="1" applyAlignment="1" applyProtection="1">
      <alignment vertical="center"/>
      <protection locked="0"/>
    </xf>
    <xf numFmtId="0" fontId="94" fillId="0" borderId="59" xfId="5" applyFont="1" applyBorder="1" applyAlignment="1" applyProtection="1">
      <alignment vertical="center"/>
      <protection locked="0"/>
    </xf>
    <xf numFmtId="0" fontId="78" fillId="0" borderId="0" xfId="0" applyFont="1" applyAlignment="1" applyProtection="1">
      <alignment vertical="center"/>
      <protection locked="0"/>
    </xf>
    <xf numFmtId="0" fontId="94" fillId="0" borderId="0" xfId="5" applyFont="1" applyAlignment="1" applyProtection="1">
      <alignment vertical="center"/>
      <protection locked="0"/>
    </xf>
    <xf numFmtId="0" fontId="76" fillId="0" borderId="0" xfId="5" applyFont="1" applyAlignment="1" applyProtection="1">
      <alignment vertical="center"/>
      <protection locked="0"/>
    </xf>
    <xf numFmtId="167" fontId="12" fillId="0" borderId="0" xfId="0" applyNumberFormat="1" applyFont="1" applyAlignment="1" applyProtection="1">
      <alignment vertical="center"/>
      <protection locked="0"/>
    </xf>
    <xf numFmtId="2" fontId="12" fillId="0" borderId="0" xfId="0" applyNumberFormat="1" applyFont="1" applyAlignment="1" applyProtection="1">
      <alignment vertical="center"/>
      <protection locked="0"/>
    </xf>
    <xf numFmtId="0" fontId="12" fillId="0" borderId="0" xfId="0" applyFont="1" applyAlignment="1" applyProtection="1">
      <alignment horizontal="left" vertical="center"/>
      <protection locked="0"/>
    </xf>
    <xf numFmtId="0" fontId="12" fillId="0" borderId="0" xfId="6" applyFont="1" applyAlignment="1" applyProtection="1">
      <alignment vertical="center"/>
      <protection locked="0"/>
    </xf>
    <xf numFmtId="0" fontId="4" fillId="0" borderId="0" xfId="4" applyAlignment="1">
      <alignment vertical="center"/>
    </xf>
    <xf numFmtId="0" fontId="4" fillId="0" borderId="13" xfId="4" applyBorder="1" applyAlignment="1">
      <alignment vertical="center"/>
    </xf>
    <xf numFmtId="0" fontId="4" fillId="3" borderId="0" xfId="0" applyFont="1" applyFill="1" applyAlignment="1" applyProtection="1">
      <alignment horizontal="left" vertical="center"/>
      <protection locked="0"/>
    </xf>
    <xf numFmtId="0" fontId="4" fillId="0" borderId="58" xfId="4" applyBorder="1" applyAlignment="1">
      <alignment horizontal="left" vertical="center"/>
    </xf>
    <xf numFmtId="2" fontId="5" fillId="0" borderId="0" xfId="0" applyNumberFormat="1" applyFont="1" applyAlignment="1" applyProtection="1">
      <alignment horizontal="left" vertical="center"/>
      <protection locked="0"/>
    </xf>
    <xf numFmtId="0" fontId="4" fillId="0" borderId="58" xfId="4" applyBorder="1" applyAlignment="1">
      <alignment horizontal="center" vertical="center"/>
    </xf>
    <xf numFmtId="0" fontId="17" fillId="0" borderId="58" xfId="4" applyFont="1" applyBorder="1" applyAlignment="1">
      <alignment horizontal="center" vertical="center"/>
    </xf>
    <xf numFmtId="0" fontId="58" fillId="0" borderId="58" xfId="4" applyFont="1" applyBorder="1" applyAlignment="1">
      <alignment horizontal="center" vertical="center"/>
    </xf>
    <xf numFmtId="0" fontId="4" fillId="3" borderId="58" xfId="0" applyFont="1" applyFill="1" applyBorder="1" applyAlignment="1">
      <alignment horizontal="center"/>
    </xf>
    <xf numFmtId="0" fontId="57" fillId="0" borderId="0" xfId="7" applyFont="1" applyAlignment="1" applyProtection="1">
      <alignment horizontal="left" vertical="center" wrapText="1"/>
      <protection hidden="1"/>
    </xf>
    <xf numFmtId="164" fontId="12" fillId="0" borderId="0" xfId="4" applyNumberFormat="1" applyFont="1" applyAlignment="1">
      <alignment horizontal="center" vertical="center"/>
    </xf>
    <xf numFmtId="0" fontId="12" fillId="0" borderId="0" xfId="4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2" fillId="2" borderId="0" xfId="0" applyFont="1" applyFill="1" applyAlignment="1">
      <alignment horizontal="left" vertical="center" wrapText="1"/>
    </xf>
    <xf numFmtId="170" fontId="8" fillId="0" borderId="0" xfId="4" applyNumberFormat="1" applyFont="1" applyAlignment="1" applyProtection="1">
      <alignment horizontal="left"/>
      <protection hidden="1"/>
    </xf>
    <xf numFmtId="0" fontId="12" fillId="2" borderId="0" xfId="4" applyFont="1" applyFill="1" applyAlignment="1">
      <alignment horizontal="left" vertical="center" wrapText="1"/>
    </xf>
    <xf numFmtId="0" fontId="40" fillId="6" borderId="0" xfId="4" applyFont="1" applyFill="1" applyAlignment="1">
      <alignment horizontal="center"/>
    </xf>
    <xf numFmtId="0" fontId="23" fillId="0" borderId="15" xfId="0" applyFont="1" applyBorder="1" applyAlignment="1" applyProtection="1">
      <alignment vertical="center"/>
      <protection locked="0"/>
    </xf>
    <xf numFmtId="0" fontId="58" fillId="0" borderId="71" xfId="4" applyFont="1" applyBorder="1" applyAlignment="1" applyProtection="1">
      <alignment vertical="center"/>
      <protection locked="0"/>
    </xf>
    <xf numFmtId="0" fontId="23" fillId="0" borderId="113" xfId="0" applyFont="1" applyBorder="1" applyAlignment="1" applyProtection="1">
      <alignment vertical="center"/>
      <protection locked="0"/>
    </xf>
    <xf numFmtId="0" fontId="78" fillId="0" borderId="113" xfId="0" applyFont="1" applyBorder="1" applyAlignment="1" applyProtection="1">
      <alignment vertical="center"/>
      <protection locked="0"/>
    </xf>
    <xf numFmtId="0" fontId="100" fillId="3" borderId="46" xfId="0" applyFont="1" applyFill="1" applyBorder="1" applyAlignment="1">
      <alignment vertical="center"/>
    </xf>
    <xf numFmtId="0" fontId="4" fillId="3" borderId="52" xfId="0" applyFont="1" applyFill="1" applyBorder="1"/>
    <xf numFmtId="0" fontId="100" fillId="3" borderId="46" xfId="0" applyFont="1" applyFill="1" applyBorder="1" applyAlignment="1">
      <alignment vertical="center" wrapText="1"/>
    </xf>
    <xf numFmtId="0" fontId="4" fillId="3" borderId="113" xfId="4" applyFill="1" applyBorder="1"/>
    <xf numFmtId="0" fontId="0" fillId="3" borderId="15" xfId="0" applyFill="1" applyBorder="1"/>
    <xf numFmtId="0" fontId="12" fillId="0" borderId="10" xfId="4" applyFont="1" applyBorder="1" applyAlignment="1">
      <alignment vertical="center"/>
    </xf>
    <xf numFmtId="0" fontId="12" fillId="0" borderId="9" xfId="4" applyFont="1" applyBorder="1" applyAlignment="1">
      <alignment vertical="center"/>
    </xf>
    <xf numFmtId="0" fontId="22" fillId="0" borderId="9" xfId="4" applyFont="1" applyBorder="1" applyAlignment="1">
      <alignment vertical="center"/>
    </xf>
    <xf numFmtId="0" fontId="22" fillId="0" borderId="9" xfId="4" applyFont="1" applyBorder="1" applyAlignment="1">
      <alignment horizontal="center" vertical="center"/>
    </xf>
    <xf numFmtId="164" fontId="12" fillId="0" borderId="9" xfId="4" applyNumberFormat="1" applyFont="1" applyBorder="1" applyAlignment="1">
      <alignment horizontal="right" vertical="center"/>
    </xf>
    <xf numFmtId="0" fontId="70" fillId="0" borderId="11" xfId="4" applyFont="1" applyBorder="1" applyAlignment="1">
      <alignment horizontal="center" vertical="center"/>
    </xf>
    <xf numFmtId="0" fontId="23" fillId="0" borderId="113" xfId="0" applyFont="1" applyBorder="1" applyProtection="1">
      <protection hidden="1"/>
    </xf>
    <xf numFmtId="167" fontId="71" fillId="0" borderId="15" xfId="4" applyNumberFormat="1" applyFont="1" applyBorder="1" applyAlignment="1">
      <alignment horizontal="center" vertical="center"/>
    </xf>
    <xf numFmtId="2" fontId="0" fillId="0" borderId="9" xfId="0" applyNumberFormat="1" applyBorder="1" applyAlignment="1">
      <alignment vertical="center" wrapText="1"/>
    </xf>
    <xf numFmtId="2" fontId="0" fillId="0" borderId="11" xfId="0" applyNumberFormat="1" applyBorder="1" applyAlignment="1">
      <alignment vertical="center" wrapText="1"/>
    </xf>
    <xf numFmtId="0" fontId="12" fillId="0" borderId="113" xfId="4" applyFont="1" applyBorder="1" applyAlignment="1">
      <alignment vertical="center"/>
    </xf>
    <xf numFmtId="2" fontId="71" fillId="0" borderId="15" xfId="4" applyNumberFormat="1" applyFont="1" applyBorder="1" applyAlignment="1" applyProtection="1">
      <alignment horizontal="center"/>
      <protection locked="0"/>
    </xf>
    <xf numFmtId="2" fontId="71" fillId="0" borderId="15" xfId="4" applyNumberFormat="1" applyFont="1" applyBorder="1" applyAlignment="1">
      <alignment horizontal="center" vertical="center"/>
    </xf>
    <xf numFmtId="0" fontId="12" fillId="0" borderId="58" xfId="0" applyFont="1" applyBorder="1" applyAlignment="1">
      <alignment horizontal="left" vertical="center"/>
    </xf>
    <xf numFmtId="0" fontId="66" fillId="4" borderId="58" xfId="0" applyFont="1" applyFill="1" applyBorder="1" applyAlignment="1">
      <alignment vertical="center"/>
    </xf>
    <xf numFmtId="0" fontId="8" fillId="0" borderId="24" xfId="0" applyFont="1" applyBorder="1" applyProtection="1">
      <protection hidden="1"/>
    </xf>
    <xf numFmtId="0" fontId="10" fillId="2" borderId="112" xfId="0" applyFont="1" applyFill="1" applyBorder="1" applyAlignment="1">
      <alignment vertical="center"/>
    </xf>
    <xf numFmtId="0" fontId="10" fillId="2" borderId="24" xfId="0" applyFont="1" applyFill="1" applyBorder="1" applyAlignment="1">
      <alignment vertical="center"/>
    </xf>
    <xf numFmtId="0" fontId="12" fillId="2" borderId="10" xfId="0" applyFont="1" applyFill="1" applyBorder="1" applyAlignment="1">
      <alignment vertical="center"/>
    </xf>
    <xf numFmtId="164" fontId="12" fillId="2" borderId="11" xfId="0" applyNumberFormat="1" applyFont="1" applyFill="1" applyBorder="1" applyAlignment="1">
      <alignment vertical="center"/>
    </xf>
    <xf numFmtId="0" fontId="12" fillId="2" borderId="113" xfId="0" applyFont="1" applyFill="1" applyBorder="1" applyAlignment="1">
      <alignment vertical="center"/>
    </xf>
    <xf numFmtId="1" fontId="12" fillId="2" borderId="15" xfId="0" applyNumberFormat="1" applyFont="1" applyFill="1" applyBorder="1" applyAlignment="1">
      <alignment vertical="center"/>
    </xf>
    <xf numFmtId="0" fontId="22" fillId="2" borderId="49" xfId="0" applyFont="1" applyFill="1" applyBorder="1" applyAlignment="1">
      <alignment vertical="center"/>
    </xf>
    <xf numFmtId="164" fontId="12" fillId="2" borderId="59" xfId="0" applyNumberFormat="1" applyFont="1" applyFill="1" applyBorder="1" applyAlignment="1">
      <alignment horizontal="left" vertical="center"/>
    </xf>
    <xf numFmtId="0" fontId="22" fillId="2" borderId="46" xfId="0" applyFont="1" applyFill="1" applyBorder="1" applyAlignment="1">
      <alignment horizontal="center" vertical="center"/>
    </xf>
    <xf numFmtId="0" fontId="22" fillId="2" borderId="52" xfId="0" applyFont="1" applyFill="1" applyBorder="1" applyAlignment="1">
      <alignment horizontal="center" vertical="center"/>
    </xf>
    <xf numFmtId="0" fontId="22" fillId="2" borderId="112" xfId="0" applyFont="1" applyFill="1" applyBorder="1" applyAlignment="1">
      <alignment horizontal="center" vertical="center"/>
    </xf>
    <xf numFmtId="0" fontId="22" fillId="2" borderId="113" xfId="0" applyFont="1" applyFill="1" applyBorder="1" applyAlignment="1">
      <alignment horizontal="center" vertical="center"/>
    </xf>
    <xf numFmtId="0" fontId="12" fillId="2" borderId="58" xfId="0" applyFont="1" applyFill="1" applyBorder="1" applyAlignment="1" applyProtection="1">
      <alignment horizontal="center" vertical="center"/>
      <protection hidden="1"/>
    </xf>
    <xf numFmtId="164" fontId="12" fillId="2" borderId="58" xfId="0" applyNumberFormat="1" applyFont="1" applyFill="1" applyBorder="1" applyAlignment="1">
      <alignment horizontal="center" vertical="center"/>
    </xf>
    <xf numFmtId="164" fontId="12" fillId="2" borderId="113" xfId="0" applyNumberFormat="1" applyFont="1" applyFill="1" applyBorder="1" applyAlignment="1">
      <alignment horizontal="center" vertical="center"/>
    </xf>
    <xf numFmtId="164" fontId="14" fillId="2" borderId="71" xfId="0" applyNumberFormat="1" applyFont="1" applyFill="1" applyBorder="1" applyAlignment="1">
      <alignment horizontal="center" vertical="center"/>
    </xf>
    <xf numFmtId="164" fontId="14" fillId="2" borderId="71" xfId="0" applyNumberFormat="1" applyFont="1" applyFill="1" applyBorder="1" applyAlignment="1">
      <alignment vertical="center"/>
    </xf>
    <xf numFmtId="1" fontId="14" fillId="2" borderId="71" xfId="0" quotePrefix="1" applyNumberFormat="1" applyFont="1" applyFill="1" applyBorder="1" applyAlignment="1">
      <alignment horizontal="center" vertical="center"/>
    </xf>
    <xf numFmtId="0" fontId="8" fillId="0" borderId="113" xfId="0" applyFont="1" applyBorder="1" applyProtection="1">
      <protection hidden="1"/>
    </xf>
    <xf numFmtId="0" fontId="8" fillId="0" borderId="59" xfId="0" applyFont="1" applyBorder="1" applyProtection="1">
      <protection hidden="1"/>
    </xf>
    <xf numFmtId="0" fontId="58" fillId="2" borderId="58" xfId="0" applyFont="1" applyFill="1" applyBorder="1" applyAlignment="1">
      <alignment horizontal="center" vertical="center"/>
    </xf>
    <xf numFmtId="0" fontId="17" fillId="2" borderId="54" xfId="0" applyFont="1" applyFill="1" applyBorder="1" applyAlignment="1" applyProtection="1">
      <alignment horizontal="center" vertical="center"/>
      <protection hidden="1"/>
    </xf>
    <xf numFmtId="164" fontId="60" fillId="2" borderId="54" xfId="0" applyNumberFormat="1" applyFont="1" applyFill="1" applyBorder="1" applyAlignment="1">
      <alignment horizontal="center" vertical="center"/>
    </xf>
    <xf numFmtId="0" fontId="17" fillId="2" borderId="114" xfId="0" applyFont="1" applyFill="1" applyBorder="1" applyAlignment="1">
      <alignment horizontal="left" vertical="center"/>
    </xf>
    <xf numFmtId="164" fontId="17" fillId="2" borderId="115" xfId="0" applyNumberFormat="1" applyFont="1" applyFill="1" applyBorder="1" applyAlignment="1">
      <alignment horizontal="center" vertical="center"/>
    </xf>
    <xf numFmtId="1" fontId="26" fillId="2" borderId="71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/>
    </xf>
    <xf numFmtId="164" fontId="14" fillId="2" borderId="71" xfId="0" quotePrefix="1" applyNumberFormat="1" applyFont="1" applyFill="1" applyBorder="1" applyAlignment="1">
      <alignment horizontal="center" vertical="center"/>
    </xf>
    <xf numFmtId="0" fontId="22" fillId="0" borderId="58" xfId="0" applyFont="1" applyBorder="1" applyAlignment="1">
      <alignment horizontal="center" vertical="center"/>
    </xf>
    <xf numFmtId="0" fontId="17" fillId="0" borderId="49" xfId="0" applyFont="1" applyBorder="1" applyAlignment="1" applyProtection="1">
      <alignment horizontal="left" vertical="center" indent="2"/>
      <protection hidden="1"/>
    </xf>
    <xf numFmtId="167" fontId="12" fillId="0" borderId="58" xfId="0" applyNumberFormat="1" applyFont="1" applyBorder="1" applyAlignment="1">
      <alignment horizontal="center"/>
    </xf>
    <xf numFmtId="167" fontId="12" fillId="0" borderId="58" xfId="0" applyNumberFormat="1" applyFont="1" applyBorder="1" applyAlignment="1">
      <alignment horizontal="center" vertical="center"/>
    </xf>
    <xf numFmtId="0" fontId="17" fillId="0" borderId="113" xfId="0" applyFont="1" applyBorder="1" applyAlignment="1" applyProtection="1">
      <alignment horizontal="left" vertical="center" indent="2"/>
      <protection hidden="1"/>
    </xf>
    <xf numFmtId="0" fontId="58" fillId="0" borderId="59" xfId="0" applyFont="1" applyBorder="1" applyAlignment="1" applyProtection="1">
      <alignment vertical="center"/>
      <protection hidden="1"/>
    </xf>
    <xf numFmtId="167" fontId="22" fillId="0" borderId="58" xfId="0" applyNumberFormat="1" applyFont="1" applyBorder="1" applyAlignment="1">
      <alignment horizontal="center" vertical="center"/>
    </xf>
    <xf numFmtId="167" fontId="72" fillId="0" borderId="58" xfId="0" applyNumberFormat="1" applyFont="1" applyBorder="1" applyAlignment="1">
      <alignment horizontal="center" vertical="center"/>
    </xf>
    <xf numFmtId="1" fontId="22" fillId="2" borderId="113" xfId="0" applyNumberFormat="1" applyFont="1" applyFill="1" applyBorder="1" applyAlignment="1">
      <alignment horizontal="left" vertical="center"/>
    </xf>
    <xf numFmtId="17" fontId="12" fillId="2" borderId="11" xfId="4" applyNumberFormat="1" applyFont="1" applyFill="1" applyBorder="1" applyAlignment="1">
      <alignment vertical="center"/>
    </xf>
    <xf numFmtId="0" fontId="17" fillId="2" borderId="58" xfId="4" applyFont="1" applyFill="1" applyBorder="1" applyAlignment="1">
      <alignment horizontal="center" vertical="center"/>
    </xf>
    <xf numFmtId="0" fontId="8" fillId="0" borderId="113" xfId="4" applyFont="1" applyBorder="1" applyProtection="1">
      <protection hidden="1"/>
    </xf>
    <xf numFmtId="0" fontId="14" fillId="0" borderId="10" xfId="4" applyFont="1" applyBorder="1" applyAlignment="1">
      <alignment horizontal="center" vertical="center" wrapText="1"/>
    </xf>
    <xf numFmtId="0" fontId="14" fillId="0" borderId="11" xfId="4" applyFont="1" applyBorder="1" applyAlignment="1">
      <alignment horizontal="center" vertical="center" wrapText="1"/>
    </xf>
    <xf numFmtId="172" fontId="57" fillId="15" borderId="58" xfId="4" quotePrefix="1" applyNumberFormat="1" applyFont="1" applyFill="1" applyBorder="1" applyAlignment="1">
      <alignment horizontal="center" vertical="center" wrapText="1"/>
    </xf>
    <xf numFmtId="0" fontId="58" fillId="2" borderId="58" xfId="4" applyFont="1" applyFill="1" applyBorder="1" applyAlignment="1">
      <alignment horizontal="center" vertical="center"/>
    </xf>
    <xf numFmtId="0" fontId="26" fillId="2" borderId="58" xfId="4" applyFont="1" applyFill="1" applyBorder="1" applyAlignment="1">
      <alignment horizontal="center" vertical="center"/>
    </xf>
    <xf numFmtId="0" fontId="59" fillId="2" borderId="58" xfId="4" applyFont="1" applyFill="1" applyBorder="1" applyAlignment="1">
      <alignment horizontal="center" vertical="center"/>
    </xf>
    <xf numFmtId="0" fontId="60" fillId="2" borderId="58" xfId="4" applyFont="1" applyFill="1" applyBorder="1" applyAlignment="1">
      <alignment horizontal="center" vertical="center"/>
    </xf>
    <xf numFmtId="0" fontId="61" fillId="2" borderId="58" xfId="4" applyFont="1" applyFill="1" applyBorder="1" applyAlignment="1">
      <alignment horizontal="center" vertical="center"/>
    </xf>
    <xf numFmtId="0" fontId="60" fillId="2" borderId="112" xfId="4" applyFont="1" applyFill="1" applyBorder="1" applyAlignment="1">
      <alignment horizontal="center" vertical="center"/>
    </xf>
    <xf numFmtId="2" fontId="60" fillId="2" borderId="58" xfId="4" applyNumberFormat="1" applyFont="1" applyFill="1" applyBorder="1" applyAlignment="1">
      <alignment horizontal="center" vertical="center"/>
    </xf>
    <xf numFmtId="2" fontId="61" fillId="2" borderId="58" xfId="4" applyNumberFormat="1" applyFont="1" applyFill="1" applyBorder="1" applyAlignment="1">
      <alignment horizontal="center" vertical="center"/>
    </xf>
    <xf numFmtId="2" fontId="17" fillId="2" borderId="58" xfId="4" applyNumberFormat="1" applyFont="1" applyFill="1" applyBorder="1" applyAlignment="1">
      <alignment horizontal="center" vertical="center"/>
    </xf>
    <xf numFmtId="2" fontId="13" fillId="2" borderId="58" xfId="4" applyNumberFormat="1" applyFont="1" applyFill="1" applyBorder="1" applyAlignment="1">
      <alignment horizontal="center" vertical="center"/>
    </xf>
    <xf numFmtId="2" fontId="59" fillId="2" borderId="58" xfId="4" applyNumberFormat="1" applyFont="1" applyFill="1" applyBorder="1" applyAlignment="1">
      <alignment horizontal="center" vertical="center"/>
    </xf>
    <xf numFmtId="172" fontId="57" fillId="3" borderId="58" xfId="4" quotePrefix="1" applyNumberFormat="1" applyFont="1" applyFill="1" applyBorder="1" applyAlignment="1">
      <alignment horizontal="center" vertical="center" wrapText="1"/>
    </xf>
    <xf numFmtId="164" fontId="14" fillId="2" borderId="58" xfId="4" applyNumberFormat="1" applyFont="1" applyFill="1" applyBorder="1" applyAlignment="1">
      <alignment horizontal="center" vertical="center"/>
    </xf>
    <xf numFmtId="0" fontId="17" fillId="2" borderId="54" xfId="4" applyFont="1" applyFill="1" applyBorder="1" applyAlignment="1">
      <alignment horizontal="center" vertical="center"/>
    </xf>
    <xf numFmtId="167" fontId="17" fillId="2" borderId="58" xfId="4" applyNumberFormat="1" applyFont="1" applyFill="1" applyBorder="1" applyAlignment="1">
      <alignment vertical="center"/>
    </xf>
    <xf numFmtId="0" fontId="12" fillId="0" borderId="113" xfId="4" applyFont="1" applyBorder="1" applyAlignment="1" applyProtection="1">
      <alignment horizontal="left" vertical="center" indent="2"/>
      <protection hidden="1"/>
    </xf>
    <xf numFmtId="0" fontId="5" fillId="0" borderId="59" xfId="4" applyFont="1" applyBorder="1" applyAlignment="1" applyProtection="1">
      <alignment vertical="center"/>
      <protection hidden="1"/>
    </xf>
    <xf numFmtId="0" fontId="9" fillId="0" borderId="59" xfId="4" applyFont="1" applyBorder="1" applyAlignment="1" applyProtection="1">
      <alignment vertical="center"/>
      <protection hidden="1"/>
    </xf>
    <xf numFmtId="0" fontId="17" fillId="0" borderId="10" xfId="4" applyFont="1" applyBorder="1" applyProtection="1">
      <protection hidden="1"/>
    </xf>
    <xf numFmtId="0" fontId="17" fillId="0" borderId="11" xfId="4" applyFont="1" applyBorder="1" applyProtection="1">
      <protection hidden="1"/>
    </xf>
    <xf numFmtId="0" fontId="22" fillId="0" borderId="113" xfId="4" applyFont="1" applyBorder="1" applyAlignment="1" applyProtection="1">
      <alignment vertical="center"/>
      <protection hidden="1"/>
    </xf>
    <xf numFmtId="0" fontId="22" fillId="0" borderId="15" xfId="4" applyFont="1" applyBorder="1" applyAlignment="1" applyProtection="1">
      <alignment vertical="center"/>
      <protection hidden="1"/>
    </xf>
    <xf numFmtId="0" fontId="30" fillId="6" borderId="117" xfId="4" applyFont="1" applyFill="1" applyBorder="1" applyAlignment="1">
      <alignment horizontal="center" vertical="center" wrapText="1"/>
    </xf>
    <xf numFmtId="0" fontId="30" fillId="6" borderId="117" xfId="4" applyFont="1" applyFill="1" applyBorder="1" applyAlignment="1">
      <alignment horizontal="center" vertical="center"/>
    </xf>
    <xf numFmtId="0" fontId="47" fillId="5" borderId="112" xfId="4" applyFont="1" applyFill="1" applyBorder="1" applyAlignment="1">
      <alignment horizontal="center" vertical="center"/>
    </xf>
    <xf numFmtId="0" fontId="48" fillId="5" borderId="112" xfId="4" applyFont="1" applyFill="1" applyBorder="1" applyAlignment="1">
      <alignment vertical="center" wrapText="1"/>
    </xf>
    <xf numFmtId="0" fontId="47" fillId="5" borderId="58" xfId="4" applyFont="1" applyFill="1" applyBorder="1" applyAlignment="1">
      <alignment horizontal="center" vertical="center"/>
    </xf>
    <xf numFmtId="0" fontId="48" fillId="5" borderId="58" xfId="4" applyFont="1" applyFill="1" applyBorder="1" applyAlignment="1">
      <alignment vertical="center" wrapText="1"/>
    </xf>
    <xf numFmtId="0" fontId="48" fillId="5" borderId="58" xfId="4" applyFont="1" applyFill="1" applyBorder="1" applyAlignment="1">
      <alignment vertical="center"/>
    </xf>
    <xf numFmtId="0" fontId="48" fillId="5" borderId="58" xfId="4" applyFont="1" applyFill="1" applyBorder="1" applyAlignment="1">
      <alignment horizontal="left" vertical="center" wrapText="1"/>
    </xf>
    <xf numFmtId="0" fontId="40" fillId="11" borderId="58" xfId="4" applyFont="1" applyFill="1" applyBorder="1" applyAlignment="1">
      <alignment horizontal="center" vertical="center"/>
    </xf>
    <xf numFmtId="0" fontId="49" fillId="11" borderId="58" xfId="4" applyFont="1" applyFill="1" applyBorder="1" applyAlignment="1">
      <alignment vertical="center" wrapText="1"/>
    </xf>
    <xf numFmtId="0" fontId="49" fillId="11" borderId="58" xfId="4" applyFont="1" applyFill="1" applyBorder="1" applyAlignment="1">
      <alignment vertical="center"/>
    </xf>
    <xf numFmtId="0" fontId="49" fillId="11" borderId="58" xfId="4" applyFont="1" applyFill="1" applyBorder="1" applyAlignment="1">
      <alignment horizontal="left" vertical="center" wrapText="1"/>
    </xf>
    <xf numFmtId="0" fontId="51" fillId="13" borderId="58" xfId="4" applyFont="1" applyFill="1" applyBorder="1" applyAlignment="1">
      <alignment horizontal="center" vertical="center"/>
    </xf>
    <xf numFmtId="0" fontId="52" fillId="13" borderId="58" xfId="4" applyFont="1" applyFill="1" applyBorder="1" applyAlignment="1">
      <alignment vertical="center" wrapText="1"/>
    </xf>
    <xf numFmtId="0" fontId="40" fillId="14" borderId="58" xfId="4" applyFont="1" applyFill="1" applyBorder="1" applyAlignment="1">
      <alignment horizontal="center" vertical="center"/>
    </xf>
    <xf numFmtId="0" fontId="40" fillId="14" borderId="130" xfId="4" applyFont="1" applyFill="1" applyBorder="1" applyAlignment="1">
      <alignment horizontal="center" vertical="center"/>
    </xf>
    <xf numFmtId="0" fontId="49" fillId="14" borderId="121" xfId="4" applyFont="1" applyFill="1" applyBorder="1" applyAlignment="1">
      <alignment vertical="center"/>
    </xf>
    <xf numFmtId="0" fontId="50" fillId="12" borderId="126" xfId="4" applyFont="1" applyFill="1" applyBorder="1"/>
    <xf numFmtId="0" fontId="50" fillId="12" borderId="132" xfId="4" applyFont="1" applyFill="1" applyBorder="1"/>
    <xf numFmtId="0" fontId="54" fillId="14" borderId="133" xfId="4" applyFont="1" applyFill="1" applyBorder="1" applyAlignment="1">
      <alignment horizontal="center"/>
    </xf>
    <xf numFmtId="0" fontId="55" fillId="14" borderId="134" xfId="4" applyFont="1" applyFill="1" applyBorder="1"/>
    <xf numFmtId="0" fontId="33" fillId="6" borderId="137" xfId="4" applyFont="1" applyFill="1" applyBorder="1" applyAlignment="1">
      <alignment horizontal="center" vertical="center"/>
    </xf>
    <xf numFmtId="0" fontId="33" fillId="6" borderId="138" xfId="4" applyFont="1" applyFill="1" applyBorder="1" applyAlignment="1">
      <alignment horizontal="center" vertical="center"/>
    </xf>
    <xf numFmtId="0" fontId="33" fillId="6" borderId="117" xfId="4" applyFont="1" applyFill="1" applyBorder="1" applyAlignment="1">
      <alignment horizontal="center" vertical="center"/>
    </xf>
    <xf numFmtId="0" fontId="33" fillId="6" borderId="135" xfId="4" applyFont="1" applyFill="1" applyBorder="1" applyAlignment="1">
      <alignment horizontal="center" vertical="center"/>
    </xf>
    <xf numFmtId="0" fontId="34" fillId="6" borderId="137" xfId="4" applyFont="1" applyFill="1" applyBorder="1" applyAlignment="1">
      <alignment horizontal="center" vertical="center"/>
    </xf>
    <xf numFmtId="0" fontId="34" fillId="6" borderId="140" xfId="4" applyFont="1" applyFill="1" applyBorder="1" applyAlignment="1">
      <alignment horizontal="center" vertical="center"/>
    </xf>
    <xf numFmtId="0" fontId="35" fillId="7" borderId="141" xfId="4" applyFont="1" applyFill="1" applyBorder="1" applyAlignment="1">
      <alignment horizontal="center" vertical="center"/>
    </xf>
    <xf numFmtId="0" fontId="33" fillId="7" borderId="141" xfId="4" applyFont="1" applyFill="1" applyBorder="1" applyAlignment="1">
      <alignment horizontal="center" vertical="center"/>
    </xf>
    <xf numFmtId="0" fontId="33" fillId="7" borderId="142" xfId="4" applyFont="1" applyFill="1" applyBorder="1" applyAlignment="1">
      <alignment horizontal="center" vertical="center"/>
    </xf>
    <xf numFmtId="0" fontId="34" fillId="7" borderId="143" xfId="4" applyFont="1" applyFill="1" applyBorder="1" applyAlignment="1">
      <alignment horizontal="center" vertical="center"/>
    </xf>
    <xf numFmtId="164" fontId="35" fillId="7" borderId="141" xfId="4" applyNumberFormat="1" applyFont="1" applyFill="1" applyBorder="1" applyAlignment="1">
      <alignment horizontal="center" vertical="center"/>
    </xf>
    <xf numFmtId="0" fontId="35" fillId="7" borderId="135" xfId="4" applyFont="1" applyFill="1" applyBorder="1" applyAlignment="1">
      <alignment vertical="center"/>
    </xf>
    <xf numFmtId="0" fontId="35" fillId="7" borderId="144" xfId="4" applyFont="1" applyFill="1" applyBorder="1" applyAlignment="1">
      <alignment horizontal="center" vertical="center"/>
    </xf>
    <xf numFmtId="0" fontId="33" fillId="7" borderId="137" xfId="4" applyFont="1" applyFill="1" applyBorder="1" applyAlignment="1">
      <alignment horizontal="center" vertical="center"/>
    </xf>
    <xf numFmtId="0" fontId="33" fillId="7" borderId="144" xfId="4" applyFont="1" applyFill="1" applyBorder="1" applyAlignment="1">
      <alignment horizontal="center" vertical="center"/>
    </xf>
    <xf numFmtId="0" fontId="33" fillId="7" borderId="135" xfId="4" applyFont="1" applyFill="1" applyBorder="1" applyAlignment="1">
      <alignment horizontal="center" vertical="center"/>
    </xf>
    <xf numFmtId="0" fontId="33" fillId="7" borderId="145" xfId="4" applyFont="1" applyFill="1" applyBorder="1" applyAlignment="1">
      <alignment horizontal="center" vertical="center"/>
    </xf>
    <xf numFmtId="0" fontId="34" fillId="7" borderId="137" xfId="4" applyFont="1" applyFill="1" applyBorder="1" applyAlignment="1">
      <alignment horizontal="center" vertical="center"/>
    </xf>
    <xf numFmtId="0" fontId="34" fillId="7" borderId="139" xfId="4" applyFont="1" applyFill="1" applyBorder="1" applyAlignment="1">
      <alignment horizontal="center" vertical="center"/>
    </xf>
    <xf numFmtId="0" fontId="34" fillId="7" borderId="135" xfId="4" applyFont="1" applyFill="1" applyBorder="1" applyAlignment="1">
      <alignment horizontal="center" vertical="center"/>
    </xf>
    <xf numFmtId="0" fontId="34" fillId="7" borderId="146" xfId="4" applyFont="1" applyFill="1" applyBorder="1" applyAlignment="1">
      <alignment horizontal="center" vertical="center"/>
    </xf>
    <xf numFmtId="0" fontId="4" fillId="8" borderId="141" xfId="4" applyFill="1" applyBorder="1" applyAlignment="1">
      <alignment horizontal="center" vertical="center"/>
    </xf>
    <xf numFmtId="0" fontId="33" fillId="8" borderId="141" xfId="4" applyFont="1" applyFill="1" applyBorder="1" applyAlignment="1">
      <alignment horizontal="center" vertical="center"/>
    </xf>
    <xf numFmtId="0" fontId="33" fillId="8" borderId="142" xfId="4" applyFont="1" applyFill="1" applyBorder="1" applyAlignment="1">
      <alignment horizontal="center" vertical="center"/>
    </xf>
    <xf numFmtId="0" fontId="34" fillId="8" borderId="143" xfId="4" applyFont="1" applyFill="1" applyBorder="1" applyAlignment="1">
      <alignment horizontal="center" vertical="center"/>
    </xf>
    <xf numFmtId="0" fontId="35" fillId="8" borderId="141" xfId="4" applyFont="1" applyFill="1" applyBorder="1" applyAlignment="1">
      <alignment horizontal="center" vertical="center"/>
    </xf>
    <xf numFmtId="0" fontId="35" fillId="8" borderId="135" xfId="4" applyFont="1" applyFill="1" applyBorder="1" applyAlignment="1">
      <alignment vertical="center"/>
    </xf>
    <xf numFmtId="0" fontId="35" fillId="8" borderId="144" xfId="4" applyFont="1" applyFill="1" applyBorder="1" applyAlignment="1">
      <alignment horizontal="center" vertical="center"/>
    </xf>
    <xf numFmtId="0" fontId="33" fillId="8" borderId="137" xfId="4" applyFont="1" applyFill="1" applyBorder="1" applyAlignment="1">
      <alignment horizontal="center" vertical="center"/>
    </xf>
    <xf numFmtId="0" fontId="33" fillId="8" borderId="144" xfId="4" applyFont="1" applyFill="1" applyBorder="1" applyAlignment="1">
      <alignment horizontal="center" vertical="center"/>
    </xf>
    <xf numFmtId="0" fontId="33" fillId="8" borderId="135" xfId="4" applyFont="1" applyFill="1" applyBorder="1" applyAlignment="1">
      <alignment horizontal="center" vertical="center"/>
    </xf>
    <xf numFmtId="0" fontId="33" fillId="8" borderId="145" xfId="4" applyFont="1" applyFill="1" applyBorder="1" applyAlignment="1">
      <alignment horizontal="center" vertical="center"/>
    </xf>
    <xf numFmtId="0" fontId="34" fillId="8" borderId="137" xfId="4" applyFont="1" applyFill="1" applyBorder="1" applyAlignment="1">
      <alignment horizontal="center" vertical="center"/>
    </xf>
    <xf numFmtId="0" fontId="34" fillId="8" borderId="139" xfId="4" applyFont="1" applyFill="1" applyBorder="1" applyAlignment="1">
      <alignment horizontal="center" vertical="center"/>
    </xf>
    <xf numFmtId="0" fontId="34" fillId="8" borderId="135" xfId="4" applyFont="1" applyFill="1" applyBorder="1" applyAlignment="1">
      <alignment horizontal="center" vertical="center"/>
    </xf>
    <xf numFmtId="0" fontId="34" fillId="8" borderId="146" xfId="4" applyFont="1" applyFill="1" applyBorder="1" applyAlignment="1">
      <alignment horizontal="center" vertical="center"/>
    </xf>
    <xf numFmtId="0" fontId="36" fillId="9" borderId="147" xfId="4" applyFont="1" applyFill="1" applyBorder="1" applyAlignment="1">
      <alignment vertical="center"/>
    </xf>
    <xf numFmtId="1" fontId="35" fillId="9" borderId="148" xfId="4" applyNumberFormat="1" applyFont="1" applyFill="1" applyBorder="1" applyAlignment="1">
      <alignment horizontal="center" vertical="center"/>
    </xf>
    <xf numFmtId="0" fontId="33" fillId="9" borderId="147" xfId="4" applyFont="1" applyFill="1" applyBorder="1" applyAlignment="1">
      <alignment horizontal="center" vertical="center"/>
    </xf>
    <xf numFmtId="0" fontId="34" fillId="9" borderId="149" xfId="4" applyFont="1" applyFill="1" applyBorder="1" applyAlignment="1">
      <alignment horizontal="center" vertical="center"/>
    </xf>
    <xf numFmtId="0" fontId="34" fillId="9" borderId="152" xfId="4" applyFont="1" applyFill="1" applyBorder="1" applyAlignment="1">
      <alignment horizontal="center" vertical="center"/>
    </xf>
    <xf numFmtId="0" fontId="34" fillId="9" borderId="147" xfId="4" applyFont="1" applyFill="1" applyBorder="1" applyAlignment="1">
      <alignment horizontal="center" vertical="center"/>
    </xf>
    <xf numFmtId="0" fontId="34" fillId="9" borderId="153" xfId="4" applyFont="1" applyFill="1" applyBorder="1" applyAlignment="1">
      <alignment horizontal="center" vertical="center"/>
    </xf>
    <xf numFmtId="0" fontId="5" fillId="0" borderId="58" xfId="0" applyFont="1" applyBorder="1"/>
    <xf numFmtId="0" fontId="5" fillId="0" borderId="58" xfId="0" applyFont="1" applyBorder="1" applyAlignment="1">
      <alignment horizontal="center" vertical="center"/>
    </xf>
    <xf numFmtId="0" fontId="18" fillId="0" borderId="58" xfId="0" applyFont="1" applyBorder="1"/>
    <xf numFmtId="0" fontId="0" fillId="0" borderId="58" xfId="0" applyBorder="1"/>
    <xf numFmtId="165" fontId="12" fillId="0" borderId="58" xfId="0" applyNumberFormat="1" applyFont="1" applyBorder="1" applyAlignment="1">
      <alignment horizontal="center"/>
    </xf>
    <xf numFmtId="16" fontId="18" fillId="0" borderId="58" xfId="0" applyNumberFormat="1" applyFont="1" applyBorder="1"/>
    <xf numFmtId="2" fontId="18" fillId="0" borderId="58" xfId="0" applyNumberFormat="1" applyFont="1" applyBorder="1"/>
    <xf numFmtId="2" fontId="10" fillId="3" borderId="58" xfId="0" applyNumberFormat="1" applyFont="1" applyFill="1" applyBorder="1" applyAlignment="1">
      <alignment vertical="center" wrapText="1"/>
    </xf>
    <xf numFmtId="2" fontId="19" fillId="3" borderId="58" xfId="0" applyNumberFormat="1" applyFont="1" applyFill="1" applyBorder="1" applyAlignment="1">
      <alignment vertical="center" wrapText="1"/>
    </xf>
    <xf numFmtId="10" fontId="11" fillId="3" borderId="58" xfId="0" applyNumberFormat="1" applyFont="1" applyFill="1" applyBorder="1" applyAlignment="1">
      <alignment vertical="center" wrapText="1"/>
    </xf>
    <xf numFmtId="0" fontId="18" fillId="0" borderId="58" xfId="0" applyFont="1" applyBorder="1" applyAlignment="1">
      <alignment horizontal="center"/>
    </xf>
    <xf numFmtId="0" fontId="12" fillId="0" borderId="58" xfId="0" applyFont="1" applyBorder="1" applyAlignment="1">
      <alignment horizontal="center"/>
    </xf>
    <xf numFmtId="185" fontId="17" fillId="3" borderId="87" xfId="4" applyNumberFormat="1" applyFont="1" applyFill="1" applyBorder="1" applyAlignment="1" applyProtection="1">
      <alignment horizontal="center" vertical="center" wrapText="1"/>
      <protection hidden="1"/>
    </xf>
    <xf numFmtId="2" fontId="95" fillId="18" borderId="0" xfId="0" applyNumberFormat="1" applyFont="1" applyFill="1" applyAlignment="1">
      <alignment vertical="center" wrapText="1"/>
    </xf>
    <xf numFmtId="167" fontId="58" fillId="18" borderId="83" xfId="8" applyNumberFormat="1" applyFont="1" applyFill="1" applyBorder="1" applyAlignment="1">
      <alignment horizontal="center" vertical="center" wrapText="1"/>
    </xf>
    <xf numFmtId="167" fontId="58" fillId="18" borderId="94" xfId="8" applyNumberFormat="1" applyFont="1" applyFill="1" applyBorder="1" applyAlignment="1">
      <alignment horizontal="center" vertical="center" wrapText="1"/>
    </xf>
    <xf numFmtId="167" fontId="4" fillId="3" borderId="0" xfId="0" applyNumberFormat="1" applyFont="1" applyFill="1"/>
    <xf numFmtId="2" fontId="4" fillId="3" borderId="0" xfId="0" applyNumberFormat="1" applyFont="1" applyFill="1"/>
    <xf numFmtId="0" fontId="82" fillId="3" borderId="155" xfId="0" applyFont="1" applyFill="1" applyBorder="1"/>
    <xf numFmtId="2" fontId="4" fillId="3" borderId="155" xfId="0" applyNumberFormat="1" applyFont="1" applyFill="1" applyBorder="1"/>
    <xf numFmtId="164" fontId="113" fillId="18" borderId="0" xfId="0" applyNumberFormat="1" applyFont="1" applyFill="1" applyAlignment="1">
      <alignment horizontal="center" vertical="center" wrapText="1"/>
    </xf>
    <xf numFmtId="2" fontId="17" fillId="3" borderId="156" xfId="0" applyNumberFormat="1" applyFont="1" applyFill="1" applyBorder="1" applyAlignment="1">
      <alignment vertical="center"/>
    </xf>
    <xf numFmtId="164" fontId="113" fillId="18" borderId="81" xfId="0" applyNumberFormat="1" applyFont="1" applyFill="1" applyBorder="1" applyAlignment="1">
      <alignment horizontal="center" vertical="center" wrapText="1"/>
    </xf>
    <xf numFmtId="2" fontId="17" fillId="3" borderId="77" xfId="0" applyNumberFormat="1" applyFont="1" applyFill="1" applyBorder="1" applyAlignment="1">
      <alignment vertical="center"/>
    </xf>
    <xf numFmtId="2" fontId="17" fillId="3" borderId="74" xfId="0" applyNumberFormat="1" applyFont="1" applyFill="1" applyBorder="1" applyAlignment="1" applyProtection="1">
      <alignment vertical="center"/>
      <protection hidden="1"/>
    </xf>
    <xf numFmtId="2" fontId="17" fillId="3" borderId="74" xfId="0" applyNumberFormat="1" applyFont="1" applyFill="1" applyBorder="1" applyAlignment="1" applyProtection="1">
      <alignment horizontal="center" vertical="center"/>
      <protection hidden="1"/>
    </xf>
    <xf numFmtId="0" fontId="17" fillId="0" borderId="157" xfId="4" applyFont="1" applyBorder="1" applyAlignment="1">
      <alignment horizontal="center" vertical="center"/>
    </xf>
    <xf numFmtId="195" fontId="17" fillId="3" borderId="46" xfId="0" applyNumberFormat="1" applyFont="1" applyFill="1" applyBorder="1" applyAlignment="1">
      <alignment horizontal="center"/>
    </xf>
    <xf numFmtId="167" fontId="58" fillId="3" borderId="97" xfId="0" applyNumberFormat="1" applyFont="1" applyFill="1" applyBorder="1" applyAlignment="1">
      <alignment horizontal="center" vertical="center"/>
    </xf>
    <xf numFmtId="167" fontId="4" fillId="3" borderId="74" xfId="0" applyNumberFormat="1" applyFont="1" applyFill="1" applyBorder="1"/>
    <xf numFmtId="167" fontId="58" fillId="3" borderId="81" xfId="0" applyNumberFormat="1" applyFont="1" applyFill="1" applyBorder="1" applyAlignment="1">
      <alignment horizontal="center" vertical="center"/>
    </xf>
    <xf numFmtId="193" fontId="113" fillId="18" borderId="77" xfId="0" applyNumberFormat="1" applyFont="1" applyFill="1" applyBorder="1" applyAlignment="1">
      <alignment vertical="center" wrapText="1"/>
    </xf>
    <xf numFmtId="193" fontId="113" fillId="18" borderId="74" xfId="0" applyNumberFormat="1" applyFont="1" applyFill="1" applyBorder="1" applyAlignment="1">
      <alignment vertical="center" wrapText="1"/>
    </xf>
    <xf numFmtId="193" fontId="4" fillId="3" borderId="74" xfId="0" applyNumberFormat="1" applyFont="1" applyFill="1" applyBorder="1"/>
    <xf numFmtId="167" fontId="17" fillId="3" borderId="97" xfId="0" applyNumberFormat="1" applyFont="1" applyFill="1" applyBorder="1" applyAlignment="1">
      <alignment horizontal="center" vertical="center"/>
    </xf>
    <xf numFmtId="167" fontId="116" fillId="3" borderId="79" xfId="0" applyNumberFormat="1" applyFont="1" applyFill="1" applyBorder="1" applyAlignment="1">
      <alignment horizontal="center" vertical="center"/>
    </xf>
    <xf numFmtId="167" fontId="116" fillId="3" borderId="158" xfId="0" applyNumberFormat="1" applyFont="1" applyFill="1" applyBorder="1" applyAlignment="1">
      <alignment horizontal="center" vertical="center"/>
    </xf>
    <xf numFmtId="2" fontId="17" fillId="3" borderId="77" xfId="0" quotePrefix="1" applyNumberFormat="1" applyFont="1" applyFill="1" applyBorder="1" applyAlignment="1" applyProtection="1">
      <alignment horizontal="center" vertical="center"/>
      <protection hidden="1"/>
    </xf>
    <xf numFmtId="2" fontId="17" fillId="3" borderId="74" xfId="0" quotePrefix="1" applyNumberFormat="1" applyFont="1" applyFill="1" applyBorder="1" applyAlignment="1" applyProtection="1">
      <alignment horizontal="center" vertical="center"/>
      <protection hidden="1"/>
    </xf>
    <xf numFmtId="2" fontId="17" fillId="3" borderId="74" xfId="0" quotePrefix="1" applyNumberFormat="1" applyFont="1" applyFill="1" applyBorder="1" applyAlignment="1" applyProtection="1">
      <alignment horizontal="center" vertical="center" wrapText="1"/>
      <protection hidden="1"/>
    </xf>
    <xf numFmtId="2" fontId="17" fillId="3" borderId="74" xfId="0" quotePrefix="1" applyNumberFormat="1" applyFont="1" applyFill="1" applyBorder="1" applyAlignment="1" applyProtection="1">
      <alignment horizontal="center" vertical="center"/>
      <protection locked="0"/>
    </xf>
    <xf numFmtId="2" fontId="58" fillId="3" borderId="74" xfId="0" applyNumberFormat="1" applyFont="1" applyFill="1" applyBorder="1" applyAlignment="1">
      <alignment vertical="center"/>
    </xf>
    <xf numFmtId="2" fontId="58" fillId="3" borderId="74" xfId="0" applyNumberFormat="1" applyFont="1" applyFill="1" applyBorder="1" applyAlignment="1">
      <alignment horizontal="center" vertical="center"/>
    </xf>
    <xf numFmtId="164" fontId="17" fillId="3" borderId="81" xfId="0" applyNumberFormat="1" applyFont="1" applyFill="1" applyBorder="1" applyAlignment="1">
      <alignment horizontal="center" vertical="center"/>
    </xf>
    <xf numFmtId="164" fontId="82" fillId="3" borderId="155" xfId="4" applyNumberFormat="1" applyFont="1" applyFill="1" applyBorder="1" applyAlignment="1" applyProtection="1">
      <alignment horizontal="center"/>
      <protection locked="0"/>
    </xf>
    <xf numFmtId="1" fontId="82" fillId="3" borderId="155" xfId="4" applyNumberFormat="1" applyFont="1" applyFill="1" applyBorder="1" applyAlignment="1" applyProtection="1">
      <alignment horizontal="center"/>
      <protection locked="0"/>
    </xf>
    <xf numFmtId="0" fontId="4" fillId="3" borderId="0" xfId="4" applyFill="1" applyAlignment="1">
      <alignment vertical="center"/>
    </xf>
    <xf numFmtId="0" fontId="108" fillId="3" borderId="0" xfId="4" applyFont="1" applyFill="1" applyAlignment="1">
      <alignment vertical="center"/>
    </xf>
    <xf numFmtId="0" fontId="0" fillId="3" borderId="0" xfId="0" applyFill="1" applyAlignment="1">
      <alignment vertical="center"/>
    </xf>
    <xf numFmtId="0" fontId="4" fillId="3" borderId="0" xfId="0" applyFont="1" applyFill="1" applyAlignment="1">
      <alignment horizontal="left" vertical="center" indent="1"/>
    </xf>
    <xf numFmtId="0" fontId="4" fillId="3" borderId="0" xfId="4" applyFill="1" applyAlignment="1">
      <alignment horizontal="left" vertical="center" indent="1"/>
    </xf>
    <xf numFmtId="0" fontId="22" fillId="3" borderId="155" xfId="4" applyFont="1" applyFill="1" applyBorder="1" applyAlignment="1" applyProtection="1">
      <alignment horizontal="center" vertical="center"/>
      <protection locked="0"/>
    </xf>
    <xf numFmtId="0" fontId="23" fillId="0" borderId="79" xfId="0" applyFont="1" applyBorder="1" applyAlignment="1" applyProtection="1">
      <alignment vertical="center"/>
      <protection locked="0"/>
    </xf>
    <xf numFmtId="0" fontId="23" fillId="0" borderId="80" xfId="0" applyFont="1" applyBorder="1" applyAlignment="1" applyProtection="1">
      <alignment horizontal="center" vertical="center"/>
      <protection locked="0"/>
    </xf>
    <xf numFmtId="0" fontId="23" fillId="0" borderId="160" xfId="0" applyFont="1" applyBorder="1" applyAlignment="1" applyProtection="1">
      <alignment horizontal="center" vertical="center"/>
      <protection locked="0"/>
    </xf>
    <xf numFmtId="0" fontId="23" fillId="0" borderId="158" xfId="0" applyFont="1" applyBorder="1" applyAlignment="1" applyProtection="1">
      <alignment vertical="center"/>
      <protection locked="0"/>
    </xf>
    <xf numFmtId="0" fontId="23" fillId="0" borderId="161" xfId="0" applyFont="1" applyBorder="1" applyAlignment="1" applyProtection="1">
      <alignment horizontal="center" vertical="center"/>
      <protection locked="0"/>
    </xf>
    <xf numFmtId="0" fontId="23" fillId="0" borderId="162" xfId="0" applyFont="1" applyBorder="1" applyAlignment="1" applyProtection="1">
      <alignment vertical="center"/>
      <protection locked="0"/>
    </xf>
    <xf numFmtId="0" fontId="23" fillId="0" borderId="72" xfId="0" applyFont="1" applyBorder="1" applyAlignment="1" applyProtection="1">
      <alignment horizontal="center" vertical="center"/>
      <protection locked="0"/>
    </xf>
    <xf numFmtId="0" fontId="23" fillId="0" borderId="163" xfId="0" applyFont="1" applyBorder="1" applyAlignment="1" applyProtection="1">
      <alignment horizontal="center" vertical="center"/>
      <protection locked="0"/>
    </xf>
    <xf numFmtId="0" fontId="82" fillId="3" borderId="155" xfId="4" applyFont="1" applyFill="1" applyBorder="1" applyAlignment="1" applyProtection="1">
      <alignment horizontal="center" vertical="center"/>
      <protection locked="0"/>
    </xf>
    <xf numFmtId="188" fontId="82" fillId="3" borderId="155" xfId="4" applyNumberFormat="1" applyFont="1" applyFill="1" applyBorder="1" applyAlignment="1" applyProtection="1">
      <alignment horizontal="center" vertical="center"/>
      <protection locked="0"/>
    </xf>
    <xf numFmtId="2" fontId="17" fillId="0" borderId="155" xfId="4" applyNumberFormat="1" applyFont="1" applyBorder="1" applyAlignment="1">
      <alignment horizontal="center" vertical="center"/>
    </xf>
    <xf numFmtId="164" fontId="17" fillId="0" borderId="155" xfId="4" applyNumberFormat="1" applyFont="1" applyBorder="1" applyAlignment="1">
      <alignment horizontal="center" vertical="center"/>
    </xf>
    <xf numFmtId="2" fontId="9" fillId="0" borderId="0" xfId="0" applyNumberFormat="1" applyFont="1" applyAlignment="1" applyProtection="1">
      <alignment horizontal="left" vertical="center"/>
      <protection locked="0"/>
    </xf>
    <xf numFmtId="0" fontId="85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58" fillId="0" borderId="0" xfId="4" applyFont="1" applyAlignment="1" applyProtection="1">
      <alignment vertical="center"/>
      <protection locked="0"/>
    </xf>
    <xf numFmtId="0" fontId="22" fillId="0" borderId="0" xfId="4" applyFont="1" applyAlignment="1" applyProtection="1">
      <alignment vertical="center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vertical="center" wrapText="1"/>
      <protection locked="0"/>
    </xf>
    <xf numFmtId="0" fontId="57" fillId="0" borderId="0" xfId="7" applyFont="1" applyAlignment="1">
      <alignment horizontal="left" vertical="center"/>
    </xf>
    <xf numFmtId="0" fontId="12" fillId="0" borderId="0" xfId="0" applyFont="1" applyAlignment="1" applyProtection="1">
      <alignment horizontal="left" vertical="center" wrapText="1"/>
      <protection locked="0"/>
    </xf>
    <xf numFmtId="17" fontId="12" fillId="0" borderId="0" xfId="0" applyNumberFormat="1" applyFont="1" applyAlignment="1" applyProtection="1">
      <alignment vertical="center"/>
      <protection locked="0"/>
    </xf>
    <xf numFmtId="0" fontId="22" fillId="0" borderId="159" xfId="3" applyFont="1" applyBorder="1" applyAlignment="1">
      <alignment vertical="center"/>
    </xf>
    <xf numFmtId="0" fontId="12" fillId="0" borderId="0" xfId="0" applyFont="1" applyAlignment="1">
      <alignment horizontal="left" vertical="center" wrapText="1"/>
    </xf>
    <xf numFmtId="17" fontId="12" fillId="0" borderId="13" xfId="0" applyNumberFormat="1" applyFont="1" applyBorder="1" applyAlignment="1">
      <alignment vertical="center"/>
    </xf>
    <xf numFmtId="0" fontId="12" fillId="0" borderId="0" xfId="3" applyFont="1" applyAlignment="1" applyProtection="1">
      <alignment horizontal="center" vertical="center"/>
      <protection locked="0"/>
    </xf>
    <xf numFmtId="188" fontId="12" fillId="0" borderId="13" xfId="0" applyNumberFormat="1" applyFont="1" applyBorder="1" applyAlignment="1" applyProtection="1">
      <alignment horizontal="left" vertical="center"/>
      <protection locked="0"/>
    </xf>
    <xf numFmtId="0" fontId="22" fillId="0" borderId="64" xfId="3" applyFont="1" applyBorder="1" applyAlignment="1">
      <alignment vertical="center"/>
    </xf>
    <xf numFmtId="0" fontId="22" fillId="0" borderId="59" xfId="3" applyFont="1" applyBorder="1" applyAlignment="1">
      <alignment vertical="center"/>
    </xf>
    <xf numFmtId="0" fontId="12" fillId="0" borderId="59" xfId="3" applyFont="1" applyBorder="1" applyAlignment="1">
      <alignment horizontal="center" vertical="center"/>
    </xf>
    <xf numFmtId="0" fontId="12" fillId="0" borderId="59" xfId="0" applyFont="1" applyBorder="1" applyAlignment="1" applyProtection="1">
      <alignment vertical="center"/>
      <protection locked="0"/>
    </xf>
    <xf numFmtId="0" fontId="12" fillId="0" borderId="59" xfId="3" applyFont="1" applyBorder="1" applyAlignment="1">
      <alignment horizontal="right" vertical="center"/>
    </xf>
    <xf numFmtId="0" fontId="23" fillId="0" borderId="59" xfId="0" applyFont="1" applyBorder="1" applyAlignment="1">
      <alignment vertical="center"/>
    </xf>
    <xf numFmtId="188" fontId="12" fillId="0" borderId="65" xfId="0" applyNumberFormat="1" applyFont="1" applyBorder="1" applyAlignment="1" applyProtection="1">
      <alignment horizontal="left" vertical="center"/>
      <protection locked="0"/>
    </xf>
    <xf numFmtId="0" fontId="22" fillId="0" borderId="123" xfId="3" applyFont="1" applyBorder="1" applyAlignment="1">
      <alignment vertical="center"/>
    </xf>
    <xf numFmtId="0" fontId="22" fillId="0" borderId="164" xfId="3" applyFont="1" applyBorder="1" applyAlignment="1">
      <alignment vertical="center"/>
    </xf>
    <xf numFmtId="0" fontId="12" fillId="0" borderId="164" xfId="3" applyFont="1" applyBorder="1" applyAlignment="1">
      <alignment horizontal="center" vertical="center"/>
    </xf>
    <xf numFmtId="0" fontId="12" fillId="0" borderId="164" xfId="0" applyFont="1" applyBorder="1" applyAlignment="1" applyProtection="1">
      <alignment vertical="center"/>
      <protection locked="0"/>
    </xf>
    <xf numFmtId="0" fontId="8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2" fontId="4" fillId="0" borderId="58" xfId="4" applyNumberFormat="1" applyBorder="1" applyAlignment="1">
      <alignment horizontal="center" vertical="center"/>
    </xf>
    <xf numFmtId="164" fontId="4" fillId="0" borderId="58" xfId="4" applyNumberFormat="1" applyBorder="1" applyAlignment="1">
      <alignment horizontal="center" vertical="center"/>
    </xf>
    <xf numFmtId="0" fontId="17" fillId="0" borderId="155" xfId="0" applyFont="1" applyBorder="1" applyAlignment="1">
      <alignment vertical="center"/>
    </xf>
    <xf numFmtId="0" fontId="4" fillId="0" borderId="155" xfId="0" applyFont="1" applyBorder="1" applyAlignment="1">
      <alignment vertical="center"/>
    </xf>
    <xf numFmtId="0" fontId="4" fillId="0" borderId="155" xfId="0" applyFont="1" applyBorder="1" applyAlignment="1" applyProtection="1">
      <alignment vertical="center"/>
      <protection locked="0"/>
    </xf>
    <xf numFmtId="164" fontId="17" fillId="0" borderId="0" xfId="4" applyNumberFormat="1" applyFont="1" applyAlignment="1">
      <alignment horizontal="center" vertical="center"/>
    </xf>
    <xf numFmtId="2" fontId="4" fillId="0" borderId="0" xfId="4" applyNumberFormat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1" fontId="4" fillId="0" borderId="0" xfId="0" applyNumberFormat="1" applyFont="1" applyAlignment="1" applyProtection="1">
      <alignment horizontal="center" vertical="center" wrapText="1"/>
      <protection locked="0"/>
    </xf>
    <xf numFmtId="10" fontId="4" fillId="0" borderId="0" xfId="0" applyNumberFormat="1" applyFont="1" applyAlignment="1" applyProtection="1">
      <alignment horizontal="center" vertical="center" wrapText="1"/>
      <protection locked="0"/>
    </xf>
    <xf numFmtId="0" fontId="58" fillId="0" borderId="59" xfId="4" applyFont="1" applyBorder="1" applyAlignment="1">
      <alignment horizontal="center" vertical="center"/>
    </xf>
    <xf numFmtId="0" fontId="58" fillId="0" borderId="0" xfId="0" applyFont="1" applyAlignment="1">
      <alignment vertical="center"/>
    </xf>
    <xf numFmtId="0" fontId="58" fillId="0" borderId="9" xfId="0" applyFont="1" applyBorder="1" applyAlignment="1">
      <alignment vertical="center"/>
    </xf>
    <xf numFmtId="0" fontId="58" fillId="0" borderId="71" xfId="0" applyFont="1" applyBorder="1" applyAlignment="1">
      <alignment vertical="center"/>
    </xf>
    <xf numFmtId="164" fontId="12" fillId="0" borderId="0" xfId="4" applyNumberFormat="1" applyFont="1" applyAlignment="1" applyProtection="1">
      <alignment vertical="center"/>
      <protection locked="0"/>
    </xf>
    <xf numFmtId="178" fontId="12" fillId="0" borderId="0" xfId="4" applyNumberFormat="1" applyFont="1" applyAlignment="1" applyProtection="1">
      <alignment vertical="center"/>
      <protection locked="0"/>
    </xf>
    <xf numFmtId="0" fontId="12" fillId="0" borderId="0" xfId="4" applyFont="1" applyAlignment="1" applyProtection="1">
      <alignment vertical="center"/>
      <protection locked="0"/>
    </xf>
    <xf numFmtId="2" fontId="4" fillId="0" borderId="0" xfId="0" applyNumberFormat="1" applyFont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 vertical="center"/>
      <protection locked="0"/>
    </xf>
    <xf numFmtId="0" fontId="24" fillId="0" borderId="0" xfId="0" applyFont="1" applyAlignment="1">
      <alignment vertical="center"/>
    </xf>
    <xf numFmtId="0" fontId="17" fillId="0" borderId="0" xfId="3" quotePrefix="1" applyFont="1" applyAlignment="1">
      <alignment horizontal="left" vertical="center"/>
    </xf>
    <xf numFmtId="0" fontId="12" fillId="0" borderId="0" xfId="0" applyFont="1" applyAlignment="1" applyProtection="1">
      <alignment horizontal="center" vertical="center"/>
      <protection locked="0"/>
    </xf>
    <xf numFmtId="0" fontId="17" fillId="0" borderId="0" xfId="7" applyFont="1" applyAlignment="1">
      <alignment vertical="center"/>
    </xf>
    <xf numFmtId="0" fontId="17" fillId="0" borderId="0" xfId="7" applyFont="1" applyAlignment="1">
      <alignment horizontal="center" vertical="center"/>
    </xf>
    <xf numFmtId="0" fontId="58" fillId="0" borderId="0" xfId="7" applyFont="1" applyAlignment="1" applyProtection="1">
      <alignment horizontal="center" vertical="center"/>
      <protection locked="0"/>
    </xf>
    <xf numFmtId="0" fontId="17" fillId="0" borderId="0" xfId="7" quotePrefix="1" applyFont="1" applyAlignment="1">
      <alignment horizontal="left" vertical="center"/>
    </xf>
    <xf numFmtId="0" fontId="12" fillId="0" borderId="58" xfId="7" applyFont="1" applyBorder="1" applyAlignment="1" applyProtection="1">
      <alignment horizontal="center" vertical="center" wrapText="1"/>
      <protection locked="0"/>
    </xf>
    <xf numFmtId="0" fontId="59" fillId="0" borderId="0" xfId="7" quotePrefix="1" applyFont="1" applyAlignment="1">
      <alignment horizontal="left" vertical="center"/>
    </xf>
    <xf numFmtId="9" fontId="57" fillId="0" borderId="58" xfId="7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vertical="center"/>
      <protection locked="0"/>
    </xf>
    <xf numFmtId="0" fontId="9" fillId="0" borderId="0" xfId="0" applyFont="1" applyAlignment="1">
      <alignment vertical="center"/>
    </xf>
    <xf numFmtId="0" fontId="59" fillId="0" borderId="0" xfId="7" applyFont="1" applyAlignment="1">
      <alignment vertical="center" wrapText="1"/>
    </xf>
    <xf numFmtId="0" fontId="59" fillId="0" borderId="0" xfId="7" applyFont="1" applyAlignment="1">
      <alignment horizontal="left" vertical="center"/>
    </xf>
    <xf numFmtId="0" fontId="59" fillId="0" borderId="0" xfId="7" quotePrefix="1" applyFont="1" applyAlignment="1" applyProtection="1">
      <alignment horizontal="left" vertical="center"/>
      <protection locked="0"/>
    </xf>
    <xf numFmtId="0" fontId="83" fillId="0" borderId="0" xfId="7" applyFont="1" applyAlignment="1">
      <alignment vertical="center"/>
    </xf>
    <xf numFmtId="0" fontId="57" fillId="0" borderId="0" xfId="7" applyFont="1" applyAlignment="1">
      <alignment horizontal="left" vertical="center" wrapText="1"/>
    </xf>
    <xf numFmtId="0" fontId="23" fillId="0" borderId="123" xfId="0" applyFont="1" applyBorder="1" applyAlignment="1" applyProtection="1">
      <alignment vertical="center"/>
      <protection locked="0"/>
    </xf>
    <xf numFmtId="0" fontId="105" fillId="0" borderId="164" xfId="0" applyFont="1" applyBorder="1" applyAlignment="1">
      <alignment vertical="center"/>
    </xf>
    <xf numFmtId="0" fontId="105" fillId="0" borderId="164" xfId="0" applyFont="1" applyBorder="1" applyAlignment="1" applyProtection="1">
      <alignment vertical="center"/>
      <protection locked="0"/>
    </xf>
    <xf numFmtId="0" fontId="23" fillId="0" borderId="164" xfId="0" applyFont="1" applyBorder="1" applyAlignment="1" applyProtection="1">
      <alignment vertical="center"/>
      <protection locked="0"/>
    </xf>
    <xf numFmtId="0" fontId="23" fillId="0" borderId="124" xfId="0" applyFont="1" applyBorder="1" applyAlignment="1" applyProtection="1">
      <alignment vertical="center"/>
      <protection locked="0"/>
    </xf>
    <xf numFmtId="0" fontId="23" fillId="0" borderId="159" xfId="0" applyFont="1" applyBorder="1" applyAlignment="1" applyProtection="1">
      <alignment vertical="center"/>
      <protection locked="0"/>
    </xf>
    <xf numFmtId="0" fontId="17" fillId="0" borderId="165" xfId="0" applyFont="1" applyBorder="1" applyAlignment="1">
      <alignment vertical="center"/>
    </xf>
    <xf numFmtId="0" fontId="23" fillId="0" borderId="166" xfId="0" applyFont="1" applyBorder="1" applyAlignment="1">
      <alignment vertical="center"/>
    </xf>
    <xf numFmtId="0" fontId="23" fillId="0" borderId="167" xfId="0" applyFont="1" applyBorder="1" applyAlignment="1">
      <alignment vertical="center"/>
    </xf>
    <xf numFmtId="0" fontId="17" fillId="0" borderId="155" xfId="4" applyFont="1" applyBorder="1" applyAlignment="1">
      <alignment horizontal="center" vertical="center"/>
    </xf>
    <xf numFmtId="0" fontId="59" fillId="0" borderId="165" xfId="0" applyFont="1" applyBorder="1" applyAlignment="1">
      <alignment vertical="center"/>
    </xf>
    <xf numFmtId="0" fontId="4" fillId="0" borderId="166" xfId="0" applyFont="1" applyBorder="1" applyAlignment="1" applyProtection="1">
      <alignment vertical="center"/>
      <protection locked="0"/>
    </xf>
    <xf numFmtId="2" fontId="58" fillId="3" borderId="155" xfId="0" applyNumberFormat="1" applyFont="1" applyFill="1" applyBorder="1" applyAlignment="1">
      <alignment horizontal="center" vertical="center"/>
    </xf>
    <xf numFmtId="0" fontId="4" fillId="0" borderId="155" xfId="4" applyBorder="1" applyAlignment="1">
      <alignment horizontal="center" vertical="center"/>
    </xf>
    <xf numFmtId="2" fontId="74" fillId="19" borderId="155" xfId="0" applyNumberFormat="1" applyFont="1" applyFill="1" applyBorder="1" applyAlignment="1" applyProtection="1">
      <alignment horizontal="center" vertical="center"/>
      <protection locked="0"/>
    </xf>
    <xf numFmtId="0" fontId="23" fillId="0" borderId="128" xfId="0" applyFont="1" applyBorder="1" applyAlignment="1" applyProtection="1">
      <alignment vertical="center"/>
      <protection locked="0"/>
    </xf>
    <xf numFmtId="0" fontId="4" fillId="0" borderId="123" xfId="4" applyBorder="1" applyAlignment="1">
      <alignment vertical="center"/>
    </xf>
    <xf numFmtId="0" fontId="4" fillId="0" borderId="164" xfId="4" applyBorder="1" applyAlignment="1">
      <alignment vertical="center"/>
    </xf>
    <xf numFmtId="0" fontId="4" fillId="0" borderId="124" xfId="4" applyBorder="1" applyAlignment="1">
      <alignment vertical="center"/>
    </xf>
    <xf numFmtId="0" fontId="4" fillId="0" borderId="159" xfId="4" applyBorder="1" applyAlignment="1">
      <alignment vertical="center"/>
    </xf>
    <xf numFmtId="0" fontId="4" fillId="3" borderId="0" xfId="4" quotePrefix="1" applyFill="1" applyAlignment="1">
      <alignment horizontal="center" vertical="center"/>
    </xf>
    <xf numFmtId="0" fontId="4" fillId="0" borderId="0" xfId="4" applyAlignment="1">
      <alignment horizontal="center" vertical="center"/>
    </xf>
    <xf numFmtId="0" fontId="4" fillId="0" borderId="113" xfId="4" applyBorder="1" applyAlignment="1">
      <alignment vertical="center"/>
    </xf>
    <xf numFmtId="0" fontId="4" fillId="0" borderId="59" xfId="4" applyBorder="1" applyAlignment="1">
      <alignment vertical="center"/>
    </xf>
    <xf numFmtId="14" fontId="4" fillId="0" borderId="59" xfId="4" applyNumberFormat="1" applyBorder="1" applyAlignment="1">
      <alignment horizontal="center" vertical="center"/>
    </xf>
    <xf numFmtId="0" fontId="4" fillId="0" borderId="128" xfId="4" applyBorder="1" applyAlignment="1">
      <alignment vertical="center"/>
    </xf>
    <xf numFmtId="16" fontId="23" fillId="0" borderId="0" xfId="0" quotePrefix="1" applyNumberFormat="1" applyFont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0" fontId="104" fillId="3" borderId="0" xfId="4" applyFont="1" applyFill="1" applyAlignment="1">
      <alignment horizontal="left"/>
    </xf>
    <xf numFmtId="0" fontId="4" fillId="3" borderId="155" xfId="4" applyFill="1" applyBorder="1" applyAlignment="1">
      <alignment horizontal="center"/>
    </xf>
    <xf numFmtId="0" fontId="5" fillId="3" borderId="155" xfId="4" applyFont="1" applyFill="1" applyBorder="1" applyAlignment="1">
      <alignment horizontal="center"/>
    </xf>
    <xf numFmtId="2" fontId="82" fillId="3" borderId="155" xfId="4" applyNumberFormat="1" applyFont="1" applyFill="1" applyBorder="1" applyAlignment="1" applyProtection="1">
      <alignment horizontal="center"/>
      <protection locked="0"/>
    </xf>
    <xf numFmtId="2" fontId="82" fillId="3" borderId="155" xfId="4" applyNumberFormat="1" applyFont="1" applyFill="1" applyBorder="1" applyAlignment="1">
      <alignment horizontal="center"/>
    </xf>
    <xf numFmtId="1" fontId="4" fillId="3" borderId="155" xfId="4" applyNumberFormat="1" applyFill="1" applyBorder="1" applyAlignment="1">
      <alignment horizontal="center"/>
    </xf>
    <xf numFmtId="0" fontId="4" fillId="3" borderId="155" xfId="4" applyFill="1" applyBorder="1"/>
    <xf numFmtId="193" fontId="4" fillId="3" borderId="155" xfId="4" applyNumberFormat="1" applyFill="1" applyBorder="1" applyAlignment="1">
      <alignment horizontal="center"/>
    </xf>
    <xf numFmtId="0" fontId="108" fillId="3" borderId="0" xfId="4" applyFont="1" applyFill="1"/>
    <xf numFmtId="0" fontId="2" fillId="3" borderId="0" xfId="10" applyFill="1" applyAlignment="1">
      <alignment horizontal="center" vertical="center"/>
    </xf>
    <xf numFmtId="0" fontId="108" fillId="3" borderId="0" xfId="4" applyFont="1" applyFill="1" applyAlignment="1">
      <alignment horizontal="center"/>
    </xf>
    <xf numFmtId="2" fontId="58" fillId="3" borderId="123" xfId="0" applyNumberFormat="1" applyFont="1" applyFill="1" applyBorder="1" applyAlignment="1">
      <alignment horizontal="left" vertical="center"/>
    </xf>
    <xf numFmtId="0" fontId="58" fillId="3" borderId="164" xfId="0" applyFont="1" applyFill="1" applyBorder="1" applyAlignment="1">
      <alignment horizontal="center" vertical="center"/>
    </xf>
    <xf numFmtId="0" fontId="17" fillId="3" borderId="164" xfId="0" applyFont="1" applyFill="1" applyBorder="1" applyAlignment="1">
      <alignment vertical="center"/>
    </xf>
    <xf numFmtId="2" fontId="17" fillId="3" borderId="159" xfId="0" applyNumberFormat="1" applyFont="1" applyFill="1" applyBorder="1" applyAlignment="1">
      <alignment horizontal="left" vertical="center"/>
    </xf>
    <xf numFmtId="0" fontId="17" fillId="3" borderId="0" xfId="0" applyFont="1" applyFill="1" applyAlignment="1">
      <alignment vertical="center"/>
    </xf>
    <xf numFmtId="0" fontId="17" fillId="3" borderId="159" xfId="0" applyFont="1" applyFill="1" applyBorder="1" applyAlignment="1">
      <alignment vertical="center"/>
    </xf>
    <xf numFmtId="0" fontId="17" fillId="3" borderId="0" xfId="0" applyFont="1" applyFill="1" applyAlignment="1">
      <alignment horizontal="center" vertical="center"/>
    </xf>
    <xf numFmtId="0" fontId="17" fillId="3" borderId="113" xfId="0" applyFont="1" applyFill="1" applyBorder="1" applyAlignment="1">
      <alignment horizontal="left" vertical="center"/>
    </xf>
    <xf numFmtId="0" fontId="17" fillId="0" borderId="59" xfId="0" applyFont="1" applyBorder="1" applyAlignment="1">
      <alignment vertical="center"/>
    </xf>
    <xf numFmtId="14" fontId="17" fillId="3" borderId="59" xfId="0" applyNumberFormat="1" applyFont="1" applyFill="1" applyBorder="1" applyAlignment="1">
      <alignment horizontal="center" vertical="center"/>
    </xf>
    <xf numFmtId="0" fontId="12" fillId="0" borderId="164" xfId="3" applyFont="1" applyBorder="1" applyAlignment="1">
      <alignment horizontal="right" vertical="center"/>
    </xf>
    <xf numFmtId="0" fontId="23" fillId="0" borderId="164" xfId="0" applyFont="1" applyBorder="1" applyAlignment="1">
      <alignment vertical="center"/>
    </xf>
    <xf numFmtId="188" fontId="12" fillId="0" borderId="124" xfId="0" applyNumberFormat="1" applyFont="1" applyBorder="1" applyAlignment="1" applyProtection="1">
      <alignment horizontal="left" vertical="center"/>
      <protection locked="0"/>
    </xf>
    <xf numFmtId="0" fontId="88" fillId="0" borderId="159" xfId="0" applyFont="1" applyBorder="1" applyAlignment="1">
      <alignment vertical="center"/>
    </xf>
    <xf numFmtId="0" fontId="22" fillId="0" borderId="130" xfId="0" applyFont="1" applyBorder="1" applyAlignment="1">
      <alignment horizontal="center" vertical="center" wrapText="1"/>
    </xf>
    <xf numFmtId="0" fontId="12" fillId="0" borderId="155" xfId="0" applyFont="1" applyBorder="1" applyAlignment="1">
      <alignment vertical="center"/>
    </xf>
    <xf numFmtId="1" fontId="17" fillId="0" borderId="155" xfId="4" applyNumberFormat="1" applyFont="1" applyBorder="1" applyAlignment="1">
      <alignment horizontal="center" vertical="center"/>
    </xf>
    <xf numFmtId="0" fontId="58" fillId="0" borderId="165" xfId="4" applyFont="1" applyBorder="1" applyAlignment="1">
      <alignment vertical="center"/>
    </xf>
    <xf numFmtId="0" fontId="58" fillId="0" borderId="166" xfId="4" applyFont="1" applyBorder="1" applyAlignment="1">
      <alignment vertical="center"/>
    </xf>
    <xf numFmtId="0" fontId="58" fillId="0" borderId="164" xfId="0" applyFont="1" applyBorder="1" applyAlignment="1">
      <alignment vertical="center" wrapText="1"/>
    </xf>
    <xf numFmtId="0" fontId="58" fillId="0" borderId="124" xfId="0" applyFont="1" applyBorder="1" applyAlignment="1">
      <alignment horizontal="center" vertical="center" wrapText="1"/>
    </xf>
    <xf numFmtId="0" fontId="22" fillId="0" borderId="155" xfId="4" applyFont="1" applyBorder="1" applyAlignment="1">
      <alignment horizontal="center" vertical="center"/>
    </xf>
    <xf numFmtId="1" fontId="12" fillId="0" borderId="155" xfId="4" applyNumberFormat="1" applyFont="1" applyBorder="1" applyAlignment="1">
      <alignment horizontal="center" vertical="center"/>
    </xf>
    <xf numFmtId="0" fontId="12" fillId="0" borderId="155" xfId="4" applyFont="1" applyBorder="1" applyAlignment="1">
      <alignment horizontal="center" vertical="center"/>
    </xf>
    <xf numFmtId="167" fontId="12" fillId="0" borderId="155" xfId="4" applyNumberFormat="1" applyFont="1" applyBorder="1" applyAlignment="1">
      <alignment horizontal="center" vertical="center"/>
    </xf>
    <xf numFmtId="0" fontId="58" fillId="0" borderId="0" xfId="4" applyFont="1" applyAlignment="1">
      <alignment horizontal="center" vertical="center"/>
    </xf>
    <xf numFmtId="0" fontId="58" fillId="0" borderId="13" xfId="4" applyFont="1" applyBorder="1" applyAlignment="1">
      <alignment vertical="center"/>
    </xf>
    <xf numFmtId="164" fontId="12" fillId="0" borderId="155" xfId="4" applyNumberFormat="1" applyFont="1" applyBorder="1" applyAlignment="1">
      <alignment horizontal="center" vertical="center"/>
    </xf>
    <xf numFmtId="197" fontId="119" fillId="0" borderId="0" xfId="0" applyNumberFormat="1" applyFont="1" applyAlignment="1" applyProtection="1">
      <alignment vertical="center"/>
      <protection locked="0"/>
    </xf>
    <xf numFmtId="198" fontId="119" fillId="0" borderId="0" xfId="0" applyNumberFormat="1" applyFont="1" applyAlignment="1" applyProtection="1">
      <alignment vertical="center"/>
      <protection locked="0"/>
    </xf>
    <xf numFmtId="0" fontId="59" fillId="0" borderId="155" xfId="0" applyFont="1" applyBorder="1" applyAlignment="1">
      <alignment vertical="center"/>
    </xf>
    <xf numFmtId="0" fontId="17" fillId="0" borderId="155" xfId="4" applyFont="1" applyBorder="1" applyAlignment="1">
      <alignment horizontal="left" vertical="center"/>
    </xf>
    <xf numFmtId="2" fontId="12" fillId="0" borderId="155" xfId="4" applyNumberFormat="1" applyFont="1" applyBorder="1" applyAlignment="1">
      <alignment horizontal="center" vertical="center"/>
    </xf>
    <xf numFmtId="0" fontId="57" fillId="0" borderId="155" xfId="0" applyFont="1" applyBorder="1" applyAlignment="1">
      <alignment vertical="center"/>
    </xf>
    <xf numFmtId="185" fontId="17" fillId="0" borderId="155" xfId="4" applyNumberFormat="1" applyFont="1" applyBorder="1" applyAlignment="1">
      <alignment horizontal="center" vertical="center"/>
    </xf>
    <xf numFmtId="185" fontId="17" fillId="0" borderId="155" xfId="0" applyNumberFormat="1" applyFont="1" applyBorder="1" applyAlignment="1" applyProtection="1">
      <alignment horizontal="center" vertical="center"/>
      <protection locked="0"/>
    </xf>
    <xf numFmtId="0" fontId="23" fillId="0" borderId="73" xfId="0" applyFont="1" applyBorder="1" applyAlignment="1" applyProtection="1">
      <alignment vertical="center"/>
      <protection locked="0"/>
    </xf>
    <xf numFmtId="0" fontId="23" fillId="0" borderId="76" xfId="0" applyFont="1" applyBorder="1" applyAlignment="1" applyProtection="1">
      <alignment vertical="center"/>
      <protection locked="0"/>
    </xf>
    <xf numFmtId="0" fontId="12" fillId="0" borderId="155" xfId="4" applyFont="1" applyBorder="1" applyAlignment="1">
      <alignment horizontal="left" vertical="center"/>
    </xf>
    <xf numFmtId="0" fontId="86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78" fillId="0" borderId="0" xfId="0" applyFont="1" applyAlignment="1">
      <alignment vertical="center"/>
    </xf>
    <xf numFmtId="185" fontId="12" fillId="0" borderId="0" xfId="0" applyNumberFormat="1" applyFont="1" applyAlignment="1" applyProtection="1">
      <alignment vertical="center"/>
      <protection locked="0"/>
    </xf>
    <xf numFmtId="0" fontId="105" fillId="0" borderId="159" xfId="0" applyFont="1" applyBorder="1" applyAlignment="1">
      <alignment vertical="center"/>
    </xf>
    <xf numFmtId="0" fontId="105" fillId="0" borderId="0" xfId="0" applyFont="1" applyAlignment="1">
      <alignment vertical="center"/>
    </xf>
    <xf numFmtId="0" fontId="81" fillId="0" borderId="0" xfId="0" applyFont="1" applyAlignment="1" applyProtection="1">
      <alignment vertical="center"/>
      <protection locked="0"/>
    </xf>
    <xf numFmtId="0" fontId="79" fillId="0" borderId="0" xfId="0" applyFont="1" applyAlignment="1" applyProtection="1">
      <alignment vertical="center"/>
      <protection locked="0"/>
    </xf>
    <xf numFmtId="164" fontId="23" fillId="0" borderId="0" xfId="0" applyNumberFormat="1" applyFont="1" applyAlignment="1" applyProtection="1">
      <alignment vertical="center"/>
      <protection locked="0"/>
    </xf>
    <xf numFmtId="167" fontId="4" fillId="0" borderId="0" xfId="0" applyNumberFormat="1" applyFont="1" applyAlignment="1" applyProtection="1">
      <alignment vertical="center"/>
      <protection locked="0"/>
    </xf>
    <xf numFmtId="0" fontId="17" fillId="0" borderId="9" xfId="0" applyFont="1" applyBorder="1" applyAlignment="1">
      <alignment horizontal="left" vertical="center"/>
    </xf>
    <xf numFmtId="0" fontId="17" fillId="0" borderId="9" xfId="0" applyFont="1" applyBorder="1" applyAlignment="1">
      <alignment vertical="center"/>
    </xf>
    <xf numFmtId="0" fontId="17" fillId="0" borderId="0" xfId="0" applyFont="1" applyAlignment="1">
      <alignment horizontal="left" vertical="center"/>
    </xf>
    <xf numFmtId="2" fontId="23" fillId="0" borderId="0" xfId="0" applyNumberFormat="1" applyFont="1" applyAlignment="1" applyProtection="1">
      <alignment vertical="center"/>
      <protection locked="0"/>
    </xf>
    <xf numFmtId="0" fontId="12" fillId="0" borderId="0" xfId="3" applyFont="1" applyAlignment="1">
      <alignment horizontal="left" vertical="center"/>
    </xf>
    <xf numFmtId="0" fontId="8" fillId="0" borderId="0" xfId="0" applyFont="1" applyAlignment="1">
      <alignment vertical="center"/>
    </xf>
    <xf numFmtId="0" fontId="87" fillId="0" borderId="0" xfId="0" applyFont="1" applyAlignment="1">
      <alignment vertical="center"/>
    </xf>
    <xf numFmtId="0" fontId="17" fillId="0" borderId="0" xfId="3" applyFont="1" applyAlignment="1">
      <alignment horizontal="left" vertical="center"/>
    </xf>
    <xf numFmtId="0" fontId="17" fillId="0" borderId="0" xfId="7" applyFont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11" fontId="81" fillId="3" borderId="0" xfId="0" applyNumberFormat="1" applyFont="1" applyFill="1" applyAlignment="1">
      <alignment horizontal="center" vertical="center"/>
    </xf>
    <xf numFmtId="0" fontId="81" fillId="18" borderId="0" xfId="0" applyFont="1" applyFill="1" applyAlignment="1">
      <alignment horizontal="center"/>
    </xf>
    <xf numFmtId="11" fontId="81" fillId="18" borderId="0" xfId="0" applyNumberFormat="1" applyFont="1" applyFill="1" applyAlignment="1">
      <alignment horizontal="center"/>
    </xf>
    <xf numFmtId="0" fontId="81" fillId="18" borderId="0" xfId="0" quotePrefix="1" applyFont="1" applyFill="1" applyAlignment="1">
      <alignment horizontal="left"/>
    </xf>
    <xf numFmtId="0" fontId="116" fillId="0" borderId="159" xfId="0" applyFont="1" applyBorder="1" applyAlignment="1">
      <alignment vertical="center"/>
    </xf>
    <xf numFmtId="0" fontId="119" fillId="0" borderId="0" xfId="0" applyFont="1" applyAlignment="1">
      <alignment vertical="center"/>
    </xf>
    <xf numFmtId="0" fontId="116" fillId="0" borderId="0" xfId="0" applyFont="1" applyAlignment="1">
      <alignment vertical="center"/>
    </xf>
    <xf numFmtId="201" fontId="12" fillId="0" borderId="13" xfId="0" applyNumberFormat="1" applyFont="1" applyBorder="1" applyAlignment="1" applyProtection="1">
      <alignment horizontal="left" vertical="center"/>
      <protection locked="0"/>
    </xf>
    <xf numFmtId="201" fontId="12" fillId="0" borderId="0" xfId="0" applyNumberFormat="1" applyFont="1" applyAlignment="1" applyProtection="1">
      <alignment horizontal="left" vertical="center"/>
      <protection locked="0"/>
    </xf>
    <xf numFmtId="0" fontId="65" fillId="19" borderId="155" xfId="4" applyFont="1" applyFill="1" applyBorder="1" applyAlignment="1" applyProtection="1">
      <alignment horizontal="center" vertical="center"/>
      <protection locked="0"/>
    </xf>
    <xf numFmtId="0" fontId="17" fillId="0" borderId="0" xfId="0" quotePrefix="1" applyFont="1" applyAlignment="1">
      <alignment horizontal="left" vertical="center" wrapText="1"/>
    </xf>
    <xf numFmtId="0" fontId="1" fillId="3" borderId="0" xfId="0" applyFont="1" applyFill="1"/>
    <xf numFmtId="0" fontId="81" fillId="3" borderId="0" xfId="0" applyFont="1" applyFill="1"/>
    <xf numFmtId="14" fontId="81" fillId="3" borderId="58" xfId="0" applyNumberFormat="1" applyFont="1" applyFill="1" applyBorder="1" applyAlignment="1" applyProtection="1">
      <alignment horizontal="center"/>
      <protection locked="0"/>
    </xf>
    <xf numFmtId="17" fontId="81" fillId="3" borderId="0" xfId="0" applyNumberFormat="1" applyFont="1" applyFill="1" applyAlignment="1">
      <alignment horizontal="center"/>
    </xf>
    <xf numFmtId="0" fontId="81" fillId="3" borderId="58" xfId="0" applyFont="1" applyFill="1" applyBorder="1" applyAlignment="1">
      <alignment horizontal="left" vertical="center" wrapText="1"/>
    </xf>
    <xf numFmtId="0" fontId="23" fillId="0" borderId="155" xfId="0" applyFont="1" applyBorder="1" applyAlignment="1" applyProtection="1">
      <alignment horizontal="center" vertical="center"/>
      <protection locked="0"/>
    </xf>
    <xf numFmtId="202" fontId="23" fillId="0" borderId="155" xfId="0" applyNumberFormat="1" applyFont="1" applyBorder="1" applyAlignment="1" applyProtection="1">
      <alignment horizontal="center" vertical="center"/>
      <protection locked="0"/>
    </xf>
    <xf numFmtId="0" fontId="23" fillId="19" borderId="155" xfId="0" applyFont="1" applyFill="1" applyBorder="1" applyAlignment="1" applyProtection="1">
      <alignment horizontal="center" vertical="center"/>
      <protection locked="0"/>
    </xf>
    <xf numFmtId="166" fontId="66" fillId="19" borderId="155" xfId="4" applyNumberFormat="1" applyFont="1" applyFill="1" applyBorder="1" applyAlignment="1" applyProtection="1">
      <alignment horizontal="center" vertical="center"/>
      <protection locked="0"/>
    </xf>
    <xf numFmtId="166" fontId="17" fillId="0" borderId="58" xfId="4" applyNumberFormat="1" applyFont="1" applyBorder="1" applyAlignment="1">
      <alignment horizontal="center" vertical="center"/>
    </xf>
    <xf numFmtId="166" fontId="22" fillId="3" borderId="155" xfId="0" applyNumberFormat="1" applyFont="1" applyFill="1" applyBorder="1" applyAlignment="1" applyProtection="1">
      <alignment horizontal="center" vertical="center"/>
      <protection locked="0"/>
    </xf>
    <xf numFmtId="166" fontId="12" fillId="0" borderId="58" xfId="4" applyNumberFormat="1" applyFont="1" applyBorder="1" applyAlignment="1">
      <alignment horizontal="center" vertical="center"/>
    </xf>
    <xf numFmtId="166" fontId="12" fillId="0" borderId="0" xfId="4" applyNumberFormat="1" applyFont="1" applyAlignment="1">
      <alignment vertical="center"/>
    </xf>
    <xf numFmtId="166" fontId="23" fillId="0" borderId="0" xfId="0" applyNumberFormat="1" applyFont="1" applyAlignment="1" applyProtection="1">
      <alignment vertical="center"/>
      <protection locked="0"/>
    </xf>
    <xf numFmtId="166" fontId="80" fillId="0" borderId="58" xfId="4" applyNumberFormat="1" applyFont="1" applyBorder="1" applyAlignment="1">
      <alignment horizontal="center" vertical="center"/>
    </xf>
    <xf numFmtId="166" fontId="66" fillId="19" borderId="58" xfId="4" applyNumberFormat="1" applyFont="1" applyFill="1" applyBorder="1" applyAlignment="1" applyProtection="1">
      <alignment horizontal="center" vertical="center"/>
      <protection locked="0"/>
    </xf>
    <xf numFmtId="166" fontId="23" fillId="0" borderId="58" xfId="0" applyNumberFormat="1" applyFont="1" applyBorder="1" applyAlignment="1">
      <alignment horizontal="center" vertical="center"/>
    </xf>
    <xf numFmtId="166" fontId="22" fillId="0" borderId="58" xfId="4" applyNumberFormat="1" applyFont="1" applyBorder="1" applyAlignment="1">
      <alignment horizontal="center" vertical="center"/>
    </xf>
    <xf numFmtId="166" fontId="114" fillId="0" borderId="58" xfId="4" applyNumberFormat="1" applyFont="1" applyBorder="1" applyAlignment="1" applyProtection="1">
      <alignment horizontal="center" vertical="center"/>
      <protection locked="0"/>
    </xf>
    <xf numFmtId="166" fontId="114" fillId="0" borderId="58" xfId="4" applyNumberFormat="1" applyFont="1" applyBorder="1" applyAlignment="1">
      <alignment horizontal="center" vertical="center"/>
    </xf>
    <xf numFmtId="166" fontId="58" fillId="0" borderId="71" xfId="4" applyNumberFormat="1" applyFont="1" applyBorder="1" applyAlignment="1" applyProtection="1">
      <alignment vertical="center"/>
      <protection locked="0"/>
    </xf>
    <xf numFmtId="166" fontId="58" fillId="0" borderId="52" xfId="4" applyNumberFormat="1" applyFont="1" applyBorder="1" applyAlignment="1" applyProtection="1">
      <alignment vertical="center"/>
      <protection locked="0"/>
    </xf>
    <xf numFmtId="166" fontId="112" fillId="0" borderId="71" xfId="4" applyNumberFormat="1" applyFont="1" applyBorder="1" applyAlignment="1" applyProtection="1">
      <alignment vertical="center"/>
      <protection locked="0"/>
    </xf>
    <xf numFmtId="166" fontId="112" fillId="0" borderId="52" xfId="4" applyNumberFormat="1" applyFont="1" applyBorder="1" applyAlignment="1" applyProtection="1">
      <alignment vertical="center"/>
      <protection locked="0"/>
    </xf>
    <xf numFmtId="166" fontId="12" fillId="0" borderId="58" xfId="4" applyNumberFormat="1" applyFont="1" applyBorder="1" applyAlignment="1" applyProtection="1">
      <alignment horizontal="center" vertical="center"/>
      <protection locked="0"/>
    </xf>
    <xf numFmtId="166" fontId="80" fillId="0" borderId="58" xfId="4" applyNumberFormat="1" applyFont="1" applyBorder="1" applyAlignment="1" applyProtection="1">
      <alignment horizontal="center" vertical="center"/>
      <protection locked="0"/>
    </xf>
    <xf numFmtId="166" fontId="12" fillId="0" borderId="155" xfId="4" applyNumberFormat="1" applyFont="1" applyBorder="1" applyAlignment="1">
      <alignment horizontal="center" vertical="center"/>
    </xf>
    <xf numFmtId="166" fontId="80" fillId="0" borderId="155" xfId="4" applyNumberFormat="1" applyFont="1" applyBorder="1" applyAlignment="1">
      <alignment horizontal="center" vertical="center"/>
    </xf>
    <xf numFmtId="166" fontId="23" fillId="0" borderId="155" xfId="0" applyNumberFormat="1" applyFont="1" applyBorder="1" applyAlignment="1" applyProtection="1">
      <alignment horizontal="center" vertical="center"/>
      <protection locked="0"/>
    </xf>
    <xf numFmtId="166" fontId="23" fillId="0" borderId="0" xfId="0" applyNumberFormat="1" applyFont="1" applyAlignment="1" applyProtection="1">
      <alignment horizontal="center" vertical="center"/>
      <protection locked="0"/>
    </xf>
    <xf numFmtId="166" fontId="23" fillId="0" borderId="161" xfId="0" applyNumberFormat="1" applyFont="1" applyBorder="1" applyAlignment="1" applyProtection="1">
      <alignment horizontal="center" vertical="center"/>
      <protection locked="0"/>
    </xf>
    <xf numFmtId="166" fontId="23" fillId="0" borderId="72" xfId="0" applyNumberFormat="1" applyFont="1" applyBorder="1" applyAlignment="1" applyProtection="1">
      <alignment horizontal="center" vertical="center"/>
      <protection locked="0"/>
    </xf>
    <xf numFmtId="166" fontId="23" fillId="0" borderId="163" xfId="0" applyNumberFormat="1" applyFont="1" applyBorder="1" applyAlignment="1" applyProtection="1">
      <alignment horizontal="center" vertical="center"/>
      <protection locked="0"/>
    </xf>
    <xf numFmtId="1" fontId="82" fillId="3" borderId="58" xfId="4" applyNumberFormat="1" applyFont="1" applyFill="1" applyBorder="1" applyAlignment="1" applyProtection="1">
      <alignment horizontal="center"/>
      <protection locked="0"/>
    </xf>
    <xf numFmtId="204" fontId="12" fillId="0" borderId="0" xfId="0" applyNumberFormat="1" applyFont="1" applyAlignment="1" applyProtection="1">
      <alignment horizontal="left" vertical="center"/>
      <protection locked="0"/>
    </xf>
    <xf numFmtId="205" fontId="12" fillId="0" borderId="13" xfId="0" applyNumberFormat="1" applyFont="1" applyBorder="1" applyAlignment="1" applyProtection="1">
      <alignment horizontal="left" vertical="center"/>
      <protection locked="0"/>
    </xf>
    <xf numFmtId="0" fontId="8" fillId="3" borderId="0" xfId="0" applyFont="1" applyFill="1" applyProtection="1">
      <protection hidden="1"/>
    </xf>
    <xf numFmtId="209" fontId="25" fillId="3" borderId="0" xfId="0" applyNumberFormat="1" applyFont="1" applyFill="1" applyProtection="1">
      <protection hidden="1"/>
    </xf>
    <xf numFmtId="0" fontId="15" fillId="3" borderId="0" xfId="0" applyFont="1" applyFill="1" applyAlignment="1">
      <alignment horizontal="center" vertical="center"/>
    </xf>
    <xf numFmtId="0" fontId="122" fillId="3" borderId="155" xfId="0" applyFont="1" applyFill="1" applyBorder="1" applyAlignment="1">
      <alignment horizontal="center" vertical="center"/>
    </xf>
    <xf numFmtId="0" fontId="122" fillId="3" borderId="167" xfId="0" applyFont="1" applyFill="1" applyBorder="1" applyAlignment="1">
      <alignment horizontal="center" vertical="center"/>
    </xf>
    <xf numFmtId="0" fontId="15" fillId="3" borderId="165" xfId="0" applyFont="1" applyFill="1" applyBorder="1" applyAlignment="1">
      <alignment horizontal="center" vertical="center"/>
    </xf>
    <xf numFmtId="0" fontId="22" fillId="3" borderId="155" xfId="3" applyFont="1" applyFill="1" applyBorder="1" applyAlignment="1">
      <alignment horizontal="center" vertical="center"/>
    </xf>
    <xf numFmtId="0" fontId="22" fillId="3" borderId="113" xfId="3" applyFont="1" applyFill="1" applyBorder="1" applyAlignment="1">
      <alignment vertical="center"/>
    </xf>
    <xf numFmtId="0" fontId="22" fillId="3" borderId="155" xfId="3" applyFont="1" applyFill="1" applyBorder="1" applyAlignment="1">
      <alignment vertical="center"/>
    </xf>
    <xf numFmtId="0" fontId="22" fillId="3" borderId="0" xfId="3" applyFont="1" applyFill="1" applyAlignment="1">
      <alignment vertical="center"/>
    </xf>
    <xf numFmtId="0" fontId="22" fillId="3" borderId="0" xfId="3" applyFont="1" applyFill="1" applyAlignment="1">
      <alignment horizontal="center" vertical="center"/>
    </xf>
    <xf numFmtId="210" fontId="12" fillId="3" borderId="0" xfId="0" applyNumberFormat="1" applyFont="1" applyFill="1" applyAlignment="1">
      <alignment horizontal="left" vertical="center"/>
    </xf>
    <xf numFmtId="0" fontId="22" fillId="3" borderId="166" xfId="3" applyFont="1" applyFill="1" applyBorder="1" applyAlignment="1">
      <alignment vertical="center"/>
    </xf>
    <xf numFmtId="0" fontId="12" fillId="3" borderId="166" xfId="0" applyFont="1" applyFill="1" applyBorder="1" applyAlignment="1">
      <alignment horizontal="left" vertical="center" wrapText="1"/>
    </xf>
    <xf numFmtId="0" fontId="22" fillId="3" borderId="166" xfId="3" applyFont="1" applyFill="1" applyBorder="1" applyAlignment="1">
      <alignment horizontal="right" vertical="center"/>
    </xf>
    <xf numFmtId="17" fontId="12" fillId="3" borderId="166" xfId="0" applyNumberFormat="1" applyFont="1" applyFill="1" applyBorder="1" applyAlignment="1">
      <alignment vertical="center"/>
    </xf>
    <xf numFmtId="0" fontId="58" fillId="3" borderId="165" xfId="4" applyFont="1" applyFill="1" applyBorder="1" applyAlignment="1">
      <alignment vertical="center"/>
    </xf>
    <xf numFmtId="0" fontId="58" fillId="3" borderId="166" xfId="4" applyFont="1" applyFill="1" applyBorder="1" applyAlignment="1">
      <alignment vertical="center"/>
    </xf>
    <xf numFmtId="0" fontId="58" fillId="3" borderId="155" xfId="4" applyFont="1" applyFill="1" applyBorder="1" applyAlignment="1">
      <alignment horizontal="center" vertical="center"/>
    </xf>
    <xf numFmtId="0" fontId="58" fillId="3" borderId="9" xfId="0" applyFont="1" applyFill="1" applyBorder="1" applyAlignment="1">
      <alignment vertical="center" wrapText="1"/>
    </xf>
    <xf numFmtId="0" fontId="58" fillId="3" borderId="124" xfId="0" applyFont="1" applyFill="1" applyBorder="1" applyAlignment="1">
      <alignment horizontal="center" vertical="center" wrapText="1"/>
    </xf>
    <xf numFmtId="0" fontId="12" fillId="3" borderId="169" xfId="4" quotePrefix="1" applyFont="1" applyFill="1" applyBorder="1" applyAlignment="1">
      <alignment horizontal="center" vertical="center"/>
    </xf>
    <xf numFmtId="0" fontId="22" fillId="3" borderId="169" xfId="4" applyFont="1" applyFill="1" applyBorder="1" applyAlignment="1">
      <alignment horizontal="center" vertical="center"/>
    </xf>
    <xf numFmtId="0" fontId="22" fillId="3" borderId="168" xfId="4" applyFont="1" applyFill="1" applyBorder="1" applyAlignment="1">
      <alignment horizontal="center" vertical="center"/>
    </xf>
    <xf numFmtId="0" fontId="12" fillId="3" borderId="55" xfId="4" quotePrefix="1" applyFont="1" applyFill="1" applyBorder="1" applyAlignment="1">
      <alignment horizontal="center" vertical="center"/>
    </xf>
    <xf numFmtId="0" fontId="12" fillId="3" borderId="55" xfId="4" applyFont="1" applyFill="1" applyBorder="1" applyAlignment="1">
      <alignment horizontal="center" vertical="center"/>
    </xf>
    <xf numFmtId="0" fontId="12" fillId="3" borderId="17" xfId="4" applyFont="1" applyFill="1" applyBorder="1" applyAlignment="1">
      <alignment horizontal="center" vertical="center"/>
    </xf>
    <xf numFmtId="1" fontId="12" fillId="3" borderId="17" xfId="4" applyNumberFormat="1" applyFont="1" applyFill="1" applyBorder="1" applyAlignment="1" applyProtection="1">
      <alignment horizontal="center"/>
      <protection locked="0"/>
    </xf>
    <xf numFmtId="1" fontId="12" fillId="3" borderId="55" xfId="4" applyNumberFormat="1" applyFont="1" applyFill="1" applyBorder="1" applyAlignment="1" applyProtection="1">
      <alignment horizontal="center"/>
      <protection locked="0"/>
    </xf>
    <xf numFmtId="1" fontId="12" fillId="3" borderId="55" xfId="4" applyNumberFormat="1" applyFont="1" applyFill="1" applyBorder="1" applyAlignment="1">
      <alignment horizontal="center" vertical="center"/>
    </xf>
    <xf numFmtId="1" fontId="12" fillId="3" borderId="17" xfId="4" applyNumberFormat="1" applyFont="1" applyFill="1" applyBorder="1" applyAlignment="1">
      <alignment horizontal="center" vertical="center"/>
    </xf>
    <xf numFmtId="0" fontId="12" fillId="3" borderId="56" xfId="4" applyFont="1" applyFill="1" applyBorder="1" applyAlignment="1">
      <alignment horizontal="center" vertical="center"/>
    </xf>
    <xf numFmtId="0" fontId="12" fillId="3" borderId="62" xfId="4" applyFont="1" applyFill="1" applyBorder="1" applyAlignment="1">
      <alignment horizontal="center" vertical="center"/>
    </xf>
    <xf numFmtId="167" fontId="12" fillId="3" borderId="18" xfId="4" applyNumberFormat="1" applyFont="1" applyFill="1" applyBorder="1" applyAlignment="1">
      <alignment horizontal="center" vertical="center"/>
    </xf>
    <xf numFmtId="167" fontId="12" fillId="3" borderId="62" xfId="4" applyNumberFormat="1" applyFont="1" applyFill="1" applyBorder="1" applyAlignment="1">
      <alignment horizontal="center" vertical="center"/>
    </xf>
    <xf numFmtId="0" fontId="58" fillId="3" borderId="167" xfId="4" applyFont="1" applyFill="1" applyBorder="1" applyAlignment="1">
      <alignment vertical="center"/>
    </xf>
    <xf numFmtId="0" fontId="12" fillId="3" borderId="169" xfId="4" applyFont="1" applyFill="1" applyBorder="1" applyAlignment="1">
      <alignment horizontal="left" vertical="center"/>
    </xf>
    <xf numFmtId="0" fontId="12" fillId="3" borderId="169" xfId="4" applyFont="1" applyFill="1" applyBorder="1" applyAlignment="1">
      <alignment horizontal="center" vertical="center"/>
    </xf>
    <xf numFmtId="0" fontId="12" fillId="3" borderId="168" xfId="4" applyFont="1" applyFill="1" applyBorder="1" applyAlignment="1">
      <alignment horizontal="center" vertical="center"/>
    </xf>
    <xf numFmtId="2" fontId="12" fillId="3" borderId="55" xfId="4" applyNumberFormat="1" applyFont="1" applyFill="1" applyBorder="1" applyAlignment="1" applyProtection="1">
      <alignment horizontal="center"/>
      <protection locked="0"/>
    </xf>
    <xf numFmtId="2" fontId="12" fillId="3" borderId="17" xfId="4" applyNumberFormat="1" applyFont="1" applyFill="1" applyBorder="1" applyAlignment="1" applyProtection="1">
      <alignment horizontal="center"/>
      <protection locked="0"/>
    </xf>
    <xf numFmtId="2" fontId="12" fillId="3" borderId="17" xfId="4" applyNumberFormat="1" applyFont="1" applyFill="1" applyBorder="1" applyAlignment="1">
      <alignment horizontal="center" vertical="center"/>
    </xf>
    <xf numFmtId="2" fontId="12" fillId="3" borderId="55" xfId="4" applyNumberFormat="1" applyFont="1" applyFill="1" applyBorder="1" applyAlignment="1">
      <alignment horizontal="center" vertical="center"/>
    </xf>
    <xf numFmtId="164" fontId="12" fillId="3" borderId="17" xfId="4" applyNumberFormat="1" applyFont="1" applyFill="1" applyBorder="1" applyAlignment="1">
      <alignment horizontal="center" vertical="center"/>
    </xf>
    <xf numFmtId="164" fontId="12" fillId="3" borderId="55" xfId="4" applyNumberFormat="1" applyFont="1" applyFill="1" applyBorder="1" applyAlignment="1">
      <alignment horizontal="center" vertical="center"/>
    </xf>
    <xf numFmtId="0" fontId="88" fillId="3" borderId="0" xfId="0" applyFont="1" applyFill="1" applyAlignment="1">
      <alignment vertical="center"/>
    </xf>
    <xf numFmtId="0" fontId="24" fillId="3" borderId="0" xfId="0" applyFont="1" applyFill="1" applyAlignment="1">
      <alignment vertical="center"/>
    </xf>
    <xf numFmtId="0" fontId="23" fillId="3" borderId="0" xfId="0" applyFont="1" applyFill="1"/>
    <xf numFmtId="0" fontId="23" fillId="3" borderId="0" xfId="0" applyFont="1" applyFill="1" applyProtection="1">
      <protection locked="0"/>
    </xf>
    <xf numFmtId="0" fontId="17" fillId="3" borderId="123" xfId="3" applyFont="1" applyFill="1" applyBorder="1" applyAlignment="1">
      <alignment horizontal="left" vertical="center" indent="1"/>
    </xf>
    <xf numFmtId="0" fontId="12" fillId="3" borderId="124" xfId="3" applyFont="1" applyFill="1" applyBorder="1" applyAlignment="1">
      <alignment horizontal="left" vertical="center" indent="1"/>
    </xf>
    <xf numFmtId="0" fontId="12" fillId="3" borderId="171" xfId="0" applyFont="1" applyFill="1" applyBorder="1" applyAlignment="1" applyProtection="1">
      <alignment vertical="center"/>
      <protection locked="0"/>
    </xf>
    <xf numFmtId="0" fontId="17" fillId="3" borderId="165" xfId="3" applyFont="1" applyFill="1" applyBorder="1" applyAlignment="1">
      <alignment horizontal="left" vertical="center" indent="1"/>
    </xf>
    <xf numFmtId="0" fontId="12" fillId="3" borderId="167" xfId="3" applyFont="1" applyFill="1" applyBorder="1" applyAlignment="1">
      <alignment horizontal="left" vertical="center" indent="1"/>
    </xf>
    <xf numFmtId="12" fontId="12" fillId="3" borderId="171" xfId="0" applyNumberFormat="1" applyFont="1" applyFill="1" applyBorder="1" applyAlignment="1" applyProtection="1">
      <alignment vertical="center"/>
      <protection locked="0"/>
    </xf>
    <xf numFmtId="0" fontId="17" fillId="3" borderId="155" xfId="0" applyFont="1" applyFill="1" applyBorder="1" applyAlignment="1">
      <alignment horizontal="left" vertical="center" indent="1"/>
    </xf>
    <xf numFmtId="164" fontId="17" fillId="3" borderId="155" xfId="0" applyNumberFormat="1" applyFont="1" applyFill="1" applyBorder="1" applyAlignment="1">
      <alignment horizontal="center" vertical="center"/>
    </xf>
    <xf numFmtId="164" fontId="17" fillId="3" borderId="167" xfId="4" applyNumberFormat="1" applyFont="1" applyFill="1" applyBorder="1" applyAlignment="1">
      <alignment horizontal="center" vertical="center"/>
    </xf>
    <xf numFmtId="164" fontId="17" fillId="3" borderId="155" xfId="4" applyNumberFormat="1" applyFont="1" applyFill="1" applyBorder="1" applyAlignment="1">
      <alignment horizontal="center" vertical="center"/>
    </xf>
    <xf numFmtId="0" fontId="17" fillId="3" borderId="159" xfId="3" applyFont="1" applyFill="1" applyBorder="1" applyAlignment="1">
      <alignment horizontal="left" vertical="center" indent="1"/>
    </xf>
    <xf numFmtId="0" fontId="12" fillId="3" borderId="13" xfId="3" applyFont="1" applyFill="1" applyBorder="1" applyAlignment="1">
      <alignment horizontal="left" vertical="center" indent="1"/>
    </xf>
    <xf numFmtId="0" fontId="58" fillId="3" borderId="0" xfId="0" applyFont="1" applyFill="1" applyAlignment="1">
      <alignment vertical="center"/>
    </xf>
    <xf numFmtId="0" fontId="17" fillId="3" borderId="165" xfId="7" applyFont="1" applyFill="1" applyBorder="1" applyAlignment="1">
      <alignment horizontal="left" vertical="center" indent="1"/>
    </xf>
    <xf numFmtId="0" fontId="88" fillId="3" borderId="167" xfId="0" applyFont="1" applyFill="1" applyBorder="1" applyAlignment="1">
      <alignment vertical="center"/>
    </xf>
    <xf numFmtId="164" fontId="17" fillId="3" borderId="165" xfId="0" applyNumberFormat="1" applyFont="1" applyFill="1" applyBorder="1" applyAlignment="1">
      <alignment horizontal="center" vertical="center"/>
    </xf>
    <xf numFmtId="0" fontId="17" fillId="3" borderId="167" xfId="7" applyFont="1" applyFill="1" applyBorder="1" applyAlignment="1">
      <alignment horizontal="left" vertical="center" indent="1"/>
    </xf>
    <xf numFmtId="0" fontId="17" fillId="3" borderId="0" xfId="7" applyFont="1" applyFill="1" applyAlignment="1">
      <alignment horizontal="left" vertical="center" indent="1"/>
    </xf>
    <xf numFmtId="0" fontId="4" fillId="3" borderId="0" xfId="0" applyFont="1" applyFill="1" applyProtection="1">
      <protection locked="0"/>
    </xf>
    <xf numFmtId="0" fontId="17" fillId="3" borderId="159" xfId="7" applyFont="1" applyFill="1" applyBorder="1" applyAlignment="1">
      <alignment horizontal="left" vertical="center" indent="1"/>
    </xf>
    <xf numFmtId="0" fontId="17" fillId="3" borderId="13" xfId="7" applyFont="1" applyFill="1" applyBorder="1" applyAlignment="1">
      <alignment horizontal="left" vertical="center" indent="1"/>
    </xf>
    <xf numFmtId="0" fontId="12" fillId="3" borderId="165" xfId="0" applyFont="1" applyFill="1" applyBorder="1" applyAlignment="1" applyProtection="1">
      <alignment vertical="center"/>
      <protection hidden="1"/>
    </xf>
    <xf numFmtId="0" fontId="12" fillId="3" borderId="167" xfId="0" applyFont="1" applyFill="1" applyBorder="1" applyAlignment="1" applyProtection="1">
      <alignment vertical="center"/>
      <protection hidden="1"/>
    </xf>
    <xf numFmtId="0" fontId="17" fillId="3" borderId="123" xfId="0" applyFont="1" applyFill="1" applyBorder="1" applyAlignment="1" applyProtection="1">
      <alignment vertical="center"/>
      <protection hidden="1"/>
    </xf>
    <xf numFmtId="0" fontId="8" fillId="3" borderId="9" xfId="0" applyFont="1" applyFill="1" applyBorder="1" applyAlignment="1" applyProtection="1">
      <alignment vertical="top"/>
      <protection hidden="1"/>
    </xf>
    <xf numFmtId="0" fontId="8" fillId="3" borderId="124" xfId="0" applyFont="1" applyFill="1" applyBorder="1" applyAlignment="1" applyProtection="1">
      <alignment vertical="top"/>
      <protection hidden="1"/>
    </xf>
    <xf numFmtId="0" fontId="8" fillId="3" borderId="159" xfId="0" applyFont="1" applyFill="1" applyBorder="1" applyAlignment="1" applyProtection="1">
      <alignment vertical="top"/>
      <protection hidden="1"/>
    </xf>
    <xf numFmtId="0" fontId="8" fillId="3" borderId="0" xfId="0" applyFont="1" applyFill="1" applyAlignment="1" applyProtection="1">
      <alignment vertical="top"/>
      <protection hidden="1"/>
    </xf>
    <xf numFmtId="0" fontId="8" fillId="3" borderId="13" xfId="0" applyFont="1" applyFill="1" applyBorder="1" applyAlignment="1" applyProtection="1">
      <alignment vertical="top"/>
      <protection hidden="1"/>
    </xf>
    <xf numFmtId="0" fontId="12" fillId="3" borderId="167" xfId="0" applyFont="1" applyFill="1" applyBorder="1" applyAlignment="1" applyProtection="1">
      <alignment horizontal="center" vertical="center"/>
      <protection hidden="1"/>
    </xf>
    <xf numFmtId="0" fontId="8" fillId="3" borderId="113" xfId="0" applyFont="1" applyFill="1" applyBorder="1" applyAlignment="1" applyProtection="1">
      <alignment vertical="top"/>
      <protection hidden="1"/>
    </xf>
    <xf numFmtId="0" fontId="8" fillId="3" borderId="129" xfId="0" applyFont="1" applyFill="1" applyBorder="1" applyAlignment="1" applyProtection="1">
      <alignment vertical="top"/>
      <protection hidden="1"/>
    </xf>
    <xf numFmtId="0" fontId="8" fillId="3" borderId="128" xfId="0" applyFont="1" applyFill="1" applyBorder="1" applyAlignment="1" applyProtection="1">
      <alignment vertical="top"/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23" fillId="3" borderId="0" xfId="0" applyFont="1" applyFill="1" applyProtection="1">
      <protection hidden="1"/>
    </xf>
    <xf numFmtId="0" fontId="5" fillId="3" borderId="0" xfId="0" applyFont="1" applyFill="1" applyAlignment="1" applyProtection="1">
      <alignment vertical="center"/>
      <protection hidden="1"/>
    </xf>
    <xf numFmtId="0" fontId="9" fillId="3" borderId="0" xfId="0" applyFont="1" applyFill="1" applyAlignment="1" applyProtection="1">
      <alignment vertical="center"/>
      <protection hidden="1"/>
    </xf>
    <xf numFmtId="0" fontId="4" fillId="3" borderId="0" xfId="0" applyFont="1" applyFill="1" applyAlignment="1" applyProtection="1">
      <alignment horizontal="left" vertical="center"/>
      <protection hidden="1"/>
    </xf>
    <xf numFmtId="0" fontId="4" fillId="3" borderId="0" xfId="0" applyFont="1" applyFill="1" applyAlignment="1" applyProtection="1">
      <alignment horizontal="center" vertical="center"/>
      <protection hidden="1"/>
    </xf>
    <xf numFmtId="3" fontId="66" fillId="19" borderId="155" xfId="4" applyNumberFormat="1" applyFont="1" applyFill="1" applyBorder="1" applyAlignment="1" applyProtection="1">
      <alignment horizontal="center" vertical="center"/>
      <protection locked="0"/>
    </xf>
    <xf numFmtId="3" fontId="66" fillId="19" borderId="58" xfId="4" applyNumberFormat="1" applyFont="1" applyFill="1" applyBorder="1" applyAlignment="1" applyProtection="1">
      <alignment horizontal="center" vertical="center"/>
      <protection locked="0"/>
    </xf>
    <xf numFmtId="12" fontId="57" fillId="0" borderId="58" xfId="7" quotePrefix="1" applyNumberFormat="1" applyFont="1" applyBorder="1" applyAlignment="1" applyProtection="1">
      <alignment horizontal="center" vertical="center" wrapText="1"/>
      <protection locked="0"/>
    </xf>
    <xf numFmtId="201" fontId="4" fillId="3" borderId="0" xfId="4" applyNumberFormat="1" applyFill="1" applyAlignment="1">
      <alignment horizontal="center" vertical="center"/>
    </xf>
    <xf numFmtId="0" fontId="81" fillId="3" borderId="155" xfId="9" applyFont="1" applyFill="1" applyBorder="1" applyAlignment="1">
      <alignment horizontal="center" vertical="center"/>
    </xf>
    <xf numFmtId="194" fontId="81" fillId="3" borderId="155" xfId="9" quotePrefix="1" applyNumberFormat="1" applyFont="1" applyFill="1" applyBorder="1" applyAlignment="1">
      <alignment horizontal="center" vertical="center"/>
    </xf>
    <xf numFmtId="201" fontId="81" fillId="3" borderId="155" xfId="9" applyNumberFormat="1" applyFont="1" applyFill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5" fillId="3" borderId="0" xfId="4" applyFont="1" applyFill="1" applyAlignment="1">
      <alignment horizontal="center" vertical="center"/>
    </xf>
    <xf numFmtId="14" fontId="81" fillId="3" borderId="0" xfId="0" applyNumberFormat="1" applyFont="1" applyFill="1" applyAlignment="1" applyProtection="1">
      <alignment horizontal="center"/>
      <protection locked="0"/>
    </xf>
    <xf numFmtId="0" fontId="22" fillId="3" borderId="0" xfId="3" applyFont="1" applyFill="1" applyAlignment="1">
      <alignment horizontal="right" vertical="center"/>
    </xf>
    <xf numFmtId="0" fontId="4" fillId="3" borderId="130" xfId="0" applyFont="1" applyFill="1" applyBorder="1" applyAlignment="1">
      <alignment horizontal="left" indent="1"/>
    </xf>
    <xf numFmtId="0" fontId="4" fillId="3" borderId="171" xfId="0" applyFont="1" applyFill="1" applyBorder="1" applyAlignment="1">
      <alignment horizontal="left" indent="1"/>
    </xf>
    <xf numFmtId="0" fontId="5" fillId="3" borderId="0" xfId="0" applyFont="1" applyFill="1" applyAlignment="1">
      <alignment horizontal="right"/>
    </xf>
    <xf numFmtId="0" fontId="0" fillId="3" borderId="171" xfId="0" applyFill="1" applyBorder="1" applyAlignment="1">
      <alignment horizontal="left" indent="1"/>
    </xf>
    <xf numFmtId="16" fontId="0" fillId="3" borderId="171" xfId="0" applyNumberFormat="1" applyFill="1" applyBorder="1" applyAlignment="1">
      <alignment horizontal="left" indent="1"/>
    </xf>
    <xf numFmtId="0" fontId="12" fillId="3" borderId="171" xfId="3" applyFont="1" applyFill="1" applyBorder="1" applyAlignment="1">
      <alignment horizontal="left" vertical="center" indent="1"/>
    </xf>
    <xf numFmtId="0" fontId="12" fillId="3" borderId="172" xfId="3" applyFont="1" applyFill="1" applyBorder="1" applyAlignment="1">
      <alignment horizontal="left" vertical="center" indent="1"/>
    </xf>
    <xf numFmtId="0" fontId="12" fillId="0" borderId="0" xfId="3" applyFont="1" applyAlignment="1" applyProtection="1">
      <alignment vertical="center"/>
      <protection locked="0"/>
    </xf>
    <xf numFmtId="0" fontId="124" fillId="0" borderId="0" xfId="0" applyFont="1" applyAlignment="1">
      <alignment vertical="center"/>
    </xf>
    <xf numFmtId="0" fontId="22" fillId="3" borderId="165" xfId="3" applyFont="1" applyFill="1" applyBorder="1" applyAlignment="1">
      <alignment horizontal="center" vertical="center"/>
    </xf>
    <xf numFmtId="0" fontId="22" fillId="3" borderId="167" xfId="3" applyFont="1" applyFill="1" applyBorder="1" applyAlignment="1">
      <alignment horizontal="center" vertical="center"/>
    </xf>
    <xf numFmtId="16" fontId="22" fillId="3" borderId="166" xfId="3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25" fillId="3" borderId="3" xfId="0" applyFont="1" applyFill="1" applyBorder="1" applyAlignment="1">
      <alignment horizontal="center" vertical="center"/>
    </xf>
    <xf numFmtId="209" fontId="25" fillId="3" borderId="0" xfId="0" applyNumberFormat="1" applyFont="1" applyFill="1" applyAlignment="1" applyProtection="1">
      <alignment horizontal="center"/>
      <protection hidden="1"/>
    </xf>
    <xf numFmtId="0" fontId="122" fillId="3" borderId="165" xfId="0" applyFont="1" applyFill="1" applyBorder="1" applyAlignment="1">
      <alignment horizontal="center" vertical="center"/>
    </xf>
    <xf numFmtId="0" fontId="122" fillId="3" borderId="167" xfId="0" applyFont="1" applyFill="1" applyBorder="1" applyAlignment="1">
      <alignment horizontal="center" vertical="center"/>
    </xf>
    <xf numFmtId="0" fontId="122" fillId="3" borderId="166" xfId="0" applyFont="1" applyFill="1" applyBorder="1" applyAlignment="1">
      <alignment horizontal="center" vertical="center"/>
    </xf>
    <xf numFmtId="0" fontId="22" fillId="3" borderId="0" xfId="3" applyFont="1" applyFill="1" applyAlignment="1">
      <alignment horizontal="center" vertical="center"/>
    </xf>
    <xf numFmtId="0" fontId="5" fillId="3" borderId="123" xfId="0" applyFont="1" applyFill="1" applyBorder="1" applyAlignment="1" applyProtection="1">
      <alignment horizontal="center" vertical="center" wrapText="1"/>
      <protection hidden="1"/>
    </xf>
    <xf numFmtId="0" fontId="5" fillId="3" borderId="9" xfId="0" applyFont="1" applyFill="1" applyBorder="1" applyAlignment="1" applyProtection="1">
      <alignment horizontal="center" vertical="center" wrapText="1"/>
      <protection hidden="1"/>
    </xf>
    <xf numFmtId="0" fontId="5" fillId="3" borderId="124" xfId="0" applyFont="1" applyFill="1" applyBorder="1" applyAlignment="1" applyProtection="1">
      <alignment horizontal="center" vertical="center" wrapText="1"/>
      <protection hidden="1"/>
    </xf>
    <xf numFmtId="0" fontId="5" fillId="3" borderId="113" xfId="0" applyFont="1" applyFill="1" applyBorder="1" applyAlignment="1" applyProtection="1">
      <alignment horizontal="center" vertical="center" wrapText="1"/>
      <protection hidden="1"/>
    </xf>
    <xf numFmtId="0" fontId="5" fillId="3" borderId="129" xfId="0" applyFont="1" applyFill="1" applyBorder="1" applyAlignment="1" applyProtection="1">
      <alignment horizontal="center" vertical="center" wrapText="1"/>
      <protection hidden="1"/>
    </xf>
    <xf numFmtId="0" fontId="5" fillId="3" borderId="128" xfId="0" applyFont="1" applyFill="1" applyBorder="1" applyAlignment="1" applyProtection="1">
      <alignment horizontal="center" vertical="center" wrapText="1"/>
      <protection hidden="1"/>
    </xf>
    <xf numFmtId="0" fontId="12" fillId="3" borderId="168" xfId="4" applyFont="1" applyFill="1" applyBorder="1" applyAlignment="1">
      <alignment horizontal="left" vertical="center"/>
    </xf>
    <xf numFmtId="0" fontId="22" fillId="3" borderId="169" xfId="4" applyFont="1" applyFill="1" applyBorder="1" applyAlignment="1">
      <alignment horizontal="center" vertical="center"/>
    </xf>
    <xf numFmtId="0" fontId="22" fillId="3" borderId="170" xfId="4" applyFont="1" applyFill="1" applyBorder="1" applyAlignment="1">
      <alignment horizontal="center" vertical="center"/>
    </xf>
    <xf numFmtId="0" fontId="12" fillId="3" borderId="17" xfId="4" applyFont="1" applyFill="1" applyBorder="1" applyAlignment="1">
      <alignment horizontal="left" vertical="center"/>
    </xf>
    <xf numFmtId="0" fontId="12" fillId="3" borderId="55" xfId="4" applyFont="1" applyFill="1" applyBorder="1" applyAlignment="1">
      <alignment horizontal="center" vertical="center"/>
    </xf>
    <xf numFmtId="0" fontId="12" fillId="3" borderId="57" xfId="4" applyFont="1" applyFill="1" applyBorder="1" applyAlignment="1">
      <alignment horizontal="center" vertical="center"/>
    </xf>
    <xf numFmtId="0" fontId="12" fillId="3" borderId="55" xfId="4" applyFont="1" applyFill="1" applyBorder="1" applyAlignment="1">
      <alignment horizontal="left" vertical="center"/>
    </xf>
    <xf numFmtId="0" fontId="12" fillId="3" borderId="57" xfId="4" applyFont="1" applyFill="1" applyBorder="1" applyAlignment="1">
      <alignment horizontal="left" vertical="center"/>
    </xf>
    <xf numFmtId="0" fontId="12" fillId="3" borderId="55" xfId="4" applyFont="1" applyFill="1" applyBorder="1" applyAlignment="1">
      <alignment horizontal="center" vertical="center" wrapText="1"/>
    </xf>
    <xf numFmtId="0" fontId="12" fillId="3" borderId="57" xfId="4" applyFont="1" applyFill="1" applyBorder="1" applyAlignment="1">
      <alignment horizontal="center" vertical="center" wrapText="1"/>
    </xf>
    <xf numFmtId="0" fontId="12" fillId="3" borderId="18" xfId="4" applyFont="1" applyFill="1" applyBorder="1" applyAlignment="1">
      <alignment horizontal="left" vertical="center"/>
    </xf>
    <xf numFmtId="0" fontId="12" fillId="3" borderId="62" xfId="4" applyFont="1" applyFill="1" applyBorder="1" applyAlignment="1">
      <alignment horizontal="center" vertical="center"/>
    </xf>
    <xf numFmtId="0" fontId="12" fillId="3" borderId="63" xfId="4" applyFont="1" applyFill="1" applyBorder="1" applyAlignment="1">
      <alignment horizontal="center" vertical="center"/>
    </xf>
    <xf numFmtId="0" fontId="12" fillId="3" borderId="169" xfId="4" applyFont="1" applyFill="1" applyBorder="1" applyAlignment="1">
      <alignment horizontal="center" vertical="center"/>
    </xf>
    <xf numFmtId="0" fontId="12" fillId="3" borderId="170" xfId="4" applyFont="1" applyFill="1" applyBorder="1" applyAlignment="1">
      <alignment horizontal="center" vertical="center"/>
    </xf>
    <xf numFmtId="2" fontId="12" fillId="3" borderId="55" xfId="4" applyNumberFormat="1" applyFont="1" applyFill="1" applyBorder="1" applyAlignment="1" applyProtection="1">
      <alignment horizontal="center"/>
      <protection locked="0"/>
    </xf>
    <xf numFmtId="2" fontId="12" fillId="3" borderId="57" xfId="4" applyNumberFormat="1" applyFont="1" applyFill="1" applyBorder="1" applyAlignment="1" applyProtection="1">
      <alignment horizontal="center"/>
      <protection locked="0"/>
    </xf>
    <xf numFmtId="2" fontId="12" fillId="3" borderId="62" xfId="4" applyNumberFormat="1" applyFont="1" applyFill="1" applyBorder="1" applyAlignment="1" applyProtection="1">
      <alignment horizontal="center"/>
      <protection locked="0"/>
    </xf>
    <xf numFmtId="2" fontId="12" fillId="3" borderId="63" xfId="4" applyNumberFormat="1" applyFont="1" applyFill="1" applyBorder="1" applyAlignment="1" applyProtection="1">
      <alignment horizontal="center"/>
      <protection locked="0"/>
    </xf>
    <xf numFmtId="0" fontId="12" fillId="3" borderId="165" xfId="0" applyFont="1" applyFill="1" applyBorder="1" applyAlignment="1" applyProtection="1">
      <alignment horizontal="center" vertical="center"/>
      <protection locked="0"/>
    </xf>
    <xf numFmtId="0" fontId="12" fillId="3" borderId="167" xfId="0" applyFont="1" applyFill="1" applyBorder="1" applyAlignment="1" applyProtection="1">
      <alignment horizontal="center" vertical="center"/>
      <protection locked="0"/>
    </xf>
    <xf numFmtId="0" fontId="58" fillId="3" borderId="165" xfId="0" applyFont="1" applyFill="1" applyBorder="1" applyAlignment="1" applyProtection="1">
      <alignment horizontal="center" vertical="center"/>
      <protection hidden="1"/>
    </xf>
    <xf numFmtId="0" fontId="58" fillId="3" borderId="167" xfId="0" applyFont="1" applyFill="1" applyBorder="1" applyAlignment="1" applyProtection="1">
      <alignment horizontal="center" vertical="center"/>
      <protection hidden="1"/>
    </xf>
    <xf numFmtId="0" fontId="58" fillId="3" borderId="130" xfId="0" applyFont="1" applyFill="1" applyBorder="1" applyAlignment="1">
      <alignment horizontal="center" vertical="center" wrapText="1"/>
    </xf>
    <xf numFmtId="0" fontId="58" fillId="3" borderId="112" xfId="0" applyFont="1" applyFill="1" applyBorder="1" applyAlignment="1">
      <alignment horizontal="center" vertical="center" wrapText="1"/>
    </xf>
    <xf numFmtId="16" fontId="12" fillId="3" borderId="165" xfId="0" quotePrefix="1" applyNumberFormat="1" applyFont="1" applyFill="1" applyBorder="1" applyAlignment="1" applyProtection="1">
      <alignment horizontal="center" vertical="center"/>
      <protection locked="0"/>
    </xf>
    <xf numFmtId="0" fontId="12" fillId="3" borderId="155" xfId="0" applyFont="1" applyFill="1" applyBorder="1" applyAlignment="1" applyProtection="1">
      <alignment horizontal="center" vertical="center"/>
      <protection locked="0"/>
    </xf>
    <xf numFmtId="0" fontId="22" fillId="3" borderId="165" xfId="0" applyFont="1" applyFill="1" applyBorder="1" applyAlignment="1" applyProtection="1">
      <alignment horizontal="center" vertical="top" wrapText="1"/>
      <protection hidden="1"/>
    </xf>
    <xf numFmtId="0" fontId="22" fillId="3" borderId="167" xfId="0" applyFont="1" applyFill="1" applyBorder="1" applyAlignment="1" applyProtection="1">
      <alignment horizontal="center" vertical="top" wrapText="1"/>
      <protection hidden="1"/>
    </xf>
    <xf numFmtId="0" fontId="17" fillId="3" borderId="0" xfId="1" applyFont="1" applyFill="1" applyBorder="1" applyAlignment="1" applyProtection="1">
      <alignment horizontal="center" vertical="center" wrapText="1"/>
    </xf>
    <xf numFmtId="0" fontId="12" fillId="3" borderId="165" xfId="7" applyFont="1" applyFill="1" applyBorder="1" applyAlignment="1">
      <alignment horizontal="left" vertical="center" wrapText="1" indent="1"/>
    </xf>
    <xf numFmtId="0" fontId="12" fillId="3" borderId="167" xfId="7" applyFont="1" applyFill="1" applyBorder="1" applyAlignment="1">
      <alignment horizontal="left" vertical="center" wrapText="1" indent="1"/>
    </xf>
    <xf numFmtId="0" fontId="17" fillId="0" borderId="0" xfId="7" quotePrefix="1" applyFont="1" applyAlignment="1">
      <alignment horizontal="left" vertical="center"/>
    </xf>
    <xf numFmtId="0" fontId="17" fillId="0" borderId="0" xfId="7" quotePrefix="1" applyFont="1" applyAlignment="1">
      <alignment horizontal="left" vertical="center" wrapText="1"/>
    </xf>
    <xf numFmtId="177" fontId="12" fillId="0" borderId="0" xfId="4" applyNumberFormat="1" applyFont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0" fontId="12" fillId="0" borderId="58" xfId="0" applyFont="1" applyBorder="1" applyAlignment="1" applyProtection="1">
      <alignment horizontal="center" vertical="center"/>
      <protection locked="0"/>
    </xf>
    <xf numFmtId="12" fontId="12" fillId="0" borderId="58" xfId="0" applyNumberFormat="1" applyFont="1" applyBorder="1" applyAlignment="1" applyProtection="1">
      <alignment horizontal="center" vertical="center"/>
      <protection locked="0"/>
    </xf>
    <xf numFmtId="206" fontId="17" fillId="0" borderId="159" xfId="0" applyNumberFormat="1" applyFont="1" applyBorder="1" applyAlignment="1">
      <alignment horizontal="left" vertical="center"/>
    </xf>
    <xf numFmtId="206" fontId="17" fillId="0" borderId="0" xfId="0" applyNumberFormat="1" applyFont="1" applyAlignment="1">
      <alignment horizontal="left" vertical="center"/>
    </xf>
    <xf numFmtId="207" fontId="17" fillId="0" borderId="159" xfId="0" applyNumberFormat="1" applyFont="1" applyBorder="1" applyAlignment="1">
      <alignment horizontal="left" vertical="center"/>
    </xf>
    <xf numFmtId="207" fontId="17" fillId="0" borderId="0" xfId="0" applyNumberFormat="1" applyFont="1" applyAlignment="1">
      <alignment horizontal="left" vertical="center"/>
    </xf>
    <xf numFmtId="0" fontId="12" fillId="0" borderId="155" xfId="4" applyFont="1" applyBorder="1" applyAlignment="1">
      <alignment horizontal="left" vertical="center"/>
    </xf>
    <xf numFmtId="164" fontId="22" fillId="0" borderId="10" xfId="0" applyNumberFormat="1" applyFont="1" applyBorder="1" applyAlignment="1">
      <alignment horizontal="center" vertical="center"/>
    </xf>
    <xf numFmtId="164" fontId="22" fillId="0" borderId="9" xfId="0" applyNumberFormat="1" applyFont="1" applyBorder="1" applyAlignment="1">
      <alignment horizontal="center" vertical="center"/>
    </xf>
    <xf numFmtId="164" fontId="22" fillId="0" borderId="11" xfId="0" applyNumberFormat="1" applyFont="1" applyBorder="1" applyAlignment="1">
      <alignment horizontal="center" vertical="center"/>
    </xf>
    <xf numFmtId="164" fontId="22" fillId="0" borderId="64" xfId="4" applyNumberFormat="1" applyFont="1" applyBorder="1" applyAlignment="1">
      <alignment horizontal="center" vertical="center"/>
    </xf>
    <xf numFmtId="164" fontId="22" fillId="0" borderId="59" xfId="4" applyNumberFormat="1" applyFont="1" applyBorder="1" applyAlignment="1">
      <alignment horizontal="center" vertical="center"/>
    </xf>
    <xf numFmtId="164" fontId="22" fillId="0" borderId="65" xfId="4" applyNumberFormat="1" applyFont="1" applyBorder="1" applyAlignment="1">
      <alignment horizontal="center" vertical="center"/>
    </xf>
    <xf numFmtId="0" fontId="22" fillId="0" borderId="10" xfId="4" applyFont="1" applyBorder="1" applyAlignment="1">
      <alignment horizontal="center" vertical="center" wrapText="1"/>
    </xf>
    <xf numFmtId="0" fontId="22" fillId="0" borderId="9" xfId="4" applyFont="1" applyBorder="1" applyAlignment="1">
      <alignment horizontal="center" vertical="center" wrapText="1"/>
    </xf>
    <xf numFmtId="0" fontId="22" fillId="0" borderId="11" xfId="4" applyFont="1" applyBorder="1" applyAlignment="1">
      <alignment horizontal="center" vertical="center" wrapText="1"/>
    </xf>
    <xf numFmtId="0" fontId="22" fillId="0" borderId="64" xfId="4" applyFont="1" applyBorder="1" applyAlignment="1">
      <alignment horizontal="center" vertical="center" wrapText="1"/>
    </xf>
    <xf numFmtId="0" fontId="22" fillId="0" borderId="59" xfId="4" applyFont="1" applyBorder="1" applyAlignment="1">
      <alignment horizontal="center" vertical="center" wrapText="1"/>
    </xf>
    <xf numFmtId="0" fontId="22" fillId="0" borderId="65" xfId="4" applyFont="1" applyBorder="1" applyAlignment="1">
      <alignment horizontal="center" vertical="center" wrapText="1"/>
    </xf>
    <xf numFmtId="0" fontId="23" fillId="0" borderId="155" xfId="0" applyFont="1" applyBorder="1" applyAlignment="1" applyProtection="1">
      <alignment horizontal="center" vertical="center"/>
      <protection locked="0"/>
    </xf>
    <xf numFmtId="0" fontId="25" fillId="0" borderId="0" xfId="0" applyFont="1" applyAlignment="1">
      <alignment horizontal="center" vertical="center"/>
    </xf>
    <xf numFmtId="203" fontId="25" fillId="0" borderId="0" xfId="0" applyNumberFormat="1" applyFont="1" applyAlignment="1" applyProtection="1">
      <alignment horizontal="center" vertical="center"/>
      <protection locked="0"/>
    </xf>
    <xf numFmtId="0" fontId="5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13" xfId="0" applyFont="1" applyBorder="1" applyAlignment="1">
      <alignment horizontal="center" vertical="center" wrapText="1"/>
    </xf>
    <xf numFmtId="0" fontId="5" fillId="0" borderId="129" xfId="0" applyFont="1" applyBorder="1" applyAlignment="1">
      <alignment horizontal="center" vertical="center" wrapText="1"/>
    </xf>
    <xf numFmtId="0" fontId="5" fillId="0" borderId="128" xfId="0" applyFont="1" applyBorder="1" applyAlignment="1">
      <alignment horizontal="center" vertical="center" wrapText="1"/>
    </xf>
    <xf numFmtId="0" fontId="24" fillId="0" borderId="49" xfId="3" applyFont="1" applyBorder="1" applyAlignment="1">
      <alignment horizontal="left" vertical="center" wrapText="1"/>
    </xf>
    <xf numFmtId="0" fontId="24" fillId="0" borderId="0" xfId="3" applyFont="1" applyAlignment="1">
      <alignment horizontal="left" vertical="center" wrapText="1"/>
    </xf>
    <xf numFmtId="0" fontId="24" fillId="0" borderId="13" xfId="3" applyFont="1" applyBorder="1" applyAlignment="1">
      <alignment horizontal="left" vertical="center" wrapText="1"/>
    </xf>
    <xf numFmtId="0" fontId="12" fillId="0" borderId="0" xfId="3" applyFont="1" applyAlignment="1" applyProtection="1">
      <alignment horizontal="left" vertical="center"/>
      <protection locked="0"/>
    </xf>
    <xf numFmtId="0" fontId="17" fillId="0" borderId="59" xfId="0" quotePrefix="1" applyFont="1" applyBorder="1" applyAlignment="1">
      <alignment horizontal="left" vertical="center" wrapText="1"/>
    </xf>
    <xf numFmtId="0" fontId="4" fillId="0" borderId="46" xfId="4" applyBorder="1" applyAlignment="1">
      <alignment horizontal="center" vertical="center"/>
    </xf>
    <xf numFmtId="0" fontId="4" fillId="0" borderId="52" xfId="4" applyBorder="1" applyAlignment="1">
      <alignment horizontal="center" vertical="center"/>
    </xf>
    <xf numFmtId="0" fontId="4" fillId="0" borderId="58" xfId="4" applyBorder="1" applyAlignment="1">
      <alignment horizontal="center" vertical="center"/>
    </xf>
    <xf numFmtId="0" fontId="22" fillId="0" borderId="46" xfId="4" applyFont="1" applyBorder="1" applyAlignment="1">
      <alignment horizontal="center" vertical="center" wrapText="1"/>
    </xf>
    <xf numFmtId="0" fontId="22" fillId="0" borderId="71" xfId="4" applyFont="1" applyBorder="1" applyAlignment="1">
      <alignment horizontal="center" vertical="center" wrapText="1"/>
    </xf>
    <xf numFmtId="0" fontId="22" fillId="0" borderId="52" xfId="4" applyFont="1" applyBorder="1" applyAlignment="1">
      <alignment horizontal="center" vertical="center" wrapText="1"/>
    </xf>
    <xf numFmtId="200" fontId="12" fillId="0" borderId="123" xfId="4" applyNumberFormat="1" applyFont="1" applyBorder="1" applyAlignment="1">
      <alignment horizontal="center" vertical="center"/>
    </xf>
    <xf numFmtId="200" fontId="12" fillId="0" borderId="9" xfId="4" applyNumberFormat="1" applyFont="1" applyBorder="1" applyAlignment="1">
      <alignment horizontal="center" vertical="center"/>
    </xf>
    <xf numFmtId="200" fontId="12" fillId="0" borderId="124" xfId="4" applyNumberFormat="1" applyFont="1" applyBorder="1" applyAlignment="1">
      <alignment horizontal="center" vertical="center"/>
    </xf>
    <xf numFmtId="177" fontId="12" fillId="0" borderId="10" xfId="4" applyNumberFormat="1" applyFont="1" applyBorder="1" applyAlignment="1">
      <alignment horizontal="center" vertical="center"/>
    </xf>
    <xf numFmtId="177" fontId="12" fillId="0" borderId="9" xfId="4" applyNumberFormat="1" applyFont="1" applyBorder="1" applyAlignment="1">
      <alignment horizontal="center" vertical="center"/>
    </xf>
    <xf numFmtId="177" fontId="12" fillId="0" borderId="11" xfId="4" applyNumberFormat="1" applyFont="1" applyBorder="1" applyAlignment="1">
      <alignment horizontal="center" vertical="center"/>
    </xf>
    <xf numFmtId="177" fontId="12" fillId="0" borderId="64" xfId="4" applyNumberFormat="1" applyFont="1" applyBorder="1" applyAlignment="1">
      <alignment horizontal="center" vertical="center"/>
    </xf>
    <xf numFmtId="177" fontId="12" fillId="0" borderId="59" xfId="4" applyNumberFormat="1" applyFont="1" applyBorder="1" applyAlignment="1">
      <alignment horizontal="center" vertical="center"/>
    </xf>
    <xf numFmtId="177" fontId="12" fillId="0" borderId="65" xfId="4" applyNumberFormat="1" applyFont="1" applyBorder="1" applyAlignment="1">
      <alignment horizontal="center" vertical="center"/>
    </xf>
    <xf numFmtId="0" fontId="59" fillId="0" borderId="0" xfId="7" quotePrefix="1" applyFont="1" applyAlignment="1">
      <alignment horizontal="left" vertical="center" wrapText="1"/>
    </xf>
    <xf numFmtId="0" fontId="23" fillId="0" borderId="165" xfId="0" applyFont="1" applyBorder="1" applyAlignment="1" applyProtection="1">
      <alignment horizontal="center" vertical="center"/>
      <protection locked="0"/>
    </xf>
    <xf numFmtId="0" fontId="23" fillId="0" borderId="166" xfId="0" applyFont="1" applyBorder="1" applyAlignment="1" applyProtection="1">
      <alignment horizontal="center" vertical="center"/>
      <protection locked="0"/>
    </xf>
    <xf numFmtId="0" fontId="23" fillId="0" borderId="167" xfId="0" applyFont="1" applyBorder="1" applyAlignment="1" applyProtection="1">
      <alignment horizontal="center" vertical="center"/>
      <protection locked="0"/>
    </xf>
    <xf numFmtId="199" fontId="116" fillId="0" borderId="164" xfId="0" applyNumberFormat="1" applyFont="1" applyBorder="1" applyAlignment="1">
      <alignment horizontal="left" vertical="center"/>
    </xf>
    <xf numFmtId="0" fontId="58" fillId="0" borderId="58" xfId="4" applyFont="1" applyBorder="1" applyAlignment="1">
      <alignment horizontal="center" vertical="center"/>
    </xf>
    <xf numFmtId="0" fontId="17" fillId="0" borderId="17" xfId="4" applyFont="1" applyBorder="1" applyAlignment="1">
      <alignment horizontal="left" vertical="center"/>
    </xf>
    <xf numFmtId="0" fontId="17" fillId="0" borderId="55" xfId="4" applyFont="1" applyBorder="1" applyAlignment="1">
      <alignment horizontal="left" vertical="center"/>
    </xf>
    <xf numFmtId="164" fontId="17" fillId="0" borderId="10" xfId="0" applyNumberFormat="1" applyFont="1" applyBorder="1" applyAlignment="1">
      <alignment horizontal="center" vertical="center"/>
    </xf>
    <xf numFmtId="164" fontId="17" fillId="0" borderId="9" xfId="0" applyNumberFormat="1" applyFont="1" applyBorder="1" applyAlignment="1">
      <alignment horizontal="center" vertical="center"/>
    </xf>
    <xf numFmtId="164" fontId="17" fillId="0" borderId="11" xfId="0" applyNumberFormat="1" applyFont="1" applyBorder="1" applyAlignment="1">
      <alignment horizontal="center" vertical="center"/>
    </xf>
    <xf numFmtId="0" fontId="5" fillId="0" borderId="123" xfId="4" applyFont="1" applyBorder="1" applyAlignment="1">
      <alignment horizontal="center" vertical="center"/>
    </xf>
    <xf numFmtId="0" fontId="5" fillId="0" borderId="164" xfId="4" applyFont="1" applyBorder="1" applyAlignment="1">
      <alignment horizontal="center" vertical="center"/>
    </xf>
    <xf numFmtId="0" fontId="5" fillId="0" borderId="124" xfId="4" applyFont="1" applyBorder="1" applyAlignment="1">
      <alignment horizontal="center" vertical="center"/>
    </xf>
    <xf numFmtId="0" fontId="5" fillId="0" borderId="113" xfId="4" applyFont="1" applyBorder="1" applyAlignment="1">
      <alignment horizontal="center" vertical="center"/>
    </xf>
    <xf numFmtId="0" fontId="5" fillId="0" borderId="59" xfId="4" applyFont="1" applyBorder="1" applyAlignment="1">
      <alignment horizontal="center" vertical="center"/>
    </xf>
    <xf numFmtId="0" fontId="5" fillId="0" borderId="128" xfId="4" applyFont="1" applyBorder="1" applyAlignment="1">
      <alignment horizontal="center" vertical="center"/>
    </xf>
    <xf numFmtId="0" fontId="17" fillId="0" borderId="54" xfId="4" applyFont="1" applyBorder="1" applyAlignment="1">
      <alignment horizontal="left" vertical="center"/>
    </xf>
    <xf numFmtId="0" fontId="17" fillId="0" borderId="60" xfId="4" applyFont="1" applyBorder="1" applyAlignment="1">
      <alignment horizontal="left" vertical="center"/>
    </xf>
    <xf numFmtId="0" fontId="4" fillId="0" borderId="130" xfId="4" applyBorder="1" applyAlignment="1">
      <alignment horizontal="center" vertical="center"/>
    </xf>
    <xf numFmtId="0" fontId="4" fillId="0" borderId="112" xfId="4" applyBorder="1" applyAlignment="1">
      <alignment horizontal="center" vertical="center"/>
    </xf>
    <xf numFmtId="0" fontId="17" fillId="0" borderId="155" xfId="4" applyFont="1" applyBorder="1" applyAlignment="1">
      <alignment horizontal="center" vertical="center"/>
    </xf>
    <xf numFmtId="206" fontId="118" fillId="19" borderId="155" xfId="0" applyNumberFormat="1" applyFont="1" applyFill="1" applyBorder="1" applyAlignment="1" applyProtection="1">
      <alignment horizontal="center" vertical="center"/>
      <protection locked="0"/>
    </xf>
    <xf numFmtId="207" fontId="118" fillId="19" borderId="155" xfId="0" applyNumberFormat="1" applyFont="1" applyFill="1" applyBorder="1" applyAlignment="1" applyProtection="1">
      <alignment horizontal="center" vertical="center"/>
      <protection locked="0"/>
    </xf>
    <xf numFmtId="208" fontId="118" fillId="19" borderId="155" xfId="0" applyNumberFormat="1" applyFont="1" applyFill="1" applyBorder="1" applyAlignment="1" applyProtection="1">
      <alignment horizontal="center" vertical="center"/>
      <protection locked="0"/>
    </xf>
    <xf numFmtId="164" fontId="109" fillId="0" borderId="113" xfId="4" applyNumberFormat="1" applyFont="1" applyBorder="1" applyAlignment="1">
      <alignment horizontal="center" vertical="center"/>
    </xf>
    <xf numFmtId="164" fontId="109" fillId="0" borderId="59" xfId="4" applyNumberFormat="1" applyFont="1" applyBorder="1" applyAlignment="1">
      <alignment horizontal="center" vertical="center"/>
    </xf>
    <xf numFmtId="164" fontId="109" fillId="0" borderId="128" xfId="4" applyNumberFormat="1" applyFont="1" applyBorder="1" applyAlignment="1">
      <alignment horizontal="center" vertical="center"/>
    </xf>
    <xf numFmtId="0" fontId="17" fillId="0" borderId="56" xfId="4" applyFont="1" applyBorder="1" applyAlignment="1">
      <alignment horizontal="left" vertical="center"/>
    </xf>
    <xf numFmtId="0" fontId="17" fillId="0" borderId="18" xfId="4" applyFont="1" applyBorder="1" applyAlignment="1">
      <alignment horizontal="left" vertical="center"/>
    </xf>
    <xf numFmtId="0" fontId="17" fillId="0" borderId="62" xfId="4" applyFont="1" applyBorder="1" applyAlignment="1">
      <alignment horizontal="left" vertical="center"/>
    </xf>
    <xf numFmtId="0" fontId="17" fillId="0" borderId="70" xfId="4" applyFont="1" applyBorder="1" applyAlignment="1">
      <alignment horizontal="left" vertical="center"/>
    </xf>
    <xf numFmtId="0" fontId="4" fillId="3" borderId="155" xfId="0" applyFont="1" applyFill="1" applyBorder="1" applyAlignment="1">
      <alignment horizontal="center"/>
    </xf>
    <xf numFmtId="0" fontId="5" fillId="3" borderId="58" xfId="0" applyFont="1" applyFill="1" applyBorder="1" applyAlignment="1">
      <alignment horizontal="center" vertical="center"/>
    </xf>
    <xf numFmtId="0" fontId="95" fillId="18" borderId="59" xfId="0" applyFont="1" applyFill="1" applyBorder="1" applyAlignment="1">
      <alignment horizontal="center" vertical="center" wrapText="1"/>
    </xf>
    <xf numFmtId="0" fontId="102" fillId="3" borderId="46" xfId="0" applyFont="1" applyFill="1" applyBorder="1" applyAlignment="1">
      <alignment horizontal="left" vertical="center" wrapText="1" indent="1"/>
    </xf>
    <xf numFmtId="0" fontId="102" fillId="3" borderId="71" xfId="0" applyFont="1" applyFill="1" applyBorder="1" applyAlignment="1">
      <alignment horizontal="left" vertical="center" wrapText="1" indent="1"/>
    </xf>
    <xf numFmtId="0" fontId="102" fillId="3" borderId="52" xfId="0" applyFont="1" applyFill="1" applyBorder="1" applyAlignment="1">
      <alignment horizontal="left" vertical="center" wrapText="1" indent="1"/>
    </xf>
    <xf numFmtId="0" fontId="4" fillId="3" borderId="0" xfId="0" applyFont="1" applyFill="1" applyAlignment="1">
      <alignment horizontal="center"/>
    </xf>
    <xf numFmtId="0" fontId="102" fillId="3" borderId="58" xfId="9" applyFont="1" applyFill="1" applyBorder="1" applyAlignment="1">
      <alignment horizontal="center"/>
    </xf>
    <xf numFmtId="0" fontId="103" fillId="3" borderId="58" xfId="9" applyFont="1" applyFill="1" applyBorder="1" applyAlignment="1">
      <alignment horizontal="center" vertical="center" wrapText="1"/>
    </xf>
    <xf numFmtId="0" fontId="100" fillId="3" borderId="0" xfId="0" applyFont="1" applyFill="1" applyAlignment="1">
      <alignment horizontal="left" vertical="center" wrapText="1"/>
    </xf>
    <xf numFmtId="0" fontId="98" fillId="18" borderId="0" xfId="8" applyFont="1" applyFill="1" applyAlignment="1">
      <alignment horizontal="center" vertical="center" wrapText="1"/>
    </xf>
    <xf numFmtId="0" fontId="99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 wrapText="1"/>
    </xf>
    <xf numFmtId="0" fontId="81" fillId="0" borderId="165" xfId="0" applyFont="1" applyBorder="1" applyAlignment="1">
      <alignment horizontal="center" vertical="center"/>
    </xf>
    <xf numFmtId="0" fontId="81" fillId="0" borderId="167" xfId="0" applyFont="1" applyBorder="1" applyAlignment="1">
      <alignment horizontal="center" vertical="center"/>
    </xf>
    <xf numFmtId="0" fontId="100" fillId="0" borderId="0" xfId="0" applyFont="1" applyAlignment="1">
      <alignment horizontal="center" vertical="center"/>
    </xf>
    <xf numFmtId="201" fontId="81" fillId="0" borderId="165" xfId="0" applyNumberFormat="1" applyFont="1" applyBorder="1" applyAlignment="1">
      <alignment horizontal="center" vertical="center"/>
    </xf>
    <xf numFmtId="201" fontId="81" fillId="0" borderId="167" xfId="0" applyNumberFormat="1" applyFont="1" applyBorder="1" applyAlignment="1">
      <alignment horizontal="center" vertical="center"/>
    </xf>
    <xf numFmtId="201" fontId="4" fillId="3" borderId="165" xfId="4" applyNumberFormat="1" applyFill="1" applyBorder="1" applyAlignment="1">
      <alignment horizontal="center" vertical="center"/>
    </xf>
    <xf numFmtId="201" fontId="4" fillId="3" borderId="167" xfId="4" applyNumberFormat="1" applyFill="1" applyBorder="1" applyAlignment="1">
      <alignment horizontal="center" vertical="center"/>
    </xf>
    <xf numFmtId="0" fontId="5" fillId="3" borderId="0" xfId="4" applyFont="1" applyFill="1" applyAlignment="1">
      <alignment horizontal="center" vertical="center"/>
    </xf>
    <xf numFmtId="0" fontId="104" fillId="3" borderId="0" xfId="4" applyFont="1" applyFill="1" applyAlignment="1">
      <alignment horizontal="center"/>
    </xf>
    <xf numFmtId="0" fontId="4" fillId="3" borderId="58" xfId="0" applyFont="1" applyFill="1" applyBorder="1" applyAlignment="1">
      <alignment horizontal="center"/>
    </xf>
    <xf numFmtId="0" fontId="0" fillId="3" borderId="58" xfId="0" applyFill="1" applyBorder="1" applyAlignment="1">
      <alignment horizontal="center"/>
    </xf>
    <xf numFmtId="193" fontId="81" fillId="0" borderId="155" xfId="0" applyNumberFormat="1" applyFont="1" applyBorder="1" applyAlignment="1">
      <alignment horizontal="center" vertical="center"/>
    </xf>
    <xf numFmtId="0" fontId="57" fillId="0" borderId="0" xfId="7" applyFont="1" applyAlignment="1" applyProtection="1">
      <alignment horizontal="left" vertical="center" wrapText="1"/>
      <protection hidden="1"/>
    </xf>
    <xf numFmtId="0" fontId="83" fillId="0" borderId="0" xfId="7" applyFont="1" applyAlignment="1">
      <alignment horizontal="right" vertical="center"/>
    </xf>
    <xf numFmtId="178" fontId="12" fillId="0" borderId="0" xfId="4" applyNumberFormat="1" applyFont="1" applyAlignment="1">
      <alignment horizontal="center" vertical="center"/>
    </xf>
    <xf numFmtId="0" fontId="12" fillId="0" borderId="0" xfId="4" applyFont="1" applyAlignment="1">
      <alignment horizontal="center" vertical="center"/>
    </xf>
    <xf numFmtId="0" fontId="22" fillId="0" borderId="9" xfId="0" applyFont="1" applyBorder="1" applyAlignment="1" applyProtection="1">
      <alignment horizontal="center"/>
      <protection hidden="1"/>
    </xf>
    <xf numFmtId="0" fontId="22" fillId="0" borderId="24" xfId="0" applyFont="1" applyBorder="1" applyAlignment="1">
      <alignment horizontal="center" vertical="center" wrapText="1"/>
    </xf>
    <xf numFmtId="0" fontId="22" fillId="0" borderId="112" xfId="0" applyFont="1" applyBorder="1" applyAlignment="1">
      <alignment horizontal="center" vertical="center" wrapText="1"/>
    </xf>
    <xf numFmtId="189" fontId="25" fillId="4" borderId="0" xfId="0" applyNumberFormat="1" applyFont="1" applyFill="1" applyAlignment="1" applyProtection="1">
      <alignment horizontal="center"/>
      <protection hidden="1"/>
    </xf>
    <xf numFmtId="0" fontId="5" fillId="0" borderId="10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horizontal="center" vertical="center" wrapText="1"/>
      <protection hidden="1"/>
    </xf>
    <xf numFmtId="0" fontId="5" fillId="0" borderId="113" xfId="0" applyFont="1" applyBorder="1" applyAlignment="1" applyProtection="1">
      <alignment horizontal="center" vertical="center" wrapText="1"/>
      <protection hidden="1"/>
    </xf>
    <xf numFmtId="0" fontId="5" fillId="0" borderId="59" xfId="0" applyFont="1" applyBorder="1" applyAlignment="1" applyProtection="1">
      <alignment horizontal="center" vertical="center" wrapText="1"/>
      <protection hidden="1"/>
    </xf>
    <xf numFmtId="0" fontId="5" fillId="0" borderId="15" xfId="0" applyFont="1" applyBorder="1" applyAlignment="1" applyProtection="1">
      <alignment horizontal="center" vertical="center" wrapText="1"/>
      <protection hidden="1"/>
    </xf>
    <xf numFmtId="0" fontId="22" fillId="0" borderId="71" xfId="3" applyFont="1" applyBorder="1" applyAlignment="1">
      <alignment horizontal="center" vertical="center" wrapText="1"/>
    </xf>
    <xf numFmtId="0" fontId="22" fillId="2" borderId="113" xfId="0" applyFont="1" applyFill="1" applyBorder="1" applyAlignment="1">
      <alignment horizontal="center" vertical="center" wrapText="1"/>
    </xf>
    <xf numFmtId="0" fontId="22" fillId="2" borderId="59" xfId="0" applyFont="1" applyFill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22" fillId="2" borderId="11" xfId="0" applyFont="1" applyFill="1" applyBorder="1" applyAlignment="1">
      <alignment horizontal="center" vertical="center" wrapText="1"/>
    </xf>
    <xf numFmtId="167" fontId="17" fillId="2" borderId="18" xfId="0" applyNumberFormat="1" applyFont="1" applyFill="1" applyBorder="1" applyAlignment="1" applyProtection="1">
      <alignment horizontal="center" vertical="center"/>
      <protection hidden="1"/>
    </xf>
    <xf numFmtId="167" fontId="17" fillId="0" borderId="17" xfId="0" applyNumberFormat="1" applyFont="1" applyBorder="1" applyAlignment="1" applyProtection="1">
      <alignment horizontal="center" vertical="center"/>
      <protection hidden="1"/>
    </xf>
    <xf numFmtId="0" fontId="58" fillId="2" borderId="24" xfId="0" applyFont="1" applyFill="1" applyBorder="1" applyAlignment="1">
      <alignment horizontal="center" vertical="center" wrapText="1"/>
    </xf>
    <xf numFmtId="0" fontId="58" fillId="2" borderId="112" xfId="0" applyFont="1" applyFill="1" applyBorder="1" applyAlignment="1">
      <alignment horizontal="center" vertical="center" wrapText="1"/>
    </xf>
    <xf numFmtId="164" fontId="17" fillId="2" borderId="54" xfId="0" applyNumberFormat="1" applyFont="1" applyFill="1" applyBorder="1" applyAlignment="1">
      <alignment horizontal="left" vertical="center"/>
    </xf>
    <xf numFmtId="164" fontId="17" fillId="2" borderId="17" xfId="0" applyNumberFormat="1" applyFont="1" applyFill="1" applyBorder="1" applyAlignment="1">
      <alignment horizontal="left" vertical="center"/>
    </xf>
    <xf numFmtId="164" fontId="17" fillId="2" borderId="18" xfId="0" applyNumberFormat="1" applyFont="1" applyFill="1" applyBorder="1" applyAlignment="1">
      <alignment horizontal="left" vertical="center"/>
    </xf>
    <xf numFmtId="164" fontId="17" fillId="2" borderId="54" xfId="0" applyNumberFormat="1" applyFont="1" applyFill="1" applyBorder="1" applyAlignment="1">
      <alignment horizontal="center" vertical="center"/>
    </xf>
    <xf numFmtId="164" fontId="17" fillId="2" borderId="17" xfId="0" applyNumberFormat="1" applyFont="1" applyFill="1" applyBorder="1" applyAlignment="1">
      <alignment horizontal="center" vertical="center"/>
    </xf>
    <xf numFmtId="164" fontId="17" fillId="2" borderId="18" xfId="0" applyNumberFormat="1" applyFont="1" applyFill="1" applyBorder="1" applyAlignment="1">
      <alignment horizontal="center" vertical="center"/>
    </xf>
    <xf numFmtId="0" fontId="17" fillId="2" borderId="25" xfId="0" applyFont="1" applyFill="1" applyBorder="1" applyAlignment="1">
      <alignment horizontal="left" vertical="center"/>
    </xf>
    <xf numFmtId="0" fontId="17" fillId="2" borderId="26" xfId="0" applyFont="1" applyFill="1" applyBorder="1" applyAlignment="1">
      <alignment horizontal="left" vertical="center"/>
    </xf>
    <xf numFmtId="164" fontId="17" fillId="2" borderId="29" xfId="0" applyNumberFormat="1" applyFont="1" applyFill="1" applyBorder="1" applyAlignment="1">
      <alignment horizontal="center" vertical="center"/>
    </xf>
    <xf numFmtId="164" fontId="17" fillId="2" borderId="23" xfId="0" applyNumberFormat="1" applyFont="1" applyFill="1" applyBorder="1" applyAlignment="1">
      <alignment horizontal="center" vertical="center"/>
    </xf>
    <xf numFmtId="0" fontId="24" fillId="2" borderId="49" xfId="3" applyFont="1" applyFill="1" applyBorder="1" applyAlignment="1">
      <alignment horizontal="left" vertical="center" wrapText="1"/>
    </xf>
    <xf numFmtId="0" fontId="24" fillId="2" borderId="0" xfId="3" applyFont="1" applyFill="1" applyAlignment="1">
      <alignment horizontal="left" vertical="center" wrapText="1"/>
    </xf>
    <xf numFmtId="0" fontId="24" fillId="2" borderId="13" xfId="3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17" fillId="2" borderId="27" xfId="0" applyFont="1" applyFill="1" applyBorder="1" applyAlignment="1">
      <alignment horizontal="left" vertical="center"/>
    </xf>
    <xf numFmtId="0" fontId="17" fillId="2" borderId="116" xfId="0" applyFont="1" applyFill="1" applyBorder="1" applyAlignment="1">
      <alignment horizontal="left" vertical="center"/>
    </xf>
    <xf numFmtId="164" fontId="17" fillId="2" borderId="30" xfId="0" applyNumberFormat="1" applyFont="1" applyFill="1" applyBorder="1" applyAlignment="1">
      <alignment horizontal="center" vertical="center"/>
    </xf>
    <xf numFmtId="164" fontId="17" fillId="2" borderId="31" xfId="0" applyNumberFormat="1" applyFont="1" applyFill="1" applyBorder="1" applyAlignment="1">
      <alignment horizontal="center" vertical="center"/>
    </xf>
    <xf numFmtId="0" fontId="17" fillId="0" borderId="0" xfId="1" applyFont="1" applyBorder="1" applyAlignment="1" applyProtection="1">
      <alignment horizontal="center" vertical="center" wrapText="1"/>
    </xf>
    <xf numFmtId="0" fontId="25" fillId="2" borderId="0" xfId="0" applyFont="1" applyFill="1" applyAlignment="1">
      <alignment horizontal="center" vertical="center"/>
    </xf>
    <xf numFmtId="174" fontId="25" fillId="0" borderId="0" xfId="0" applyNumberFormat="1" applyFont="1" applyAlignment="1" applyProtection="1">
      <alignment horizontal="center"/>
      <protection hidden="1"/>
    </xf>
    <xf numFmtId="167" fontId="17" fillId="0" borderId="54" xfId="0" applyNumberFormat="1" applyFont="1" applyBorder="1" applyAlignment="1" applyProtection="1">
      <alignment horizontal="center" vertical="center"/>
      <protection hidden="1"/>
    </xf>
    <xf numFmtId="0" fontId="58" fillId="2" borderId="58" xfId="0" applyFont="1" applyFill="1" applyBorder="1" applyAlignment="1">
      <alignment horizontal="center" vertical="center"/>
    </xf>
    <xf numFmtId="0" fontId="58" fillId="2" borderId="10" xfId="0" applyFont="1" applyFill="1" applyBorder="1" applyAlignment="1">
      <alignment horizontal="center" vertical="center"/>
    </xf>
    <xf numFmtId="0" fontId="58" fillId="2" borderId="9" xfId="0" applyFont="1" applyFill="1" applyBorder="1" applyAlignment="1">
      <alignment horizontal="center" vertical="center"/>
    </xf>
    <xf numFmtId="0" fontId="58" fillId="2" borderId="11" xfId="0" applyFont="1" applyFill="1" applyBorder="1" applyAlignment="1">
      <alignment horizontal="center" vertical="center"/>
    </xf>
    <xf numFmtId="164" fontId="17" fillId="2" borderId="10" xfId="0" applyNumberFormat="1" applyFont="1" applyFill="1" applyBorder="1" applyAlignment="1">
      <alignment horizontal="left" vertical="center"/>
    </xf>
    <xf numFmtId="164" fontId="17" fillId="2" borderId="9" xfId="0" applyNumberFormat="1" applyFont="1" applyFill="1" applyBorder="1" applyAlignment="1">
      <alignment horizontal="left" vertical="center"/>
    </xf>
    <xf numFmtId="164" fontId="17" fillId="2" borderId="11" xfId="0" applyNumberFormat="1" applyFont="1" applyFill="1" applyBorder="1" applyAlignment="1">
      <alignment horizontal="left" vertical="center"/>
    </xf>
    <xf numFmtId="164" fontId="17" fillId="2" borderId="113" xfId="0" applyNumberFormat="1" applyFont="1" applyFill="1" applyBorder="1" applyAlignment="1">
      <alignment horizontal="left" vertical="center"/>
    </xf>
    <xf numFmtId="164" fontId="17" fillId="2" borderId="59" xfId="0" applyNumberFormat="1" applyFont="1" applyFill="1" applyBorder="1" applyAlignment="1">
      <alignment horizontal="left" vertical="center"/>
    </xf>
    <xf numFmtId="164" fontId="17" fillId="2" borderId="15" xfId="0" applyNumberFormat="1" applyFont="1" applyFill="1" applyBorder="1" applyAlignment="1">
      <alignment horizontal="left" vertical="center"/>
    </xf>
    <xf numFmtId="0" fontId="17" fillId="2" borderId="18" xfId="0" applyFont="1" applyFill="1" applyBorder="1" applyAlignment="1">
      <alignment horizontal="center" vertical="center"/>
    </xf>
    <xf numFmtId="0" fontId="58" fillId="2" borderId="113" xfId="0" applyFont="1" applyFill="1" applyBorder="1" applyAlignment="1">
      <alignment horizontal="center" vertical="center"/>
    </xf>
    <xf numFmtId="0" fontId="58" fillId="2" borderId="59" xfId="0" applyFont="1" applyFill="1" applyBorder="1" applyAlignment="1">
      <alignment horizontal="center" vertical="center"/>
    </xf>
    <xf numFmtId="0" fontId="58" fillId="2" borderId="15" xfId="0" applyFont="1" applyFill="1" applyBorder="1" applyAlignment="1">
      <alignment horizontal="center" vertical="center"/>
    </xf>
    <xf numFmtId="170" fontId="8" fillId="0" borderId="0" xfId="4" applyNumberFormat="1" applyFont="1" applyAlignment="1" applyProtection="1">
      <alignment horizontal="left"/>
      <protection hidden="1"/>
    </xf>
    <xf numFmtId="0" fontId="25" fillId="2" borderId="0" xfId="4" applyFont="1" applyFill="1" applyAlignment="1">
      <alignment horizontal="center" vertical="center"/>
    </xf>
    <xf numFmtId="176" fontId="25" fillId="0" borderId="0" xfId="4" applyNumberFormat="1" applyFont="1" applyAlignment="1" applyProtection="1">
      <alignment horizontal="center"/>
      <protection hidden="1"/>
    </xf>
    <xf numFmtId="0" fontId="12" fillId="2" borderId="0" xfId="4" applyFont="1" applyFill="1" applyAlignment="1">
      <alignment horizontal="left" vertical="center" wrapText="1"/>
    </xf>
    <xf numFmtId="0" fontId="5" fillId="0" borderId="10" xfId="4" applyFont="1" applyBorder="1" applyAlignment="1" applyProtection="1">
      <alignment horizontal="center" vertical="center" wrapText="1"/>
      <protection hidden="1"/>
    </xf>
    <xf numFmtId="0" fontId="5" fillId="0" borderId="9" xfId="4" applyFont="1" applyBorder="1" applyAlignment="1" applyProtection="1">
      <alignment horizontal="center" vertical="center" wrapText="1"/>
      <protection hidden="1"/>
    </xf>
    <xf numFmtId="0" fontId="5" fillId="0" borderId="11" xfId="4" applyFont="1" applyBorder="1" applyAlignment="1" applyProtection="1">
      <alignment horizontal="center" vertical="center" wrapText="1"/>
      <protection hidden="1"/>
    </xf>
    <xf numFmtId="0" fontId="5" fillId="0" borderId="113" xfId="4" applyFont="1" applyBorder="1" applyAlignment="1" applyProtection="1">
      <alignment horizontal="center" vertical="center" wrapText="1"/>
      <protection hidden="1"/>
    </xf>
    <xf numFmtId="0" fontId="5" fillId="0" borderId="59" xfId="4" applyFont="1" applyBorder="1" applyAlignment="1" applyProtection="1">
      <alignment horizontal="center" vertical="center" wrapText="1"/>
      <protection hidden="1"/>
    </xf>
    <xf numFmtId="0" fontId="5" fillId="0" borderId="15" xfId="4" applyFont="1" applyBorder="1" applyAlignment="1" applyProtection="1">
      <alignment horizontal="center" vertical="center" wrapText="1"/>
      <protection hidden="1"/>
    </xf>
    <xf numFmtId="0" fontId="14" fillId="0" borderId="9" xfId="4" applyFont="1" applyBorder="1" applyAlignment="1">
      <alignment horizontal="center" vertical="center" wrapText="1"/>
    </xf>
    <xf numFmtId="172" fontId="56" fillId="3" borderId="46" xfId="4" quotePrefix="1" applyNumberFormat="1" applyFont="1" applyFill="1" applyBorder="1" applyAlignment="1">
      <alignment horizontal="center" vertical="center" wrapText="1"/>
    </xf>
    <xf numFmtId="172" fontId="56" fillId="3" borderId="71" xfId="4" quotePrefix="1" applyNumberFormat="1" applyFont="1" applyFill="1" applyBorder="1" applyAlignment="1">
      <alignment horizontal="center" vertical="center" wrapText="1"/>
    </xf>
    <xf numFmtId="172" fontId="56" fillId="3" borderId="51" xfId="4" quotePrefix="1" applyNumberFormat="1" applyFont="1" applyFill="1" applyBorder="1" applyAlignment="1">
      <alignment horizontal="center" vertical="center" wrapText="1"/>
    </xf>
    <xf numFmtId="172" fontId="56" fillId="3" borderId="58" xfId="4" quotePrefix="1" applyNumberFormat="1" applyFont="1" applyFill="1" applyBorder="1" applyAlignment="1">
      <alignment horizontal="center" vertical="center" wrapText="1"/>
    </xf>
    <xf numFmtId="3" fontId="11" fillId="3" borderId="0" xfId="4" applyNumberFormat="1" applyFont="1" applyFill="1" applyAlignment="1">
      <alignment horizontal="center" vertical="center" wrapText="1"/>
    </xf>
    <xf numFmtId="172" fontId="57" fillId="3" borderId="46" xfId="4" quotePrefix="1" applyNumberFormat="1" applyFont="1" applyFill="1" applyBorder="1" applyAlignment="1">
      <alignment horizontal="center" vertical="center" wrapText="1"/>
    </xf>
    <xf numFmtId="172" fontId="57" fillId="3" borderId="71" xfId="4" quotePrefix="1" applyNumberFormat="1" applyFont="1" applyFill="1" applyBorder="1" applyAlignment="1">
      <alignment horizontal="center" vertical="center" wrapText="1"/>
    </xf>
    <xf numFmtId="172" fontId="57" fillId="3" borderId="52" xfId="4" quotePrefix="1" applyNumberFormat="1" applyFont="1" applyFill="1" applyBorder="1" applyAlignment="1">
      <alignment horizontal="center" vertical="center" wrapText="1"/>
    </xf>
    <xf numFmtId="172" fontId="58" fillId="3" borderId="46" xfId="4" quotePrefix="1" applyNumberFormat="1" applyFont="1" applyFill="1" applyBorder="1" applyAlignment="1">
      <alignment horizontal="left" vertical="center"/>
    </xf>
    <xf numFmtId="172" fontId="58" fillId="3" borderId="52" xfId="4" quotePrefix="1" applyNumberFormat="1" applyFont="1" applyFill="1" applyBorder="1" applyAlignment="1">
      <alignment horizontal="left" vertical="center"/>
    </xf>
    <xf numFmtId="166" fontId="21" fillId="3" borderId="0" xfId="4" applyNumberFormat="1" applyFont="1" applyFill="1" applyAlignment="1">
      <alignment horizontal="center" vertical="center" wrapText="1"/>
    </xf>
    <xf numFmtId="0" fontId="58" fillId="0" borderId="46" xfId="4" applyFont="1" applyBorder="1" applyAlignment="1" applyProtection="1">
      <alignment horizontal="center" vertical="center" wrapText="1"/>
      <protection hidden="1"/>
    </xf>
    <xf numFmtId="0" fontId="58" fillId="0" borderId="71" xfId="4" applyFont="1" applyBorder="1" applyAlignment="1" applyProtection="1">
      <alignment horizontal="center" vertical="center" wrapText="1"/>
      <protection hidden="1"/>
    </xf>
    <xf numFmtId="0" fontId="58" fillId="0" borderId="52" xfId="4" applyFont="1" applyBorder="1" applyAlignment="1" applyProtection="1">
      <alignment horizontal="center" vertical="center" wrapText="1"/>
      <protection hidden="1"/>
    </xf>
    <xf numFmtId="0" fontId="17" fillId="0" borderId="9" xfId="4" applyFont="1" applyBorder="1" applyAlignment="1" applyProtection="1">
      <alignment horizontal="center" vertical="center"/>
      <protection hidden="1"/>
    </xf>
    <xf numFmtId="179" fontId="25" fillId="0" borderId="0" xfId="4" applyNumberFormat="1" applyFont="1" applyAlignment="1" applyProtection="1">
      <alignment horizontal="center"/>
      <protection hidden="1"/>
    </xf>
    <xf numFmtId="0" fontId="40" fillId="6" borderId="0" xfId="4" applyFont="1" applyFill="1" applyAlignment="1">
      <alignment horizontal="center"/>
    </xf>
    <xf numFmtId="0" fontId="36" fillId="6" borderId="117" xfId="4" applyFont="1" applyFill="1" applyBorder="1" applyAlignment="1">
      <alignment horizontal="center" vertical="center"/>
    </xf>
    <xf numFmtId="0" fontId="30" fillId="6" borderId="117" xfId="4" applyFont="1" applyFill="1" applyBorder="1" applyAlignment="1">
      <alignment horizontal="center" vertical="center" wrapText="1"/>
    </xf>
    <xf numFmtId="0" fontId="44" fillId="0" borderId="0" xfId="4" applyFont="1" applyAlignment="1">
      <alignment horizontal="center" wrapText="1"/>
    </xf>
    <xf numFmtId="0" fontId="33" fillId="7" borderId="118" xfId="4" applyFont="1" applyFill="1" applyBorder="1" applyAlignment="1">
      <alignment horizontal="center" vertical="center" textRotation="90" wrapText="1"/>
    </xf>
    <xf numFmtId="0" fontId="33" fillId="7" borderId="48" xfId="4" applyFont="1" applyFill="1" applyBorder="1" applyAlignment="1">
      <alignment horizontal="center" vertical="center" textRotation="90" wrapText="1"/>
    </xf>
    <xf numFmtId="0" fontId="46" fillId="7" borderId="45" xfId="4" applyFont="1" applyFill="1" applyBorder="1" applyAlignment="1">
      <alignment horizontal="center" vertical="center" textRotation="90" wrapText="1"/>
    </xf>
    <xf numFmtId="0" fontId="46" fillId="7" borderId="112" xfId="4" applyFont="1" applyFill="1" applyBorder="1" applyAlignment="1">
      <alignment horizontal="center" vertical="center" textRotation="90" wrapText="1"/>
    </xf>
    <xf numFmtId="0" fontId="46" fillId="7" borderId="0" xfId="4" applyFont="1" applyFill="1" applyAlignment="1">
      <alignment horizontal="center" vertical="center" textRotation="90" wrapText="1"/>
    </xf>
    <xf numFmtId="0" fontId="48" fillId="5" borderId="113" xfId="4" applyFont="1" applyFill="1" applyBorder="1" applyAlignment="1">
      <alignment horizontal="center" vertical="center" wrapText="1"/>
    </xf>
    <xf numFmtId="0" fontId="48" fillId="5" borderId="119" xfId="4" applyFont="1" applyFill="1" applyBorder="1" applyAlignment="1">
      <alignment horizontal="center" vertical="center" wrapText="1"/>
    </xf>
    <xf numFmtId="0" fontId="48" fillId="5" borderId="46" xfId="4" applyFont="1" applyFill="1" applyBorder="1" applyAlignment="1">
      <alignment horizontal="center" vertical="center" wrapText="1"/>
    </xf>
    <xf numFmtId="0" fontId="48" fillId="5" borderId="120" xfId="4" applyFont="1" applyFill="1" applyBorder="1" applyAlignment="1">
      <alignment horizontal="center" vertical="center" wrapText="1"/>
    </xf>
    <xf numFmtId="0" fontId="48" fillId="5" borderId="121" xfId="4" applyFont="1" applyFill="1" applyBorder="1" applyAlignment="1">
      <alignment horizontal="left" vertical="center" wrapText="1"/>
    </xf>
    <xf numFmtId="0" fontId="48" fillId="5" borderId="47" xfId="4" applyFont="1" applyFill="1" applyBorder="1" applyAlignment="1">
      <alignment horizontal="left" vertical="center" wrapText="1"/>
    </xf>
    <xf numFmtId="0" fontId="49" fillId="11" borderId="46" xfId="4" applyFont="1" applyFill="1" applyBorder="1" applyAlignment="1">
      <alignment horizontal="center" vertical="center" wrapText="1"/>
    </xf>
    <xf numFmtId="0" fontId="49" fillId="11" borderId="120" xfId="4" applyFont="1" applyFill="1" applyBorder="1" applyAlignment="1">
      <alignment horizontal="center" vertical="center" wrapText="1"/>
    </xf>
    <xf numFmtId="0" fontId="49" fillId="11" borderId="121" xfId="4" applyFont="1" applyFill="1" applyBorder="1" applyAlignment="1">
      <alignment horizontal="left" vertical="center" wrapText="1"/>
    </xf>
    <xf numFmtId="0" fontId="49" fillId="11" borderId="47" xfId="4" applyFont="1" applyFill="1" applyBorder="1" applyAlignment="1">
      <alignment horizontal="left" vertical="center" wrapText="1"/>
    </xf>
    <xf numFmtId="0" fontId="35" fillId="12" borderId="122" xfId="4" applyFont="1" applyFill="1" applyBorder="1" applyAlignment="1">
      <alignment horizontal="center" vertical="center" textRotation="90" wrapText="1"/>
    </xf>
    <xf numFmtId="0" fontId="35" fillId="12" borderId="118" xfId="4" applyFont="1" applyFill="1" applyBorder="1" applyAlignment="1">
      <alignment horizontal="center" vertical="center" textRotation="90" wrapText="1"/>
    </xf>
    <xf numFmtId="0" fontId="35" fillId="12" borderId="131" xfId="4" applyFont="1" applyFill="1" applyBorder="1" applyAlignment="1">
      <alignment horizontal="center" vertical="center" textRotation="90" wrapText="1"/>
    </xf>
    <xf numFmtId="0" fontId="50" fillId="12" borderId="123" xfId="4" applyFont="1" applyFill="1" applyBorder="1" applyAlignment="1">
      <alignment horizontal="center" vertical="center" textRotation="90" wrapText="1"/>
    </xf>
    <xf numFmtId="0" fontId="50" fillId="12" borderId="124" xfId="4" applyFont="1" applyFill="1" applyBorder="1" applyAlignment="1">
      <alignment horizontal="center" vertical="center" textRotation="90" wrapText="1"/>
    </xf>
    <xf numFmtId="0" fontId="50" fillId="12" borderId="12" xfId="4" applyFont="1" applyFill="1" applyBorder="1" applyAlignment="1">
      <alignment horizontal="center" vertical="center" textRotation="90" wrapText="1"/>
    </xf>
    <xf numFmtId="0" fontId="50" fillId="12" borderId="13" xfId="4" applyFont="1" applyFill="1" applyBorder="1" applyAlignment="1">
      <alignment horizontal="center" vertical="center" textRotation="90" wrapText="1"/>
    </xf>
    <xf numFmtId="0" fontId="50" fillId="12" borderId="14" xfId="4" applyFont="1" applyFill="1" applyBorder="1" applyAlignment="1">
      <alignment horizontal="center" vertical="center" textRotation="90" wrapText="1"/>
    </xf>
    <xf numFmtId="0" fontId="50" fillId="12" borderId="128" xfId="4" applyFont="1" applyFill="1" applyBorder="1" applyAlignment="1">
      <alignment horizontal="center" vertical="center" textRotation="90" wrapText="1"/>
    </xf>
    <xf numFmtId="0" fontId="52" fillId="13" borderId="123" xfId="4" applyFont="1" applyFill="1" applyBorder="1" applyAlignment="1">
      <alignment horizontal="left" vertical="center" wrapText="1"/>
    </xf>
    <xf numFmtId="0" fontId="52" fillId="13" borderId="125" xfId="4" applyFont="1" applyFill="1" applyBorder="1" applyAlignment="1">
      <alignment horizontal="left" vertical="center" wrapText="1"/>
    </xf>
    <xf numFmtId="0" fontId="52" fillId="13" borderId="126" xfId="4" applyFont="1" applyFill="1" applyBorder="1" applyAlignment="1">
      <alignment horizontal="left" vertical="center" wrapText="1"/>
    </xf>
    <xf numFmtId="0" fontId="52" fillId="13" borderId="127" xfId="4" applyFont="1" applyFill="1" applyBorder="1" applyAlignment="1">
      <alignment horizontal="left" vertical="center" wrapText="1"/>
    </xf>
    <xf numFmtId="0" fontId="50" fillId="12" borderId="0" xfId="4" applyFont="1" applyFill="1" applyAlignment="1">
      <alignment horizontal="center" vertical="center" textRotation="90" wrapText="1"/>
    </xf>
    <xf numFmtId="0" fontId="50" fillId="12" borderId="129" xfId="4" applyFont="1" applyFill="1" applyBorder="1" applyAlignment="1">
      <alignment horizontal="center" vertical="center" textRotation="90" wrapText="1"/>
    </xf>
    <xf numFmtId="0" fontId="33" fillId="9" borderId="149" xfId="4" applyFont="1" applyFill="1" applyBorder="1" applyAlignment="1">
      <alignment horizontal="center" vertical="center"/>
    </xf>
    <xf numFmtId="0" fontId="33" fillId="9" borderId="150" xfId="4" applyFont="1" applyFill="1" applyBorder="1" applyAlignment="1">
      <alignment horizontal="center" vertical="center"/>
    </xf>
    <xf numFmtId="0" fontId="33" fillId="9" borderId="151" xfId="4" applyFont="1" applyFill="1" applyBorder="1" applyAlignment="1">
      <alignment horizontal="center" vertical="center"/>
    </xf>
    <xf numFmtId="0" fontId="33" fillId="9" borderId="147" xfId="4" applyFont="1" applyFill="1" applyBorder="1" applyAlignment="1">
      <alignment horizontal="center" vertical="center"/>
    </xf>
    <xf numFmtId="0" fontId="39" fillId="2" borderId="154" xfId="4" applyFont="1" applyFill="1" applyBorder="1" applyAlignment="1">
      <alignment horizontal="center"/>
    </xf>
    <xf numFmtId="0" fontId="39" fillId="2" borderId="52" xfId="4" applyFont="1" applyFill="1" applyBorder="1" applyAlignment="1">
      <alignment horizontal="center"/>
    </xf>
    <xf numFmtId="0" fontId="30" fillId="6" borderId="32" xfId="4" applyFont="1" applyFill="1" applyBorder="1" applyAlignment="1">
      <alignment horizontal="center" vertical="center" wrapText="1"/>
    </xf>
    <xf numFmtId="0" fontId="30" fillId="6" borderId="33" xfId="4" applyFont="1" applyFill="1" applyBorder="1" applyAlignment="1">
      <alignment horizontal="center" vertical="center" wrapText="1"/>
    </xf>
    <xf numFmtId="0" fontId="31" fillId="6" borderId="33" xfId="4" applyFont="1" applyFill="1" applyBorder="1" applyAlignment="1">
      <alignment horizontal="center" vertical="center" wrapText="1"/>
    </xf>
    <xf numFmtId="0" fontId="32" fillId="6" borderId="33" xfId="4" applyFont="1" applyFill="1" applyBorder="1" applyAlignment="1">
      <alignment horizontal="center" vertical="center" wrapText="1"/>
    </xf>
    <xf numFmtId="0" fontId="32" fillId="6" borderId="33" xfId="4" applyFont="1" applyFill="1" applyBorder="1" applyAlignment="1">
      <alignment horizontal="center" vertical="center"/>
    </xf>
    <xf numFmtId="0" fontId="32" fillId="6" borderId="34" xfId="4" applyFont="1" applyFill="1" applyBorder="1" applyAlignment="1">
      <alignment horizontal="center" vertical="center"/>
    </xf>
    <xf numFmtId="0" fontId="30" fillId="6" borderId="35" xfId="4" applyFont="1" applyFill="1" applyBorder="1" applyAlignment="1">
      <alignment horizontal="center" vertical="center" wrapText="1"/>
    </xf>
    <xf numFmtId="0" fontId="30" fillId="6" borderId="36" xfId="4" applyFont="1" applyFill="1" applyBorder="1" applyAlignment="1">
      <alignment horizontal="center" vertical="center"/>
    </xf>
    <xf numFmtId="0" fontId="30" fillId="6" borderId="135" xfId="4" applyFont="1" applyFill="1" applyBorder="1" applyAlignment="1">
      <alignment horizontal="center" vertical="center"/>
    </xf>
    <xf numFmtId="0" fontId="30" fillId="6" borderId="136" xfId="4" applyFont="1" applyFill="1" applyBorder="1" applyAlignment="1">
      <alignment horizontal="center" vertical="center"/>
    </xf>
    <xf numFmtId="0" fontId="33" fillId="6" borderId="37" xfId="4" applyFont="1" applyFill="1" applyBorder="1" applyAlignment="1">
      <alignment horizontal="center" vertical="center"/>
    </xf>
    <xf numFmtId="0" fontId="33" fillId="6" borderId="38" xfId="4" applyFont="1" applyFill="1" applyBorder="1" applyAlignment="1">
      <alignment horizontal="center" vertical="center"/>
    </xf>
    <xf numFmtId="0" fontId="33" fillId="6" borderId="35" xfId="4" applyFont="1" applyFill="1" applyBorder="1" applyAlignment="1">
      <alignment horizontal="center" vertical="center"/>
    </xf>
    <xf numFmtId="0" fontId="33" fillId="6" borderId="135" xfId="4" applyFont="1" applyFill="1" applyBorder="1" applyAlignment="1">
      <alignment horizontal="center" vertical="center"/>
    </xf>
    <xf numFmtId="0" fontId="33" fillId="6" borderId="39" xfId="4" applyFont="1" applyFill="1" applyBorder="1" applyAlignment="1">
      <alignment horizontal="center" vertical="center"/>
    </xf>
    <xf numFmtId="0" fontId="34" fillId="6" borderId="40" xfId="4" applyFont="1" applyFill="1" applyBorder="1" applyAlignment="1">
      <alignment horizontal="center" vertical="center"/>
    </xf>
    <xf numFmtId="0" fontId="34" fillId="6" borderId="137" xfId="4" applyFont="1" applyFill="1" applyBorder="1" applyAlignment="1">
      <alignment horizontal="center" vertical="center"/>
    </xf>
    <xf numFmtId="0" fontId="34" fillId="6" borderId="41" xfId="4" applyFont="1" applyFill="1" applyBorder="1" applyAlignment="1">
      <alignment horizontal="center" vertical="center"/>
    </xf>
    <xf numFmtId="0" fontId="34" fillId="6" borderId="139" xfId="4" applyFont="1" applyFill="1" applyBorder="1" applyAlignment="1">
      <alignment horizontal="center" vertical="center"/>
    </xf>
    <xf numFmtId="0" fontId="34" fillId="6" borderId="35" xfId="4" applyFont="1" applyFill="1" applyBorder="1" applyAlignment="1">
      <alignment horizontal="center" vertical="center"/>
    </xf>
    <xf numFmtId="0" fontId="34" fillId="6" borderId="135" xfId="4" applyFont="1" applyFill="1" applyBorder="1" applyAlignment="1">
      <alignment horizontal="center" vertical="center"/>
    </xf>
    <xf numFmtId="0" fontId="34" fillId="6" borderId="37" xfId="4" applyFont="1" applyFill="1" applyBorder="1" applyAlignment="1">
      <alignment horizontal="center" vertical="center"/>
    </xf>
    <xf numFmtId="0" fontId="34" fillId="6" borderId="42" xfId="4" applyFont="1" applyFill="1" applyBorder="1" applyAlignment="1">
      <alignment horizontal="center" vertical="center"/>
    </xf>
    <xf numFmtId="0" fontId="5" fillId="0" borderId="58" xfId="0" applyFont="1" applyBorder="1" applyAlignment="1">
      <alignment horizontal="center"/>
    </xf>
  </cellXfs>
  <cellStyles count="11">
    <cellStyle name="Hipervínculo" xfId="1" builtinId="8"/>
    <cellStyle name="Normal" xfId="0" builtinId="0"/>
    <cellStyle name="Normal 2" xfId="4" xr:uid="{00000000-0005-0000-0000-000002000000}"/>
    <cellStyle name="Normal 2 2" xfId="7" xr:uid="{00000000-0005-0000-0000-000003000000}"/>
    <cellStyle name="Normal 3" xfId="10" xr:uid="{9001E1BB-382F-4431-9FC8-F16A2A62940E}"/>
    <cellStyle name="Normal 4" xfId="2" xr:uid="{00000000-0005-0000-0000-000004000000}"/>
    <cellStyle name="Normal 6" xfId="9" xr:uid="{00000000-0005-0000-0000-000005000000}"/>
    <cellStyle name="Normal_BASE 235+000-236+000 .35" xfId="5" xr:uid="{00000000-0005-0000-0000-000006000000}"/>
    <cellStyle name="Normal_ENSAYOS" xfId="3" xr:uid="{00000000-0005-0000-0000-000007000000}"/>
    <cellStyle name="Normal_L004 E115 Densidad - Humedad" xfId="6" xr:uid="{00000000-0005-0000-0000-000008000000}"/>
    <cellStyle name="Normal_Produc. 07-09-99 2" xfId="8" xr:uid="{00000000-0005-0000-0000-000009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CURVA DE COMPACTACIÓN</a:t>
            </a:r>
          </a:p>
        </c:rich>
      </c:tx>
      <c:layout>
        <c:manualLayout>
          <c:xMode val="edge"/>
          <c:yMode val="edge"/>
          <c:x val="0.42416512692538577"/>
          <c:y val="2.05689283654734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658008591216748"/>
          <c:y val="0.10491803278688526"/>
          <c:w val="0.78438732899929675"/>
          <c:h val="0.68524590163934462"/>
        </c:manualLayout>
      </c:layout>
      <c:scatterChart>
        <c:scatterStyle val="smoothMarker"/>
        <c:varyColors val="0"/>
        <c:ser>
          <c:idx val="0"/>
          <c:order val="1"/>
          <c:tx>
            <c:v>Curva Compactacion</c:v>
          </c:tx>
          <c:spPr>
            <a:ln>
              <a:noFill/>
            </a:ln>
          </c:spPr>
          <c:marker>
            <c:symbol val="diamond"/>
            <c:size val="6"/>
            <c:spPr>
              <a:solidFill>
                <a:srgbClr val="000080"/>
              </a:solidFill>
              <a:ln>
                <a:noFill/>
                <a:prstDash val="solid"/>
              </a:ln>
            </c:spPr>
          </c:marker>
          <c:trendline>
            <c:spPr>
              <a:ln w="28575">
                <a:solidFill>
                  <a:srgbClr val="FF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Proctor!$F$40:$I$40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DATOS!$F$44:$I$44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9D-4DAC-A50E-A6C7595CA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818880"/>
        <c:axId val="141997568"/>
      </c:scatterChart>
      <c:scatterChart>
        <c:scatterStyle val="lineMarker"/>
        <c:varyColors val="0"/>
        <c:ser>
          <c:idx val="1"/>
          <c:order val="0"/>
          <c:spPr>
            <a:ln w="25400">
              <a:solidFill>
                <a:srgbClr val="0070C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70C0"/>
              </a:solidFill>
              <a:ln w="9525">
                <a:noFill/>
              </a:ln>
            </c:spPr>
          </c:marker>
          <c:xVal>
            <c:numRef>
              <c:f>Proctor!$O$50:$O$52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Proctor!$N$50:$N$52</c:f>
              <c:numCache>
                <c:formatCode>0.000</c:formatCode>
                <c:ptCount val="3"/>
                <c:pt idx="0" formatCode="0.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9D-4DAC-A50E-A6C7595CA7AB}"/>
            </c:ext>
          </c:extLst>
        </c:ser>
        <c:ser>
          <c:idx val="2"/>
          <c:order val="2"/>
          <c:tx>
            <c:v>saturacion</c:v>
          </c:tx>
          <c:spPr>
            <a:ln w="12700" cmpd="sng"/>
          </c:spPr>
          <c:marker>
            <c:spPr>
              <a:ln>
                <a:round/>
              </a:ln>
            </c:spPr>
          </c:marker>
          <c:xVal>
            <c:numRef>
              <c:f>DATOS!$L$43:$L$46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DATOS!$K$43:$K$46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72-40B9-AC90-44769DF53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818880"/>
        <c:axId val="141997568"/>
      </c:scatterChart>
      <c:valAx>
        <c:axId val="141818880"/>
        <c:scaling>
          <c:orientation val="minMax"/>
          <c:max val="18"/>
          <c:min val="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Contenido Agua (%)</a:t>
                </a:r>
              </a:p>
            </c:rich>
          </c:tx>
          <c:layout>
            <c:manualLayout>
              <c:xMode val="edge"/>
              <c:yMode val="edge"/>
              <c:x val="0.40026416515966651"/>
              <c:y val="0.8786884951500988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41997568"/>
        <c:crosses val="autoZero"/>
        <c:crossBetween val="midCat"/>
        <c:majorUnit val="2"/>
        <c:minorUnit val="1"/>
      </c:valAx>
      <c:valAx>
        <c:axId val="141997568"/>
        <c:scaling>
          <c:orientation val="minMax"/>
          <c:max val="24"/>
          <c:min val="1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PE" sz="800" b="1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Peso Unitario seco (kN/m</a:t>
                </a:r>
                <a:r>
                  <a:rPr lang="es-PE" sz="800" b="1" i="0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  <a:r>
                  <a:rPr lang="es-PE" sz="800" b="1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4.4609665427509292E-2"/>
              <c:y val="0.2065573770491803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41818880"/>
        <c:crossesAt val="1"/>
        <c:crossBetween val="midCat"/>
        <c:majorUnit val="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14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644" r="0.75000000000000644" t="1" header="0" footer="0"/>
    <c:pageSetup paperSize="9" orientation="landscape" horizontalDpi="300" verticalDpi="3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Proctor Modificado</a:t>
            </a:r>
            <a:endParaRPr lang="en-US" sz="1050" b="1" u="sng"/>
          </a:p>
        </c:rich>
      </c:tx>
      <c:layout>
        <c:manualLayout>
          <c:xMode val="edge"/>
          <c:yMode val="edge"/>
          <c:x val="0.31751633475145785"/>
          <c:y val="4.3509489269921639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Incertidumbre!$B$77:$B$80</c:f>
              <c:strCache>
                <c:ptCount val="4"/>
                <c:pt idx="0">
                  <c:v>Masa molde + Suelo Humedo</c:v>
                </c:pt>
                <c:pt idx="1">
                  <c:v>Masa Molde </c:v>
                </c:pt>
                <c:pt idx="2">
                  <c:v>Volumen del Molde</c:v>
                </c:pt>
                <c:pt idx="3">
                  <c:v>factor de presición MDS</c:v>
                </c:pt>
              </c:strCache>
            </c:strRef>
          </c:cat>
          <c:val>
            <c:numRef>
              <c:f>Incertidumbre!$D$77:$D$80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3-4421-97BD-FEA993D84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560320"/>
        <c:axId val="145561856"/>
      </c:barChart>
      <c:catAx>
        <c:axId val="14556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45561856"/>
        <c:crosses val="autoZero"/>
        <c:auto val="1"/>
        <c:lblAlgn val="ctr"/>
        <c:lblOffset val="100"/>
        <c:noMultiLvlLbl val="0"/>
      </c:catAx>
      <c:valAx>
        <c:axId val="145561856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455603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595473833097593E-2"/>
          <c:y val="0.25668449197860965"/>
          <c:w val="0.84158415841584155"/>
          <c:h val="0.63903743315508021"/>
        </c:manualLayout>
      </c:layout>
      <c:scatterChart>
        <c:scatterStyle val="lineMarker"/>
        <c:varyColors val="0"/>
        <c:ser>
          <c:idx val="2"/>
          <c:order val="0"/>
          <c:tx>
            <c:strRef>
              <c:f>A.Granul!$C$19</c:f>
              <c:strCache>
                <c:ptCount val="1"/>
                <c:pt idx="0">
                  <c:v>M-1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A.Granul!$O$18:$O$35</c:f>
              <c:numCache>
                <c:formatCode>General</c:formatCode>
                <c:ptCount val="18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2.36</c:v>
                </c:pt>
                <c:pt idx="11">
                  <c:v>2</c:v>
                </c:pt>
                <c:pt idx="12">
                  <c:v>1.19</c:v>
                </c:pt>
                <c:pt idx="13">
                  <c:v>0.6</c:v>
                </c:pt>
                <c:pt idx="14">
                  <c:v>0.42</c:v>
                </c:pt>
                <c:pt idx="15">
                  <c:v>0.3</c:v>
                </c:pt>
                <c:pt idx="16">
                  <c:v>0.14899999999999999</c:v>
                </c:pt>
                <c:pt idx="17">
                  <c:v>7.3999999999999996E-2</c:v>
                </c:pt>
              </c:numCache>
            </c:numRef>
          </c:xVal>
          <c:yVal>
            <c:numRef>
              <c:f>A.Granul!$S$18:$S$35</c:f>
              <c:numCache>
                <c:formatCode>0.0</c:formatCode>
                <c:ptCount val="18"/>
                <c:pt idx="0">
                  <c:v>100</c:v>
                </c:pt>
                <c:pt idx="1">
                  <c:v>100</c:v>
                </c:pt>
                <c:pt idx="2">
                  <c:v>96.737365729020368</c:v>
                </c:pt>
                <c:pt idx="3">
                  <c:v>90.324022891039832</c:v>
                </c:pt>
                <c:pt idx="4">
                  <c:v>84.873241107276272</c:v>
                </c:pt>
                <c:pt idx="5">
                  <c:v>73.456819301447041</c:v>
                </c:pt>
                <c:pt idx="6">
                  <c:v>66.310363102405887</c:v>
                </c:pt>
                <c:pt idx="7">
                  <c:v>62.661585152699679</c:v>
                </c:pt>
                <c:pt idx="8">
                  <c:v>57.753643033232898</c:v>
                </c:pt>
                <c:pt idx="9">
                  <c:v>54.211194502306476</c:v>
                </c:pt>
                <c:pt idx="10">
                  <c:v>49.032616067382399</c:v>
                </c:pt>
                <c:pt idx="11">
                  <c:v>47.356367351557068</c:v>
                </c:pt>
                <c:pt idx="12">
                  <c:v>40.351707913359583</c:v>
                </c:pt>
                <c:pt idx="13">
                  <c:v>31.408593256302638</c:v>
                </c:pt>
                <c:pt idx="14">
                  <c:v>27.175831135894526</c:v>
                </c:pt>
                <c:pt idx="15">
                  <c:v>23.785875632381845</c:v>
                </c:pt>
                <c:pt idx="16">
                  <c:v>17.820677688355374</c:v>
                </c:pt>
                <c:pt idx="17">
                  <c:v>13.456812316430202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84-4F54-B9C4-7251D95801C4}"/>
            </c:ext>
          </c:extLst>
        </c:ser>
        <c:ser>
          <c:idx val="0"/>
          <c:order val="1"/>
          <c:tx>
            <c:v>Max</c:v>
          </c:tx>
          <c:spPr>
            <a:ln w="25400">
              <a:solidFill>
                <a:schemeClr val="tx1"/>
              </a:solidFill>
            </a:ln>
          </c:spPr>
          <c:marker>
            <c:symbol val="diamond"/>
            <c:size val="2"/>
            <c:spPr>
              <a:ln>
                <a:solidFill>
                  <a:schemeClr val="tx1"/>
                </a:solidFill>
              </a:ln>
            </c:spPr>
          </c:marker>
          <c:xVal>
            <c:numRef>
              <c:f>(A.Granul!$O$20,A.Granul!$O$21,A.Granul!$O$22,A.Granul!$O$23,A.Granul!$O$25,A.Granul!$O$27,A.Granul!$O$29,A.Granul!$O$32,A.Granul!$O$35)</c:f>
              <c:numCache>
                <c:formatCode>General</c:formatCode>
                <c:ptCount val="9"/>
                <c:pt idx="0">
                  <c:v>50.6</c:v>
                </c:pt>
                <c:pt idx="1">
                  <c:v>38.1</c:v>
                </c:pt>
                <c:pt idx="2">
                  <c:v>25.4</c:v>
                </c:pt>
                <c:pt idx="3">
                  <c:v>19.05</c:v>
                </c:pt>
                <c:pt idx="4">
                  <c:v>9.5250000000000004</c:v>
                </c:pt>
                <c:pt idx="5">
                  <c:v>4.76</c:v>
                </c:pt>
                <c:pt idx="6">
                  <c:v>2</c:v>
                </c:pt>
                <c:pt idx="7">
                  <c:v>0.42</c:v>
                </c:pt>
                <c:pt idx="8">
                  <c:v>7.3999999999999996E-2</c:v>
                </c:pt>
              </c:numCache>
            </c:numRef>
          </c:xVal>
          <c:yVal>
            <c:numRef>
              <c:f>(A.Granul!$U$20,A.Granul!$U$21,A.Granul!$V$22,A.Granul!$V$23,A.Granul!$V$25,A.Granul!$V$27,A.Granul!$V$29,A.Granul!$V$32,A.Granul!$V$35)</c:f>
              <c:numCache>
                <c:formatCode>0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80</c:v>
                </c:pt>
                <c:pt idx="5">
                  <c:v>65</c:v>
                </c:pt>
                <c:pt idx="6">
                  <c:v>52</c:v>
                </c:pt>
                <c:pt idx="7">
                  <c:v>35</c:v>
                </c:pt>
                <c:pt idx="8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65-4321-8D46-52346E61752D}"/>
            </c:ext>
          </c:extLst>
        </c:ser>
        <c:ser>
          <c:idx val="1"/>
          <c:order val="2"/>
          <c:tx>
            <c:v>Min</c:v>
          </c:tx>
          <c:spPr>
            <a:ln w="25400">
              <a:solidFill>
                <a:schemeClr val="tx1"/>
              </a:solidFill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marker>
            <c:symbol val="diamond"/>
            <c:size val="2"/>
            <c:spPr>
              <a:solidFill>
                <a:schemeClr val="tx1"/>
              </a:solidFill>
              <a:ln w="1905" cap="rnd">
                <a:solidFill>
                  <a:schemeClr val="tx1"/>
                </a:solidFill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marker>
          <c:xVal>
            <c:numRef>
              <c:f>(A.Granul!$O$20,A.Granul!$O$21,A.Granul!$O$22,A.Granul!$O$23,A.Granul!$O$25,A.Granul!$O$27,A.Granul!$O$29,A.Granul!$O$32,A.Granul!$O$35)</c:f>
              <c:numCache>
                <c:formatCode>General</c:formatCode>
                <c:ptCount val="9"/>
                <c:pt idx="0">
                  <c:v>50.6</c:v>
                </c:pt>
                <c:pt idx="1">
                  <c:v>38.1</c:v>
                </c:pt>
                <c:pt idx="2">
                  <c:v>25.4</c:v>
                </c:pt>
                <c:pt idx="3">
                  <c:v>19.05</c:v>
                </c:pt>
                <c:pt idx="4">
                  <c:v>9.5250000000000004</c:v>
                </c:pt>
                <c:pt idx="5">
                  <c:v>4.76</c:v>
                </c:pt>
                <c:pt idx="6">
                  <c:v>2</c:v>
                </c:pt>
                <c:pt idx="7">
                  <c:v>0.42</c:v>
                </c:pt>
                <c:pt idx="8">
                  <c:v>7.3999999999999996E-2</c:v>
                </c:pt>
              </c:numCache>
            </c:numRef>
          </c:xVal>
          <c:yVal>
            <c:numRef>
              <c:f>(A.Granul!$U$20,A.Granul!$U$21,A.Granul!$T$22,A.Granul!$T$23,A.Granul!$T$25,A.Granul!$T$27,A.Granul!$T$29,A.Granul!$T$32,A.Granul!$T$35)</c:f>
              <c:numCache>
                <c:formatCode>0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90</c:v>
                </c:pt>
                <c:pt idx="3">
                  <c:v>65</c:v>
                </c:pt>
                <c:pt idx="4">
                  <c:v>45</c:v>
                </c:pt>
                <c:pt idx="5">
                  <c:v>30</c:v>
                </c:pt>
                <c:pt idx="6">
                  <c:v>22</c:v>
                </c:pt>
                <c:pt idx="7">
                  <c:v>15</c:v>
                </c:pt>
                <c:pt idx="8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65-4321-8D46-52346E617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788096"/>
        <c:axId val="182790784"/>
      </c:scatterChart>
      <c:valAx>
        <c:axId val="182788096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s-PE"/>
                  <a:t>Diametro de las partículas (mm)</a:t>
                </a:r>
              </a:p>
            </c:rich>
          </c:tx>
          <c:layout>
            <c:manualLayout>
              <c:xMode val="edge"/>
              <c:yMode val="edge"/>
              <c:x val="0.39745403111739747"/>
              <c:y val="0.94117647058823528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82790784"/>
        <c:crosses val="autoZero"/>
        <c:crossBetween val="midCat"/>
      </c:valAx>
      <c:valAx>
        <c:axId val="182790784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s-PE"/>
                  <a:t>% que pasa</a:t>
                </a:r>
              </a:p>
            </c:rich>
          </c:tx>
          <c:layout>
            <c:manualLayout>
              <c:xMode val="edge"/>
              <c:yMode val="edge"/>
              <c:x val="1.1315417256011316E-2"/>
              <c:y val="0.4117647058823529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82788096"/>
        <c:crossesAt val="0.01"/>
        <c:crossBetween val="midCat"/>
        <c:majorUnit val="20"/>
        <c:minorUnit val="4"/>
      </c:valAx>
      <c:spPr>
        <a:noFill/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>
      <c:oddHeader>&amp;A</c:oddHeader>
      <c:oddFooter>Página &amp;P</c:oddFooter>
    </c:headerFooter>
    <c:pageMargins b="1" l="0.75" r="0.75" t="1" header="0.511811024" footer="0.511811024"/>
    <c:pageSetup paperSize="9" orientation="landscape" horizontalDpi="360" verticalDpi="36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DETERMINACION DE LIMITE LIQUIDO</a:t>
            </a:r>
          </a:p>
        </c:rich>
      </c:tx>
      <c:layout>
        <c:manualLayout>
          <c:xMode val="edge"/>
          <c:yMode val="edge"/>
          <c:x val="0.25085982808849927"/>
          <c:y val="2.77777777777783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776681891248841"/>
          <c:y val="0.11111171393073969"/>
          <c:w val="0.76976203340460092"/>
          <c:h val="0.75000406903249262"/>
        </c:manualLayout>
      </c:layout>
      <c:scatterChart>
        <c:scatterStyle val="lineMarker"/>
        <c:varyColors val="0"/>
        <c:ser>
          <c:idx val="1"/>
          <c:order val="0"/>
          <c:tx>
            <c:v>C.l.l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FF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FF"/>
                </a:solidFill>
                <a:prstDash val="solid"/>
              </a:ln>
            </c:spPr>
            <c:trendlineType val="log"/>
            <c:forward val="2"/>
            <c:backward val="0.5"/>
            <c:dispRSqr val="0"/>
            <c:dispEq val="0"/>
          </c:trendline>
          <c:xVal>
            <c:numRef>
              <c:f>'LL-LP'!$N$36:$N$38</c:f>
            </c:numRef>
          </c:xVal>
          <c:yVal>
            <c:numRef>
              <c:f>'LL-LP'!$O$36:$O$38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69-44BC-9880-CD723C1A6591}"/>
            </c:ext>
          </c:extLst>
        </c:ser>
        <c:ser>
          <c:idx val="0"/>
          <c:order val="1"/>
          <c:tx>
            <c:v>eje l.l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'LL-LP'!$N$39:$N$41</c:f>
              <c:numCache>
                <c:formatCode>General</c:formatCode>
                <c:ptCount val="3"/>
                <c:pt idx="0">
                  <c:v>25</c:v>
                </c:pt>
                <c:pt idx="1">
                  <c:v>25</c:v>
                </c:pt>
                <c:pt idx="2">
                  <c:v>10</c:v>
                </c:pt>
              </c:numCache>
            </c:numRef>
          </c:xVal>
          <c:yVal>
            <c:numRef>
              <c:f>'LL-LP'!$O$39:$O$41</c:f>
              <c:numCache>
                <c:formatCode>0.0</c:formatCode>
                <c:ptCount val="3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69-44BC-9880-CD723C1A6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913984"/>
        <c:axId val="239970560"/>
      </c:scatterChart>
      <c:valAx>
        <c:axId val="239913984"/>
        <c:scaling>
          <c:logBase val="10"/>
          <c:orientation val="minMax"/>
          <c:max val="100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144474208765639"/>
              <c:y val="0.8833379994167331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39970560"/>
        <c:crosses val="autoZero"/>
        <c:crossBetween val="midCat"/>
        <c:majorUnit val="10"/>
        <c:minorUnit val="10"/>
      </c:valAx>
      <c:valAx>
        <c:axId val="239970560"/>
        <c:scaling>
          <c:orientation val="minMax"/>
          <c:max val="27"/>
          <c:min val="2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FFFFFF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% de Humedad</a:t>
                </a:r>
              </a:p>
            </c:rich>
          </c:tx>
          <c:layout>
            <c:manualLayout>
              <c:xMode val="edge"/>
              <c:yMode val="edge"/>
              <c:x val="1.7182130584192441E-2"/>
              <c:y val="0.3055573053368356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39913984"/>
        <c:crosses val="autoZero"/>
        <c:crossBetween val="midCat"/>
        <c:majorUnit val="1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511" r="0.75000000000000511" t="1" header="0" footer="0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4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chart" Target="../charts/chart2.xml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55</xdr:row>
      <xdr:rowOff>692</xdr:rowOff>
    </xdr:from>
    <xdr:to>
      <xdr:col>8</xdr:col>
      <xdr:colOff>904875</xdr:colOff>
      <xdr:row>55</xdr:row>
      <xdr:rowOff>692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>
          <a:cxnSpLocks noChangeShapeType="1"/>
        </xdr:cNvCxnSpPr>
      </xdr:nvCxnSpPr>
      <xdr:spPr bwMode="auto">
        <a:xfrm flipV="1">
          <a:off x="30480" y="12032672"/>
          <a:ext cx="762571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502226</xdr:colOff>
      <xdr:row>49</xdr:row>
      <xdr:rowOff>51954</xdr:rowOff>
    </xdr:from>
    <xdr:to>
      <xdr:col>5</xdr:col>
      <xdr:colOff>320386</xdr:colOff>
      <xdr:row>53</xdr:row>
      <xdr:rowOff>5368</xdr:rowOff>
    </xdr:to>
    <xdr:sp macro="" textlink="">
      <xdr:nvSpPr>
        <xdr:cNvPr id="3" name="15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622366" y="11032374"/>
          <a:ext cx="2279420" cy="76875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
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5</xdr:col>
      <xdr:colOff>405416</xdr:colOff>
      <xdr:row>49</xdr:row>
      <xdr:rowOff>53859</xdr:rowOff>
    </xdr:from>
    <xdr:to>
      <xdr:col>7</xdr:col>
      <xdr:colOff>639064</xdr:colOff>
      <xdr:row>53</xdr:row>
      <xdr:rowOff>5368</xdr:rowOff>
    </xdr:to>
    <xdr:sp macro="" textlink="">
      <xdr:nvSpPr>
        <xdr:cNvPr id="4" name="15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986816" y="11034279"/>
          <a:ext cx="2352008" cy="766849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
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 editAs="oneCell">
    <xdr:from>
      <xdr:col>3</xdr:col>
      <xdr:colOff>600075</xdr:colOff>
      <xdr:row>0</xdr:row>
      <xdr:rowOff>76200</xdr:rowOff>
    </xdr:from>
    <xdr:to>
      <xdr:col>5</xdr:col>
      <xdr:colOff>971550</xdr:colOff>
      <xdr:row>3</xdr:row>
      <xdr:rowOff>186204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76200"/>
          <a:ext cx="1390650" cy="82437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42</xdr:row>
      <xdr:rowOff>161927</xdr:rowOff>
    </xdr:from>
    <xdr:to>
      <xdr:col>8</xdr:col>
      <xdr:colOff>807720</xdr:colOff>
      <xdr:row>59</xdr:row>
      <xdr:rowOff>61134</xdr:rowOff>
    </xdr:to>
    <xdr:graphicFrame macro="">
      <xdr:nvGraphicFramePr>
        <xdr:cNvPr id="33" name="Chart 3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476248</xdr:colOff>
      <xdr:row>55</xdr:row>
      <xdr:rowOff>57148</xdr:rowOff>
    </xdr:from>
    <xdr:to>
      <xdr:col>9</xdr:col>
      <xdr:colOff>60974</xdr:colOff>
      <xdr:row>62</xdr:row>
      <xdr:rowOff>36689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4565648" y="10496548"/>
          <a:ext cx="1451626" cy="1135241"/>
        </a:xfrm>
        <a:prstGeom prst="rect">
          <a:avLst/>
        </a:prstGeom>
      </xdr:spPr>
    </xdr:pic>
    <xdr:clientData/>
  </xdr:twoCellAnchor>
  <xdr:twoCellAnchor editAs="oneCell">
    <xdr:from>
      <xdr:col>6</xdr:col>
      <xdr:colOff>174628</xdr:colOff>
      <xdr:row>98</xdr:row>
      <xdr:rowOff>160340</xdr:rowOff>
    </xdr:from>
    <xdr:to>
      <xdr:col>7</xdr:col>
      <xdr:colOff>651883</xdr:colOff>
      <xdr:row>98</xdr:row>
      <xdr:rowOff>1241933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362328" y="19165890"/>
          <a:ext cx="1378955" cy="1081593"/>
        </a:xfrm>
        <a:prstGeom prst="rect">
          <a:avLst/>
        </a:prstGeom>
      </xdr:spPr>
    </xdr:pic>
    <xdr:clientData/>
  </xdr:twoCellAnchor>
  <xdr:twoCellAnchor>
    <xdr:from>
      <xdr:col>9</xdr:col>
      <xdr:colOff>85390</xdr:colOff>
      <xdr:row>98</xdr:row>
      <xdr:rowOff>222250</xdr:rowOff>
    </xdr:from>
    <xdr:to>
      <xdr:col>11</xdr:col>
      <xdr:colOff>760078</xdr:colOff>
      <xdr:row>98</xdr:row>
      <xdr:rowOff>1242787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6041690" y="19227800"/>
          <a:ext cx="1119188" cy="1020537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7</xdr:col>
      <xdr:colOff>755650</xdr:colOff>
      <xdr:row>98</xdr:row>
      <xdr:rowOff>241300</xdr:rowOff>
    </xdr:from>
    <xdr:to>
      <xdr:col>8</xdr:col>
      <xdr:colOff>913183</xdr:colOff>
      <xdr:row>99</xdr:row>
      <xdr:rowOff>92173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845050" y="1924685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82550</xdr:colOff>
      <xdr:row>55</xdr:row>
      <xdr:rowOff>12700</xdr:rowOff>
    </xdr:from>
    <xdr:to>
      <xdr:col>11</xdr:col>
      <xdr:colOff>735383</xdr:colOff>
      <xdr:row>61</xdr:row>
      <xdr:rowOff>117573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6038850" y="1049020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0.49902</cdr:x>
      <cdr:y>0.5</cdr:y>
    </cdr:from>
    <cdr:to>
      <cdr:x>0.56232</cdr:x>
      <cdr:y>0.58464</cdr:y>
    </cdr:to>
    <cdr:sp macro="" textlink="">
      <cdr:nvSpPr>
        <cdr:cNvPr id="1945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565124" y="1460500"/>
          <a:ext cx="324998" cy="2466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304800</xdr:colOff>
      <xdr:row>23</xdr:row>
      <xdr:rowOff>38100</xdr:rowOff>
    </xdr:from>
    <xdr:ext cx="104775" cy="200025"/>
    <xdr:sp macro="" textlink="">
      <xdr:nvSpPr>
        <xdr:cNvPr id="7" name="Text Box 28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4</xdr:col>
      <xdr:colOff>392641</xdr:colOff>
      <xdr:row>74</xdr:row>
      <xdr:rowOff>6352</xdr:rowOff>
    </xdr:from>
    <xdr:to>
      <xdr:col>11</xdr:col>
      <xdr:colOff>642408</xdr:colOff>
      <xdr:row>82</xdr:row>
      <xdr:rowOff>6350</xdr:rowOff>
    </xdr:to>
    <xdr:graphicFrame macro="">
      <xdr:nvGraphicFramePr>
        <xdr:cNvPr id="24" name="4 Gráfico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550334</xdr:colOff>
      <xdr:row>11</xdr:row>
      <xdr:rowOff>158749</xdr:rowOff>
    </xdr:from>
    <xdr:to>
      <xdr:col>9</xdr:col>
      <xdr:colOff>857250</xdr:colOff>
      <xdr:row>15</xdr:row>
      <xdr:rowOff>63500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77667" y="3037416"/>
          <a:ext cx="1778000" cy="666751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5</xdr:col>
      <xdr:colOff>783167</xdr:colOff>
      <xdr:row>11</xdr:row>
      <xdr:rowOff>137583</xdr:rowOff>
    </xdr:from>
    <xdr:to>
      <xdr:col>7</xdr:col>
      <xdr:colOff>179917</xdr:colOff>
      <xdr:row>16</xdr:row>
      <xdr:rowOff>31750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32500" y="3016250"/>
          <a:ext cx="1174750" cy="846667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861060</xdr:colOff>
          <xdr:row>16</xdr:row>
          <xdr:rowOff>175260</xdr:rowOff>
        </xdr:from>
        <xdr:to>
          <xdr:col>8</xdr:col>
          <xdr:colOff>457200</xdr:colOff>
          <xdr:row>20</xdr:row>
          <xdr:rowOff>38100</xdr:rowOff>
        </xdr:to>
        <xdr:sp macro="" textlink="">
          <xdr:nvSpPr>
            <xdr:cNvPr id="8197" name="Object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3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190500</xdr:colOff>
      <xdr:row>23</xdr:row>
      <xdr:rowOff>84668</xdr:rowOff>
    </xdr:from>
    <xdr:to>
      <xdr:col>8</xdr:col>
      <xdr:colOff>232833</xdr:colOff>
      <xdr:row>33</xdr:row>
      <xdr:rowOff>255486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92083" y="5185835"/>
          <a:ext cx="3683000" cy="19594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52917</xdr:rowOff>
    </xdr:from>
    <xdr:to>
      <xdr:col>3</xdr:col>
      <xdr:colOff>884490</xdr:colOff>
      <xdr:row>33</xdr:row>
      <xdr:rowOff>232834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344584"/>
          <a:ext cx="4080657" cy="1778000"/>
        </a:xfrm>
        <a:prstGeom prst="rect">
          <a:avLst/>
        </a:prstGeom>
      </xdr:spPr>
    </xdr:pic>
    <xdr:clientData/>
  </xdr:twoCellAnchor>
  <xdr:twoCellAnchor>
    <xdr:from>
      <xdr:col>0</xdr:col>
      <xdr:colOff>994835</xdr:colOff>
      <xdr:row>0</xdr:row>
      <xdr:rowOff>31750</xdr:rowOff>
    </xdr:from>
    <xdr:to>
      <xdr:col>1</xdr:col>
      <xdr:colOff>243418</xdr:colOff>
      <xdr:row>3</xdr:row>
      <xdr:rowOff>119862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4835" y="31750"/>
          <a:ext cx="941916" cy="5643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723901</xdr:colOff>
      <xdr:row>2</xdr:row>
      <xdr:rowOff>19050</xdr:rowOff>
    </xdr:from>
    <xdr:to>
      <xdr:col>26</xdr:col>
      <xdr:colOff>628651</xdr:colOff>
      <xdr:row>5</xdr:row>
      <xdr:rowOff>152400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30476" y="342900"/>
          <a:ext cx="6000750" cy="619125"/>
        </a:xfrm>
        <a:prstGeom prst="rect">
          <a:avLst/>
        </a:prstGeom>
      </xdr:spPr>
    </xdr:pic>
    <xdr:clientData/>
  </xdr:twoCellAnchor>
  <xdr:twoCellAnchor editAs="oneCell">
    <xdr:from>
      <xdr:col>10</xdr:col>
      <xdr:colOff>733425</xdr:colOff>
      <xdr:row>2</xdr:row>
      <xdr:rowOff>28576</xdr:rowOff>
    </xdr:from>
    <xdr:to>
      <xdr:col>18</xdr:col>
      <xdr:colOff>438150</xdr:colOff>
      <xdr:row>6</xdr:row>
      <xdr:rowOff>19050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34475" y="352426"/>
          <a:ext cx="5810250" cy="638174"/>
        </a:xfrm>
        <a:prstGeom prst="rect">
          <a:avLst/>
        </a:prstGeom>
      </xdr:spPr>
    </xdr:pic>
    <xdr:clientData/>
  </xdr:twoCellAnchor>
  <xdr:twoCellAnchor editAs="oneCell">
    <xdr:from>
      <xdr:col>0</xdr:col>
      <xdr:colOff>676275</xdr:colOff>
      <xdr:row>2</xdr:row>
      <xdr:rowOff>28575</xdr:rowOff>
    </xdr:from>
    <xdr:to>
      <xdr:col>7</xdr:col>
      <xdr:colOff>914400</xdr:colOff>
      <xdr:row>5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6275" y="352425"/>
          <a:ext cx="5753100" cy="5810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537960</xdr:colOff>
      <xdr:row>50</xdr:row>
      <xdr:rowOff>159326</xdr:rowOff>
    </xdr:from>
    <xdr:to>
      <xdr:col>6</xdr:col>
      <xdr:colOff>342935</xdr:colOff>
      <xdr:row>57</xdr:row>
      <xdr:rowOff>5195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4" t="64489" r="69384" b="22538"/>
        <a:stretch/>
      </xdr:blipFill>
      <xdr:spPr>
        <a:xfrm rot="170050">
          <a:off x="3488978" y="9240981"/>
          <a:ext cx="1183502" cy="1328305"/>
        </a:xfrm>
        <a:prstGeom prst="rect">
          <a:avLst/>
        </a:prstGeom>
      </xdr:spPr>
    </xdr:pic>
    <xdr:clientData/>
  </xdr:twoCellAnchor>
  <xdr:twoCellAnchor editAs="oneCell">
    <xdr:from>
      <xdr:col>6</xdr:col>
      <xdr:colOff>545550</xdr:colOff>
      <xdr:row>50</xdr:row>
      <xdr:rowOff>131617</xdr:rowOff>
    </xdr:from>
    <xdr:to>
      <xdr:col>9</xdr:col>
      <xdr:colOff>830943</xdr:colOff>
      <xdr:row>57</xdr:row>
      <xdr:rowOff>38099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30" t="64015" r="40917" b="22538"/>
        <a:stretch/>
      </xdr:blipFill>
      <xdr:spPr>
        <a:xfrm rot="159096">
          <a:off x="4875095" y="9213272"/>
          <a:ext cx="1594648" cy="1388918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200025</xdr:colOff>
      <xdr:row>118</xdr:row>
      <xdr:rowOff>108744</xdr:rowOff>
    </xdr:from>
    <xdr:to>
      <xdr:col>17</xdr:col>
      <xdr:colOff>225708</xdr:colOff>
      <xdr:row>121</xdr:row>
      <xdr:rowOff>57069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00925" y="30024864"/>
          <a:ext cx="4582443" cy="474105"/>
        </a:xfrm>
        <a:prstGeom prst="rect">
          <a:avLst/>
        </a:prstGeom>
      </xdr:spPr>
    </xdr:pic>
    <xdr:clientData/>
  </xdr:twoCellAnchor>
  <xdr:twoCellAnchor editAs="oneCell">
    <xdr:from>
      <xdr:col>23</xdr:col>
      <xdr:colOff>200025</xdr:colOff>
      <xdr:row>118</xdr:row>
      <xdr:rowOff>108744</xdr:rowOff>
    </xdr:from>
    <xdr:to>
      <xdr:col>31</xdr:col>
      <xdr:colOff>18093</xdr:colOff>
      <xdr:row>121</xdr:row>
      <xdr:rowOff>57069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00145" y="30024864"/>
          <a:ext cx="4572949" cy="4741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38</xdr:row>
      <xdr:rowOff>114301</xdr:rowOff>
    </xdr:from>
    <xdr:to>
      <xdr:col>10</xdr:col>
      <xdr:colOff>763905</xdr:colOff>
      <xdr:row>55</xdr:row>
      <xdr:rowOff>53341</xdr:rowOff>
    </xdr:to>
    <xdr:sp macro="" textlink="">
      <xdr:nvSpPr>
        <xdr:cNvPr id="35" name="Rectángulo 39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>
          <a:spLocks noChangeArrowheads="1"/>
        </xdr:cNvSpPr>
      </xdr:nvSpPr>
      <xdr:spPr bwMode="auto">
        <a:xfrm>
          <a:off x="129540" y="6758941"/>
          <a:ext cx="6296025" cy="2781300"/>
        </a:xfrm>
        <a:prstGeom prst="roundRect">
          <a:avLst>
            <a:gd name="adj" fmla="val 16667"/>
          </a:avLst>
        </a:prstGeom>
        <a:ln w="9525">
          <a:headEnd/>
          <a:tailEnd/>
        </a:ln>
        <a:extLst>
          <a:ext uri="{53640926-AAD7-44D8-BBD7-CCE9431645EC}">
            <a14:shadowObscured xmlns:a14="http://schemas.microsoft.com/office/drawing/2010/main" val="1"/>
          </a:ext>
        </a:ex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2</xdr:col>
      <xdr:colOff>413385</xdr:colOff>
      <xdr:row>0</xdr:row>
      <xdr:rowOff>83820</xdr:rowOff>
    </xdr:from>
    <xdr:to>
      <xdr:col>8</xdr:col>
      <xdr:colOff>276225</xdr:colOff>
      <xdr:row>4</xdr:row>
      <xdr:rowOff>102870</xdr:rowOff>
    </xdr:to>
    <xdr:pic>
      <xdr:nvPicPr>
        <xdr:cNvPr id="317806" name="1 Imagen">
          <a:extLst>
            <a:ext uri="{FF2B5EF4-FFF2-40B4-BE49-F238E27FC236}">
              <a16:creationId xmlns:a16="http://schemas.microsoft.com/office/drawing/2014/main" id="{00000000-0008-0000-0700-00006ED9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2585" y="83820"/>
          <a:ext cx="334518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30480</xdr:colOff>
      <xdr:row>62</xdr:row>
      <xdr:rowOff>121920</xdr:rowOff>
    </xdr:from>
    <xdr:to>
      <xdr:col>10</xdr:col>
      <xdr:colOff>914400</xdr:colOff>
      <xdr:row>62</xdr:row>
      <xdr:rowOff>121920</xdr:rowOff>
    </xdr:to>
    <xdr:cxnSp macro="">
      <xdr:nvCxnSpPr>
        <xdr:cNvPr id="317807" name="2 Conector recto">
          <a:extLst>
            <a:ext uri="{FF2B5EF4-FFF2-40B4-BE49-F238E27FC236}">
              <a16:creationId xmlns:a16="http://schemas.microsoft.com/office/drawing/2014/main" id="{00000000-0008-0000-0700-00006FD90400}"/>
            </a:ext>
          </a:extLst>
        </xdr:cNvPr>
        <xdr:cNvCxnSpPr>
          <a:cxnSpLocks noChangeShapeType="1"/>
        </xdr:cNvCxnSpPr>
      </xdr:nvCxnSpPr>
      <xdr:spPr bwMode="auto">
        <a:xfrm flipV="1">
          <a:off x="30480" y="10965180"/>
          <a:ext cx="654558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106680</xdr:colOff>
      <xdr:row>39</xdr:row>
      <xdr:rowOff>114300</xdr:rowOff>
    </xdr:from>
    <xdr:to>
      <xdr:col>10</xdr:col>
      <xdr:colOff>769620</xdr:colOff>
      <xdr:row>55</xdr:row>
      <xdr:rowOff>7620</xdr:rowOff>
    </xdr:to>
    <xdr:graphicFrame macro="">
      <xdr:nvGraphicFramePr>
        <xdr:cNvPr id="7" name="Gráfico 34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739140</xdr:colOff>
      <xdr:row>40</xdr:row>
      <xdr:rowOff>99060</xdr:rowOff>
    </xdr:from>
    <xdr:to>
      <xdr:col>10</xdr:col>
      <xdr:colOff>729615</xdr:colOff>
      <xdr:row>43</xdr:row>
      <xdr:rowOff>100966</xdr:rowOff>
    </xdr:to>
    <xdr:grpSp>
      <xdr:nvGrpSpPr>
        <xdr:cNvPr id="8" name="Group 65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pSpPr>
          <a:grpSpLocks/>
        </xdr:cNvGrpSpPr>
      </xdr:nvGrpSpPr>
      <xdr:grpSpPr bwMode="auto">
        <a:xfrm>
          <a:off x="739140" y="7162800"/>
          <a:ext cx="5560695" cy="504826"/>
          <a:chOff x="-541" y="-192946"/>
          <a:chExt cx="19936" cy="150"/>
        </a:xfrm>
      </xdr:grpSpPr>
      <xdr:sp macro="" textlink="">
        <xdr:nvSpPr>
          <xdr:cNvPr id="9" name="Texto 63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891" y="-192853"/>
            <a:ext cx="2784" cy="5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19.00</a:t>
            </a:r>
          </a:p>
        </xdr:txBody>
      </xdr:sp>
      <xdr:sp macro="" textlink="">
        <xdr:nvSpPr>
          <xdr:cNvPr id="10" name="Texto 62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75" y="-192853"/>
            <a:ext cx="2816" cy="5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4.75</a:t>
            </a:r>
          </a:p>
        </xdr:txBody>
      </xdr:sp>
      <xdr:sp macro="" textlink="">
        <xdr:nvSpPr>
          <xdr:cNvPr id="11" name="Texto 61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35" y="-192853"/>
            <a:ext cx="1984" cy="5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2.00</a:t>
            </a:r>
          </a:p>
        </xdr:txBody>
      </xdr:sp>
      <xdr:sp macro="" textlink="">
        <xdr:nvSpPr>
          <xdr:cNvPr id="12" name="Texto 60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507" y="-192856"/>
            <a:ext cx="3616" cy="5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0.425</a:t>
            </a:r>
          </a:p>
        </xdr:txBody>
      </xdr:sp>
      <xdr:sp macro="" textlink="">
        <xdr:nvSpPr>
          <xdr:cNvPr id="13" name="Texto 59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91" y="-192853"/>
            <a:ext cx="3648" cy="5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0.075</a:t>
            </a:r>
          </a:p>
        </xdr:txBody>
      </xdr:sp>
      <xdr:sp macro="" textlink="">
        <xdr:nvSpPr>
          <xdr:cNvPr id="14" name="Texto 58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627" y="-192904"/>
            <a:ext cx="3616" cy="5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Gruesa</a:t>
            </a:r>
          </a:p>
        </xdr:txBody>
      </xdr:sp>
      <xdr:sp macro="" textlink="">
        <xdr:nvSpPr>
          <xdr:cNvPr id="15" name="Texto 57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571" y="-192907"/>
            <a:ext cx="3616" cy="5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Gruesa</a:t>
            </a:r>
          </a:p>
        </xdr:txBody>
      </xdr:sp>
      <xdr:sp macro="" textlink="">
        <xdr:nvSpPr>
          <xdr:cNvPr id="16" name="Texto 56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915" y="-192907"/>
            <a:ext cx="3616" cy="5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Media</a:t>
            </a:r>
          </a:p>
        </xdr:txBody>
      </xdr:sp>
      <xdr:sp macro="" textlink="">
        <xdr:nvSpPr>
          <xdr:cNvPr id="17" name="Texto 55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763" y="-192946"/>
            <a:ext cx="3584" cy="5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Grava</a:t>
            </a:r>
          </a:p>
        </xdr:txBody>
      </xdr:sp>
      <xdr:sp macro="" textlink="">
        <xdr:nvSpPr>
          <xdr:cNvPr id="18" name="Texto 54">
            <a:extLst>
              <a:ext uri="{FF2B5EF4-FFF2-40B4-BE49-F238E27FC236}">
                <a16:creationId xmlns:a16="http://schemas.microsoft.com/office/drawing/2014/main" id="{00000000-0008-0000-07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003" y="-192907"/>
            <a:ext cx="3616" cy="5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Fina</a:t>
            </a:r>
          </a:p>
        </xdr:txBody>
      </xdr:sp>
      <xdr:sp macro="" textlink="">
        <xdr:nvSpPr>
          <xdr:cNvPr id="19" name="Texto 53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035" y="-192907"/>
            <a:ext cx="3648" cy="5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Fina</a:t>
            </a:r>
          </a:p>
        </xdr:txBody>
      </xdr:sp>
      <xdr:sp macro="" textlink="">
        <xdr:nvSpPr>
          <xdr:cNvPr id="20" name="Texto 52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659" y="-192946"/>
            <a:ext cx="3616" cy="5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Arena</a:t>
            </a:r>
          </a:p>
        </xdr:txBody>
      </xdr:sp>
      <xdr:grpSp>
        <xdr:nvGrpSpPr>
          <xdr:cNvPr id="21" name="Group 50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GrpSpPr>
            <a:grpSpLocks/>
          </xdr:cNvGrpSpPr>
        </xdr:nvGrpSpPr>
        <xdr:grpSpPr bwMode="auto">
          <a:xfrm>
            <a:off x="-541" y="-192937"/>
            <a:ext cx="18752" cy="81"/>
            <a:chOff x="1560000" y="14940000"/>
            <a:chExt cx="11720000" cy="540000"/>
          </a:xfrm>
        </xdr:grpSpPr>
        <xdr:sp macro="" textlink="">
          <xdr:nvSpPr>
            <xdr:cNvPr id="24" name="Line 40">
              <a:extLst>
                <a:ext uri="{FF2B5EF4-FFF2-40B4-BE49-F238E27FC236}">
                  <a16:creationId xmlns:a16="http://schemas.microsoft.com/office/drawing/2014/main" id="{00000000-0008-0000-0700-000018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60000" y="15460000"/>
              <a:ext cx="11720000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5" name="Line 41">
              <a:extLst>
                <a:ext uri="{FF2B5EF4-FFF2-40B4-BE49-F238E27FC236}">
                  <a16:creationId xmlns:a16="http://schemas.microsoft.com/office/drawing/2014/main" id="{00000000-0008-0000-0700-000019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60000" y="14940000"/>
              <a:ext cx="11720000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6" name="Line 42">
              <a:extLst>
                <a:ext uri="{FF2B5EF4-FFF2-40B4-BE49-F238E27FC236}">
                  <a16:creationId xmlns:a16="http://schemas.microsoft.com/office/drawing/2014/main" id="{00000000-0008-0000-0700-00001A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60000" y="14960000"/>
              <a:ext cx="0" cy="52000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7" name="Line 43">
              <a:extLst>
                <a:ext uri="{FF2B5EF4-FFF2-40B4-BE49-F238E27FC236}">
                  <a16:creationId xmlns:a16="http://schemas.microsoft.com/office/drawing/2014/main" id="{00000000-0008-0000-0700-00001B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200000" y="14960000"/>
              <a:ext cx="0" cy="52000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8" name="Line 44">
              <a:extLst>
                <a:ext uri="{FF2B5EF4-FFF2-40B4-BE49-F238E27FC236}">
                  <a16:creationId xmlns:a16="http://schemas.microsoft.com/office/drawing/2014/main" id="{00000000-0008-0000-0700-00001C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6540000" y="15200000"/>
              <a:ext cx="0" cy="28000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9" name="Line 45">
              <a:extLst>
                <a:ext uri="{FF2B5EF4-FFF2-40B4-BE49-F238E27FC236}">
                  <a16:creationId xmlns:a16="http://schemas.microsoft.com/office/drawing/2014/main" id="{00000000-0008-0000-0700-00001D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560000" y="15200000"/>
              <a:ext cx="0" cy="28000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0" name="Line 46">
              <a:extLst>
                <a:ext uri="{FF2B5EF4-FFF2-40B4-BE49-F238E27FC236}">
                  <a16:creationId xmlns:a16="http://schemas.microsoft.com/office/drawing/2014/main" id="{00000000-0008-0000-0700-00001E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9620000" y="14960000"/>
              <a:ext cx="0" cy="52000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1" name="Line 47">
              <a:extLst>
                <a:ext uri="{FF2B5EF4-FFF2-40B4-BE49-F238E27FC236}">
                  <a16:creationId xmlns:a16="http://schemas.microsoft.com/office/drawing/2014/main" id="{00000000-0008-0000-0700-00001F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500000" y="15200000"/>
              <a:ext cx="0" cy="28000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" name="Line 48">
              <a:extLst>
                <a:ext uri="{FF2B5EF4-FFF2-40B4-BE49-F238E27FC236}">
                  <a16:creationId xmlns:a16="http://schemas.microsoft.com/office/drawing/2014/main" id="{00000000-0008-0000-0700-000020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3260000" y="14960000"/>
              <a:ext cx="0" cy="52000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3" name="Line 49">
              <a:extLst>
                <a:ext uri="{FF2B5EF4-FFF2-40B4-BE49-F238E27FC236}">
                  <a16:creationId xmlns:a16="http://schemas.microsoft.com/office/drawing/2014/main" id="{00000000-0008-0000-0700-000021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199982" y="15200000"/>
              <a:ext cx="9059940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22" name="Texto 51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221" y="-192928"/>
            <a:ext cx="3648" cy="5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Limo y Arcilla</a:t>
            </a:r>
          </a:p>
        </xdr:txBody>
      </xdr:sp>
      <xdr:sp macro="" textlink="">
        <xdr:nvSpPr>
          <xdr:cNvPr id="23" name="Texto 64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611" y="-192853"/>
            <a:ext cx="2784" cy="5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75.00</a:t>
            </a:r>
          </a:p>
        </xdr:txBody>
      </xdr:sp>
    </xdr:grpSp>
    <xdr:clientData/>
  </xdr:twoCellAnchor>
  <xdr:twoCellAnchor>
    <xdr:from>
      <xdr:col>2</xdr:col>
      <xdr:colOff>533400</xdr:colOff>
      <xdr:row>39</xdr:row>
      <xdr:rowOff>38100</xdr:rowOff>
    </xdr:from>
    <xdr:to>
      <xdr:col>7</xdr:col>
      <xdr:colOff>611505</xdr:colOff>
      <xdr:row>40</xdr:row>
      <xdr:rowOff>28575</xdr:rowOff>
    </xdr:to>
    <xdr:sp macro="" textlink="">
      <xdr:nvSpPr>
        <xdr:cNvPr id="34" name="Texto 38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 txBox="1">
          <a:spLocks noChangeArrowheads="1"/>
        </xdr:cNvSpPr>
      </xdr:nvSpPr>
      <xdr:spPr bwMode="auto">
        <a:xfrm>
          <a:off x="1790700" y="6842760"/>
          <a:ext cx="3034665" cy="15811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CURVA GRANULOMETRICA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413385</xdr:colOff>
      <xdr:row>0</xdr:row>
      <xdr:rowOff>83820</xdr:rowOff>
    </xdr:from>
    <xdr:to>
      <xdr:col>7</xdr:col>
      <xdr:colOff>512445</xdr:colOff>
      <xdr:row>4</xdr:row>
      <xdr:rowOff>102870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0685" y="83820"/>
          <a:ext cx="3444240" cy="811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45720</xdr:colOff>
      <xdr:row>48</xdr:row>
      <xdr:rowOff>121920</xdr:rowOff>
    </xdr:from>
    <xdr:to>
      <xdr:col>11</xdr:col>
      <xdr:colOff>0</xdr:colOff>
      <xdr:row>48</xdr:row>
      <xdr:rowOff>121920</xdr:rowOff>
    </xdr:to>
    <xdr:cxnSp macro="">
      <xdr:nvCxnSpPr>
        <xdr:cNvPr id="3" name="2 Conector recto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>
          <a:cxnSpLocks noChangeShapeType="1"/>
        </xdr:cNvCxnSpPr>
      </xdr:nvCxnSpPr>
      <xdr:spPr bwMode="auto">
        <a:xfrm flipV="1">
          <a:off x="45720" y="10500360"/>
          <a:ext cx="684276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34</xdr:row>
      <xdr:rowOff>0</xdr:rowOff>
    </xdr:from>
    <xdr:to>
      <xdr:col>5</xdr:col>
      <xdr:colOff>541020</xdr:colOff>
      <xdr:row>41</xdr:row>
      <xdr:rowOff>7620</xdr:rowOff>
    </xdr:to>
    <xdr:graphicFrame macro="">
      <xdr:nvGraphicFramePr>
        <xdr:cNvPr id="4" name="Chart 16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17</xdr:col>
      <xdr:colOff>394410</xdr:colOff>
      <xdr:row>34</xdr:row>
      <xdr:rowOff>68395</xdr:rowOff>
    </xdr:from>
    <xdr:ext cx="1146661" cy="888641"/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1351970" y="7368355"/>
          <a:ext cx="1146661" cy="8886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22225">
                <a:solidFill>
                  <a:schemeClr val="tx1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NP</a:t>
          </a:r>
        </a:p>
      </xdr:txBody>
    </xdr:sp>
    <xdr:clientData/>
  </xdr:oneCellAnchor>
  <xdr:oneCellAnchor>
    <xdr:from>
      <xdr:col>15</xdr:col>
      <xdr:colOff>457200</xdr:colOff>
      <xdr:row>34</xdr:row>
      <xdr:rowOff>91440</xdr:rowOff>
    </xdr:from>
    <xdr:ext cx="1146661" cy="888641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9951720" y="7391400"/>
          <a:ext cx="1146661" cy="8886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22225">
                <a:solidFill>
                  <a:schemeClr val="tx1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NP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413385</xdr:colOff>
      <xdr:row>0</xdr:row>
      <xdr:rowOff>83820</xdr:rowOff>
    </xdr:from>
    <xdr:to>
      <xdr:col>6</xdr:col>
      <xdr:colOff>672465</xdr:colOff>
      <xdr:row>4</xdr:row>
      <xdr:rowOff>102870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2585" y="83820"/>
          <a:ext cx="3421380" cy="811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52</xdr:row>
      <xdr:rowOff>121920</xdr:rowOff>
    </xdr:from>
    <xdr:to>
      <xdr:col>9</xdr:col>
      <xdr:colOff>922020</xdr:colOff>
      <xdr:row>52</xdr:row>
      <xdr:rowOff>121920</xdr:rowOff>
    </xdr:to>
    <xdr:cxnSp macro="">
      <xdr:nvCxnSpPr>
        <xdr:cNvPr id="3" name="2 Conector recto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CxnSpPr>
          <a:cxnSpLocks noChangeShapeType="1"/>
        </xdr:cNvCxnSpPr>
      </xdr:nvCxnSpPr>
      <xdr:spPr bwMode="auto">
        <a:xfrm flipV="1">
          <a:off x="38100" y="10965180"/>
          <a:ext cx="685038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0</xdr:row>
      <xdr:rowOff>104775</xdr:rowOff>
    </xdr:from>
    <xdr:to>
      <xdr:col>14</xdr:col>
      <xdr:colOff>228600</xdr:colOff>
      <xdr:row>2</xdr:row>
      <xdr:rowOff>66675</xdr:rowOff>
    </xdr:to>
    <xdr:sp macro="" textlink="">
      <xdr:nvSpPr>
        <xdr:cNvPr id="2" name="Text Box 1" descr="Malla púrpur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790575" y="104775"/>
          <a:ext cx="7545705" cy="29718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PE" sz="1700" b="1" i="0" u="sng" strike="noStrike">
              <a:solidFill>
                <a:srgbClr val="FFFFFF"/>
              </a:solidFill>
              <a:latin typeface="Times New Roman"/>
              <a:cs typeface="Times New Roman"/>
            </a:rPr>
            <a:t>SISTEMA DE CLASIFICACION AASHTO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C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C%206\Desktop\GR-686-19-SU%200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PC%206\Desktop\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7.emf"/><Relationship Id="rId4" Type="http://schemas.openxmlformats.org/officeDocument/2006/relationships/oleObject" Target="../embeddings/oleObject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1C08F-2E2A-4A39-9D2D-1C24453A8183}">
  <dimension ref="A1:L58"/>
  <sheetViews>
    <sheetView topLeftCell="A47" workbookViewId="0">
      <selection activeCell="A11" sqref="A11:I11"/>
    </sheetView>
  </sheetViews>
  <sheetFormatPr baseColWidth="10" defaultColWidth="10.33203125" defaultRowHeight="13.8" x14ac:dyDescent="0.25"/>
  <cols>
    <col min="1" max="1" width="16.33203125" style="1167" customWidth="1"/>
    <col min="2" max="2" width="15.5546875" style="1167" customWidth="1"/>
    <col min="3" max="3" width="5" style="1167" customWidth="1"/>
    <col min="4" max="4" width="14.88671875" style="1167" customWidth="1"/>
    <col min="5" max="5" width="0.44140625" style="1167" customWidth="1"/>
    <col min="6" max="6" width="15.5546875" style="1167" customWidth="1"/>
    <col min="7" max="9" width="15.33203125" style="1167" customWidth="1"/>
    <col min="10" max="16384" width="10.33203125" style="1167"/>
  </cols>
  <sheetData>
    <row r="1" spans="1:12" ht="18.75" customHeight="1" thickTop="1" x14ac:dyDescent="0.25">
      <c r="A1" s="1279"/>
      <c r="B1" s="1280"/>
      <c r="C1" s="1280"/>
      <c r="D1" s="1280"/>
      <c r="E1" s="1280"/>
      <c r="F1" s="1280"/>
      <c r="G1" s="1280"/>
      <c r="H1" s="1280"/>
      <c r="I1" s="1281"/>
    </row>
    <row r="2" spans="1:12" ht="18.75" customHeight="1" x14ac:dyDescent="0.25">
      <c r="A2" s="1282"/>
      <c r="B2" s="1283"/>
      <c r="C2" s="1283"/>
      <c r="D2" s="1283"/>
      <c r="E2" s="1283"/>
      <c r="F2" s="1283"/>
      <c r="G2" s="1283"/>
      <c r="H2" s="1283"/>
      <c r="I2" s="1284"/>
      <c r="K2" s="1266" t="s">
        <v>1</v>
      </c>
      <c r="L2" s="1267"/>
    </row>
    <row r="3" spans="1:12" ht="18.75" customHeight="1" x14ac:dyDescent="0.25">
      <c r="A3" s="1282"/>
      <c r="B3" s="1283"/>
      <c r="C3" s="1283"/>
      <c r="D3" s="1283"/>
      <c r="E3" s="1283"/>
      <c r="F3" s="1283"/>
      <c r="G3" s="1283"/>
      <c r="H3" s="1283"/>
      <c r="I3" s="1284"/>
      <c r="K3" s="1266" t="s">
        <v>5</v>
      </c>
      <c r="L3" s="1268"/>
    </row>
    <row r="4" spans="1:12" ht="18.75" customHeight="1" thickBot="1" x14ac:dyDescent="0.3">
      <c r="A4" s="1285"/>
      <c r="B4" s="1286"/>
      <c r="C4" s="1286"/>
      <c r="D4" s="1286"/>
      <c r="E4" s="1286"/>
      <c r="F4" s="1286"/>
      <c r="G4" s="1286"/>
      <c r="H4" s="1286"/>
      <c r="I4" s="1287"/>
      <c r="K4" s="1266" t="s">
        <v>7</v>
      </c>
      <c r="L4" s="1268"/>
    </row>
    <row r="5" spans="1:12" ht="18.75" customHeight="1" thickTop="1" x14ac:dyDescent="0.25">
      <c r="A5" s="1288" t="s">
        <v>0</v>
      </c>
      <c r="B5" s="1288"/>
      <c r="C5" s="1288"/>
      <c r="D5" s="1288"/>
      <c r="E5" s="1288"/>
      <c r="F5" s="1288"/>
      <c r="G5" s="1288"/>
      <c r="H5" s="1288"/>
      <c r="I5" s="1288"/>
      <c r="K5" s="1266" t="s">
        <v>9</v>
      </c>
      <c r="L5" s="1268"/>
    </row>
    <row r="6" spans="1:12" ht="14.25" customHeight="1" x14ac:dyDescent="0.25">
      <c r="A6" s="1289" t="s">
        <v>587</v>
      </c>
      <c r="B6" s="1289"/>
      <c r="C6" s="1289"/>
      <c r="D6" s="1289"/>
      <c r="E6" s="1289"/>
      <c r="F6" s="1289"/>
      <c r="G6" s="1289"/>
      <c r="H6" s="1289"/>
      <c r="I6" s="1289"/>
      <c r="K6" s="1269"/>
      <c r="L6" s="1270"/>
    </row>
    <row r="7" spans="1:12" ht="9.6" customHeight="1" x14ac:dyDescent="0.25">
      <c r="A7" s="1168"/>
      <c r="B7" s="1168"/>
      <c r="C7" s="1168"/>
      <c r="D7" s="1168"/>
      <c r="E7" s="1168"/>
      <c r="F7" s="1168"/>
      <c r="G7" s="1168"/>
      <c r="H7" s="1168"/>
      <c r="I7" s="1168"/>
      <c r="K7" s="1266" t="s">
        <v>533</v>
      </c>
      <c r="L7" s="1270"/>
    </row>
    <row r="8" spans="1:12" ht="18.75" customHeight="1" x14ac:dyDescent="0.25">
      <c r="A8" s="1169"/>
      <c r="B8" s="1170" t="s">
        <v>588</v>
      </c>
      <c r="C8" s="1290" t="s">
        <v>6</v>
      </c>
      <c r="D8" s="1291"/>
      <c r="E8" s="1172"/>
      <c r="F8" s="1292" t="s">
        <v>589</v>
      </c>
      <c r="G8" s="1291"/>
      <c r="H8" s="1171" t="s">
        <v>590</v>
      </c>
      <c r="I8" s="243"/>
      <c r="K8" s="1266" t="s">
        <v>640</v>
      </c>
      <c r="L8" s="1271"/>
    </row>
    <row r="9" spans="1:12" ht="18.75" customHeight="1" x14ac:dyDescent="0.25">
      <c r="B9" s="1173"/>
      <c r="C9" s="1276"/>
      <c r="D9" s="1277"/>
      <c r="E9" s="1174"/>
      <c r="F9" s="1278"/>
      <c r="G9" s="1277"/>
      <c r="H9" s="1175"/>
      <c r="I9" s="243"/>
      <c r="K9" s="1266" t="s">
        <v>641</v>
      </c>
      <c r="L9" s="1270"/>
    </row>
    <row r="10" spans="1:12" ht="18.75" customHeight="1" x14ac:dyDescent="0.25">
      <c r="A10" s="1176"/>
      <c r="B10" s="1293"/>
      <c r="C10" s="1293"/>
      <c r="D10" s="1293"/>
      <c r="E10" s="1177"/>
      <c r="F10" s="1293"/>
      <c r="G10" s="1293"/>
      <c r="H10" s="1177"/>
      <c r="I10" s="1178"/>
      <c r="K10" s="1269"/>
      <c r="L10" s="1270"/>
    </row>
    <row r="11" spans="1:12" ht="27.75" customHeight="1" x14ac:dyDescent="0.25">
      <c r="A11" s="1294" t="s">
        <v>591</v>
      </c>
      <c r="B11" s="1295"/>
      <c r="C11" s="1295"/>
      <c r="D11" s="1295"/>
      <c r="E11" s="1295"/>
      <c r="F11" s="1295"/>
      <c r="G11" s="1295"/>
      <c r="H11" s="1295"/>
      <c r="I11" s="1296"/>
      <c r="K11" s="1266" t="s">
        <v>15</v>
      </c>
      <c r="L11" s="1270"/>
    </row>
    <row r="12" spans="1:12" ht="12" customHeight="1" x14ac:dyDescent="0.25">
      <c r="A12" s="1297" t="s">
        <v>531</v>
      </c>
      <c r="B12" s="1298"/>
      <c r="C12" s="1298"/>
      <c r="D12" s="1298"/>
      <c r="E12" s="1298"/>
      <c r="F12" s="1298"/>
      <c r="G12" s="1298"/>
      <c r="H12" s="1298"/>
      <c r="I12" s="1299"/>
      <c r="K12" s="1266" t="s">
        <v>18</v>
      </c>
      <c r="L12" s="1271"/>
    </row>
    <row r="13" spans="1:12" ht="10.8" customHeight="1" x14ac:dyDescent="0.25">
      <c r="A13" s="1179"/>
      <c r="B13" s="1180"/>
      <c r="C13" s="1180"/>
      <c r="D13" s="1180"/>
      <c r="E13" s="1180"/>
      <c r="F13" s="1180"/>
      <c r="G13" s="1180"/>
      <c r="H13" s="1181"/>
      <c r="I13" s="1182"/>
      <c r="K13" s="1266" t="s">
        <v>20</v>
      </c>
      <c r="L13" s="1271"/>
    </row>
    <row r="14" spans="1:12" ht="18.75" customHeight="1" x14ac:dyDescent="0.25">
      <c r="A14" s="1183" t="s">
        <v>23</v>
      </c>
      <c r="B14" s="1184"/>
      <c r="C14" s="1185" t="s">
        <v>592</v>
      </c>
      <c r="D14" s="1184"/>
      <c r="E14" s="1184"/>
      <c r="F14" s="1184"/>
      <c r="G14" s="1184"/>
      <c r="H14" s="1186"/>
      <c r="I14" s="1187"/>
      <c r="K14" s="1269"/>
      <c r="L14" s="1270"/>
    </row>
    <row r="15" spans="1:12" ht="18.75" customHeight="1" x14ac:dyDescent="0.25">
      <c r="A15" s="1300" t="s">
        <v>24</v>
      </c>
      <c r="B15" s="1300"/>
      <c r="C15" s="1188" t="s">
        <v>593</v>
      </c>
      <c r="D15" s="1301">
        <v>1</v>
      </c>
      <c r="E15" s="1302"/>
      <c r="F15" s="1190">
        <v>2</v>
      </c>
      <c r="G15" s="1189">
        <v>3</v>
      </c>
      <c r="H15" s="1189">
        <v>4</v>
      </c>
      <c r="I15" s="1190">
        <v>5</v>
      </c>
      <c r="K15" s="1266" t="s">
        <v>642</v>
      </c>
      <c r="L15" s="1272"/>
    </row>
    <row r="16" spans="1:12" ht="18.75" customHeight="1" x14ac:dyDescent="0.25">
      <c r="A16" s="1303" t="s">
        <v>25</v>
      </c>
      <c r="B16" s="1303"/>
      <c r="C16" s="1191" t="s">
        <v>593</v>
      </c>
      <c r="D16" s="1304">
        <v>5</v>
      </c>
      <c r="E16" s="1305"/>
      <c r="F16" s="1193">
        <v>5</v>
      </c>
      <c r="G16" s="1192">
        <v>5</v>
      </c>
      <c r="H16" s="1192">
        <v>5</v>
      </c>
      <c r="I16" s="1193">
        <v>5</v>
      </c>
      <c r="K16" s="1266" t="s">
        <v>16</v>
      </c>
      <c r="L16" s="1272"/>
    </row>
    <row r="17" spans="1:12" ht="18.75" customHeight="1" x14ac:dyDescent="0.25">
      <c r="A17" s="1303" t="s">
        <v>26</v>
      </c>
      <c r="B17" s="1303"/>
      <c r="C17" s="1191" t="s">
        <v>593</v>
      </c>
      <c r="D17" s="1304"/>
      <c r="E17" s="1305"/>
      <c r="F17" s="1193"/>
      <c r="G17" s="1192"/>
      <c r="H17" s="1192"/>
      <c r="I17" s="1193"/>
      <c r="K17" s="1266" t="s">
        <v>19</v>
      </c>
      <c r="L17" s="1273"/>
    </row>
    <row r="18" spans="1:12" ht="18.75" customHeight="1" x14ac:dyDescent="0.25">
      <c r="A18" s="1303" t="s">
        <v>594</v>
      </c>
      <c r="B18" s="1303"/>
      <c r="C18" s="1192" t="s">
        <v>182</v>
      </c>
      <c r="D18" s="1304"/>
      <c r="E18" s="1305"/>
      <c r="F18" s="1194"/>
      <c r="G18" s="1195"/>
      <c r="H18" s="1195"/>
      <c r="I18" s="1194"/>
    </row>
    <row r="19" spans="1:12" ht="18.75" customHeight="1" x14ac:dyDescent="0.25">
      <c r="A19" s="1303" t="s">
        <v>595</v>
      </c>
      <c r="B19" s="1303"/>
      <c r="C19" s="1192" t="s">
        <v>182</v>
      </c>
      <c r="D19" s="1304"/>
      <c r="E19" s="1305"/>
      <c r="F19" s="1193"/>
      <c r="G19" s="1192"/>
      <c r="H19" s="1196"/>
      <c r="I19" s="1197"/>
    </row>
    <row r="20" spans="1:12" ht="18.75" customHeight="1" x14ac:dyDescent="0.25">
      <c r="A20" s="1306" t="s">
        <v>596</v>
      </c>
      <c r="B20" s="1307"/>
      <c r="C20" s="1198" t="s">
        <v>182</v>
      </c>
      <c r="D20" s="1304"/>
      <c r="E20" s="1305"/>
      <c r="F20" s="1193"/>
      <c r="G20" s="1192"/>
      <c r="H20" s="1196"/>
      <c r="I20" s="1197"/>
    </row>
    <row r="21" spans="1:12" ht="18.75" customHeight="1" x14ac:dyDescent="0.25">
      <c r="A21" s="1303" t="s">
        <v>597</v>
      </c>
      <c r="B21" s="1303"/>
      <c r="C21" s="1192" t="s">
        <v>598</v>
      </c>
      <c r="D21" s="1308"/>
      <c r="E21" s="1309"/>
      <c r="F21" s="1193"/>
      <c r="G21" s="1192"/>
      <c r="H21" s="1192"/>
      <c r="I21" s="1193"/>
    </row>
    <row r="22" spans="1:12" ht="18.75" customHeight="1" x14ac:dyDescent="0.25">
      <c r="A22" s="1310" t="s">
        <v>599</v>
      </c>
      <c r="B22" s="1310"/>
      <c r="C22" s="1199" t="s">
        <v>600</v>
      </c>
      <c r="D22" s="1311"/>
      <c r="E22" s="1312"/>
      <c r="F22" s="1200"/>
      <c r="G22" s="1201"/>
      <c r="H22" s="1201"/>
      <c r="I22" s="1200"/>
    </row>
    <row r="23" spans="1:12" ht="18.75" customHeight="1" x14ac:dyDescent="0.25">
      <c r="A23" s="1183" t="s">
        <v>29</v>
      </c>
      <c r="B23" s="1184"/>
      <c r="C23" s="1184"/>
      <c r="D23" s="1184"/>
      <c r="E23" s="1184"/>
      <c r="F23" s="1184"/>
      <c r="G23" s="1184"/>
      <c r="H23" s="1184"/>
      <c r="I23" s="1202"/>
    </row>
    <row r="24" spans="1:12" ht="18.75" customHeight="1" x14ac:dyDescent="0.25">
      <c r="A24" s="1300" t="s">
        <v>92</v>
      </c>
      <c r="B24" s="1300"/>
      <c r="C24" s="1203"/>
      <c r="D24" s="1313"/>
      <c r="E24" s="1314"/>
      <c r="F24" s="1205"/>
      <c r="G24" s="1204"/>
      <c r="H24" s="1204"/>
      <c r="I24" s="1205"/>
    </row>
    <row r="25" spans="1:12" ht="18.75" customHeight="1" x14ac:dyDescent="0.25">
      <c r="A25" s="1303" t="s">
        <v>601</v>
      </c>
      <c r="B25" s="1303"/>
      <c r="C25" s="1198" t="s">
        <v>182</v>
      </c>
      <c r="D25" s="1315"/>
      <c r="E25" s="1316"/>
      <c r="F25" s="1207"/>
      <c r="G25" s="1206"/>
      <c r="H25" s="1206"/>
      <c r="I25" s="1207"/>
    </row>
    <row r="26" spans="1:12" ht="18.75" customHeight="1" x14ac:dyDescent="0.25">
      <c r="A26" s="1303" t="s">
        <v>602</v>
      </c>
      <c r="B26" s="1303"/>
      <c r="C26" s="1198" t="s">
        <v>182</v>
      </c>
      <c r="D26" s="1315"/>
      <c r="E26" s="1316"/>
      <c r="F26" s="1207"/>
      <c r="G26" s="1206"/>
      <c r="H26" s="1206"/>
      <c r="I26" s="1207"/>
    </row>
    <row r="27" spans="1:12" ht="18.75" customHeight="1" x14ac:dyDescent="0.25">
      <c r="A27" s="1303" t="s">
        <v>603</v>
      </c>
      <c r="B27" s="1303"/>
      <c r="C27" s="1198" t="s">
        <v>182</v>
      </c>
      <c r="D27" s="1315"/>
      <c r="E27" s="1316"/>
      <c r="F27" s="1207"/>
      <c r="G27" s="1206"/>
      <c r="H27" s="1206"/>
      <c r="I27" s="1207"/>
    </row>
    <row r="28" spans="1:12" ht="18.75" customHeight="1" x14ac:dyDescent="0.25">
      <c r="A28" s="1303" t="s">
        <v>604</v>
      </c>
      <c r="B28" s="1303"/>
      <c r="C28" s="1198" t="s">
        <v>182</v>
      </c>
      <c r="D28" s="1315"/>
      <c r="E28" s="1316"/>
      <c r="F28" s="1207"/>
      <c r="G28" s="1206"/>
      <c r="H28" s="1206"/>
      <c r="I28" s="1207"/>
    </row>
    <row r="29" spans="1:12" ht="18.75" customHeight="1" x14ac:dyDescent="0.25">
      <c r="A29" s="1303" t="s">
        <v>605</v>
      </c>
      <c r="B29" s="1303"/>
      <c r="C29" s="1198" t="s">
        <v>182</v>
      </c>
      <c r="D29" s="1315"/>
      <c r="E29" s="1316"/>
      <c r="F29" s="1208"/>
      <c r="G29" s="1209"/>
      <c r="H29" s="1209"/>
      <c r="I29" s="1208"/>
    </row>
    <row r="30" spans="1:12" ht="18.75" customHeight="1" x14ac:dyDescent="0.25">
      <c r="A30" s="1303" t="s">
        <v>606</v>
      </c>
      <c r="B30" s="1303"/>
      <c r="C30" s="1198" t="s">
        <v>182</v>
      </c>
      <c r="D30" s="1315"/>
      <c r="E30" s="1316"/>
      <c r="F30" s="1208"/>
      <c r="G30" s="1209"/>
      <c r="H30" s="1209"/>
      <c r="I30" s="1208"/>
    </row>
    <row r="31" spans="1:12" ht="18.75" customHeight="1" x14ac:dyDescent="0.25">
      <c r="A31" s="1303" t="s">
        <v>607</v>
      </c>
      <c r="B31" s="1303"/>
      <c r="C31" s="1198" t="s">
        <v>182</v>
      </c>
      <c r="D31" s="1315"/>
      <c r="E31" s="1316"/>
      <c r="F31" s="1208"/>
      <c r="G31" s="1209"/>
      <c r="H31" s="1209"/>
      <c r="I31" s="1208"/>
    </row>
    <row r="32" spans="1:12" ht="18.75" customHeight="1" x14ac:dyDescent="0.25">
      <c r="A32" s="1303" t="s">
        <v>608</v>
      </c>
      <c r="B32" s="1303"/>
      <c r="C32" s="1192" t="s">
        <v>107</v>
      </c>
      <c r="D32" s="1315"/>
      <c r="E32" s="1316"/>
      <c r="F32" s="1210"/>
      <c r="G32" s="1211"/>
      <c r="H32" s="1211"/>
      <c r="I32" s="1210"/>
    </row>
    <row r="33" spans="1:10" ht="18.75" customHeight="1" x14ac:dyDescent="0.25">
      <c r="A33" s="1310" t="s">
        <v>609</v>
      </c>
      <c r="B33" s="1310"/>
      <c r="C33" s="1199" t="s">
        <v>600</v>
      </c>
      <c r="D33" s="1317"/>
      <c r="E33" s="1318"/>
      <c r="F33" s="1200"/>
      <c r="G33" s="1201"/>
      <c r="H33" s="1201"/>
      <c r="I33" s="1200"/>
    </row>
    <row r="34" spans="1:10" ht="18.75" customHeight="1" x14ac:dyDescent="0.25">
      <c r="A34" s="1212" t="s">
        <v>57</v>
      </c>
      <c r="B34" s="1213"/>
      <c r="C34" s="1213"/>
      <c r="D34" s="673" t="s">
        <v>610</v>
      </c>
      <c r="E34" s="1214"/>
      <c r="F34" s="1214"/>
      <c r="G34" s="1215"/>
      <c r="H34" s="1214"/>
      <c r="I34" s="474"/>
    </row>
    <row r="35" spans="1:10" ht="17.100000000000001" customHeight="1" x14ac:dyDescent="0.25">
      <c r="A35" s="1216" t="s">
        <v>611</v>
      </c>
      <c r="B35" s="1217"/>
      <c r="C35" s="1319"/>
      <c r="D35" s="1320"/>
      <c r="E35" s="1218"/>
      <c r="F35" s="1323" t="s">
        <v>40</v>
      </c>
      <c r="G35" s="1323" t="s">
        <v>41</v>
      </c>
      <c r="H35" s="1323" t="s">
        <v>612</v>
      </c>
      <c r="I35" s="1323" t="s">
        <v>231</v>
      </c>
    </row>
    <row r="36" spans="1:10" ht="17.100000000000001" customHeight="1" x14ac:dyDescent="0.25">
      <c r="A36" s="1219" t="s">
        <v>613</v>
      </c>
      <c r="B36" s="1220"/>
      <c r="C36" s="1319"/>
      <c r="D36" s="1320"/>
      <c r="E36" s="1218"/>
      <c r="F36" s="1324"/>
      <c r="G36" s="1324"/>
      <c r="H36" s="1324"/>
      <c r="I36" s="1324"/>
    </row>
    <row r="37" spans="1:10" ht="17.100000000000001" customHeight="1" x14ac:dyDescent="0.25">
      <c r="A37" s="1219" t="s">
        <v>614</v>
      </c>
      <c r="B37" s="1220"/>
      <c r="C37" s="1325"/>
      <c r="D37" s="1320"/>
      <c r="E37" s="1221"/>
      <c r="F37" s="1222" t="s">
        <v>615</v>
      </c>
      <c r="G37" s="1223"/>
      <c r="H37" s="1224"/>
      <c r="I37" s="1225"/>
    </row>
    <row r="38" spans="1:10" ht="17.100000000000001" customHeight="1" x14ac:dyDescent="0.25">
      <c r="A38" s="1226" t="s">
        <v>616</v>
      </c>
      <c r="B38" s="1227"/>
      <c r="C38" s="1319"/>
      <c r="D38" s="1320"/>
      <c r="E38" s="1218"/>
      <c r="F38" s="1222" t="s">
        <v>617</v>
      </c>
      <c r="G38" s="1223"/>
      <c r="H38" s="1224"/>
      <c r="I38" s="1225"/>
    </row>
    <row r="39" spans="1:10" ht="17.100000000000001" customHeight="1" x14ac:dyDescent="0.25">
      <c r="A39" s="1219" t="s">
        <v>618</v>
      </c>
      <c r="B39" s="1220"/>
      <c r="C39" s="1319"/>
      <c r="D39" s="1320"/>
      <c r="E39" s="1218"/>
      <c r="F39" s="1222" t="s">
        <v>110</v>
      </c>
      <c r="G39" s="1223"/>
      <c r="H39" s="1224"/>
      <c r="I39" s="1225"/>
    </row>
    <row r="40" spans="1:10" ht="17.100000000000001" customHeight="1" x14ac:dyDescent="0.25">
      <c r="A40" s="1212" t="s">
        <v>61</v>
      </c>
      <c r="B40" s="1212"/>
      <c r="C40" s="1212"/>
      <c r="D40" s="1228"/>
      <c r="E40" s="1228"/>
      <c r="F40" s="1222" t="s">
        <v>48</v>
      </c>
      <c r="G40" s="1223"/>
      <c r="H40" s="1225"/>
      <c r="I40" s="1225"/>
    </row>
    <row r="41" spans="1:10" ht="17.100000000000001" customHeight="1" x14ac:dyDescent="0.25">
      <c r="A41" s="1229" t="s">
        <v>619</v>
      </c>
      <c r="B41" s="1230"/>
      <c r="C41" s="1326"/>
      <c r="D41" s="1326"/>
      <c r="E41" s="1228"/>
      <c r="F41" s="1222" t="s">
        <v>620</v>
      </c>
      <c r="G41" s="1231"/>
      <c r="H41" s="1225"/>
      <c r="I41" s="1225"/>
    </row>
    <row r="42" spans="1:10" ht="17.100000000000001" customHeight="1" x14ac:dyDescent="0.25">
      <c r="A42" s="1229" t="s">
        <v>621</v>
      </c>
      <c r="B42" s="1232"/>
      <c r="C42" s="1326"/>
      <c r="D42" s="1326"/>
      <c r="E42" s="1233"/>
      <c r="J42" s="1234"/>
    </row>
    <row r="43" spans="1:10" ht="17.100000000000001" customHeight="1" x14ac:dyDescent="0.25">
      <c r="A43" s="1235" t="s">
        <v>622</v>
      </c>
      <c r="B43" s="1236"/>
      <c r="C43" s="1326"/>
      <c r="D43" s="1326"/>
      <c r="E43" s="1233"/>
      <c r="F43" s="1327" t="s">
        <v>623</v>
      </c>
      <c r="G43" s="1328"/>
      <c r="H43" s="1321" t="s">
        <v>624</v>
      </c>
      <c r="I43" s="1322"/>
      <c r="J43" s="1234"/>
    </row>
    <row r="44" spans="1:10" ht="18.75" customHeight="1" x14ac:dyDescent="0.25">
      <c r="A44" s="1229" t="s">
        <v>625</v>
      </c>
      <c r="B44" s="1232"/>
      <c r="C44" s="1326"/>
      <c r="D44" s="1326"/>
      <c r="E44" s="1233"/>
      <c r="F44" s="1237" t="s">
        <v>626</v>
      </c>
      <c r="G44" s="1238"/>
      <c r="H44" s="1321"/>
      <c r="I44" s="1322"/>
      <c r="J44" s="1234"/>
    </row>
    <row r="45" spans="1:10" ht="22.5" customHeight="1" x14ac:dyDescent="0.25">
      <c r="A45" s="1330" t="s">
        <v>627</v>
      </c>
      <c r="B45" s="1331"/>
      <c r="C45" s="1326"/>
      <c r="D45" s="1326"/>
      <c r="E45" s="1233"/>
      <c r="F45" s="1237" t="s">
        <v>628</v>
      </c>
      <c r="G45" s="1238"/>
      <c r="H45" s="1321"/>
      <c r="I45" s="1322"/>
      <c r="J45" s="1234"/>
    </row>
    <row r="46" spans="1:10" ht="18.75" customHeight="1" x14ac:dyDescent="0.25">
      <c r="A46" s="1239" t="s">
        <v>71</v>
      </c>
      <c r="B46" s="1240"/>
      <c r="C46" s="1240"/>
      <c r="D46" s="1241"/>
      <c r="F46" s="1237" t="s">
        <v>629</v>
      </c>
      <c r="G46" s="1238"/>
      <c r="H46" s="1321"/>
      <c r="I46" s="1322"/>
    </row>
    <row r="47" spans="1:10" ht="18.75" customHeight="1" x14ac:dyDescent="0.25">
      <c r="A47" s="1242"/>
      <c r="B47" s="1243"/>
      <c r="C47" s="1243"/>
      <c r="D47" s="1244"/>
      <c r="F47" s="1237" t="s">
        <v>630</v>
      </c>
      <c r="G47" s="1238"/>
      <c r="H47" s="1321"/>
      <c r="I47" s="1322"/>
    </row>
    <row r="48" spans="1:10" ht="18.75" customHeight="1" x14ac:dyDescent="0.25">
      <c r="A48" s="1242"/>
      <c r="B48" s="1243"/>
      <c r="C48" s="1243"/>
      <c r="D48" s="1244"/>
      <c r="F48" s="1237" t="s">
        <v>582</v>
      </c>
      <c r="G48" s="1245"/>
      <c r="H48" s="1321"/>
      <c r="I48" s="1322"/>
    </row>
    <row r="49" spans="1:9" ht="18.75" customHeight="1" x14ac:dyDescent="0.25">
      <c r="A49" s="1246"/>
      <c r="B49" s="1247"/>
      <c r="C49" s="1247"/>
      <c r="D49" s="1248"/>
      <c r="F49" s="1237" t="s">
        <v>631</v>
      </c>
      <c r="G49" s="1238"/>
      <c r="H49" s="1326"/>
      <c r="I49" s="1326"/>
    </row>
    <row r="50" spans="1:9" ht="16.5" customHeight="1" x14ac:dyDescent="0.25">
      <c r="E50" s="352"/>
    </row>
    <row r="51" spans="1:9" ht="14.25" customHeight="1" x14ac:dyDescent="0.25">
      <c r="E51" s="352"/>
    </row>
    <row r="52" spans="1:9" ht="16.5" customHeight="1" x14ac:dyDescent="0.25">
      <c r="E52" s="352"/>
    </row>
    <row r="53" spans="1:9" ht="18" customHeight="1" x14ac:dyDescent="0.25">
      <c r="A53" s="1249" t="s">
        <v>263</v>
      </c>
      <c r="B53" s="1250"/>
      <c r="C53" s="1250"/>
      <c r="D53" s="1251"/>
      <c r="E53" s="1251"/>
      <c r="F53" s="1251"/>
      <c r="G53" s="1251"/>
      <c r="H53" s="1252"/>
      <c r="I53" s="1252"/>
    </row>
    <row r="54" spans="1:9" ht="18" customHeight="1" x14ac:dyDescent="0.25">
      <c r="A54" s="1249" t="s">
        <v>632</v>
      </c>
      <c r="B54" s="1251"/>
      <c r="C54" s="1251"/>
      <c r="D54" s="1253"/>
      <c r="E54" s="1253"/>
      <c r="F54" s="1254" t="s">
        <v>633</v>
      </c>
      <c r="G54" s="1254"/>
      <c r="H54" s="1252"/>
      <c r="I54" s="1252"/>
    </row>
    <row r="55" spans="1:9" ht="0.75" customHeight="1" x14ac:dyDescent="0.25"/>
    <row r="56" spans="1:9" ht="29.25" customHeight="1" x14ac:dyDescent="0.25">
      <c r="A56" s="1329" t="s">
        <v>634</v>
      </c>
      <c r="B56" s="1329"/>
      <c r="C56" s="1329"/>
      <c r="D56" s="1329"/>
      <c r="E56" s="1329"/>
      <c r="F56" s="1329"/>
      <c r="G56" s="1329"/>
      <c r="H56" s="1329"/>
      <c r="I56" s="1329"/>
    </row>
    <row r="57" spans="1:9" ht="15.9" customHeight="1" x14ac:dyDescent="0.25"/>
    <row r="58" spans="1:9" ht="15.9" customHeight="1" x14ac:dyDescent="0.25"/>
  </sheetData>
  <protectedRanges>
    <protectedRange sqref="B13:C13" name="Rango3_3_1_1_1_1_1_1_1_1"/>
    <protectedRange sqref="B9:C10" name="Rango3_3_1_1_1_1_1_2_1_1"/>
  </protectedRanges>
  <mergeCells count="71">
    <mergeCell ref="H47:I47"/>
    <mergeCell ref="H48:I48"/>
    <mergeCell ref="H49:I49"/>
    <mergeCell ref="A56:I56"/>
    <mergeCell ref="C44:D44"/>
    <mergeCell ref="H44:I44"/>
    <mergeCell ref="A45:B45"/>
    <mergeCell ref="C45:D45"/>
    <mergeCell ref="H45:I45"/>
    <mergeCell ref="H46:I46"/>
    <mergeCell ref="H43:I43"/>
    <mergeCell ref="G35:G36"/>
    <mergeCell ref="H35:H36"/>
    <mergeCell ref="I35:I36"/>
    <mergeCell ref="C36:D36"/>
    <mergeCell ref="C37:D37"/>
    <mergeCell ref="C38:D38"/>
    <mergeCell ref="F35:F36"/>
    <mergeCell ref="C39:D39"/>
    <mergeCell ref="C41:D41"/>
    <mergeCell ref="C42:D42"/>
    <mergeCell ref="C43:D43"/>
    <mergeCell ref="F43:G43"/>
    <mergeCell ref="A32:B32"/>
    <mergeCell ref="D32:E32"/>
    <mergeCell ref="A33:B33"/>
    <mergeCell ref="D33:E33"/>
    <mergeCell ref="C35:D35"/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2:B22"/>
    <mergeCell ref="D22:E22"/>
    <mergeCell ref="A24:B24"/>
    <mergeCell ref="D24:E24"/>
    <mergeCell ref="A25:B25"/>
    <mergeCell ref="D25:E25"/>
    <mergeCell ref="A19:B19"/>
    <mergeCell ref="D19:E19"/>
    <mergeCell ref="A20:B20"/>
    <mergeCell ref="D20:E20"/>
    <mergeCell ref="A21:B21"/>
    <mergeCell ref="D21:E21"/>
    <mergeCell ref="A16:B16"/>
    <mergeCell ref="D16:E16"/>
    <mergeCell ref="A17:B17"/>
    <mergeCell ref="D17:E17"/>
    <mergeCell ref="A18:B18"/>
    <mergeCell ref="D18:E18"/>
    <mergeCell ref="B10:D10"/>
    <mergeCell ref="F10:G10"/>
    <mergeCell ref="A11:I11"/>
    <mergeCell ref="A12:I12"/>
    <mergeCell ref="A15:B15"/>
    <mergeCell ref="D15:E15"/>
    <mergeCell ref="C9:D9"/>
    <mergeCell ref="F9:G9"/>
    <mergeCell ref="A1:I4"/>
    <mergeCell ref="A5:I5"/>
    <mergeCell ref="A6:I6"/>
    <mergeCell ref="C8:D8"/>
    <mergeCell ref="F8:G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36"/>
  <sheetViews>
    <sheetView showGridLines="0" tabSelected="1" topLeftCell="A49" zoomScale="120" zoomScaleNormal="120" zoomScaleSheetLayoutView="120" workbookViewId="0">
      <selection activeCell="A101" sqref="A101"/>
    </sheetView>
  </sheetViews>
  <sheetFormatPr baseColWidth="10" defaultColWidth="10.33203125" defaultRowHeight="13.8" x14ac:dyDescent="0.25"/>
  <cols>
    <col min="1" max="1" width="10.6640625" style="702" customWidth="1"/>
    <col min="2" max="2" width="1" style="702" customWidth="1"/>
    <col min="3" max="3" width="7.109375" style="702" customWidth="1"/>
    <col min="4" max="4" width="2.109375" style="702" customWidth="1"/>
    <col min="5" max="5" width="12.6640625" style="702" customWidth="1"/>
    <col min="6" max="6" width="12.88671875" style="702" customWidth="1"/>
    <col min="7" max="7" width="13.109375" style="702" customWidth="1"/>
    <col min="8" max="8" width="13.6640625" style="702" customWidth="1"/>
    <col min="9" max="9" width="13.5546875" style="702" customWidth="1"/>
    <col min="10" max="10" width="4.88671875" style="702" customWidth="1"/>
    <col min="11" max="11" width="1.5546875" style="702" customWidth="1"/>
    <col min="12" max="12" width="13.109375" style="702" customWidth="1"/>
    <col min="13" max="13" width="10.33203125" style="702" customWidth="1"/>
    <col min="14" max="14" width="14.5546875" style="702" customWidth="1"/>
    <col min="15" max="15" width="11.33203125" style="702" customWidth="1"/>
    <col min="16" max="16" width="12.88671875" style="702" customWidth="1"/>
    <col min="17" max="24" width="11.33203125" style="702" customWidth="1"/>
    <col min="25" max="27" width="8.6640625" style="702" customWidth="1"/>
    <col min="28" max="28" width="9.88671875" style="702" customWidth="1"/>
    <col min="29" max="39" width="8.6640625" style="702" customWidth="1"/>
    <col min="40" max="16384" width="10.33203125" style="702"/>
  </cols>
  <sheetData>
    <row r="1" spans="1:40" x14ac:dyDescent="0.25">
      <c r="A1" s="478"/>
      <c r="B1" s="478"/>
      <c r="C1" s="478"/>
      <c r="D1" s="478"/>
      <c r="E1" s="478"/>
      <c r="F1" s="478"/>
      <c r="G1" s="478"/>
      <c r="H1" s="478"/>
      <c r="I1" s="478"/>
      <c r="J1" s="478"/>
      <c r="K1" s="478"/>
      <c r="L1" s="478"/>
    </row>
    <row r="2" spans="1:40" x14ac:dyDescent="0.25">
      <c r="A2" s="478"/>
      <c r="B2" s="478"/>
      <c r="C2" s="478"/>
      <c r="D2" s="478"/>
      <c r="E2" s="478"/>
      <c r="F2" s="478"/>
      <c r="G2" s="478"/>
      <c r="H2" s="478"/>
      <c r="I2" s="478"/>
      <c r="J2" s="478"/>
      <c r="K2" s="478"/>
      <c r="L2" s="478"/>
      <c r="N2" s="958"/>
    </row>
    <row r="3" spans="1:40" x14ac:dyDescent="0.25">
      <c r="A3" s="478"/>
      <c r="B3" s="478"/>
      <c r="C3" s="478"/>
      <c r="D3" s="478"/>
      <c r="E3" s="478"/>
      <c r="F3" s="478"/>
      <c r="G3" s="478"/>
      <c r="H3" s="478"/>
      <c r="I3" s="478"/>
      <c r="J3" s="478"/>
      <c r="K3" s="478"/>
      <c r="L3" s="478"/>
      <c r="N3" s="959"/>
    </row>
    <row r="4" spans="1:40" x14ac:dyDescent="0.25">
      <c r="A4" s="478"/>
      <c r="B4" s="478"/>
      <c r="C4" s="478"/>
      <c r="D4" s="478"/>
      <c r="E4" s="478"/>
      <c r="F4" s="478"/>
      <c r="G4" s="478"/>
      <c r="H4" s="478"/>
      <c r="I4" s="478"/>
      <c r="J4" s="478"/>
      <c r="K4" s="478"/>
      <c r="L4" s="478"/>
      <c r="N4" s="960"/>
    </row>
    <row r="5" spans="1:40" x14ac:dyDescent="0.25">
      <c r="A5" s="478"/>
      <c r="B5" s="478"/>
      <c r="C5" s="478"/>
      <c r="D5" s="478"/>
      <c r="E5" s="478"/>
      <c r="F5" s="478"/>
      <c r="G5" s="478"/>
      <c r="H5" s="478"/>
      <c r="I5" s="478"/>
      <c r="J5" s="478"/>
      <c r="K5" s="478"/>
      <c r="L5" s="478"/>
      <c r="N5" s="1100"/>
    </row>
    <row r="6" spans="1:40" ht="15.75" customHeight="1" x14ac:dyDescent="0.25">
      <c r="A6" s="1356" t="s">
        <v>0</v>
      </c>
      <c r="B6" s="1356"/>
      <c r="C6" s="1356"/>
      <c r="D6" s="1356"/>
      <c r="E6" s="1356"/>
      <c r="F6" s="1356"/>
      <c r="G6" s="1356"/>
      <c r="H6" s="1356"/>
      <c r="I6" s="1356"/>
      <c r="J6" s="1356"/>
      <c r="K6" s="1356"/>
      <c r="L6" s="1356"/>
      <c r="N6" s="961"/>
    </row>
    <row r="7" spans="1:40" ht="15.75" customHeight="1" x14ac:dyDescent="0.25">
      <c r="A7" s="1357">
        <v>0</v>
      </c>
      <c r="B7" s="1357"/>
      <c r="C7" s="1357"/>
      <c r="D7" s="1357"/>
      <c r="E7" s="1357"/>
      <c r="F7" s="1357"/>
      <c r="G7" s="1357"/>
      <c r="H7" s="1357"/>
      <c r="I7" s="1357"/>
      <c r="J7" s="1357"/>
      <c r="K7" s="1357"/>
      <c r="L7" s="1357"/>
      <c r="N7" s="962"/>
    </row>
    <row r="8" spans="1:40" ht="11.4" customHeight="1" x14ac:dyDescent="0.25">
      <c r="N8" s="962"/>
      <c r="Z8" s="475"/>
      <c r="AA8" s="475"/>
      <c r="AB8" s="475"/>
      <c r="AC8" s="475"/>
      <c r="AD8" s="475"/>
      <c r="AE8" s="475"/>
      <c r="AF8" s="475"/>
      <c r="AG8" s="475"/>
      <c r="AH8" s="475"/>
      <c r="AI8" s="475"/>
      <c r="AJ8" s="718"/>
      <c r="AK8" s="718"/>
      <c r="AL8" s="722"/>
      <c r="AM8" s="722"/>
      <c r="AN8" s="722"/>
    </row>
    <row r="9" spans="1:40" ht="13.95" customHeight="1" x14ac:dyDescent="0.25">
      <c r="A9" s="424" t="s">
        <v>1</v>
      </c>
      <c r="B9" s="425" t="s">
        <v>2</v>
      </c>
      <c r="C9" s="1367">
        <f>+formato!L2</f>
        <v>0</v>
      </c>
      <c r="D9" s="1367"/>
      <c r="E9" s="1367"/>
      <c r="F9" s="1367"/>
      <c r="G9" s="1367"/>
      <c r="H9" s="1367"/>
      <c r="I9" s="963"/>
      <c r="J9" s="329" t="s">
        <v>3</v>
      </c>
      <c r="K9" s="427" t="s">
        <v>2</v>
      </c>
      <c r="L9" s="316" t="s">
        <v>4</v>
      </c>
      <c r="N9" s="962"/>
      <c r="Z9" s="475"/>
      <c r="AA9" s="475"/>
      <c r="AB9" s="475"/>
      <c r="AC9" s="475"/>
      <c r="AD9" s="475"/>
      <c r="AE9" s="475"/>
      <c r="AF9" s="475"/>
      <c r="AG9" s="475"/>
      <c r="AH9" s="475"/>
      <c r="AI9" s="475"/>
      <c r="AJ9" s="718"/>
      <c r="AK9" s="718"/>
      <c r="AL9" s="722"/>
      <c r="AM9" s="722"/>
      <c r="AN9" s="722"/>
    </row>
    <row r="10" spans="1:40" ht="13.95" customHeight="1" x14ac:dyDescent="0.25">
      <c r="A10" s="424" t="s">
        <v>5</v>
      </c>
      <c r="B10" s="425" t="s">
        <v>2</v>
      </c>
      <c r="C10" s="1367">
        <f>+formato!L3</f>
        <v>0</v>
      </c>
      <c r="D10" s="1367"/>
      <c r="E10" s="1367"/>
      <c r="F10" s="1367"/>
      <c r="G10" s="1367"/>
      <c r="H10" s="1367"/>
      <c r="I10" s="964"/>
      <c r="J10" s="329" t="s">
        <v>533</v>
      </c>
      <c r="K10" s="425" t="s">
        <v>2</v>
      </c>
      <c r="L10" s="1165">
        <f>+formato!L7</f>
        <v>0</v>
      </c>
      <c r="M10" s="1101"/>
      <c r="Z10" s="475"/>
      <c r="AA10" s="475"/>
      <c r="AB10" s="475"/>
      <c r="AC10" s="475"/>
      <c r="AD10" s="475"/>
      <c r="AE10" s="475"/>
      <c r="AF10" s="475"/>
      <c r="AG10" s="475"/>
      <c r="AH10" s="475"/>
      <c r="AI10" s="475"/>
      <c r="AJ10" s="718"/>
      <c r="AK10" s="718"/>
      <c r="AL10" s="722"/>
      <c r="AM10" s="722"/>
      <c r="AN10" s="722"/>
    </row>
    <row r="11" spans="1:40" ht="13.95" customHeight="1" x14ac:dyDescent="0.25">
      <c r="A11" s="424" t="s">
        <v>7</v>
      </c>
      <c r="B11" s="425" t="s">
        <v>2</v>
      </c>
      <c r="C11" s="1367">
        <f>+formato!L4</f>
        <v>0</v>
      </c>
      <c r="D11" s="1367"/>
      <c r="E11" s="1367"/>
      <c r="F11" s="1367"/>
      <c r="G11" s="1367"/>
      <c r="H11" s="1367"/>
      <c r="I11" s="964"/>
      <c r="J11" s="329" t="s">
        <v>641</v>
      </c>
      <c r="K11" s="425" t="s">
        <v>2</v>
      </c>
      <c r="L11" s="1165">
        <f>+formato!L9</f>
        <v>0</v>
      </c>
      <c r="M11" s="1101"/>
      <c r="Z11" s="475"/>
      <c r="AA11" s="475"/>
      <c r="AB11" s="475"/>
      <c r="AC11" s="475"/>
      <c r="AD11" s="475"/>
      <c r="AE11" s="475"/>
      <c r="AF11" s="475"/>
      <c r="AG11" s="475"/>
      <c r="AH11" s="475"/>
      <c r="AI11" s="475"/>
      <c r="AJ11" s="718"/>
      <c r="AK11" s="718"/>
      <c r="AL11" s="722"/>
      <c r="AM11" s="722"/>
      <c r="AN11" s="722"/>
    </row>
    <row r="12" spans="1:40" ht="13.95" customHeight="1" x14ac:dyDescent="0.25">
      <c r="A12" s="424" t="s">
        <v>9</v>
      </c>
      <c r="B12" s="425" t="s">
        <v>2</v>
      </c>
      <c r="C12" s="1367">
        <f>+formato!L5</f>
        <v>0</v>
      </c>
      <c r="D12" s="1367"/>
      <c r="E12" s="1367"/>
      <c r="F12" s="1367"/>
      <c r="G12" s="1367"/>
      <c r="H12" s="1367"/>
      <c r="I12" s="1274"/>
      <c r="J12" s="329" t="s">
        <v>8</v>
      </c>
      <c r="K12" s="425" t="s">
        <v>2</v>
      </c>
      <c r="L12" s="1128">
        <f>+formato!L9</f>
        <v>0</v>
      </c>
      <c r="M12" s="1101"/>
      <c r="Z12" s="475"/>
      <c r="AA12" s="475"/>
      <c r="AB12" s="475"/>
      <c r="AC12" s="475"/>
      <c r="AD12" s="475"/>
      <c r="AE12" s="475"/>
      <c r="AF12" s="475"/>
      <c r="AG12" s="475"/>
      <c r="AH12" s="475"/>
      <c r="AI12" s="475"/>
      <c r="AJ12" s="718"/>
      <c r="AK12" s="718"/>
      <c r="AL12" s="722"/>
      <c r="AM12" s="722"/>
      <c r="AN12" s="722"/>
    </row>
    <row r="13" spans="1:40" ht="9.75" customHeight="1" x14ac:dyDescent="0.25">
      <c r="A13" s="965" t="s">
        <v>10</v>
      </c>
      <c r="B13" s="1102"/>
      <c r="C13" s="1102"/>
      <c r="D13" s="425"/>
      <c r="E13" s="966"/>
      <c r="F13" s="966"/>
      <c r="G13" s="966"/>
      <c r="H13" s="966"/>
      <c r="I13" s="966"/>
      <c r="J13" s="329"/>
      <c r="K13" s="425"/>
      <c r="L13" s="967"/>
      <c r="M13" s="1101"/>
      <c r="Z13" s="720"/>
      <c r="AA13" s="719"/>
      <c r="AB13" s="475"/>
      <c r="AC13" s="475"/>
      <c r="AD13" s="475"/>
      <c r="AE13" s="475"/>
      <c r="AF13" s="475"/>
      <c r="AG13" s="475"/>
      <c r="AH13" s="475"/>
      <c r="AI13" s="475"/>
      <c r="AJ13" s="718"/>
      <c r="AK13" s="718"/>
      <c r="AL13" s="722"/>
      <c r="AM13" s="722"/>
      <c r="AN13" s="722"/>
    </row>
    <row r="14" spans="1:40" ht="27" customHeight="1" x14ac:dyDescent="0.25">
      <c r="A14" s="1358" t="s">
        <v>571</v>
      </c>
      <c r="B14" s="1359"/>
      <c r="C14" s="1359"/>
      <c r="D14" s="1359"/>
      <c r="E14" s="1359"/>
      <c r="F14" s="1359"/>
      <c r="G14" s="1359"/>
      <c r="H14" s="1359"/>
      <c r="I14" s="1359"/>
      <c r="J14" s="1359"/>
      <c r="K14" s="1359"/>
      <c r="L14" s="1360"/>
      <c r="M14" s="1101"/>
      <c r="Z14" s="720"/>
      <c r="AA14" s="719"/>
      <c r="AB14" s="475"/>
      <c r="AC14" s="475"/>
      <c r="AD14" s="475"/>
      <c r="AE14" s="475"/>
      <c r="AF14" s="475"/>
      <c r="AG14" s="475"/>
      <c r="AH14" s="475"/>
      <c r="AI14" s="475"/>
      <c r="AJ14" s="718"/>
      <c r="AK14" s="718"/>
      <c r="AL14" s="722"/>
      <c r="AM14" s="722"/>
      <c r="AN14" s="722"/>
    </row>
    <row r="15" spans="1:40" ht="11.25" customHeight="1" x14ac:dyDescent="0.25">
      <c r="A15" s="1361" t="s">
        <v>531</v>
      </c>
      <c r="B15" s="1362"/>
      <c r="C15" s="1362"/>
      <c r="D15" s="1362"/>
      <c r="E15" s="1362"/>
      <c r="F15" s="1362"/>
      <c r="G15" s="1362"/>
      <c r="H15" s="1362"/>
      <c r="I15" s="1362"/>
      <c r="J15" s="1362"/>
      <c r="K15" s="1362"/>
      <c r="L15" s="1363"/>
      <c r="M15" s="1101"/>
      <c r="N15" s="1101"/>
      <c r="Z15" s="720"/>
      <c r="AA15" s="719"/>
      <c r="AB15" s="475"/>
      <c r="AC15" s="475"/>
      <c r="AD15" s="475"/>
      <c r="AE15" s="475"/>
      <c r="AF15" s="475"/>
      <c r="AG15" s="475"/>
      <c r="AH15" s="475"/>
      <c r="AI15" s="475"/>
      <c r="AJ15" s="718"/>
      <c r="AK15" s="718"/>
      <c r="AL15" s="722"/>
      <c r="AM15" s="722"/>
      <c r="AN15" s="722"/>
    </row>
    <row r="16" spans="1:40" ht="9" customHeight="1" x14ac:dyDescent="0.25">
      <c r="A16" s="968"/>
      <c r="B16" s="424"/>
      <c r="C16" s="424"/>
      <c r="D16" s="425"/>
      <c r="E16" s="969"/>
      <c r="F16" s="969"/>
      <c r="G16" s="969"/>
      <c r="H16" s="969"/>
      <c r="I16" s="969"/>
      <c r="J16" s="329"/>
      <c r="K16" s="425"/>
      <c r="L16" s="970"/>
      <c r="M16" s="1101"/>
      <c r="N16" s="1101"/>
      <c r="Z16" s="720"/>
      <c r="AA16" s="719"/>
      <c r="AB16" s="475"/>
      <c r="AC16" s="475"/>
      <c r="AD16" s="475"/>
      <c r="AE16" s="475"/>
      <c r="AF16" s="475"/>
      <c r="AG16" s="475"/>
      <c r="AH16" s="475"/>
      <c r="AI16" s="475"/>
      <c r="AJ16" s="718"/>
      <c r="AK16" s="718"/>
      <c r="AL16" s="722"/>
      <c r="AM16" s="722"/>
      <c r="AN16" s="722"/>
    </row>
    <row r="17" spans="1:40" ht="13.95" customHeight="1" x14ac:dyDescent="0.25">
      <c r="A17" s="1364" t="s">
        <v>13</v>
      </c>
      <c r="B17" s="1365"/>
      <c r="C17" s="1365"/>
      <c r="D17" s="1365"/>
      <c r="E17" s="1365"/>
      <c r="F17" s="1365"/>
      <c r="G17" s="1365"/>
      <c r="H17" s="1365"/>
      <c r="I17" s="1365"/>
      <c r="J17" s="1365"/>
      <c r="K17" s="1365"/>
      <c r="L17" s="1366"/>
      <c r="N17" s="1101"/>
      <c r="Z17" s="475"/>
      <c r="AI17" s="475"/>
      <c r="AJ17" s="718"/>
      <c r="AK17" s="718"/>
      <c r="AL17" s="722"/>
      <c r="AM17" s="722"/>
      <c r="AN17" s="722"/>
    </row>
    <row r="18" spans="1:40" ht="13.95" customHeight="1" x14ac:dyDescent="0.25">
      <c r="A18" s="358" t="s">
        <v>14</v>
      </c>
      <c r="B18" s="424"/>
      <c r="C18" s="424"/>
      <c r="D18" s="323" t="s">
        <v>2</v>
      </c>
      <c r="E18" s="475">
        <f>+formato!L15</f>
        <v>0</v>
      </c>
      <c r="F18" s="971"/>
      <c r="H18" s="475"/>
      <c r="I18" s="316"/>
      <c r="J18" s="329" t="s">
        <v>15</v>
      </c>
      <c r="K18" s="478" t="s">
        <v>2</v>
      </c>
      <c r="L18" s="1166">
        <f>+formato!L11</f>
        <v>0</v>
      </c>
      <c r="N18" s="1101"/>
      <c r="Z18" s="1103"/>
      <c r="AA18" s="719"/>
      <c r="AB18" s="475"/>
      <c r="AC18" s="475"/>
      <c r="AD18" s="475"/>
      <c r="AE18" s="475"/>
      <c r="AF18" s="475"/>
      <c r="AG18" s="475"/>
      <c r="AH18" s="475"/>
      <c r="AI18" s="475"/>
      <c r="AJ18" s="718"/>
      <c r="AK18" s="718"/>
      <c r="AL18" s="722"/>
      <c r="AM18" s="722"/>
      <c r="AN18" s="722"/>
    </row>
    <row r="19" spans="1:40" ht="13.95" customHeight="1" x14ac:dyDescent="0.25">
      <c r="A19" s="358" t="s">
        <v>16</v>
      </c>
      <c r="B19" s="424"/>
      <c r="C19" s="424"/>
      <c r="D19" s="323" t="s">
        <v>2</v>
      </c>
      <c r="E19" s="475">
        <f>+formato!L16</f>
        <v>0</v>
      </c>
      <c r="F19" s="971"/>
      <c r="H19" s="475"/>
      <c r="I19" s="316"/>
      <c r="J19" s="329" t="s">
        <v>18</v>
      </c>
      <c r="K19" s="478" t="s">
        <v>2</v>
      </c>
      <c r="L19" s="1127">
        <f>+formato!L12</f>
        <v>0</v>
      </c>
      <c r="N19" s="1101"/>
      <c r="Y19" s="475"/>
      <c r="Z19" s="475"/>
      <c r="AA19" s="475"/>
      <c r="AB19" s="475"/>
      <c r="AC19" s="475"/>
      <c r="AD19" s="475"/>
      <c r="AE19" s="475"/>
      <c r="AF19" s="475"/>
      <c r="AG19" s="475"/>
      <c r="AH19" s="475"/>
      <c r="AI19" s="475"/>
      <c r="AJ19" s="718"/>
      <c r="AK19" s="718"/>
      <c r="AL19" s="722"/>
      <c r="AM19" s="722"/>
      <c r="AN19" s="722"/>
    </row>
    <row r="20" spans="1:40" ht="13.95" customHeight="1" x14ac:dyDescent="0.25">
      <c r="A20" s="968" t="s">
        <v>550</v>
      </c>
      <c r="B20" s="424"/>
      <c r="C20" s="424"/>
      <c r="D20" s="323" t="s">
        <v>2</v>
      </c>
      <c r="E20" s="475">
        <f>+formato!L17</f>
        <v>0</v>
      </c>
      <c r="F20" s="971"/>
      <c r="H20" s="475"/>
      <c r="I20" s="316"/>
      <c r="J20" s="329" t="s">
        <v>20</v>
      </c>
      <c r="K20" s="478" t="s">
        <v>2</v>
      </c>
      <c r="L20" s="1127">
        <f>+formato!L13</f>
        <v>0</v>
      </c>
      <c r="M20" s="702">
        <f>+formato!F9</f>
        <v>0</v>
      </c>
      <c r="N20" s="1101"/>
      <c r="Y20" s="475"/>
      <c r="Z20" s="475"/>
      <c r="AA20" s="475"/>
      <c r="AB20" s="475"/>
      <c r="AC20" s="475"/>
      <c r="AD20" s="475"/>
      <c r="AE20" s="475"/>
      <c r="AF20" s="719"/>
      <c r="AG20" s="720"/>
      <c r="AH20" s="475"/>
      <c r="AI20" s="475"/>
      <c r="AJ20" s="718"/>
      <c r="AK20" s="718"/>
      <c r="AL20" s="722"/>
      <c r="AM20" s="722"/>
      <c r="AN20" s="722"/>
    </row>
    <row r="21" spans="1:40" ht="10.5" customHeight="1" x14ac:dyDescent="0.25">
      <c r="A21" s="973" t="s">
        <v>21</v>
      </c>
      <c r="B21" s="974"/>
      <c r="C21" s="974"/>
      <c r="D21" s="975" t="s">
        <v>2</v>
      </c>
      <c r="E21" s="976" t="s">
        <v>22</v>
      </c>
      <c r="F21" s="704"/>
      <c r="G21" s="704"/>
      <c r="H21" s="704"/>
      <c r="I21" s="978"/>
      <c r="J21" s="977"/>
      <c r="K21" s="978"/>
      <c r="L21" s="979"/>
      <c r="N21" s="1101"/>
      <c r="Y21" s="1103"/>
      <c r="Z21" s="475"/>
      <c r="AA21" s="1103"/>
      <c r="AB21" s="475"/>
      <c r="AC21" s="475"/>
      <c r="AD21" s="475"/>
      <c r="AE21" s="475"/>
      <c r="AF21" s="475"/>
      <c r="AG21" s="720"/>
      <c r="AH21" s="720"/>
      <c r="AI21" s="475"/>
      <c r="AJ21" s="718"/>
      <c r="AK21" s="718"/>
      <c r="AL21" s="722"/>
      <c r="AM21" s="722"/>
      <c r="AN21" s="722"/>
    </row>
    <row r="22" spans="1:40" ht="9" customHeight="1" x14ac:dyDescent="0.25">
      <c r="A22" s="980"/>
      <c r="B22" s="981"/>
      <c r="C22" s="981"/>
      <c r="D22" s="982"/>
      <c r="E22" s="983"/>
      <c r="F22" s="1025"/>
      <c r="G22" s="1025"/>
      <c r="H22" s="1025"/>
      <c r="I22" s="1072"/>
      <c r="J22" s="1071"/>
      <c r="K22" s="1072"/>
      <c r="L22" s="1073"/>
      <c r="N22" s="1101"/>
      <c r="Y22" s="1103"/>
      <c r="Z22" s="475"/>
      <c r="AA22" s="1103"/>
      <c r="AB22" s="475"/>
      <c r="AC22" s="475"/>
      <c r="AD22" s="475"/>
      <c r="AE22" s="475"/>
      <c r="AF22" s="475"/>
      <c r="AG22" s="720"/>
      <c r="AH22" s="720"/>
      <c r="AI22" s="475"/>
      <c r="AJ22" s="718"/>
      <c r="AK22" s="718"/>
      <c r="AL22" s="722"/>
      <c r="AM22" s="722"/>
      <c r="AN22" s="722"/>
    </row>
    <row r="23" spans="1:40" ht="16.5" customHeight="1" x14ac:dyDescent="0.25">
      <c r="A23" s="1074" t="s">
        <v>552</v>
      </c>
      <c r="B23" s="316"/>
      <c r="C23" s="316"/>
      <c r="D23" s="985"/>
      <c r="E23" s="985"/>
      <c r="F23" s="985"/>
      <c r="G23" s="985"/>
      <c r="H23" s="985"/>
      <c r="I23" s="985"/>
      <c r="J23" s="330"/>
      <c r="K23" s="478"/>
      <c r="L23" s="972"/>
      <c r="N23" s="1101"/>
      <c r="Y23" s="1103"/>
      <c r="Z23" s="475"/>
      <c r="AA23" s="1103"/>
      <c r="AB23" s="475"/>
      <c r="AC23" s="475"/>
      <c r="AD23" s="475"/>
      <c r="AE23" s="475"/>
      <c r="AF23" s="475"/>
      <c r="AG23" s="720"/>
      <c r="AH23" s="720"/>
      <c r="AI23" s="475"/>
      <c r="AJ23" s="718"/>
      <c r="AK23" s="718"/>
      <c r="AL23" s="722"/>
      <c r="AM23" s="722"/>
      <c r="AN23" s="722"/>
    </row>
    <row r="24" spans="1:40" ht="22.2" customHeight="1" x14ac:dyDescent="0.25">
      <c r="A24" s="1104"/>
      <c r="B24" s="1105"/>
      <c r="C24" s="1105"/>
      <c r="D24" s="1105"/>
      <c r="E24" s="1075" t="s">
        <v>40</v>
      </c>
      <c r="F24" s="1075" t="s">
        <v>551</v>
      </c>
      <c r="G24" s="1075" t="s">
        <v>43</v>
      </c>
      <c r="H24" s="1075" t="s">
        <v>44</v>
      </c>
      <c r="J24" s="330"/>
      <c r="K24" s="478"/>
      <c r="L24" s="972"/>
      <c r="N24" s="1101"/>
      <c r="Y24" s="1103"/>
      <c r="Z24" s="475"/>
      <c r="AA24" s="1103"/>
      <c r="AB24" s="475"/>
      <c r="AC24" s="475"/>
      <c r="AD24" s="475"/>
      <c r="AE24" s="475"/>
      <c r="AF24" s="475"/>
      <c r="AG24" s="720"/>
      <c r="AH24" s="720"/>
      <c r="AI24" s="475"/>
      <c r="AJ24" s="718"/>
      <c r="AK24" s="718"/>
      <c r="AL24" s="722"/>
      <c r="AM24" s="722"/>
      <c r="AN24" s="722"/>
    </row>
    <row r="25" spans="1:40" ht="16.5" customHeight="1" x14ac:dyDescent="0.25">
      <c r="A25" s="1104"/>
      <c r="B25" s="1105"/>
      <c r="C25" s="1105"/>
      <c r="D25" s="1105"/>
      <c r="E25" s="1076" t="s">
        <v>45</v>
      </c>
      <c r="F25" s="1077" t="e">
        <f>+DATOS!F52</f>
        <v>#DIV/0!</v>
      </c>
      <c r="G25" s="1077" t="e">
        <f>+DATOS!G52</f>
        <v>#DIV/0!</v>
      </c>
      <c r="H25" s="1077" t="e">
        <f>+DATOS!H52</f>
        <v>#DIV/0!</v>
      </c>
      <c r="J25" s="330"/>
      <c r="K25" s="478"/>
      <c r="L25" s="972"/>
      <c r="N25" s="1101"/>
      <c r="Y25" s="1103"/>
      <c r="Z25" s="475"/>
      <c r="AA25" s="1103"/>
      <c r="AB25" s="475"/>
      <c r="AC25" s="475"/>
      <c r="AD25" s="475"/>
      <c r="AE25" s="475"/>
      <c r="AF25" s="475"/>
      <c r="AG25" s="720"/>
      <c r="AH25" s="720"/>
      <c r="AI25" s="475"/>
      <c r="AJ25" s="718"/>
      <c r="AK25" s="718"/>
      <c r="AL25" s="722"/>
      <c r="AM25" s="722"/>
      <c r="AN25" s="722"/>
    </row>
    <row r="26" spans="1:40" ht="16.5" customHeight="1" x14ac:dyDescent="0.25">
      <c r="A26" s="1104"/>
      <c r="B26" s="1105"/>
      <c r="C26" s="1105"/>
      <c r="D26" s="1105"/>
      <c r="E26" s="1076" t="s">
        <v>46</v>
      </c>
      <c r="F26" s="1077" t="e">
        <f>+DATOS!F53</f>
        <v>#DIV/0!</v>
      </c>
      <c r="G26" s="1077" t="e">
        <f>+DATOS!G53</f>
        <v>#DIV/0!</v>
      </c>
      <c r="H26" s="1077" t="e">
        <f>+DATOS!H53</f>
        <v>#DIV/0!</v>
      </c>
      <c r="J26" s="330"/>
      <c r="K26" s="478"/>
      <c r="L26" s="972"/>
      <c r="N26" s="1369" t="s">
        <v>49</v>
      </c>
      <c r="O26" s="1370"/>
      <c r="Y26" s="1103"/>
      <c r="Z26" s="475"/>
      <c r="AA26" s="1103"/>
      <c r="AB26" s="475"/>
      <c r="AC26" s="475"/>
      <c r="AD26" s="475"/>
      <c r="AE26" s="475"/>
      <c r="AF26" s="475"/>
      <c r="AG26" s="720"/>
      <c r="AH26" s="720"/>
      <c r="AI26" s="475"/>
      <c r="AJ26" s="718"/>
      <c r="AK26" s="718"/>
      <c r="AL26" s="722"/>
      <c r="AM26" s="722"/>
      <c r="AN26" s="722"/>
    </row>
    <row r="27" spans="1:40" ht="16.5" customHeight="1" x14ac:dyDescent="0.25">
      <c r="A27" s="1104"/>
      <c r="B27" s="1105"/>
      <c r="C27" s="1105"/>
      <c r="D27" s="1105"/>
      <c r="E27" s="1076" t="s">
        <v>47</v>
      </c>
      <c r="F27" s="1077" t="e">
        <f>+DATOS!F54</f>
        <v>#DIV/0!</v>
      </c>
      <c r="G27" s="1077" t="e">
        <f>+DATOS!G54</f>
        <v>#DIV/0!</v>
      </c>
      <c r="H27" s="1077" t="e">
        <f>+DATOS!H54</f>
        <v>#DIV/0!</v>
      </c>
      <c r="J27" s="330"/>
      <c r="K27" s="478"/>
      <c r="L27" s="972"/>
      <c r="N27" s="728" t="s">
        <v>51</v>
      </c>
      <c r="O27" s="728" t="s">
        <v>52</v>
      </c>
      <c r="Y27" s="1103"/>
      <c r="Z27" s="475"/>
      <c r="AA27" s="1103"/>
      <c r="AB27" s="475"/>
      <c r="AC27" s="475"/>
      <c r="AD27" s="475"/>
      <c r="AE27" s="475"/>
      <c r="AF27" s="475"/>
      <c r="AG27" s="720"/>
      <c r="AH27" s="720"/>
      <c r="AI27" s="475"/>
      <c r="AJ27" s="718"/>
      <c r="AK27" s="718"/>
      <c r="AL27" s="722"/>
      <c r="AM27" s="722"/>
      <c r="AN27" s="722"/>
    </row>
    <row r="28" spans="1:40" ht="16.5" customHeight="1" x14ac:dyDescent="0.25">
      <c r="A28" s="1104"/>
      <c r="B28" s="1105"/>
      <c r="C28" s="1105"/>
      <c r="D28" s="1105"/>
      <c r="E28" s="1076" t="s">
        <v>48</v>
      </c>
      <c r="F28" s="1077" t="e">
        <f>+DATOS!F55</f>
        <v>#DIV/0!</v>
      </c>
      <c r="G28" s="1077" t="e">
        <f>+DATOS!G55</f>
        <v>#DIV/0!</v>
      </c>
      <c r="H28" s="1077" t="e">
        <f>+DATOS!H55</f>
        <v>#DIV/0!</v>
      </c>
      <c r="J28" s="330"/>
      <c r="K28" s="478"/>
      <c r="L28" s="972"/>
      <c r="N28" s="986" t="e">
        <f>+DATOS!K43</f>
        <v>#DIV/0!</v>
      </c>
      <c r="O28" s="987" t="e">
        <f>+DATOS!L43</f>
        <v>#DIV/0!</v>
      </c>
      <c r="Y28" s="1103"/>
      <c r="Z28" s="475"/>
      <c r="AA28" s="1103"/>
      <c r="AB28" s="475"/>
      <c r="AC28" s="475"/>
      <c r="AD28" s="475"/>
      <c r="AE28" s="475"/>
      <c r="AF28" s="475"/>
      <c r="AG28" s="720"/>
      <c r="AH28" s="720"/>
      <c r="AI28" s="475"/>
      <c r="AJ28" s="718"/>
      <c r="AK28" s="718"/>
      <c r="AL28" s="722"/>
      <c r="AM28" s="722"/>
      <c r="AN28" s="722"/>
    </row>
    <row r="29" spans="1:40" ht="16.5" customHeight="1" x14ac:dyDescent="0.25">
      <c r="A29" s="1074" t="s">
        <v>53</v>
      </c>
      <c r="B29" s="974"/>
      <c r="C29" s="974"/>
      <c r="D29" s="975"/>
      <c r="E29" s="976"/>
      <c r="F29" s="704"/>
      <c r="G29" s="704"/>
      <c r="H29" s="704"/>
      <c r="I29" s="978"/>
      <c r="J29" s="330"/>
      <c r="K29" s="478"/>
      <c r="L29" s="972"/>
      <c r="N29" s="986" t="e">
        <f>+DATOS!K44</f>
        <v>#DIV/0!</v>
      </c>
      <c r="O29" s="987" t="e">
        <f>+DATOS!L44</f>
        <v>#DIV/0!</v>
      </c>
      <c r="Y29" s="1103"/>
      <c r="Z29" s="475"/>
      <c r="AA29" s="1103"/>
      <c r="AB29" s="475"/>
      <c r="AC29" s="475"/>
      <c r="AD29" s="475"/>
      <c r="AE29" s="475"/>
      <c r="AF29" s="475"/>
      <c r="AG29" s="720"/>
      <c r="AH29" s="720"/>
      <c r="AI29" s="475"/>
      <c r="AJ29" s="718"/>
      <c r="AK29" s="718"/>
      <c r="AL29" s="722"/>
      <c r="AM29" s="722"/>
      <c r="AN29" s="722"/>
    </row>
    <row r="30" spans="1:40" ht="16.5" customHeight="1" x14ac:dyDescent="0.25">
      <c r="A30" s="988" t="s">
        <v>54</v>
      </c>
      <c r="B30" s="989"/>
      <c r="C30" s="990"/>
      <c r="D30" s="990"/>
      <c r="E30" s="990"/>
      <c r="F30" s="956">
        <f>+DATOS!F45</f>
        <v>2.81</v>
      </c>
      <c r="G30" s="956">
        <f>+DATOS!G45</f>
        <v>2.81</v>
      </c>
      <c r="H30" s="956">
        <f>+DATOS!H45</f>
        <v>2.81</v>
      </c>
      <c r="I30" s="956">
        <f>+DATOS!I45</f>
        <v>2.81</v>
      </c>
      <c r="J30" s="330"/>
      <c r="K30" s="478"/>
      <c r="L30" s="972"/>
      <c r="N30" s="986" t="e">
        <f>+DATOS!K45</f>
        <v>#DIV/0!</v>
      </c>
      <c r="O30" s="987" t="e">
        <f>+DATOS!L45</f>
        <v>#DIV/0!</v>
      </c>
      <c r="Y30" s="1103"/>
      <c r="Z30" s="475"/>
      <c r="AA30" s="1103"/>
      <c r="AB30" s="475"/>
      <c r="AC30" s="475"/>
      <c r="AD30" s="475"/>
      <c r="AE30" s="475"/>
      <c r="AF30" s="475"/>
      <c r="AG30" s="720"/>
      <c r="AH30" s="720"/>
      <c r="AI30" s="475"/>
      <c r="AJ30" s="718"/>
      <c r="AK30" s="718"/>
      <c r="AL30" s="722"/>
      <c r="AM30" s="722"/>
      <c r="AN30" s="722"/>
    </row>
    <row r="31" spans="1:40" ht="16.5" customHeight="1" x14ac:dyDescent="0.25">
      <c r="A31" s="988" t="s">
        <v>55</v>
      </c>
      <c r="B31" s="989"/>
      <c r="C31" s="990"/>
      <c r="D31" s="990"/>
      <c r="E31" s="990"/>
      <c r="F31" s="957" t="e">
        <f>+DATOS!F46</f>
        <v>#DIV/0!</v>
      </c>
      <c r="G31" s="957" t="e">
        <f>+DATOS!G46</f>
        <v>#DIV/0!</v>
      </c>
      <c r="H31" s="957" t="e">
        <f>+DATOS!H46</f>
        <v>#DIV/0!</v>
      </c>
      <c r="I31" s="957" t="e">
        <f>+DATOS!I46</f>
        <v>#DIV/0!</v>
      </c>
      <c r="J31" s="330"/>
      <c r="K31" s="478"/>
      <c r="L31" s="972"/>
      <c r="N31" s="986" t="e">
        <f>+DATOS!K46</f>
        <v>#DIV/0!</v>
      </c>
      <c r="O31" s="987" t="e">
        <f>+DATOS!L46</f>
        <v>#DIV/0!</v>
      </c>
      <c r="Y31" s="1103"/>
      <c r="Z31" s="475"/>
      <c r="AA31" s="1103"/>
      <c r="AB31" s="475"/>
      <c r="AC31" s="475"/>
      <c r="AD31" s="475"/>
      <c r="AE31" s="475"/>
      <c r="AF31" s="475"/>
      <c r="AG31" s="720"/>
      <c r="AH31" s="720"/>
      <c r="AI31" s="475"/>
      <c r="AJ31" s="718"/>
      <c r="AK31" s="718"/>
      <c r="AL31" s="722"/>
      <c r="AM31" s="722"/>
      <c r="AN31" s="722"/>
    </row>
    <row r="32" spans="1:40" ht="13.2" customHeight="1" x14ac:dyDescent="0.25">
      <c r="A32" s="1124" t="s">
        <v>532</v>
      </c>
      <c r="B32" s="1125"/>
      <c r="C32" s="1125"/>
      <c r="D32" s="1125"/>
      <c r="E32" s="1125"/>
      <c r="F32" s="1126"/>
      <c r="G32" s="1388">
        <f>DATOS!F41</f>
        <v>0</v>
      </c>
      <c r="H32" s="1388"/>
      <c r="I32" s="991"/>
      <c r="J32" s="330"/>
      <c r="K32" s="478"/>
      <c r="L32" s="972"/>
      <c r="N32" s="992"/>
      <c r="O32" s="380"/>
      <c r="Y32" s="1103"/>
      <c r="Z32" s="475"/>
      <c r="AA32" s="1103"/>
      <c r="AB32" s="475"/>
      <c r="AC32" s="475"/>
      <c r="AD32" s="475"/>
      <c r="AE32" s="475"/>
      <c r="AF32" s="475"/>
      <c r="AG32" s="720"/>
      <c r="AH32" s="720"/>
      <c r="AI32" s="475"/>
      <c r="AJ32" s="718"/>
      <c r="AK32" s="718"/>
      <c r="AL32" s="722"/>
      <c r="AM32" s="722"/>
      <c r="AN32" s="722"/>
    </row>
    <row r="33" spans="1:40" ht="17.399999999999999" customHeight="1" x14ac:dyDescent="0.25">
      <c r="A33" s="1074" t="s">
        <v>553</v>
      </c>
      <c r="B33" s="974"/>
      <c r="C33" s="974"/>
      <c r="D33" s="975"/>
      <c r="E33" s="976"/>
      <c r="F33" s="704"/>
      <c r="G33" s="704"/>
      <c r="H33" s="704"/>
      <c r="I33" s="978"/>
      <c r="J33" s="330"/>
      <c r="K33" s="478"/>
      <c r="L33" s="972"/>
      <c r="N33" s="1101"/>
      <c r="Y33" s="1103"/>
      <c r="Z33" s="475"/>
      <c r="AA33" s="1103"/>
      <c r="AB33" s="475"/>
      <c r="AC33" s="475"/>
      <c r="AD33" s="475"/>
      <c r="AE33" s="475"/>
      <c r="AF33" s="475"/>
      <c r="AG33" s="720"/>
      <c r="AH33" s="720"/>
      <c r="AI33" s="475"/>
      <c r="AJ33" s="718"/>
      <c r="AK33" s="718"/>
      <c r="AL33" s="722"/>
      <c r="AM33" s="722"/>
      <c r="AN33" s="722"/>
    </row>
    <row r="34" spans="1:40" ht="16.5" customHeight="1" x14ac:dyDescent="0.25">
      <c r="A34" s="1078" t="s">
        <v>23</v>
      </c>
      <c r="B34" s="1079"/>
      <c r="C34" s="1079"/>
      <c r="D34" s="1079"/>
      <c r="E34" s="1079"/>
      <c r="F34" s="1079"/>
      <c r="G34" s="1079"/>
      <c r="H34" s="1079"/>
      <c r="I34" s="1079"/>
      <c r="J34" s="1080"/>
      <c r="K34" s="1080"/>
      <c r="L34" s="1081"/>
      <c r="M34" s="1101"/>
      <c r="N34" s="993"/>
      <c r="Y34" s="475"/>
      <c r="Z34" s="719"/>
      <c r="AA34" s="475"/>
      <c r="AB34" s="475"/>
      <c r="AC34" s="475"/>
      <c r="AD34" s="475"/>
      <c r="AE34" s="720"/>
      <c r="AF34" s="720"/>
      <c r="AG34" s="720"/>
      <c r="AH34" s="720"/>
      <c r="AI34" s="475"/>
      <c r="AJ34" s="718"/>
      <c r="AK34" s="718"/>
      <c r="AL34" s="722"/>
      <c r="AM34" s="722"/>
      <c r="AN34" s="722"/>
    </row>
    <row r="35" spans="1:40" ht="16.5" customHeight="1" x14ac:dyDescent="0.25">
      <c r="A35" s="1342" t="s">
        <v>24</v>
      </c>
      <c r="B35" s="1342"/>
      <c r="C35" s="1342"/>
      <c r="D35" s="1342"/>
      <c r="E35" s="1342"/>
      <c r="F35" s="1082">
        <v>1</v>
      </c>
      <c r="G35" s="1082">
        <v>2</v>
      </c>
      <c r="H35" s="1082">
        <v>3</v>
      </c>
      <c r="I35" s="1082">
        <v>4</v>
      </c>
      <c r="J35" s="1355"/>
      <c r="K35" s="1355"/>
      <c r="L35" s="1355"/>
      <c r="M35" s="1101"/>
      <c r="N35" s="994"/>
      <c r="Y35" s="475"/>
      <c r="Z35" s="475"/>
      <c r="AA35" s="475"/>
      <c r="AB35" s="475"/>
      <c r="AC35" s="475"/>
      <c r="AD35" s="475"/>
      <c r="AE35" s="475"/>
      <c r="AF35" s="475"/>
      <c r="AG35" s="720"/>
      <c r="AH35" s="720"/>
      <c r="AI35" s="475"/>
      <c r="AJ35" s="718"/>
      <c r="AK35" s="718"/>
      <c r="AL35" s="722"/>
      <c r="AM35" s="722"/>
      <c r="AN35" s="722"/>
    </row>
    <row r="36" spans="1:40" ht="16.5" customHeight="1" x14ac:dyDescent="0.25">
      <c r="A36" s="1342" t="s">
        <v>25</v>
      </c>
      <c r="B36" s="1342"/>
      <c r="C36" s="1342"/>
      <c r="D36" s="1342"/>
      <c r="E36" s="1342"/>
      <c r="F36" s="1083">
        <f>+DATOS!F15</f>
        <v>5</v>
      </c>
      <c r="G36" s="1083">
        <f>+DATOS!H15</f>
        <v>5</v>
      </c>
      <c r="H36" s="1083">
        <f>+DATOS!J15</f>
        <v>5</v>
      </c>
      <c r="I36" s="1084">
        <f>+DATOS!L15</f>
        <v>5</v>
      </c>
      <c r="J36" s="1355"/>
      <c r="K36" s="1355"/>
      <c r="L36" s="1355"/>
      <c r="M36" s="1101"/>
      <c r="N36" s="995"/>
      <c r="Y36" s="475"/>
      <c r="Z36" s="475"/>
      <c r="AA36" s="475"/>
      <c r="AB36" s="475"/>
      <c r="AC36" s="475"/>
      <c r="AD36" s="475"/>
      <c r="AE36" s="475"/>
      <c r="AF36" s="475"/>
      <c r="AG36" s="475"/>
      <c r="AH36" s="475"/>
      <c r="AI36" s="475"/>
      <c r="AJ36" s="718"/>
      <c r="AK36" s="718"/>
      <c r="AL36" s="722"/>
      <c r="AM36" s="722"/>
      <c r="AN36" s="722"/>
    </row>
    <row r="37" spans="1:40" ht="16.5" customHeight="1" x14ac:dyDescent="0.25">
      <c r="A37" s="1342" t="s">
        <v>26</v>
      </c>
      <c r="B37" s="1342"/>
      <c r="C37" s="1342"/>
      <c r="D37" s="1342"/>
      <c r="E37" s="1342"/>
      <c r="F37" s="1083">
        <f>+DATOS!F16</f>
        <v>0</v>
      </c>
      <c r="G37" s="1083">
        <f>+DATOS!H16</f>
        <v>0</v>
      </c>
      <c r="H37" s="1083">
        <f>+DATOS!J16</f>
        <v>0</v>
      </c>
      <c r="I37" s="1084">
        <f>+DATOS!L16</f>
        <v>0</v>
      </c>
      <c r="J37" s="1355"/>
      <c r="K37" s="1355"/>
      <c r="L37" s="1355"/>
      <c r="M37" s="1106"/>
      <c r="N37" s="995"/>
      <c r="Y37" s="475"/>
      <c r="Z37" s="475"/>
      <c r="AA37" s="475"/>
      <c r="AB37" s="475"/>
      <c r="AC37" s="475"/>
      <c r="AD37" s="475"/>
      <c r="AE37" s="475"/>
      <c r="AF37" s="475"/>
      <c r="AG37" s="475"/>
      <c r="AH37" s="475"/>
      <c r="AI37" s="475"/>
      <c r="AJ37" s="718"/>
      <c r="AK37" s="718"/>
      <c r="AL37" s="722"/>
      <c r="AM37" s="722"/>
      <c r="AN37" s="722"/>
    </row>
    <row r="38" spans="1:40" ht="16.5" customHeight="1" x14ac:dyDescent="0.25">
      <c r="A38" s="1342" t="s">
        <v>28</v>
      </c>
      <c r="B38" s="1342"/>
      <c r="C38" s="1342"/>
      <c r="D38" s="1342"/>
      <c r="E38" s="1342"/>
      <c r="F38" s="1085" t="e">
        <f>+DATOS!F21</f>
        <v>#DIV/0!</v>
      </c>
      <c r="G38" s="1085" t="e">
        <f>+DATOS!H21</f>
        <v>#DIV/0!</v>
      </c>
      <c r="H38" s="1085" t="e">
        <f>+DATOS!J21</f>
        <v>#DIV/0!</v>
      </c>
      <c r="I38" s="1085" t="e">
        <f>+DATOS!L21</f>
        <v>#DIV/0!</v>
      </c>
      <c r="J38" s="1355"/>
      <c r="K38" s="1355"/>
      <c r="L38" s="1355"/>
      <c r="M38" s="1101"/>
      <c r="N38" s="1101"/>
      <c r="V38" s="718"/>
      <c r="W38" s="475"/>
      <c r="X38" s="475"/>
      <c r="Y38" s="475"/>
      <c r="Z38" s="475"/>
      <c r="AA38" s="475"/>
      <c r="AB38" s="475"/>
      <c r="AC38" s="475"/>
      <c r="AD38" s="475"/>
      <c r="AE38" s="475"/>
      <c r="AF38" s="475"/>
      <c r="AG38" s="475"/>
      <c r="AH38" s="475"/>
      <c r="AI38" s="475"/>
      <c r="AJ38" s="718"/>
      <c r="AK38" s="718"/>
      <c r="AL38" s="722"/>
      <c r="AM38" s="722"/>
      <c r="AN38" s="722"/>
    </row>
    <row r="39" spans="1:40" ht="16.5" customHeight="1" x14ac:dyDescent="0.25">
      <c r="A39" s="1078" t="s">
        <v>29</v>
      </c>
      <c r="B39" s="1079"/>
      <c r="C39" s="1079"/>
      <c r="D39" s="1079"/>
      <c r="E39" s="1079"/>
      <c r="F39" s="1086"/>
      <c r="G39" s="996"/>
      <c r="H39" s="996"/>
      <c r="I39" s="1086"/>
      <c r="K39" s="997"/>
      <c r="L39" s="1087"/>
      <c r="M39" s="1101"/>
      <c r="N39" s="1101"/>
      <c r="V39" s="718"/>
      <c r="W39" s="475"/>
      <c r="X39" s="475"/>
      <c r="Y39" s="475"/>
      <c r="Z39" s="475"/>
      <c r="AA39" s="475"/>
      <c r="AB39" s="475"/>
      <c r="AC39" s="475"/>
      <c r="AD39" s="475"/>
      <c r="AE39" s="475"/>
      <c r="AF39" s="475"/>
      <c r="AG39" s="475"/>
      <c r="AH39" s="475"/>
      <c r="AI39" s="475"/>
      <c r="AJ39" s="718"/>
      <c r="AK39" s="718"/>
      <c r="AL39" s="722"/>
      <c r="AM39" s="722"/>
      <c r="AN39" s="722"/>
    </row>
    <row r="40" spans="1:40" ht="16.5" customHeight="1" x14ac:dyDescent="0.25">
      <c r="A40" s="1342" t="s">
        <v>33</v>
      </c>
      <c r="B40" s="1342"/>
      <c r="C40" s="1342"/>
      <c r="D40" s="1342"/>
      <c r="E40" s="1342"/>
      <c r="F40" s="1088" t="e">
        <f>+DATOS!F31</f>
        <v>#DIV/0!</v>
      </c>
      <c r="G40" s="1088" t="e">
        <f>+DATOS!H31</f>
        <v>#DIV/0!</v>
      </c>
      <c r="H40" s="1088" t="e">
        <f>+DATOS!J31</f>
        <v>#DIV/0!</v>
      </c>
      <c r="I40" s="1088" t="e">
        <f>+DATOS!L31</f>
        <v>#DIV/0!</v>
      </c>
      <c r="J40" s="1385"/>
      <c r="K40" s="1386"/>
      <c r="L40" s="1387"/>
      <c r="M40" s="1107"/>
      <c r="N40" s="1101"/>
      <c r="Q40" s="1108"/>
      <c r="V40" s="718"/>
      <c r="W40" s="475"/>
      <c r="X40" s="475"/>
      <c r="Y40" s="475"/>
      <c r="Z40" s="475"/>
      <c r="AA40" s="475"/>
      <c r="AB40" s="475"/>
      <c r="AC40" s="475"/>
      <c r="AD40" s="475"/>
      <c r="AE40" s="475"/>
      <c r="AF40" s="475"/>
      <c r="AG40" s="475"/>
      <c r="AH40" s="475"/>
      <c r="AI40" s="475"/>
      <c r="AJ40" s="718"/>
      <c r="AK40" s="718"/>
      <c r="AL40" s="722"/>
      <c r="AM40" s="722"/>
      <c r="AN40" s="722"/>
    </row>
    <row r="41" spans="1:40" ht="16.5" customHeight="1" x14ac:dyDescent="0.25">
      <c r="A41" s="1342" t="s">
        <v>34</v>
      </c>
      <c r="B41" s="1342"/>
      <c r="C41" s="1342"/>
      <c r="D41" s="1342"/>
      <c r="E41" s="1342"/>
      <c r="F41" s="1085" t="e">
        <f>+DATOS!F32</f>
        <v>#DIV/0!</v>
      </c>
      <c r="G41" s="1085" t="e">
        <f>+DATOS!H32</f>
        <v>#DIV/0!</v>
      </c>
      <c r="H41" s="1085" t="e">
        <f>+DATOS!J32</f>
        <v>#DIV/0!</v>
      </c>
      <c r="I41" s="1085" t="e">
        <f>+DATOS!L32</f>
        <v>#DIV/0!</v>
      </c>
      <c r="J41" s="1385"/>
      <c r="K41" s="1386"/>
      <c r="L41" s="1387"/>
      <c r="M41" s="1109"/>
      <c r="N41" s="1101"/>
      <c r="V41" s="718"/>
      <c r="W41" s="475"/>
      <c r="X41" s="475"/>
      <c r="Y41" s="475"/>
      <c r="Z41" s="475"/>
      <c r="AA41" s="475"/>
      <c r="AB41" s="475"/>
      <c r="AC41" s="475"/>
      <c r="AD41" s="475"/>
      <c r="AE41" s="475"/>
      <c r="AF41" s="475"/>
      <c r="AG41" s="475"/>
      <c r="AH41" s="475"/>
      <c r="AI41" s="475"/>
      <c r="AJ41" s="718"/>
      <c r="AK41" s="718"/>
      <c r="AL41" s="722"/>
      <c r="AM41" s="722"/>
      <c r="AN41" s="722"/>
    </row>
    <row r="42" spans="1:40" ht="16.5" customHeight="1" x14ac:dyDescent="0.25">
      <c r="A42" s="1094" t="s">
        <v>565</v>
      </c>
      <c r="B42" s="1099"/>
      <c r="C42" s="1099"/>
      <c r="D42" s="1099"/>
      <c r="E42" s="1099"/>
      <c r="F42" s="1093" t="e">
        <f>+DATOS!F33</f>
        <v>#DIV/0!</v>
      </c>
      <c r="G42" s="1093" t="e">
        <f>+DATOS!H33</f>
        <v>#DIV/0!</v>
      </c>
      <c r="H42" s="1093" t="e">
        <f>+DATOS!J33</f>
        <v>#DIV/0!</v>
      </c>
      <c r="I42" s="1093" t="e">
        <f>+DATOS!L33</f>
        <v>#DIV/0!</v>
      </c>
      <c r="J42" s="1385"/>
      <c r="K42" s="1386"/>
      <c r="L42" s="1387"/>
      <c r="M42" s="1109"/>
      <c r="N42" s="1101"/>
      <c r="V42" s="718"/>
      <c r="W42" s="475"/>
      <c r="X42" s="475"/>
      <c r="Y42" s="475"/>
      <c r="Z42" s="475"/>
      <c r="AA42" s="475"/>
      <c r="AB42" s="475"/>
      <c r="AC42" s="475"/>
      <c r="AD42" s="475"/>
      <c r="AE42" s="475"/>
      <c r="AF42" s="475"/>
      <c r="AG42" s="475"/>
      <c r="AH42" s="475"/>
      <c r="AI42" s="475"/>
      <c r="AJ42" s="718"/>
      <c r="AK42" s="718"/>
      <c r="AL42" s="722"/>
      <c r="AM42" s="722"/>
      <c r="AN42" s="722"/>
    </row>
    <row r="43" spans="1:40" ht="18" customHeight="1" x14ac:dyDescent="0.25">
      <c r="A43" s="1110"/>
      <c r="B43" s="1110"/>
      <c r="C43" s="1110"/>
      <c r="D43" s="1111"/>
      <c r="E43" s="1111"/>
      <c r="F43" s="1111"/>
      <c r="G43" s="1111"/>
      <c r="H43" s="998"/>
      <c r="I43" s="998"/>
      <c r="J43" s="998"/>
      <c r="K43" s="998"/>
      <c r="L43" s="999"/>
      <c r="M43" s="1101"/>
      <c r="N43" s="1101"/>
      <c r="V43" s="718"/>
      <c r="W43" s="475"/>
      <c r="X43" s="475"/>
      <c r="Y43" s="475"/>
      <c r="Z43" s="475"/>
      <c r="AA43" s="475"/>
      <c r="AB43" s="475"/>
      <c r="AC43" s="475"/>
      <c r="AD43" s="475"/>
      <c r="AE43" s="475"/>
      <c r="AF43" s="475"/>
      <c r="AG43" s="475"/>
      <c r="AH43" s="475"/>
      <c r="AI43" s="475"/>
      <c r="AJ43" s="718"/>
      <c r="AK43" s="718"/>
      <c r="AL43" s="722"/>
      <c r="AM43" s="722"/>
      <c r="AN43" s="722"/>
    </row>
    <row r="44" spans="1:40" ht="18" customHeight="1" x14ac:dyDescent="0.25">
      <c r="A44" s="1112"/>
      <c r="B44" s="1112"/>
      <c r="C44" s="1112"/>
      <c r="D44" s="480"/>
      <c r="E44" s="480"/>
      <c r="F44" s="480"/>
      <c r="G44" s="480"/>
      <c r="H44" s="407"/>
      <c r="I44" s="997"/>
      <c r="J44" s="1343" t="s">
        <v>35</v>
      </c>
      <c r="K44" s="1344"/>
      <c r="L44" s="1345"/>
      <c r="M44" s="1101"/>
      <c r="N44" s="1371" t="s">
        <v>38</v>
      </c>
      <c r="O44" s="1371"/>
      <c r="V44" s="718"/>
      <c r="W44" s="475"/>
      <c r="X44" s="475"/>
      <c r="Y44" s="475"/>
      <c r="Z44" s="475"/>
      <c r="AA44" s="475"/>
      <c r="AB44" s="475"/>
      <c r="AC44" s="475"/>
      <c r="AD44" s="475"/>
      <c r="AE44" s="475"/>
      <c r="AF44" s="475"/>
      <c r="AG44" s="475"/>
      <c r="AH44" s="475"/>
      <c r="AI44" s="475"/>
      <c r="AJ44" s="718"/>
      <c r="AK44" s="718"/>
      <c r="AL44" s="722"/>
      <c r="AM44" s="722"/>
      <c r="AN44" s="722"/>
    </row>
    <row r="45" spans="1:40" ht="13.5" customHeight="1" x14ac:dyDescent="0.25">
      <c r="A45" s="1112"/>
      <c r="B45" s="1112"/>
      <c r="C45" s="1112"/>
      <c r="D45" s="480"/>
      <c r="E45" s="480"/>
      <c r="F45" s="480"/>
      <c r="G45" s="480"/>
      <c r="H45" s="407"/>
      <c r="I45" s="997"/>
      <c r="J45" s="1346" t="e">
        <f>+DATOS!C50</f>
        <v>#DIV/0!</v>
      </c>
      <c r="K45" s="1347"/>
      <c r="L45" s="1348"/>
      <c r="M45" s="1101"/>
      <c r="N45" s="680">
        <v>0</v>
      </c>
      <c r="O45" s="987" t="e">
        <f>+DATOS!J74</f>
        <v>#DIV/0!</v>
      </c>
      <c r="V45" s="718"/>
      <c r="W45" s="475"/>
      <c r="X45" s="475"/>
      <c r="Y45" s="475"/>
      <c r="Z45" s="475"/>
      <c r="AA45" s="475"/>
      <c r="AB45" s="475"/>
      <c r="AC45" s="475"/>
      <c r="AD45" s="475"/>
      <c r="AE45" s="475"/>
      <c r="AF45" s="475"/>
      <c r="AG45" s="475"/>
      <c r="AH45" s="475"/>
      <c r="AI45" s="475"/>
      <c r="AJ45" s="718"/>
      <c r="AK45" s="718"/>
      <c r="AL45" s="722"/>
      <c r="AM45" s="722"/>
      <c r="AN45" s="722"/>
    </row>
    <row r="46" spans="1:40" ht="24.75" customHeight="1" x14ac:dyDescent="0.25">
      <c r="A46" s="1112"/>
      <c r="B46" s="1112"/>
      <c r="C46" s="1112"/>
      <c r="D46" s="480"/>
      <c r="E46" s="480"/>
      <c r="F46" s="480"/>
      <c r="G46" s="480"/>
      <c r="H46" s="407"/>
      <c r="I46" s="997"/>
      <c r="J46" s="1372" t="s">
        <v>36</v>
      </c>
      <c r="K46" s="1373"/>
      <c r="L46" s="1374"/>
      <c r="M46" s="1101"/>
      <c r="N46" s="680" t="e">
        <f>+DATOS!J75</f>
        <v>#DIV/0!</v>
      </c>
      <c r="O46" s="987" t="e">
        <f>+O45</f>
        <v>#DIV/0!</v>
      </c>
      <c r="V46" s="718"/>
      <c r="W46" s="475"/>
      <c r="X46" s="475"/>
      <c r="Y46" s="475"/>
      <c r="Z46" s="475"/>
      <c r="AA46" s="475"/>
      <c r="AB46" s="475"/>
      <c r="AC46" s="475"/>
      <c r="AD46" s="475"/>
      <c r="AE46" s="475"/>
      <c r="AF46" s="475"/>
      <c r="AG46" s="475"/>
      <c r="AH46" s="475"/>
      <c r="AI46" s="475"/>
      <c r="AJ46" s="718"/>
      <c r="AK46" s="718"/>
      <c r="AL46" s="722"/>
      <c r="AM46" s="722"/>
      <c r="AN46" s="722"/>
    </row>
    <row r="47" spans="1:40" ht="18" customHeight="1" x14ac:dyDescent="0.25">
      <c r="A47" s="1112"/>
      <c r="B47" s="1112"/>
      <c r="C47" s="1112"/>
      <c r="D47" s="480"/>
      <c r="E47" s="480"/>
      <c r="F47" s="480"/>
      <c r="G47" s="480"/>
      <c r="H47" s="480"/>
      <c r="I47" s="997"/>
      <c r="J47" s="1375" t="e">
        <f>MROUND(N52,0.02)</f>
        <v>#DIV/0!</v>
      </c>
      <c r="K47" s="1376"/>
      <c r="L47" s="1377"/>
      <c r="M47" s="1101" t="s">
        <v>569</v>
      </c>
      <c r="N47" s="680" t="e">
        <f>+N46</f>
        <v>#DIV/0!</v>
      </c>
      <c r="O47" s="987">
        <v>0</v>
      </c>
      <c r="V47" s="718"/>
      <c r="W47" s="475"/>
      <c r="X47" s="475"/>
      <c r="Y47" s="475"/>
      <c r="Z47" s="475"/>
      <c r="AA47" s="475"/>
      <c r="AB47" s="475"/>
      <c r="AC47" s="475"/>
      <c r="AD47" s="475"/>
      <c r="AE47" s="475"/>
      <c r="AF47" s="475"/>
      <c r="AG47" s="475"/>
      <c r="AH47" s="475"/>
      <c r="AI47" s="475"/>
      <c r="AJ47" s="718"/>
      <c r="AK47" s="718"/>
      <c r="AL47" s="722"/>
      <c r="AM47" s="722"/>
      <c r="AN47" s="722"/>
    </row>
    <row r="48" spans="1:40" ht="18" customHeight="1" x14ac:dyDescent="0.25">
      <c r="A48" s="1112"/>
      <c r="B48" s="1112"/>
      <c r="C48" s="1112"/>
      <c r="D48" s="480"/>
      <c r="E48" s="480"/>
      <c r="F48" s="480"/>
      <c r="G48" s="480"/>
      <c r="H48" s="480"/>
      <c r="I48" s="997"/>
      <c r="J48" s="1349" t="s">
        <v>37</v>
      </c>
      <c r="K48" s="1350"/>
      <c r="L48" s="1351"/>
      <c r="M48" s="1101"/>
      <c r="N48" s="728"/>
      <c r="O48" s="728"/>
      <c r="S48" s="348"/>
      <c r="V48" s="718"/>
      <c r="W48" s="475"/>
      <c r="X48" s="475"/>
      <c r="Y48" s="475"/>
      <c r="Z48" s="475"/>
      <c r="AA48" s="475"/>
      <c r="AB48" s="475"/>
      <c r="AC48" s="475"/>
      <c r="AD48" s="475"/>
      <c r="AE48" s="475"/>
      <c r="AF48" s="475"/>
      <c r="AG48" s="475"/>
      <c r="AH48" s="475"/>
      <c r="AI48" s="475"/>
      <c r="AJ48" s="718"/>
      <c r="AK48" s="718"/>
      <c r="AL48" s="722"/>
      <c r="AM48" s="722"/>
      <c r="AN48" s="722"/>
    </row>
    <row r="49" spans="1:40" ht="13.2" customHeight="1" x14ac:dyDescent="0.25">
      <c r="A49" s="1112"/>
      <c r="B49" s="1112"/>
      <c r="C49" s="1112"/>
      <c r="D49" s="480"/>
      <c r="E49" s="480"/>
      <c r="F49" s="480"/>
      <c r="G49" s="480"/>
      <c r="H49" s="480"/>
      <c r="I49" s="997"/>
      <c r="J49" s="1352"/>
      <c r="K49" s="1353"/>
      <c r="L49" s="1354"/>
      <c r="M49" s="1101"/>
      <c r="N49" s="1371" t="s">
        <v>566</v>
      </c>
      <c r="O49" s="1371"/>
      <c r="S49" s="348"/>
      <c r="V49" s="718"/>
      <c r="W49" s="475"/>
      <c r="X49" s="475"/>
      <c r="Y49" s="475"/>
      <c r="Z49" s="475"/>
      <c r="AA49" s="1103"/>
      <c r="AB49" s="475"/>
      <c r="AC49" s="475"/>
      <c r="AD49" s="475"/>
      <c r="AE49" s="475"/>
      <c r="AF49" s="475"/>
      <c r="AG49" s="475"/>
      <c r="AH49" s="475"/>
      <c r="AI49" s="475"/>
      <c r="AJ49" s="718"/>
      <c r="AK49" s="718"/>
      <c r="AL49" s="722"/>
      <c r="AM49" s="722"/>
      <c r="AN49" s="722"/>
    </row>
    <row r="50" spans="1:40" ht="13.2" customHeight="1" x14ac:dyDescent="0.25">
      <c r="A50" s="1112"/>
      <c r="B50" s="1112"/>
      <c r="C50" s="1112"/>
      <c r="D50" s="480"/>
      <c r="E50" s="480"/>
      <c r="F50" s="480"/>
      <c r="G50" s="480"/>
      <c r="H50" s="480"/>
      <c r="I50" s="997"/>
      <c r="J50" s="1378" t="e">
        <f>+DATOS!J74</f>
        <v>#DIV/0!</v>
      </c>
      <c r="K50" s="1379"/>
      <c r="L50" s="1380"/>
      <c r="M50" s="1107"/>
      <c r="N50" s="987">
        <v>0</v>
      </c>
      <c r="O50" s="986" t="e">
        <f>+O45</f>
        <v>#DIV/0!</v>
      </c>
      <c r="V50" s="718"/>
      <c r="W50" s="475"/>
      <c r="X50" s="475"/>
      <c r="Y50" s="475"/>
      <c r="Z50" s="475"/>
      <c r="AA50" s="1103"/>
      <c r="AB50" s="475"/>
      <c r="AC50" s="475"/>
      <c r="AD50" s="475"/>
      <c r="AE50" s="475"/>
      <c r="AF50" s="475"/>
      <c r="AG50" s="475"/>
      <c r="AH50" s="475"/>
      <c r="AI50" s="475"/>
      <c r="AJ50" s="718"/>
      <c r="AK50" s="718"/>
      <c r="AL50" s="722"/>
      <c r="AM50" s="722"/>
      <c r="AN50" s="722"/>
    </row>
    <row r="51" spans="1:40" ht="10.5" customHeight="1" x14ac:dyDescent="0.25">
      <c r="A51" s="1112"/>
      <c r="B51" s="1112"/>
      <c r="C51" s="1112"/>
      <c r="D51" s="480"/>
      <c r="E51" s="480"/>
      <c r="F51" s="480"/>
      <c r="G51" s="480"/>
      <c r="H51" s="480"/>
      <c r="I51" s="997"/>
      <c r="J51" s="1381"/>
      <c r="K51" s="1382"/>
      <c r="L51" s="1383"/>
      <c r="M51" s="1101"/>
      <c r="N51" s="680" t="e">
        <f>+N46*9.8066</f>
        <v>#DIV/0!</v>
      </c>
      <c r="O51" s="986" t="e">
        <f>+O50</f>
        <v>#DIV/0!</v>
      </c>
      <c r="V51" s="718"/>
      <c r="W51" s="475"/>
      <c r="X51" s="475"/>
      <c r="Y51" s="475"/>
      <c r="Z51" s="475"/>
      <c r="AA51" s="1103"/>
      <c r="AB51" s="475"/>
      <c r="AC51" s="475"/>
      <c r="AD51" s="475"/>
      <c r="AE51" s="475"/>
      <c r="AF51" s="475"/>
      <c r="AG51" s="475"/>
      <c r="AH51" s="475"/>
      <c r="AI51" s="475"/>
      <c r="AJ51" s="718"/>
      <c r="AK51" s="718"/>
      <c r="AL51" s="722"/>
      <c r="AM51" s="722"/>
      <c r="AN51" s="722"/>
    </row>
    <row r="52" spans="1:40" ht="13.2" customHeight="1" x14ac:dyDescent="0.25">
      <c r="A52" s="1112"/>
      <c r="B52" s="1112"/>
      <c r="C52" s="1112"/>
      <c r="D52" s="480"/>
      <c r="E52" s="480"/>
      <c r="F52" s="480"/>
      <c r="G52" s="480"/>
      <c r="H52" s="480"/>
      <c r="I52" s="997"/>
      <c r="M52" s="1101"/>
      <c r="N52" s="680" t="e">
        <f>+N51</f>
        <v>#DIV/0!</v>
      </c>
      <c r="O52" s="986">
        <v>0</v>
      </c>
      <c r="V52" s="718"/>
      <c r="W52" s="475"/>
      <c r="X52" s="475"/>
      <c r="Y52" s="475"/>
      <c r="Z52" s="475"/>
      <c r="AA52" s="719"/>
      <c r="AB52" s="475"/>
      <c r="AC52" s="475"/>
      <c r="AD52" s="475"/>
      <c r="AE52" s="475"/>
      <c r="AF52" s="475"/>
      <c r="AG52" s="475"/>
      <c r="AH52" s="475"/>
      <c r="AI52" s="475"/>
      <c r="AJ52" s="718"/>
      <c r="AK52" s="718"/>
      <c r="AL52" s="722"/>
      <c r="AM52" s="722"/>
      <c r="AN52" s="722"/>
    </row>
    <row r="53" spans="1:40" ht="13.2" customHeight="1" x14ac:dyDescent="0.25">
      <c r="A53" s="1112"/>
      <c r="B53" s="1112"/>
      <c r="C53" s="1112"/>
      <c r="D53" s="480"/>
      <c r="E53" s="480"/>
      <c r="F53" s="480"/>
      <c r="G53" s="480"/>
      <c r="H53" s="480"/>
      <c r="I53" s="997"/>
      <c r="M53" s="1101"/>
      <c r="V53" s="718"/>
      <c r="W53" s="475"/>
      <c r="X53" s="475"/>
      <c r="Y53" s="475"/>
      <c r="Z53" s="475"/>
      <c r="AA53" s="475"/>
      <c r="AB53" s="475"/>
      <c r="AC53" s="475"/>
      <c r="AD53" s="475"/>
      <c r="AE53" s="475"/>
      <c r="AF53" s="475"/>
      <c r="AG53" s="475"/>
      <c r="AH53" s="475"/>
      <c r="AI53" s="475"/>
      <c r="AJ53" s="718"/>
      <c r="AK53" s="718"/>
      <c r="AL53" s="722"/>
      <c r="AM53" s="722"/>
      <c r="AN53" s="722"/>
    </row>
    <row r="54" spans="1:40" ht="13.2" customHeight="1" x14ac:dyDescent="0.25">
      <c r="A54" s="1112"/>
      <c r="B54" s="1112"/>
      <c r="C54" s="1112"/>
      <c r="D54" s="480"/>
      <c r="E54" s="480"/>
      <c r="F54" s="480"/>
      <c r="G54" s="480"/>
      <c r="H54" s="480"/>
      <c r="I54" s="997"/>
      <c r="N54" s="1113"/>
      <c r="V54" s="718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475"/>
      <c r="AI54" s="475"/>
      <c r="AJ54" s="718"/>
      <c r="AK54" s="718"/>
      <c r="AL54" s="722"/>
      <c r="AM54" s="722"/>
      <c r="AN54" s="722"/>
    </row>
    <row r="55" spans="1:40" ht="13.2" customHeight="1" x14ac:dyDescent="0.25">
      <c r="A55" s="1112"/>
      <c r="B55" s="1112"/>
      <c r="C55" s="1112"/>
      <c r="D55" s="480"/>
      <c r="E55" s="480"/>
      <c r="F55" s="480"/>
      <c r="G55" s="480"/>
      <c r="H55" s="480"/>
      <c r="I55" s="997"/>
      <c r="V55" s="718"/>
      <c r="W55" s="475"/>
      <c r="X55" s="475"/>
      <c r="Y55" s="475"/>
      <c r="Z55" s="475"/>
      <c r="AA55" s="475"/>
      <c r="AB55" s="475"/>
      <c r="AC55" s="475"/>
      <c r="AD55" s="475"/>
      <c r="AE55" s="475"/>
      <c r="AF55" s="475"/>
      <c r="AG55" s="475"/>
      <c r="AH55" s="475"/>
      <c r="AI55" s="475"/>
      <c r="AJ55" s="718"/>
      <c r="AK55" s="718"/>
      <c r="AL55" s="722"/>
      <c r="AM55" s="722"/>
      <c r="AN55" s="722"/>
    </row>
    <row r="56" spans="1:40" ht="13.2" customHeight="1" x14ac:dyDescent="0.25">
      <c r="A56" s="1112"/>
      <c r="B56" s="1112"/>
      <c r="C56" s="1112"/>
      <c r="D56" s="480"/>
      <c r="E56" s="480"/>
      <c r="F56" s="480"/>
      <c r="G56" s="480"/>
      <c r="H56" s="480"/>
      <c r="I56" s="997"/>
      <c r="N56" s="1113"/>
      <c r="V56" s="718"/>
      <c r="W56" s="475"/>
      <c r="X56" s="475"/>
      <c r="Y56" s="475"/>
      <c r="Z56" s="475"/>
      <c r="AA56" s="475"/>
      <c r="AB56" s="475"/>
      <c r="AC56" s="475"/>
      <c r="AD56" s="475"/>
      <c r="AE56" s="475"/>
      <c r="AF56" s="475"/>
      <c r="AG56" s="475"/>
      <c r="AH56" s="475"/>
      <c r="AI56" s="475"/>
      <c r="AJ56" s="718"/>
      <c r="AK56" s="718"/>
      <c r="AL56" s="722"/>
      <c r="AM56" s="722"/>
      <c r="AN56" s="722"/>
    </row>
    <row r="57" spans="1:40" ht="13.2" customHeight="1" x14ac:dyDescent="0.25">
      <c r="A57" s="1112"/>
      <c r="B57" s="1112"/>
      <c r="C57" s="1112"/>
      <c r="D57" s="480"/>
      <c r="E57" s="480"/>
      <c r="F57" s="480"/>
      <c r="G57" s="480"/>
      <c r="H57" s="480"/>
      <c r="I57" s="997"/>
      <c r="L57" s="702" t="s">
        <v>526</v>
      </c>
      <c r="N57" s="1113"/>
      <c r="O57" s="1113"/>
      <c r="V57" s="718"/>
      <c r="W57" s="475"/>
      <c r="X57" s="475"/>
      <c r="Y57" s="475"/>
      <c r="Z57" s="475"/>
      <c r="AA57" s="475"/>
      <c r="AB57" s="475"/>
      <c r="AC57" s="475"/>
      <c r="AD57" s="475"/>
      <c r="AE57" s="475"/>
      <c r="AF57" s="475"/>
      <c r="AG57" s="475"/>
      <c r="AH57" s="475"/>
      <c r="AI57" s="475"/>
      <c r="AJ57" s="718"/>
      <c r="AK57" s="718"/>
      <c r="AL57" s="722"/>
      <c r="AM57" s="722"/>
      <c r="AN57" s="722"/>
    </row>
    <row r="58" spans="1:40" ht="13.2" customHeight="1" x14ac:dyDescent="0.25">
      <c r="A58" s="1112"/>
      <c r="B58" s="1112"/>
      <c r="C58" s="1112"/>
      <c r="D58" s="480"/>
      <c r="E58" s="480"/>
      <c r="F58" s="480"/>
      <c r="G58" s="480"/>
      <c r="H58" s="480"/>
      <c r="I58" s="997"/>
      <c r="M58" s="378"/>
      <c r="V58" s="718"/>
      <c r="W58" s="475"/>
      <c r="X58" s="475"/>
      <c r="Y58" s="475"/>
      <c r="Z58" s="475"/>
      <c r="AA58" s="475"/>
      <c r="AB58" s="475"/>
      <c r="AC58" s="475"/>
      <c r="AD58" s="475"/>
      <c r="AE58" s="475"/>
      <c r="AF58" s="475"/>
      <c r="AG58" s="475"/>
      <c r="AH58" s="475"/>
      <c r="AI58" s="475"/>
      <c r="AJ58" s="718"/>
      <c r="AK58" s="718"/>
      <c r="AL58" s="722"/>
      <c r="AM58" s="722"/>
      <c r="AN58" s="722"/>
    </row>
    <row r="59" spans="1:40" ht="13.2" customHeight="1" x14ac:dyDescent="0.25">
      <c r="A59" s="1112"/>
      <c r="B59" s="1112"/>
      <c r="C59" s="1112"/>
      <c r="D59" s="480"/>
      <c r="E59" s="480"/>
      <c r="F59" s="480"/>
      <c r="G59" s="480"/>
      <c r="H59" s="480"/>
      <c r="I59" s="997"/>
      <c r="M59" s="1101"/>
      <c r="V59" s="718"/>
      <c r="W59" s="475"/>
      <c r="X59" s="475"/>
      <c r="Y59" s="475"/>
      <c r="Z59" s="475"/>
      <c r="AA59" s="475"/>
      <c r="AB59" s="475"/>
      <c r="AC59" s="475"/>
      <c r="AD59" s="475"/>
      <c r="AE59" s="475"/>
      <c r="AF59" s="475"/>
      <c r="AG59" s="475"/>
      <c r="AH59" s="475"/>
      <c r="AI59" s="475"/>
      <c r="AJ59" s="718"/>
      <c r="AK59" s="718"/>
      <c r="AL59" s="722"/>
      <c r="AM59" s="722"/>
      <c r="AN59" s="722"/>
    </row>
    <row r="60" spans="1:40" ht="13.2" customHeight="1" x14ac:dyDescent="0.25">
      <c r="B60" s="1112"/>
      <c r="C60" s="1112"/>
      <c r="D60" s="480"/>
      <c r="E60" s="480"/>
      <c r="F60" s="480"/>
      <c r="G60" s="480"/>
      <c r="H60" s="480"/>
      <c r="I60" s="997"/>
      <c r="J60" s="1335"/>
      <c r="K60" s="1335"/>
      <c r="L60" s="1335"/>
      <c r="M60" s="1101"/>
      <c r="Q60" s="1000"/>
      <c r="R60" s="1000"/>
      <c r="V60" s="718"/>
      <c r="W60" s="475"/>
      <c r="X60" s="475"/>
      <c r="Y60" s="475"/>
      <c r="Z60" s="475"/>
      <c r="AA60" s="475"/>
      <c r="AB60" s="475"/>
      <c r="AC60" s="475"/>
      <c r="AD60" s="475"/>
      <c r="AE60" s="475"/>
      <c r="AF60" s="475"/>
      <c r="AG60" s="475"/>
      <c r="AH60" s="475"/>
      <c r="AI60" s="475"/>
      <c r="AJ60" s="718"/>
      <c r="AK60" s="718"/>
      <c r="AL60" s="722"/>
      <c r="AM60" s="722"/>
      <c r="AN60" s="722"/>
    </row>
    <row r="61" spans="1:40" ht="13.2" customHeight="1" x14ac:dyDescent="0.25">
      <c r="A61" s="316" t="s">
        <v>39</v>
      </c>
      <c r="B61" s="1112"/>
      <c r="C61" s="1112"/>
      <c r="D61" s="480"/>
      <c r="E61" s="480"/>
      <c r="F61" s="480"/>
      <c r="G61" s="480"/>
      <c r="H61" s="480"/>
      <c r="I61" s="997"/>
      <c r="J61" s="1334"/>
      <c r="K61" s="1334"/>
      <c r="L61" s="1334"/>
      <c r="M61" s="1101"/>
      <c r="Q61" s="1001"/>
      <c r="R61" s="1001"/>
      <c r="V61" s="718"/>
      <c r="W61" s="475"/>
      <c r="X61" s="475"/>
      <c r="Y61" s="475"/>
      <c r="Z61" s="475"/>
      <c r="AA61" s="475"/>
      <c r="AB61" s="475"/>
      <c r="AC61" s="475"/>
      <c r="AD61" s="475"/>
      <c r="AE61" s="475"/>
      <c r="AF61" s="475"/>
      <c r="AG61" s="475"/>
      <c r="AH61" s="475"/>
      <c r="AI61" s="475"/>
      <c r="AJ61" s="718"/>
      <c r="AK61" s="718"/>
      <c r="AL61" s="722"/>
      <c r="AM61" s="722"/>
      <c r="AN61" s="722"/>
    </row>
    <row r="62" spans="1:40" ht="13.2" customHeight="1" x14ac:dyDescent="0.25">
      <c r="A62" s="316" t="s">
        <v>667</v>
      </c>
      <c r="B62" s="1112"/>
      <c r="C62" s="1112"/>
      <c r="D62" s="480"/>
      <c r="E62" s="480"/>
      <c r="F62" s="480"/>
      <c r="G62" s="480"/>
      <c r="H62" s="480"/>
      <c r="I62" s="997"/>
      <c r="J62" s="1335"/>
      <c r="K62" s="1335"/>
      <c r="L62" s="1335"/>
      <c r="M62" s="1101"/>
      <c r="P62" s="1000"/>
      <c r="Q62" s="1000"/>
      <c r="R62" s="1000"/>
      <c r="V62" s="718"/>
      <c r="W62" s="475"/>
      <c r="X62" s="475"/>
      <c r="Y62" s="475"/>
      <c r="Z62" s="475"/>
      <c r="AA62" s="475"/>
      <c r="AB62" s="475"/>
      <c r="AC62" s="475"/>
      <c r="AD62" s="475"/>
      <c r="AE62" s="475"/>
      <c r="AF62" s="475"/>
      <c r="AG62" s="475"/>
      <c r="AH62" s="475"/>
      <c r="AI62" s="475"/>
      <c r="AJ62" s="718"/>
      <c r="AK62" s="718"/>
      <c r="AL62" s="722"/>
      <c r="AM62" s="722"/>
      <c r="AN62" s="722"/>
    </row>
    <row r="63" spans="1:40" ht="15" customHeight="1" x14ac:dyDescent="0.25">
      <c r="B63" s="316"/>
      <c r="C63" s="1275"/>
      <c r="D63" s="997"/>
      <c r="E63" s="997"/>
      <c r="F63" s="997"/>
      <c r="G63" s="997"/>
      <c r="H63" s="997"/>
      <c r="I63" s="997"/>
      <c r="J63" s="997"/>
      <c r="K63" s="997"/>
      <c r="L63" s="997"/>
      <c r="M63" s="1101"/>
      <c r="N63" s="1003"/>
      <c r="O63" s="1004"/>
      <c r="P63" s="1002"/>
      <c r="Q63" s="1002"/>
      <c r="R63" s="1002"/>
      <c r="V63" s="718"/>
      <c r="W63" s="475"/>
      <c r="X63" s="475"/>
      <c r="Y63" s="475"/>
      <c r="Z63" s="475"/>
      <c r="AA63" s="475"/>
      <c r="AB63" s="475"/>
      <c r="AC63" s="475"/>
      <c r="AD63" s="475"/>
      <c r="AE63" s="475"/>
      <c r="AF63" s="475"/>
      <c r="AG63" s="475"/>
      <c r="AH63" s="475"/>
      <c r="AI63" s="475"/>
      <c r="AJ63" s="718"/>
      <c r="AK63" s="718"/>
      <c r="AL63" s="722"/>
      <c r="AM63" s="722"/>
      <c r="AN63" s="722"/>
    </row>
    <row r="64" spans="1:40" ht="9" customHeight="1" x14ac:dyDescent="0.25">
      <c r="B64" s="316"/>
      <c r="C64" s="316"/>
      <c r="D64" s="997"/>
      <c r="E64" s="997"/>
      <c r="F64" s="997"/>
      <c r="G64" s="997"/>
      <c r="H64" s="997"/>
      <c r="I64" s="997"/>
      <c r="J64" s="997"/>
      <c r="K64" s="997"/>
      <c r="L64" s="997"/>
      <c r="M64" s="1101"/>
      <c r="N64" s="1003"/>
      <c r="O64" s="1004"/>
      <c r="P64" s="1002"/>
      <c r="Q64" s="1002"/>
      <c r="R64" s="1002"/>
      <c r="V64" s="718"/>
      <c r="W64" s="475"/>
      <c r="X64" s="475"/>
      <c r="Y64" s="475"/>
      <c r="Z64" s="475"/>
      <c r="AA64" s="475"/>
      <c r="AB64" s="475"/>
      <c r="AC64" s="475"/>
      <c r="AD64" s="475"/>
      <c r="AE64" s="475"/>
      <c r="AF64" s="475"/>
      <c r="AG64" s="475"/>
      <c r="AH64" s="475"/>
      <c r="AI64" s="475"/>
      <c r="AJ64" s="718"/>
      <c r="AK64" s="718"/>
      <c r="AL64" s="722"/>
      <c r="AM64" s="722"/>
      <c r="AN64" s="722"/>
    </row>
    <row r="65" spans="1:40" ht="20.25" customHeight="1" x14ac:dyDescent="0.25">
      <c r="A65" s="984" t="s">
        <v>57</v>
      </c>
      <c r="B65" s="1005"/>
      <c r="C65" s="1005"/>
      <c r="D65" s="478"/>
      <c r="E65" s="478"/>
      <c r="H65" s="478"/>
      <c r="I65" s="480"/>
      <c r="J65" s="480"/>
      <c r="K65" s="480"/>
      <c r="L65" s="478"/>
      <c r="V65" s="718"/>
      <c r="W65" s="475"/>
      <c r="X65" s="475"/>
      <c r="Y65" s="475"/>
      <c r="Z65" s="475"/>
      <c r="AA65" s="475"/>
      <c r="AB65" s="475"/>
      <c r="AC65" s="475"/>
      <c r="AD65" s="475"/>
      <c r="AE65" s="475"/>
      <c r="AF65" s="475"/>
      <c r="AG65" s="475"/>
      <c r="AH65" s="475"/>
      <c r="AI65" s="475"/>
      <c r="AJ65" s="718"/>
      <c r="AK65" s="718"/>
      <c r="AL65" s="722"/>
      <c r="AM65" s="722"/>
      <c r="AN65" s="722"/>
    </row>
    <row r="66" spans="1:40" ht="15" customHeight="1" x14ac:dyDescent="0.25">
      <c r="A66" s="1006" t="s">
        <v>58</v>
      </c>
      <c r="B66" s="1114"/>
      <c r="C66" s="1114"/>
      <c r="D66" s="478"/>
      <c r="E66" s="478"/>
      <c r="F66" s="1336">
        <f>+formato!C36</f>
        <v>0</v>
      </c>
      <c r="G66" s="1336"/>
      <c r="H66" s="478"/>
      <c r="I66" s="378"/>
      <c r="J66" s="478"/>
      <c r="K66" s="478"/>
      <c r="L66" s="985"/>
      <c r="V66" s="718"/>
      <c r="W66" s="475"/>
      <c r="X66" s="475"/>
      <c r="Y66" s="475"/>
      <c r="Z66" s="475"/>
      <c r="AA66" s="475"/>
      <c r="AB66" s="475"/>
      <c r="AC66" s="475"/>
      <c r="AD66" s="475"/>
      <c r="AE66" s="475"/>
      <c r="AF66" s="475"/>
      <c r="AG66" s="475"/>
      <c r="AH66" s="475"/>
      <c r="AI66" s="475"/>
      <c r="AJ66" s="718"/>
      <c r="AK66" s="718"/>
      <c r="AL66" s="722"/>
      <c r="AM66" s="722"/>
      <c r="AN66" s="722"/>
    </row>
    <row r="67" spans="1:40" ht="15" customHeight="1" x14ac:dyDescent="0.25">
      <c r="A67" s="1006" t="s">
        <v>59</v>
      </c>
      <c r="B67" s="1114"/>
      <c r="C67" s="1114"/>
      <c r="D67" s="478"/>
      <c r="E67" s="478"/>
      <c r="F67" s="1337">
        <f>+formato!C37</f>
        <v>0</v>
      </c>
      <c r="G67" s="1337"/>
      <c r="H67" s="478"/>
      <c r="I67" s="378"/>
      <c r="J67" s="1115"/>
      <c r="K67" s="478"/>
      <c r="L67" s="478"/>
      <c r="V67" s="718"/>
      <c r="W67" s="475"/>
      <c r="X67" s="475"/>
      <c r="Y67" s="475"/>
      <c r="Z67" s="475"/>
      <c r="AA67" s="475"/>
      <c r="AB67" s="475"/>
      <c r="AC67" s="475"/>
      <c r="AD67" s="475"/>
      <c r="AE67" s="475"/>
      <c r="AF67" s="475"/>
      <c r="AG67" s="475"/>
      <c r="AH67" s="475"/>
      <c r="AI67" s="475"/>
      <c r="AJ67" s="718"/>
      <c r="AK67" s="718"/>
      <c r="AL67" s="722"/>
      <c r="AM67" s="722"/>
      <c r="AN67" s="722"/>
    </row>
    <row r="68" spans="1:40" ht="15" customHeight="1" x14ac:dyDescent="0.25">
      <c r="A68" s="1006" t="s">
        <v>60</v>
      </c>
      <c r="B68" s="1114"/>
      <c r="C68" s="1114"/>
      <c r="D68" s="478"/>
      <c r="E68" s="478"/>
      <c r="F68" s="1336">
        <f>+formato!C38</f>
        <v>0</v>
      </c>
      <c r="G68" s="1336"/>
      <c r="H68" s="478"/>
      <c r="I68" s="1116"/>
      <c r="J68" s="1115"/>
      <c r="K68" s="478"/>
      <c r="L68" s="478"/>
      <c r="V68" s="718"/>
      <c r="W68" s="475"/>
      <c r="X68" s="475"/>
      <c r="Y68" s="475"/>
      <c r="Z68" s="475"/>
      <c r="AA68" s="475"/>
      <c r="AB68" s="475"/>
      <c r="AC68" s="475"/>
      <c r="AD68" s="475"/>
      <c r="AE68" s="475"/>
      <c r="AF68" s="475"/>
      <c r="AG68" s="475"/>
      <c r="AH68" s="475"/>
      <c r="AI68" s="475"/>
      <c r="AJ68" s="718"/>
      <c r="AK68" s="718"/>
      <c r="AL68" s="722"/>
      <c r="AM68" s="722"/>
      <c r="AN68" s="722"/>
    </row>
    <row r="69" spans="1:40" ht="13.2" customHeight="1" x14ac:dyDescent="0.25">
      <c r="A69" s="1117"/>
      <c r="B69" s="1114"/>
      <c r="C69" s="1114"/>
      <c r="D69" s="478"/>
      <c r="E69" s="478"/>
      <c r="F69" s="1007"/>
      <c r="G69" s="1007"/>
      <c r="H69" s="478"/>
      <c r="I69" s="1116"/>
      <c r="J69" s="1115"/>
      <c r="K69" s="478"/>
      <c r="L69" s="478"/>
      <c r="V69" s="718"/>
      <c r="W69" s="475"/>
      <c r="X69" s="475"/>
      <c r="Y69" s="475"/>
      <c r="Z69" s="475"/>
      <c r="AA69" s="475"/>
      <c r="AB69" s="475"/>
      <c r="AC69" s="475"/>
      <c r="AD69" s="475"/>
      <c r="AE69" s="475"/>
      <c r="AF69" s="475"/>
      <c r="AG69" s="475"/>
      <c r="AH69" s="475"/>
      <c r="AI69" s="475"/>
      <c r="AJ69" s="718"/>
      <c r="AK69" s="718"/>
      <c r="AL69" s="722"/>
      <c r="AM69" s="722"/>
      <c r="AN69" s="722"/>
    </row>
    <row r="70" spans="1:40" ht="19.5" customHeight="1" x14ac:dyDescent="0.25">
      <c r="A70" s="984" t="s">
        <v>61</v>
      </c>
      <c r="B70" s="984"/>
      <c r="C70" s="984"/>
      <c r="D70" s="997"/>
      <c r="E70" s="997"/>
      <c r="F70" s="1008"/>
      <c r="G70" s="1009"/>
      <c r="H70" s="1008"/>
      <c r="I70" s="1010"/>
      <c r="J70" s="1115"/>
      <c r="K70" s="478"/>
      <c r="L70" s="478"/>
      <c r="V70" s="718"/>
      <c r="W70" s="475"/>
      <c r="X70" s="475"/>
      <c r="Y70" s="475"/>
      <c r="Z70" s="475"/>
      <c r="AA70" s="475"/>
      <c r="AB70" s="475"/>
      <c r="AC70" s="475"/>
      <c r="AD70" s="475"/>
      <c r="AE70" s="475"/>
      <c r="AF70" s="475"/>
      <c r="AG70" s="475"/>
      <c r="AH70" s="475"/>
      <c r="AI70" s="475"/>
      <c r="AJ70" s="718"/>
      <c r="AK70" s="718"/>
      <c r="AL70" s="722"/>
      <c r="AM70" s="722"/>
      <c r="AN70" s="722"/>
    </row>
    <row r="71" spans="1:40" ht="16.5" customHeight="1" x14ac:dyDescent="0.25">
      <c r="A71" s="1011" t="s">
        <v>62</v>
      </c>
      <c r="B71" s="1118"/>
      <c r="C71" s="1118"/>
      <c r="D71" s="1118"/>
      <c r="E71" s="1118"/>
      <c r="F71" s="1118"/>
      <c r="G71" s="1012">
        <f>+formato!C45</f>
        <v>0</v>
      </c>
      <c r="H71" s="1112"/>
      <c r="J71" s="1115"/>
      <c r="K71" s="478"/>
      <c r="L71" s="478"/>
      <c r="V71" s="718"/>
      <c r="W71" s="475"/>
      <c r="X71" s="475"/>
      <c r="Y71" s="475"/>
      <c r="Z71" s="475"/>
      <c r="AA71" s="475"/>
      <c r="AB71" s="475"/>
      <c r="AC71" s="475"/>
      <c r="AD71" s="475"/>
      <c r="AE71" s="475"/>
      <c r="AF71" s="475"/>
      <c r="AG71" s="475"/>
      <c r="AH71" s="475"/>
      <c r="AI71" s="475"/>
      <c r="AJ71" s="718"/>
      <c r="AK71" s="718"/>
      <c r="AL71" s="722"/>
      <c r="AM71" s="722"/>
      <c r="AN71" s="722"/>
    </row>
    <row r="72" spans="1:40" ht="16.5" customHeight="1" x14ac:dyDescent="0.25">
      <c r="A72" s="1011" t="s">
        <v>64</v>
      </c>
      <c r="B72" s="1118"/>
      <c r="C72" s="1118"/>
      <c r="D72" s="1118"/>
      <c r="E72" s="1118"/>
      <c r="F72" s="1118"/>
      <c r="G72" s="1012">
        <f>+formato!C42</f>
        <v>0</v>
      </c>
      <c r="H72" s="1112"/>
      <c r="J72" s="1115"/>
      <c r="K72" s="478"/>
      <c r="L72" s="478"/>
      <c r="V72" s="718"/>
      <c r="W72" s="475"/>
      <c r="X72" s="475"/>
      <c r="Y72" s="475"/>
      <c r="Z72" s="475"/>
      <c r="AA72" s="475"/>
      <c r="AB72" s="475"/>
      <c r="AC72" s="475"/>
      <c r="AD72" s="475"/>
      <c r="AE72" s="475"/>
      <c r="AF72" s="475"/>
      <c r="AG72" s="475"/>
      <c r="AH72" s="475"/>
      <c r="AI72" s="475"/>
      <c r="AJ72" s="718"/>
      <c r="AK72" s="718"/>
      <c r="AL72" s="722"/>
      <c r="AM72" s="722"/>
      <c r="AN72" s="722"/>
    </row>
    <row r="73" spans="1:40" ht="16.5" customHeight="1" x14ac:dyDescent="0.25">
      <c r="A73" s="1011" t="s">
        <v>65</v>
      </c>
      <c r="B73" s="1118"/>
      <c r="C73" s="1118"/>
      <c r="D73" s="1118"/>
      <c r="E73" s="1118"/>
      <c r="F73" s="1118"/>
      <c r="G73" s="1012">
        <f>+formato!C43</f>
        <v>0</v>
      </c>
      <c r="H73" s="1112"/>
      <c r="J73" s="1115"/>
      <c r="K73" s="478"/>
      <c r="L73" s="478"/>
      <c r="V73" s="718"/>
      <c r="W73" s="475"/>
      <c r="X73" s="475"/>
      <c r="Y73" s="475"/>
      <c r="Z73" s="475"/>
      <c r="AA73" s="475"/>
      <c r="AB73" s="475"/>
      <c r="AC73" s="475"/>
      <c r="AD73" s="475"/>
      <c r="AE73" s="475"/>
      <c r="AF73" s="475"/>
      <c r="AG73" s="475"/>
      <c r="AH73" s="475"/>
      <c r="AI73" s="475"/>
      <c r="AJ73" s="718"/>
      <c r="AK73" s="718"/>
      <c r="AL73" s="722"/>
      <c r="AM73" s="722"/>
      <c r="AN73" s="722"/>
    </row>
    <row r="74" spans="1:40" ht="16.5" customHeight="1" x14ac:dyDescent="0.25">
      <c r="A74" s="1013" t="s">
        <v>549</v>
      </c>
      <c r="B74" s="1018"/>
      <c r="C74" s="1018"/>
      <c r="D74" s="1018"/>
      <c r="E74" s="1018"/>
      <c r="F74" s="1018"/>
      <c r="G74" s="1014" t="s">
        <v>67</v>
      </c>
      <c r="H74" s="1338">
        <f>DATOS!F37</f>
        <v>0</v>
      </c>
      <c r="I74" s="1339"/>
      <c r="J74" s="1115"/>
      <c r="K74" s="478"/>
      <c r="L74" s="478"/>
      <c r="M74" s="1089">
        <v>8</v>
      </c>
      <c r="N74" s="1089"/>
      <c r="O74" s="1089"/>
      <c r="V74" s="718"/>
      <c r="W74" s="475"/>
      <c r="X74" s="475"/>
      <c r="Y74" s="475"/>
      <c r="Z74" s="475"/>
      <c r="AA74" s="475"/>
      <c r="AB74" s="475"/>
      <c r="AC74" s="475"/>
      <c r="AD74" s="475"/>
      <c r="AE74" s="475"/>
      <c r="AF74" s="475"/>
      <c r="AG74" s="475"/>
      <c r="AH74" s="475"/>
      <c r="AI74" s="475"/>
      <c r="AJ74" s="718"/>
      <c r="AK74" s="718"/>
      <c r="AL74" s="722"/>
      <c r="AM74" s="722"/>
      <c r="AN74" s="722"/>
    </row>
    <row r="75" spans="1:40" ht="16.5" customHeight="1" x14ac:dyDescent="0.25">
      <c r="A75" s="1013" t="s">
        <v>572</v>
      </c>
      <c r="B75" s="1018"/>
      <c r="C75" s="1018"/>
      <c r="D75" s="1018"/>
      <c r="E75" s="1018"/>
      <c r="F75" s="1018"/>
      <c r="G75" s="1014" t="s">
        <v>67</v>
      </c>
      <c r="H75" s="1340">
        <f>DATOS!F38</f>
        <v>0</v>
      </c>
      <c r="I75" s="1341"/>
      <c r="J75" s="1115"/>
      <c r="K75" s="478"/>
      <c r="L75" s="478"/>
      <c r="M75" s="1090">
        <v>8</v>
      </c>
      <c r="N75" s="1090"/>
      <c r="O75" s="1090"/>
      <c r="V75" s="718"/>
      <c r="W75" s="475"/>
      <c r="X75" s="475"/>
      <c r="Y75" s="475"/>
      <c r="Z75" s="475"/>
      <c r="AA75" s="475"/>
      <c r="AB75" s="475"/>
      <c r="AC75" s="475"/>
      <c r="AD75" s="475"/>
      <c r="AE75" s="475"/>
      <c r="AF75" s="475"/>
      <c r="AG75" s="475"/>
      <c r="AH75" s="475"/>
      <c r="AI75" s="475"/>
      <c r="AJ75" s="718"/>
      <c r="AK75" s="718"/>
      <c r="AL75" s="722"/>
      <c r="AM75" s="722"/>
      <c r="AN75" s="722"/>
    </row>
    <row r="76" spans="1:40" ht="16.5" customHeight="1" x14ac:dyDescent="0.25">
      <c r="A76" s="1013" t="s">
        <v>69</v>
      </c>
      <c r="B76" s="1018"/>
      <c r="C76" s="1018"/>
      <c r="D76" s="1018"/>
      <c r="E76" s="1018"/>
      <c r="F76" s="1018"/>
      <c r="G76" s="1257"/>
      <c r="H76" s="1112"/>
      <c r="J76" s="1115"/>
      <c r="K76" s="478"/>
      <c r="L76" s="478"/>
      <c r="M76" s="1101"/>
      <c r="V76" s="718"/>
      <c r="W76" s="475"/>
      <c r="X76" s="475"/>
      <c r="Y76" s="475"/>
      <c r="Z76" s="475"/>
      <c r="AA76" s="475"/>
      <c r="AB76" s="475"/>
      <c r="AC76" s="475"/>
      <c r="AD76" s="475"/>
      <c r="AE76" s="475"/>
      <c r="AF76" s="475"/>
      <c r="AG76" s="475"/>
      <c r="AH76" s="475"/>
      <c r="AI76" s="475"/>
      <c r="AJ76" s="718"/>
      <c r="AK76" s="718"/>
      <c r="AL76" s="722"/>
      <c r="AM76" s="722"/>
      <c r="AN76" s="722"/>
    </row>
    <row r="77" spans="1:40" ht="12.6" customHeight="1" x14ac:dyDescent="0.25">
      <c r="A77" s="1333"/>
      <c r="B77" s="1333"/>
      <c r="C77" s="1333"/>
      <c r="D77" s="1333"/>
      <c r="E77" s="1333"/>
      <c r="F77" s="1333"/>
      <c r="G77" s="1333"/>
      <c r="H77" s="1333"/>
      <c r="I77" s="1333"/>
      <c r="J77" s="1333"/>
      <c r="K77" s="1333"/>
      <c r="L77" s="1333"/>
      <c r="V77" s="718"/>
      <c r="W77" s="475"/>
      <c r="X77" s="475"/>
      <c r="Y77" s="475"/>
      <c r="Z77" s="475"/>
      <c r="AA77" s="475"/>
      <c r="AB77" s="475"/>
      <c r="AC77" s="475"/>
      <c r="AD77" s="475"/>
      <c r="AE77" s="475"/>
      <c r="AF77" s="475"/>
      <c r="AG77" s="475"/>
      <c r="AH77" s="475"/>
      <c r="AI77" s="475"/>
      <c r="AJ77" s="718"/>
      <c r="AK77" s="718"/>
      <c r="AL77" s="722"/>
      <c r="AM77" s="722"/>
      <c r="AN77" s="722"/>
    </row>
    <row r="78" spans="1:40" ht="13.5" customHeight="1" x14ac:dyDescent="0.25">
      <c r="A78" s="984" t="s">
        <v>70</v>
      </c>
      <c r="B78" s="1115"/>
      <c r="C78" s="1115"/>
      <c r="D78" s="1115"/>
      <c r="E78" s="478"/>
      <c r="F78" s="478"/>
      <c r="G78" s="1015"/>
      <c r="H78" s="985"/>
      <c r="I78" s="985"/>
      <c r="J78" s="985"/>
      <c r="K78" s="1016"/>
      <c r="L78" s="1016"/>
      <c r="M78" s="1016"/>
      <c r="N78" s="1016"/>
      <c r="V78" s="718"/>
      <c r="W78" s="475"/>
      <c r="X78" s="475"/>
      <c r="Y78" s="475"/>
      <c r="Z78" s="475"/>
      <c r="AA78" s="475"/>
      <c r="AB78" s="475"/>
      <c r="AC78" s="475"/>
      <c r="AD78" s="475"/>
      <c r="AE78" s="475"/>
      <c r="AF78" s="475"/>
      <c r="AG78" s="475"/>
      <c r="AH78" s="475"/>
      <c r="AI78" s="475"/>
      <c r="AJ78" s="718"/>
      <c r="AK78" s="718"/>
      <c r="AL78" s="722"/>
      <c r="AM78" s="722"/>
      <c r="AN78" s="722"/>
    </row>
    <row r="79" spans="1:40" ht="16.5" customHeight="1" x14ac:dyDescent="0.25">
      <c r="A79" s="1332" t="s">
        <v>662</v>
      </c>
      <c r="B79" s="1332"/>
      <c r="C79" s="1332"/>
      <c r="D79" s="1332"/>
      <c r="E79" s="1332"/>
      <c r="F79" s="1332"/>
      <c r="G79" s="1332"/>
      <c r="H79" s="1332"/>
      <c r="I79" s="1332"/>
      <c r="J79" s="1332"/>
      <c r="K79" s="1332"/>
      <c r="L79" s="1332"/>
      <c r="M79" s="1016"/>
      <c r="N79" s="1016"/>
      <c r="V79" s="718"/>
      <c r="W79" s="475"/>
      <c r="X79" s="475"/>
      <c r="Y79" s="475"/>
      <c r="Z79" s="475"/>
      <c r="AA79" s="475"/>
      <c r="AB79" s="475"/>
      <c r="AC79" s="475"/>
      <c r="AD79" s="475"/>
      <c r="AE79" s="475"/>
      <c r="AF79" s="475"/>
      <c r="AG79" s="475"/>
      <c r="AH79" s="475"/>
      <c r="AI79" s="475"/>
      <c r="AJ79" s="718"/>
      <c r="AK79" s="718"/>
      <c r="AL79" s="722"/>
      <c r="AM79" s="722"/>
      <c r="AN79" s="722"/>
    </row>
    <row r="80" spans="1:40" ht="33" customHeight="1" x14ac:dyDescent="0.25">
      <c r="A80" s="1333" t="s">
        <v>663</v>
      </c>
      <c r="B80" s="1333"/>
      <c r="C80" s="1333"/>
      <c r="D80" s="1333"/>
      <c r="E80" s="1333"/>
      <c r="F80" s="1333"/>
      <c r="G80" s="1333"/>
      <c r="H80" s="1333"/>
      <c r="I80" s="1333"/>
      <c r="J80" s="1333"/>
      <c r="K80" s="1333"/>
      <c r="L80" s="1333"/>
      <c r="M80" s="1119"/>
      <c r="N80" s="1119"/>
      <c r="V80" s="718"/>
      <c r="W80" s="475"/>
      <c r="X80" s="475"/>
      <c r="Y80" s="475"/>
      <c r="Z80" s="475"/>
      <c r="AA80" s="475"/>
      <c r="AB80" s="475"/>
      <c r="AC80" s="475"/>
      <c r="AD80" s="475"/>
      <c r="AE80" s="475"/>
      <c r="AF80" s="475"/>
      <c r="AG80" s="475"/>
      <c r="AH80" s="475"/>
      <c r="AI80" s="475"/>
      <c r="AJ80" s="718"/>
      <c r="AK80" s="718"/>
      <c r="AL80" s="722"/>
      <c r="AM80" s="722"/>
      <c r="AN80" s="722"/>
    </row>
    <row r="81" spans="1:40" ht="15" customHeight="1" x14ac:dyDescent="0.25">
      <c r="A81" s="1333" t="s">
        <v>664</v>
      </c>
      <c r="B81" s="1333"/>
      <c r="C81" s="1333"/>
      <c r="D81" s="1333"/>
      <c r="E81" s="1333"/>
      <c r="F81" s="1333"/>
      <c r="G81" s="1333"/>
      <c r="H81" s="1333"/>
      <c r="I81" s="1333"/>
      <c r="J81" s="1333"/>
      <c r="K81" s="1333"/>
      <c r="L81" s="1333"/>
      <c r="M81" s="1017"/>
      <c r="N81" s="1017"/>
      <c r="V81" s="718"/>
      <c r="W81" s="475"/>
      <c r="X81" s="475"/>
      <c r="Y81" s="475"/>
      <c r="Z81" s="475"/>
      <c r="AA81" s="475"/>
      <c r="AB81" s="475"/>
      <c r="AC81" s="475"/>
      <c r="AD81" s="475"/>
      <c r="AE81" s="475"/>
      <c r="AF81" s="475"/>
      <c r="AG81" s="475"/>
      <c r="AH81" s="475"/>
      <c r="AI81" s="475"/>
      <c r="AJ81" s="718"/>
      <c r="AK81" s="718"/>
      <c r="AL81" s="722"/>
      <c r="AM81" s="722"/>
      <c r="AN81" s="722"/>
    </row>
    <row r="82" spans="1:40" ht="24.6" customHeight="1" x14ac:dyDescent="0.25">
      <c r="A82" s="1333" t="s">
        <v>665</v>
      </c>
      <c r="B82" s="1333"/>
      <c r="C82" s="1333"/>
      <c r="D82" s="1333"/>
      <c r="E82" s="1333"/>
      <c r="F82" s="1333"/>
      <c r="G82" s="1333"/>
      <c r="H82" s="1333"/>
      <c r="I82" s="1333"/>
      <c r="J82" s="1333"/>
      <c r="K82" s="1333"/>
      <c r="L82" s="1333"/>
      <c r="M82" s="1119"/>
      <c r="N82" s="1119"/>
      <c r="V82" s="718"/>
      <c r="W82" s="475"/>
      <c r="X82" s="475"/>
      <c r="Y82" s="475"/>
      <c r="Z82" s="475"/>
      <c r="AA82" s="475"/>
      <c r="AB82" s="475"/>
      <c r="AC82" s="475"/>
      <c r="AD82" s="475"/>
      <c r="AE82" s="475"/>
      <c r="AF82" s="475"/>
      <c r="AG82" s="475"/>
      <c r="AH82" s="475"/>
      <c r="AI82" s="475"/>
      <c r="AJ82" s="718"/>
      <c r="AK82" s="718"/>
      <c r="AL82" s="722"/>
      <c r="AM82" s="722"/>
      <c r="AN82" s="722"/>
    </row>
    <row r="83" spans="1:40" ht="24" customHeight="1" x14ac:dyDescent="0.25">
      <c r="A83" s="1384" t="s">
        <v>666</v>
      </c>
      <c r="B83" s="1384"/>
      <c r="C83" s="1384"/>
      <c r="D83" s="1384"/>
      <c r="E83" s="1384"/>
      <c r="F83" s="1384"/>
      <c r="G83" s="1384"/>
      <c r="H83" s="1384"/>
      <c r="I83" s="1384"/>
      <c r="J83" s="1384"/>
      <c r="K83" s="1384"/>
      <c r="L83" s="1384"/>
      <c r="M83" s="1119"/>
      <c r="N83" s="1119"/>
      <c r="V83" s="718"/>
      <c r="W83" s="475"/>
      <c r="X83" s="475"/>
      <c r="Y83" s="475"/>
      <c r="Z83" s="475"/>
      <c r="AA83" s="475"/>
      <c r="AB83" s="475"/>
      <c r="AC83" s="475"/>
      <c r="AD83" s="475"/>
      <c r="AE83" s="475"/>
      <c r="AF83" s="475"/>
      <c r="AG83" s="475"/>
      <c r="AH83" s="475"/>
      <c r="AI83" s="475"/>
      <c r="AJ83" s="718"/>
      <c r="AK83" s="718"/>
      <c r="AL83" s="722"/>
      <c r="AM83" s="722"/>
      <c r="AN83" s="722"/>
    </row>
    <row r="84" spans="1:40" ht="10.199999999999999" customHeight="1" x14ac:dyDescent="0.25">
      <c r="A84" s="1018"/>
      <c r="B84" s="1013"/>
      <c r="C84" s="1013"/>
      <c r="D84" s="1119"/>
      <c r="E84" s="1119"/>
      <c r="F84" s="1119"/>
      <c r="G84" s="1119"/>
      <c r="H84" s="1119"/>
      <c r="I84" s="1119"/>
      <c r="J84" s="1119"/>
      <c r="K84" s="1119"/>
      <c r="L84" s="1119"/>
      <c r="M84" s="1119"/>
      <c r="N84" s="1119"/>
      <c r="V84" s="718"/>
      <c r="W84" s="475"/>
      <c r="X84" s="475"/>
      <c r="Y84" s="475"/>
      <c r="Z84" s="475"/>
      <c r="AA84" s="475"/>
      <c r="AB84" s="475"/>
      <c r="AC84" s="475"/>
      <c r="AD84" s="475"/>
      <c r="AE84" s="475"/>
      <c r="AF84" s="475"/>
      <c r="AG84" s="475"/>
      <c r="AH84" s="475"/>
      <c r="AI84" s="475"/>
      <c r="AJ84" s="718"/>
      <c r="AK84" s="718"/>
      <c r="AL84" s="722"/>
      <c r="AM84" s="722"/>
      <c r="AN84" s="722"/>
    </row>
    <row r="85" spans="1:40" ht="13.5" customHeight="1" x14ac:dyDescent="0.25">
      <c r="A85" s="984" t="s">
        <v>71</v>
      </c>
      <c r="B85" s="1013"/>
      <c r="C85" s="1019"/>
      <c r="D85" s="1119"/>
      <c r="E85" s="1119"/>
      <c r="F85" s="1119"/>
      <c r="G85" s="1119"/>
      <c r="H85" s="1119"/>
      <c r="I85" s="1119"/>
      <c r="J85" s="1119"/>
      <c r="K85" s="1119"/>
      <c r="L85" s="1119"/>
      <c r="M85" s="1119"/>
      <c r="N85" s="1119"/>
      <c r="V85" s="718"/>
      <c r="W85" s="475"/>
      <c r="X85" s="475"/>
      <c r="Y85" s="475"/>
      <c r="Z85" s="475"/>
      <c r="AA85" s="475"/>
      <c r="AB85" s="475"/>
      <c r="AC85" s="475"/>
      <c r="AD85" s="475"/>
      <c r="AE85" s="475"/>
      <c r="AF85" s="475"/>
      <c r="AG85" s="475"/>
      <c r="AH85" s="475"/>
      <c r="AI85" s="475"/>
      <c r="AJ85" s="718"/>
      <c r="AK85" s="718"/>
      <c r="AL85" s="722"/>
      <c r="AM85" s="722"/>
      <c r="AN85" s="722"/>
    </row>
    <row r="86" spans="1:40" ht="17.399999999999999" customHeight="1" x14ac:dyDescent="0.25">
      <c r="A86" s="1368"/>
      <c r="B86" s="1368"/>
      <c r="C86" s="1368"/>
      <c r="D86" s="1368"/>
      <c r="E86" s="1368"/>
      <c r="F86" s="1368"/>
      <c r="G86" s="1368"/>
      <c r="H86" s="1368"/>
      <c r="I86" s="1368"/>
      <c r="J86" s="1368"/>
      <c r="K86" s="1368"/>
      <c r="L86" s="1368"/>
      <c r="M86" s="1119"/>
      <c r="N86" s="1119"/>
      <c r="V86" s="718"/>
      <c r="W86" s="475"/>
      <c r="X86" s="475"/>
      <c r="Y86" s="475"/>
      <c r="Z86" s="475"/>
      <c r="AA86" s="475"/>
      <c r="AB86" s="475"/>
      <c r="AC86" s="475"/>
      <c r="AD86" s="475"/>
      <c r="AE86" s="475"/>
      <c r="AF86" s="475"/>
      <c r="AG86" s="475"/>
      <c r="AH86" s="475"/>
      <c r="AI86" s="475"/>
      <c r="AJ86" s="718"/>
      <c r="AK86" s="718"/>
      <c r="AL86" s="722"/>
      <c r="AM86" s="722"/>
      <c r="AN86" s="722"/>
    </row>
    <row r="87" spans="1:40" ht="6.6" customHeight="1" x14ac:dyDescent="0.25">
      <c r="A87" s="1130"/>
      <c r="B87" s="1130"/>
      <c r="C87" s="1130"/>
      <c r="D87" s="1130"/>
      <c r="E87" s="1130"/>
      <c r="F87" s="1130"/>
      <c r="G87" s="1130"/>
      <c r="H87" s="1130"/>
      <c r="I87" s="1130"/>
      <c r="J87" s="1130"/>
      <c r="K87" s="1130"/>
      <c r="L87" s="1130"/>
      <c r="M87" s="1119"/>
      <c r="N87" s="1119"/>
      <c r="V87" s="718"/>
      <c r="W87" s="475"/>
      <c r="X87" s="475"/>
      <c r="Y87" s="475"/>
      <c r="Z87" s="475"/>
      <c r="AA87" s="475"/>
      <c r="AB87" s="475"/>
      <c r="AC87" s="475"/>
      <c r="AD87" s="475"/>
      <c r="AE87" s="475"/>
      <c r="AF87" s="475"/>
      <c r="AG87" s="475"/>
      <c r="AH87" s="475"/>
      <c r="AI87" s="475"/>
      <c r="AJ87" s="718"/>
      <c r="AK87" s="718"/>
      <c r="AL87" s="722"/>
      <c r="AM87" s="722"/>
      <c r="AN87" s="722"/>
    </row>
    <row r="88" spans="1:40" ht="6.6" customHeight="1" x14ac:dyDescent="0.25">
      <c r="A88" s="1130"/>
      <c r="B88" s="1130"/>
      <c r="C88" s="1130"/>
      <c r="D88" s="1130"/>
      <c r="E88" s="1130"/>
      <c r="F88" s="1130"/>
      <c r="G88" s="1130"/>
      <c r="H88" s="1130"/>
      <c r="I88" s="1130"/>
      <c r="J88" s="1130"/>
      <c r="K88" s="1130"/>
      <c r="L88" s="1130"/>
      <c r="M88" s="1119"/>
      <c r="N88" s="1119"/>
      <c r="V88" s="718"/>
      <c r="W88" s="475"/>
      <c r="X88" s="475"/>
      <c r="Y88" s="475"/>
      <c r="Z88" s="475"/>
      <c r="AA88" s="475"/>
      <c r="AB88" s="475"/>
      <c r="AC88" s="475"/>
      <c r="AD88" s="475"/>
      <c r="AE88" s="475"/>
      <c r="AF88" s="475"/>
      <c r="AG88" s="475"/>
      <c r="AH88" s="475"/>
      <c r="AI88" s="475"/>
      <c r="AJ88" s="718"/>
      <c r="AK88" s="718"/>
      <c r="AL88" s="722"/>
      <c r="AM88" s="722"/>
      <c r="AN88" s="722"/>
    </row>
    <row r="89" spans="1:40" ht="17.399999999999999" customHeight="1" x14ac:dyDescent="0.25">
      <c r="A89" s="1130"/>
      <c r="B89" s="1130"/>
      <c r="C89" s="1130"/>
      <c r="D89" s="1130"/>
      <c r="E89" s="1130"/>
      <c r="F89" s="1130"/>
      <c r="G89" s="1130"/>
      <c r="H89" s="1130"/>
      <c r="I89" s="1130"/>
      <c r="J89" s="1130"/>
      <c r="K89" s="1130"/>
      <c r="L89" s="1130"/>
      <c r="M89" s="1119"/>
      <c r="N89" s="1119"/>
      <c r="V89" s="718"/>
      <c r="W89" s="475"/>
      <c r="X89" s="475"/>
      <c r="Y89" s="475"/>
      <c r="Z89" s="475"/>
      <c r="AA89" s="475"/>
      <c r="AB89" s="475"/>
      <c r="AC89" s="475"/>
      <c r="AD89" s="475"/>
      <c r="AE89" s="475"/>
      <c r="AF89" s="475"/>
      <c r="AG89" s="475"/>
      <c r="AH89" s="475"/>
      <c r="AI89" s="475"/>
      <c r="AJ89" s="718"/>
      <c r="AK89" s="718"/>
      <c r="AL89" s="722"/>
      <c r="AM89" s="722"/>
      <c r="AN89" s="722"/>
    </row>
    <row r="90" spans="1:40" ht="17.399999999999999" customHeight="1" x14ac:dyDescent="0.25">
      <c r="A90" s="1130"/>
      <c r="B90" s="1130"/>
      <c r="C90" s="1130"/>
      <c r="D90" s="1130"/>
      <c r="E90" s="1130"/>
      <c r="F90" s="1130"/>
      <c r="G90" s="1130"/>
      <c r="H90" s="1130"/>
      <c r="I90" s="1130"/>
      <c r="J90" s="1130"/>
      <c r="K90" s="1130"/>
      <c r="L90" s="1130"/>
      <c r="M90" s="1119"/>
      <c r="N90" s="1119"/>
      <c r="V90" s="718"/>
      <c r="W90" s="475"/>
      <c r="X90" s="475"/>
      <c r="Y90" s="475"/>
      <c r="Z90" s="475"/>
      <c r="AA90" s="475"/>
      <c r="AB90" s="475"/>
      <c r="AC90" s="475"/>
      <c r="AD90" s="475"/>
      <c r="AE90" s="475"/>
      <c r="AF90" s="475"/>
      <c r="AG90" s="475"/>
      <c r="AH90" s="475"/>
      <c r="AI90" s="475"/>
      <c r="AJ90" s="718"/>
      <c r="AK90" s="718"/>
      <c r="AL90" s="722"/>
      <c r="AM90" s="722"/>
      <c r="AN90" s="722"/>
    </row>
    <row r="91" spans="1:40" ht="17.399999999999999" customHeight="1" x14ac:dyDescent="0.25">
      <c r="A91" s="1130"/>
      <c r="B91" s="1130"/>
      <c r="C91" s="1130"/>
      <c r="D91" s="1130"/>
      <c r="E91" s="1130"/>
      <c r="F91" s="1130"/>
      <c r="G91" s="1130"/>
      <c r="H91" s="1130"/>
      <c r="I91" s="1130"/>
      <c r="J91" s="1130"/>
      <c r="K91" s="1130"/>
      <c r="L91" s="1130"/>
      <c r="M91" s="1119"/>
      <c r="N91" s="1119"/>
      <c r="V91" s="718"/>
      <c r="W91" s="475"/>
      <c r="X91" s="475"/>
      <c r="Y91" s="475"/>
      <c r="Z91" s="475"/>
      <c r="AA91" s="475"/>
      <c r="AB91" s="475"/>
      <c r="AC91" s="475"/>
      <c r="AD91" s="475"/>
      <c r="AE91" s="475"/>
      <c r="AF91" s="475"/>
      <c r="AG91" s="475"/>
      <c r="AH91" s="475"/>
      <c r="AI91" s="475"/>
      <c r="AJ91" s="718"/>
      <c r="AK91" s="718"/>
      <c r="AL91" s="722"/>
      <c r="AM91" s="722"/>
      <c r="AN91" s="722"/>
    </row>
    <row r="92" spans="1:40" ht="17.399999999999999" customHeight="1" x14ac:dyDescent="0.25">
      <c r="A92" s="1130"/>
      <c r="B92" s="1130"/>
      <c r="C92" s="1130"/>
      <c r="D92" s="1130"/>
      <c r="E92" s="1130"/>
      <c r="F92" s="1130"/>
      <c r="G92" s="1130"/>
      <c r="H92" s="1130"/>
      <c r="I92" s="1130"/>
      <c r="J92" s="1130"/>
      <c r="K92" s="1130"/>
      <c r="L92" s="1130"/>
      <c r="M92" s="1119"/>
      <c r="N92" s="1119"/>
      <c r="V92" s="718"/>
      <c r="W92" s="475"/>
      <c r="X92" s="475"/>
      <c r="Y92" s="475"/>
      <c r="Z92" s="475"/>
      <c r="AA92" s="475"/>
      <c r="AB92" s="475"/>
      <c r="AC92" s="475"/>
      <c r="AD92" s="475"/>
      <c r="AE92" s="475"/>
      <c r="AF92" s="475"/>
      <c r="AG92" s="475"/>
      <c r="AH92" s="475"/>
      <c r="AI92" s="475"/>
      <c r="AJ92" s="718"/>
      <c r="AK92" s="718"/>
      <c r="AL92" s="722"/>
      <c r="AM92" s="722"/>
      <c r="AN92" s="722"/>
    </row>
    <row r="93" spans="1:40" ht="17.399999999999999" customHeight="1" x14ac:dyDescent="0.25">
      <c r="A93" s="1130"/>
      <c r="B93" s="1130"/>
      <c r="C93" s="1130"/>
      <c r="D93" s="1130"/>
      <c r="E93" s="1130"/>
      <c r="F93" s="1130"/>
      <c r="G93" s="1130"/>
      <c r="H93" s="1130"/>
      <c r="I93" s="1130"/>
      <c r="J93" s="1130"/>
      <c r="K93" s="1130"/>
      <c r="L93" s="1130"/>
      <c r="M93" s="1119"/>
      <c r="N93" s="1119"/>
      <c r="V93" s="718"/>
      <c r="W93" s="475"/>
      <c r="X93" s="475"/>
      <c r="Y93" s="475"/>
      <c r="Z93" s="475"/>
      <c r="AA93" s="475"/>
      <c r="AB93" s="475"/>
      <c r="AC93" s="475"/>
      <c r="AD93" s="475"/>
      <c r="AE93" s="475"/>
      <c r="AF93" s="475"/>
      <c r="AG93" s="475"/>
      <c r="AH93" s="475"/>
      <c r="AI93" s="475"/>
      <c r="AJ93" s="718"/>
      <c r="AK93" s="718"/>
      <c r="AL93" s="722"/>
      <c r="AM93" s="722"/>
      <c r="AN93" s="722"/>
    </row>
    <row r="94" spans="1:40" ht="17.399999999999999" customHeight="1" x14ac:dyDescent="0.25">
      <c r="A94" s="1130"/>
      <c r="B94" s="1130"/>
      <c r="C94" s="1130"/>
      <c r="D94" s="1130"/>
      <c r="E94" s="1130"/>
      <c r="F94" s="1130"/>
      <c r="G94" s="1130"/>
      <c r="H94" s="1130"/>
      <c r="I94" s="1130"/>
      <c r="J94" s="1130"/>
      <c r="K94" s="1130"/>
      <c r="L94" s="1130"/>
      <c r="M94" s="1119"/>
      <c r="N94" s="1119"/>
      <c r="V94" s="718"/>
      <c r="W94" s="475"/>
      <c r="X94" s="475"/>
      <c r="Y94" s="475"/>
      <c r="Z94" s="475"/>
      <c r="AA94" s="475"/>
      <c r="AB94" s="475"/>
      <c r="AC94" s="475"/>
      <c r="AD94" s="475"/>
      <c r="AE94" s="475"/>
      <c r="AF94" s="475"/>
      <c r="AG94" s="475"/>
      <c r="AH94" s="475"/>
      <c r="AI94" s="475"/>
      <c r="AJ94" s="718"/>
      <c r="AK94" s="718"/>
      <c r="AL94" s="722"/>
      <c r="AM94" s="722"/>
      <c r="AN94" s="722"/>
    </row>
    <row r="95" spans="1:40" ht="17.399999999999999" customHeight="1" x14ac:dyDescent="0.25">
      <c r="A95" s="1130"/>
      <c r="B95" s="1130"/>
      <c r="C95" s="1130"/>
      <c r="D95" s="1130"/>
      <c r="E95" s="1130"/>
      <c r="F95" s="1130"/>
      <c r="G95" s="1130"/>
      <c r="H95" s="1130"/>
      <c r="I95" s="1130"/>
      <c r="J95" s="1130"/>
      <c r="K95" s="1130"/>
      <c r="L95" s="1130"/>
      <c r="M95" s="1119"/>
      <c r="N95" s="1119"/>
      <c r="V95" s="718"/>
      <c r="W95" s="475"/>
      <c r="X95" s="475"/>
      <c r="Y95" s="475"/>
      <c r="Z95" s="475"/>
      <c r="AA95" s="475"/>
      <c r="AB95" s="475"/>
      <c r="AC95" s="475"/>
      <c r="AD95" s="475"/>
      <c r="AE95" s="475"/>
      <c r="AF95" s="475"/>
      <c r="AG95" s="475"/>
      <c r="AH95" s="475"/>
      <c r="AI95" s="475"/>
      <c r="AJ95" s="718"/>
      <c r="AK95" s="718"/>
      <c r="AL95" s="722"/>
      <c r="AM95" s="722"/>
      <c r="AN95" s="722"/>
    </row>
    <row r="96" spans="1:40" ht="17.399999999999999" customHeight="1" x14ac:dyDescent="0.25">
      <c r="A96" s="1130"/>
      <c r="B96" s="1130"/>
      <c r="C96" s="1130"/>
      <c r="D96" s="1130"/>
      <c r="E96" s="1130"/>
      <c r="F96" s="1130"/>
      <c r="G96" s="1130"/>
      <c r="H96" s="1130"/>
      <c r="I96" s="1130"/>
      <c r="J96" s="1130"/>
      <c r="K96" s="1130"/>
      <c r="L96" s="1130"/>
      <c r="M96" s="1119"/>
      <c r="N96" s="1119"/>
      <c r="V96" s="718"/>
      <c r="W96" s="475"/>
      <c r="X96" s="475"/>
      <c r="Y96" s="475"/>
      <c r="Z96" s="475"/>
      <c r="AA96" s="475"/>
      <c r="AB96" s="475"/>
      <c r="AC96" s="475"/>
      <c r="AD96" s="475"/>
      <c r="AE96" s="475"/>
      <c r="AF96" s="475"/>
      <c r="AG96" s="475"/>
      <c r="AH96" s="475"/>
      <c r="AI96" s="475"/>
      <c r="AJ96" s="718"/>
      <c r="AK96" s="718"/>
      <c r="AL96" s="722"/>
      <c r="AM96" s="722"/>
      <c r="AN96" s="722"/>
    </row>
    <row r="97" spans="1:40" ht="17.399999999999999" customHeight="1" x14ac:dyDescent="0.25">
      <c r="A97" s="480"/>
      <c r="B97" s="1013"/>
      <c r="C97" s="1019"/>
      <c r="D97" s="1119"/>
      <c r="E97" s="1119"/>
      <c r="F97" s="1119"/>
      <c r="G97" s="1119"/>
      <c r="H97" s="1119"/>
      <c r="I97" s="1119"/>
      <c r="J97" s="1119"/>
      <c r="K97" s="1119"/>
      <c r="L97" s="1119"/>
      <c r="M97" s="1119"/>
      <c r="N97" s="1119"/>
      <c r="V97" s="718"/>
      <c r="W97" s="475"/>
      <c r="X97" s="475"/>
      <c r="Y97" s="475"/>
      <c r="Z97" s="475"/>
      <c r="AA97" s="475"/>
      <c r="AB97" s="475"/>
      <c r="AC97" s="475"/>
      <c r="AD97" s="475"/>
      <c r="AE97" s="475"/>
      <c r="AF97" s="475"/>
      <c r="AG97" s="475"/>
      <c r="AH97" s="475"/>
      <c r="AI97" s="475"/>
      <c r="AJ97" s="718"/>
      <c r="AK97" s="718"/>
      <c r="AL97" s="722"/>
      <c r="AM97" s="722"/>
      <c r="AN97" s="722"/>
    </row>
    <row r="98" spans="1:40" ht="17.399999999999999" customHeight="1" x14ac:dyDescent="0.25">
      <c r="A98" s="480"/>
      <c r="B98" s="1013"/>
      <c r="C98" s="1019"/>
      <c r="D98" s="1119"/>
      <c r="E98" s="1119"/>
      <c r="F98" s="1119"/>
      <c r="G98" s="1119"/>
      <c r="H98" s="1119"/>
      <c r="I98" s="1119"/>
      <c r="J98" s="1119"/>
      <c r="K98" s="1119"/>
      <c r="L98" s="1119"/>
      <c r="M98" s="1119"/>
      <c r="N98" s="1119"/>
      <c r="V98" s="718"/>
      <c r="W98" s="475"/>
      <c r="X98" s="475"/>
      <c r="Y98" s="475"/>
      <c r="Z98" s="475"/>
      <c r="AA98" s="475"/>
      <c r="AB98" s="475"/>
      <c r="AC98" s="475"/>
      <c r="AD98" s="475"/>
      <c r="AE98" s="475"/>
      <c r="AF98" s="475"/>
      <c r="AG98" s="475"/>
      <c r="AH98" s="475"/>
      <c r="AI98" s="475"/>
      <c r="AJ98" s="718"/>
      <c r="AK98" s="718"/>
      <c r="AL98" s="722"/>
      <c r="AM98" s="722"/>
      <c r="AN98" s="722"/>
    </row>
    <row r="99" spans="1:40" ht="97.8" customHeight="1" x14ac:dyDescent="0.25">
      <c r="A99" s="984"/>
      <c r="B99" s="1013"/>
      <c r="C99" s="1019"/>
      <c r="D99" s="1119"/>
      <c r="E99" s="1119"/>
      <c r="F99" s="1119"/>
      <c r="G99" s="1119"/>
      <c r="H99" s="1119"/>
      <c r="I99" s="1119"/>
      <c r="J99" s="1119"/>
      <c r="K99" s="1119"/>
      <c r="L99" s="1119"/>
      <c r="M99" s="1119"/>
      <c r="N99" s="1119"/>
      <c r="V99" s="718"/>
      <c r="W99" s="475"/>
      <c r="X99" s="475"/>
      <c r="Y99" s="475"/>
      <c r="Z99" s="475"/>
      <c r="AA99" s="475"/>
      <c r="AB99" s="475"/>
      <c r="AC99" s="475"/>
      <c r="AD99" s="475"/>
      <c r="AE99" s="475"/>
      <c r="AF99" s="475"/>
      <c r="AG99" s="475"/>
      <c r="AH99" s="475"/>
      <c r="AI99" s="475"/>
      <c r="AJ99" s="718"/>
      <c r="AK99" s="718"/>
      <c r="AL99" s="722"/>
      <c r="AM99" s="722"/>
      <c r="AN99" s="722"/>
    </row>
    <row r="100" spans="1:40" ht="14.25" customHeight="1" x14ac:dyDescent="0.25">
      <c r="A100" s="316" t="s">
        <v>72</v>
      </c>
      <c r="B100" s="1013"/>
      <c r="C100" s="1013"/>
      <c r="D100" s="1119"/>
      <c r="E100" s="1119"/>
      <c r="F100" s="1119"/>
      <c r="G100" s="1119"/>
      <c r="H100" s="1119"/>
      <c r="I100" s="1119"/>
      <c r="J100" s="1119"/>
      <c r="K100" s="1020"/>
      <c r="M100" s="1020"/>
      <c r="N100" s="1020"/>
      <c r="V100" s="718"/>
      <c r="W100" s="475"/>
      <c r="X100" s="475"/>
      <c r="Y100" s="475"/>
      <c r="Z100" s="475"/>
      <c r="AA100" s="475"/>
      <c r="AB100" s="475"/>
      <c r="AC100" s="475"/>
      <c r="AD100" s="475"/>
      <c r="AE100" s="475"/>
      <c r="AF100" s="475"/>
      <c r="AG100" s="475"/>
      <c r="AH100" s="475"/>
      <c r="AI100" s="475"/>
      <c r="AJ100" s="718"/>
      <c r="AK100" s="718"/>
      <c r="AL100" s="722"/>
      <c r="AM100" s="722"/>
      <c r="AN100" s="722"/>
    </row>
    <row r="101" spans="1:40" ht="12" customHeight="1" x14ac:dyDescent="0.25">
      <c r="A101" s="316" t="s">
        <v>667</v>
      </c>
      <c r="B101" s="316"/>
      <c r="C101" s="316"/>
      <c r="D101" s="1021"/>
      <c r="E101" s="1021"/>
      <c r="F101" s="1021"/>
      <c r="G101" s="1021"/>
      <c r="H101" s="1021"/>
      <c r="I101" s="1021"/>
      <c r="J101" s="1021"/>
      <c r="K101" s="1020" t="s">
        <v>73</v>
      </c>
      <c r="L101" s="1020"/>
      <c r="V101" s="718"/>
      <c r="W101" s="475"/>
      <c r="X101" s="475"/>
      <c r="Y101" s="475"/>
      <c r="Z101" s="475"/>
      <c r="AA101" s="475"/>
      <c r="AB101" s="475"/>
      <c r="AC101" s="475"/>
      <c r="AD101" s="475"/>
      <c r="AE101" s="475"/>
      <c r="AF101" s="475"/>
      <c r="AG101" s="475"/>
      <c r="AH101" s="475"/>
      <c r="AI101" s="475"/>
      <c r="AJ101" s="718"/>
      <c r="AK101" s="718"/>
      <c r="AL101" s="722"/>
      <c r="AM101" s="722"/>
      <c r="AN101" s="722"/>
    </row>
    <row r="102" spans="1:40" x14ac:dyDescent="0.25">
      <c r="V102" s="718"/>
      <c r="W102" s="475"/>
      <c r="X102" s="475"/>
      <c r="Y102" s="475"/>
      <c r="Z102" s="475"/>
      <c r="AA102" s="475"/>
      <c r="AB102" s="475"/>
      <c r="AC102" s="475"/>
      <c r="AD102" s="475"/>
      <c r="AE102" s="475"/>
      <c r="AF102" s="719"/>
      <c r="AG102" s="720"/>
      <c r="AH102" s="721"/>
      <c r="AI102" s="475"/>
      <c r="AJ102" s="718"/>
      <c r="AK102" s="718"/>
      <c r="AL102" s="722"/>
      <c r="AM102" s="722"/>
      <c r="AN102" s="722"/>
    </row>
    <row r="103" spans="1:40" x14ac:dyDescent="0.25">
      <c r="V103" s="718"/>
      <c r="W103" s="475"/>
      <c r="X103" s="475"/>
      <c r="Y103" s="475"/>
      <c r="Z103" s="475"/>
      <c r="AA103" s="475"/>
      <c r="AB103" s="475"/>
      <c r="AC103" s="475"/>
      <c r="AD103" s="475"/>
      <c r="AE103" s="475"/>
      <c r="AF103" s="719"/>
      <c r="AG103" s="720"/>
      <c r="AH103" s="721"/>
      <c r="AI103" s="475"/>
      <c r="AJ103" s="718"/>
      <c r="AK103" s="718"/>
      <c r="AL103" s="722"/>
      <c r="AM103" s="722"/>
      <c r="AN103" s="722"/>
    </row>
    <row r="104" spans="1:40" x14ac:dyDescent="0.25">
      <c r="V104" s="718"/>
      <c r="W104" s="475"/>
      <c r="X104" s="475"/>
      <c r="Y104" s="475"/>
      <c r="Z104" s="475"/>
      <c r="AA104" s="475"/>
      <c r="AB104" s="475"/>
      <c r="AC104" s="475"/>
      <c r="AD104" s="475"/>
      <c r="AE104" s="475"/>
      <c r="AF104" s="719"/>
      <c r="AG104" s="720"/>
      <c r="AH104" s="721"/>
      <c r="AI104" s="475"/>
      <c r="AJ104" s="718"/>
      <c r="AK104" s="718"/>
      <c r="AL104" s="722"/>
      <c r="AM104" s="722"/>
      <c r="AN104" s="722"/>
    </row>
    <row r="105" spans="1:40" x14ac:dyDescent="0.25">
      <c r="V105" s="718"/>
      <c r="W105" s="475"/>
      <c r="X105" s="475"/>
      <c r="Y105" s="475"/>
      <c r="Z105" s="475"/>
      <c r="AA105" s="475"/>
      <c r="AB105" s="475"/>
      <c r="AC105" s="475"/>
      <c r="AD105" s="475"/>
      <c r="AE105" s="475"/>
      <c r="AF105" s="719"/>
      <c r="AG105" s="720"/>
      <c r="AH105" s="721"/>
      <c r="AI105" s="475"/>
      <c r="AJ105" s="718"/>
      <c r="AK105" s="718"/>
      <c r="AL105" s="722"/>
      <c r="AM105" s="722"/>
      <c r="AN105" s="722"/>
    </row>
    <row r="106" spans="1:40" x14ac:dyDescent="0.25">
      <c r="V106" s="718"/>
      <c r="W106" s="475"/>
      <c r="X106" s="475"/>
      <c r="Y106" s="475"/>
      <c r="Z106" s="475"/>
      <c r="AA106" s="475"/>
      <c r="AB106" s="475"/>
      <c r="AC106" s="475"/>
      <c r="AD106" s="475"/>
      <c r="AE106" s="475"/>
      <c r="AF106" s="719"/>
      <c r="AG106" s="720"/>
      <c r="AH106" s="721"/>
      <c r="AI106" s="475"/>
      <c r="AJ106" s="718"/>
      <c r="AK106" s="718"/>
      <c r="AL106" s="722"/>
      <c r="AM106" s="722"/>
      <c r="AN106" s="722"/>
    </row>
    <row r="107" spans="1:40" x14ac:dyDescent="0.25">
      <c r="V107" s="718"/>
      <c r="W107" s="475"/>
      <c r="X107" s="475"/>
      <c r="Y107" s="475"/>
      <c r="Z107" s="475"/>
      <c r="AA107" s="475"/>
      <c r="AB107" s="475"/>
      <c r="AC107" s="475"/>
      <c r="AD107" s="475"/>
      <c r="AE107" s="475"/>
      <c r="AF107" s="719"/>
      <c r="AG107" s="720"/>
      <c r="AH107" s="721"/>
      <c r="AI107" s="475"/>
      <c r="AJ107" s="718"/>
      <c r="AK107" s="718"/>
      <c r="AL107" s="722"/>
      <c r="AM107" s="722"/>
      <c r="AN107" s="722"/>
    </row>
    <row r="108" spans="1:40" x14ac:dyDescent="0.25">
      <c r="V108" s="718"/>
      <c r="W108" s="475"/>
      <c r="X108" s="475"/>
      <c r="Y108" s="475"/>
      <c r="Z108" s="475"/>
      <c r="AA108" s="475"/>
      <c r="AB108" s="475"/>
      <c r="AC108" s="475"/>
      <c r="AD108" s="475"/>
      <c r="AE108" s="475"/>
      <c r="AF108" s="719"/>
      <c r="AG108" s="720"/>
      <c r="AH108" s="721"/>
      <c r="AI108" s="475"/>
      <c r="AJ108" s="718"/>
      <c r="AK108" s="718"/>
      <c r="AL108" s="722"/>
      <c r="AM108" s="722"/>
      <c r="AN108" s="722"/>
    </row>
    <row r="109" spans="1:40" x14ac:dyDescent="0.25">
      <c r="V109" s="718"/>
      <c r="W109" s="475"/>
      <c r="X109" s="475"/>
      <c r="Y109" s="475"/>
      <c r="Z109" s="475"/>
      <c r="AA109" s="475"/>
      <c r="AB109" s="475"/>
      <c r="AC109" s="475"/>
      <c r="AD109" s="475"/>
      <c r="AE109" s="475"/>
      <c r="AF109" s="719"/>
      <c r="AG109" s="720"/>
      <c r="AH109" s="721"/>
      <c r="AI109" s="475"/>
      <c r="AJ109" s="718"/>
      <c r="AK109" s="718"/>
      <c r="AL109" s="722"/>
      <c r="AM109" s="722"/>
      <c r="AN109" s="722"/>
    </row>
    <row r="110" spans="1:40" x14ac:dyDescent="0.25">
      <c r="V110" s="718"/>
      <c r="W110" s="475"/>
      <c r="X110" s="475"/>
      <c r="Y110" s="475"/>
      <c r="Z110" s="475"/>
      <c r="AA110" s="475"/>
      <c r="AB110" s="475"/>
      <c r="AC110" s="475"/>
      <c r="AD110" s="475"/>
      <c r="AE110" s="475"/>
      <c r="AF110" s="719"/>
      <c r="AG110" s="720"/>
      <c r="AH110" s="721"/>
      <c r="AI110" s="475"/>
      <c r="AJ110" s="718"/>
      <c r="AK110" s="718"/>
      <c r="AL110" s="722"/>
      <c r="AM110" s="722"/>
      <c r="AN110" s="722"/>
    </row>
    <row r="111" spans="1:40" x14ac:dyDescent="0.25">
      <c r="V111" s="718"/>
      <c r="W111" s="475"/>
      <c r="X111" s="475"/>
      <c r="Y111" s="475"/>
      <c r="Z111" s="475"/>
      <c r="AA111" s="475"/>
      <c r="AB111" s="475"/>
      <c r="AC111" s="475"/>
      <c r="AD111" s="475"/>
      <c r="AE111" s="475"/>
      <c r="AF111" s="719"/>
      <c r="AG111" s="720"/>
      <c r="AH111" s="721"/>
      <c r="AI111" s="475"/>
      <c r="AJ111" s="718"/>
      <c r="AK111" s="718"/>
      <c r="AL111" s="722"/>
      <c r="AM111" s="722"/>
      <c r="AN111" s="722"/>
    </row>
    <row r="112" spans="1:40" x14ac:dyDescent="0.25">
      <c r="V112" s="718"/>
      <c r="W112" s="475"/>
      <c r="X112" s="475"/>
      <c r="Y112" s="475"/>
      <c r="Z112" s="475"/>
      <c r="AA112" s="475"/>
      <c r="AB112" s="475"/>
      <c r="AC112" s="475"/>
      <c r="AD112" s="475"/>
      <c r="AE112" s="475"/>
      <c r="AF112" s="719"/>
      <c r="AG112" s="720"/>
      <c r="AH112" s="721"/>
      <c r="AI112" s="475"/>
      <c r="AJ112" s="718"/>
      <c r="AK112" s="718"/>
      <c r="AL112" s="722"/>
      <c r="AM112" s="722"/>
      <c r="AN112" s="722"/>
    </row>
    <row r="113" spans="22:40" x14ac:dyDescent="0.25">
      <c r="V113" s="718"/>
      <c r="W113" s="475"/>
      <c r="X113" s="475"/>
      <c r="Y113" s="475"/>
      <c r="Z113" s="475"/>
      <c r="AA113" s="475"/>
      <c r="AB113" s="475"/>
      <c r="AC113" s="475"/>
      <c r="AD113" s="475"/>
      <c r="AE113" s="475"/>
      <c r="AF113" s="719"/>
      <c r="AG113" s="720"/>
      <c r="AH113" s="721"/>
      <c r="AI113" s="475"/>
      <c r="AJ113" s="718"/>
      <c r="AK113" s="718"/>
      <c r="AL113" s="722"/>
      <c r="AM113" s="722"/>
      <c r="AN113" s="722"/>
    </row>
    <row r="114" spans="22:40" x14ac:dyDescent="0.25">
      <c r="V114" s="718"/>
      <c r="W114" s="475"/>
      <c r="X114" s="475"/>
      <c r="Y114" s="475"/>
      <c r="Z114" s="475"/>
      <c r="AA114" s="475"/>
      <c r="AB114" s="475"/>
      <c r="AC114" s="475"/>
      <c r="AD114" s="475"/>
      <c r="AE114" s="475"/>
      <c r="AF114" s="719"/>
      <c r="AG114" s="720"/>
      <c r="AH114" s="721"/>
      <c r="AI114" s="475"/>
      <c r="AJ114" s="718"/>
      <c r="AK114" s="718"/>
      <c r="AL114" s="722"/>
      <c r="AM114" s="722"/>
      <c r="AN114" s="722"/>
    </row>
    <row r="115" spans="22:40" x14ac:dyDescent="0.25">
      <c r="V115" s="718"/>
      <c r="W115" s="475"/>
      <c r="X115" s="475"/>
      <c r="Y115" s="475"/>
      <c r="Z115" s="475"/>
      <c r="AA115" s="475"/>
      <c r="AB115" s="475"/>
      <c r="AC115" s="475"/>
      <c r="AD115" s="475"/>
      <c r="AE115" s="475"/>
      <c r="AF115" s="719"/>
      <c r="AG115" s="720"/>
      <c r="AH115" s="721"/>
      <c r="AI115" s="475"/>
      <c r="AJ115" s="718"/>
      <c r="AK115" s="718"/>
      <c r="AL115" s="722"/>
      <c r="AM115" s="722"/>
      <c r="AN115" s="722"/>
    </row>
    <row r="116" spans="22:40" x14ac:dyDescent="0.25">
      <c r="V116" s="718"/>
      <c r="W116" s="475"/>
      <c r="X116" s="475"/>
      <c r="Y116" s="475"/>
      <c r="Z116" s="475"/>
      <c r="AA116" s="475"/>
      <c r="AB116" s="475"/>
      <c r="AC116" s="475"/>
      <c r="AD116" s="475"/>
      <c r="AE116" s="475"/>
      <c r="AF116" s="719"/>
      <c r="AG116" s="720"/>
      <c r="AH116" s="721"/>
      <c r="AI116" s="475"/>
      <c r="AJ116" s="718"/>
      <c r="AK116" s="718"/>
      <c r="AL116" s="722"/>
      <c r="AM116" s="722"/>
      <c r="AN116" s="722"/>
    </row>
    <row r="117" spans="22:40" x14ac:dyDescent="0.25">
      <c r="V117" s="718"/>
      <c r="W117" s="475"/>
      <c r="X117" s="475"/>
      <c r="Y117" s="475"/>
      <c r="Z117" s="475"/>
      <c r="AA117" s="475"/>
      <c r="AB117" s="475"/>
      <c r="AC117" s="475"/>
      <c r="AD117" s="475"/>
      <c r="AE117" s="475"/>
      <c r="AF117" s="719"/>
      <c r="AG117" s="720"/>
      <c r="AH117" s="721"/>
      <c r="AI117" s="475"/>
      <c r="AJ117" s="718"/>
      <c r="AK117" s="718"/>
      <c r="AL117" s="722"/>
      <c r="AM117" s="722"/>
      <c r="AN117" s="722"/>
    </row>
    <row r="118" spans="22:40" x14ac:dyDescent="0.25">
      <c r="V118" s="718"/>
      <c r="W118" s="475"/>
      <c r="X118" s="475"/>
      <c r="Y118" s="475"/>
      <c r="Z118" s="475"/>
      <c r="AA118" s="475"/>
      <c r="AB118" s="475"/>
      <c r="AC118" s="475"/>
      <c r="AD118" s="475"/>
      <c r="AE118" s="475"/>
      <c r="AF118" s="719"/>
      <c r="AG118" s="720"/>
      <c r="AH118" s="721"/>
      <c r="AI118" s="475"/>
      <c r="AJ118" s="718"/>
      <c r="AK118" s="718"/>
      <c r="AL118" s="722"/>
      <c r="AM118" s="722"/>
      <c r="AN118" s="722"/>
    </row>
    <row r="119" spans="22:40" x14ac:dyDescent="0.25">
      <c r="V119" s="718"/>
      <c r="W119" s="475"/>
      <c r="X119" s="475"/>
      <c r="Y119" s="475"/>
      <c r="Z119" s="475"/>
      <c r="AA119" s="475"/>
      <c r="AB119" s="475"/>
      <c r="AC119" s="475"/>
      <c r="AD119" s="475"/>
      <c r="AE119" s="475"/>
      <c r="AF119" s="719"/>
      <c r="AG119" s="720"/>
      <c r="AH119" s="721"/>
      <c r="AI119" s="475"/>
      <c r="AJ119" s="718"/>
      <c r="AK119" s="718"/>
      <c r="AL119" s="722"/>
      <c r="AM119" s="722"/>
      <c r="AN119" s="722"/>
    </row>
    <row r="120" spans="22:40" x14ac:dyDescent="0.25">
      <c r="V120" s="718"/>
      <c r="W120" s="475"/>
      <c r="X120" s="475"/>
      <c r="Y120" s="475"/>
      <c r="Z120" s="475"/>
      <c r="AA120" s="475"/>
      <c r="AB120" s="475"/>
      <c r="AC120" s="475"/>
      <c r="AD120" s="475"/>
      <c r="AE120" s="475"/>
      <c r="AF120" s="719"/>
      <c r="AG120" s="720"/>
      <c r="AH120" s="721"/>
      <c r="AI120" s="475"/>
      <c r="AJ120" s="718"/>
      <c r="AK120" s="718"/>
      <c r="AL120" s="722"/>
      <c r="AM120" s="722"/>
      <c r="AN120" s="722"/>
    </row>
    <row r="121" spans="22:40" x14ac:dyDescent="0.25">
      <c r="V121" s="718"/>
      <c r="W121" s="475"/>
      <c r="X121" s="475"/>
      <c r="Y121" s="475"/>
      <c r="Z121" s="475"/>
      <c r="AA121" s="475"/>
      <c r="AB121" s="475"/>
      <c r="AC121" s="475"/>
      <c r="AD121" s="475"/>
      <c r="AE121" s="475"/>
      <c r="AF121" s="719"/>
      <c r="AG121" s="720"/>
      <c r="AH121" s="721"/>
      <c r="AI121" s="475"/>
      <c r="AJ121" s="718"/>
      <c r="AK121" s="718"/>
      <c r="AL121" s="722"/>
      <c r="AM121" s="722"/>
      <c r="AN121" s="722"/>
    </row>
    <row r="122" spans="22:40" x14ac:dyDescent="0.25">
      <c r="V122" s="718"/>
      <c r="W122" s="475"/>
      <c r="X122" s="475"/>
      <c r="Y122" s="475"/>
      <c r="Z122" s="475"/>
      <c r="AA122" s="475"/>
      <c r="AB122" s="475"/>
      <c r="AC122" s="475"/>
      <c r="AD122" s="475"/>
      <c r="AE122" s="475"/>
      <c r="AF122" s="719"/>
      <c r="AG122" s="720"/>
      <c r="AH122" s="721"/>
      <c r="AI122" s="475"/>
      <c r="AJ122" s="718"/>
      <c r="AK122" s="718"/>
      <c r="AL122" s="722"/>
      <c r="AM122" s="722"/>
      <c r="AN122" s="722"/>
    </row>
    <row r="123" spans="22:40" x14ac:dyDescent="0.25">
      <c r="V123" s="718"/>
      <c r="W123" s="475"/>
      <c r="X123" s="475"/>
      <c r="Y123" s="475"/>
      <c r="Z123" s="475"/>
      <c r="AA123" s="475"/>
      <c r="AB123" s="475"/>
      <c r="AC123" s="475"/>
      <c r="AD123" s="475"/>
      <c r="AE123" s="475"/>
      <c r="AF123" s="719"/>
      <c r="AG123" s="720"/>
      <c r="AH123" s="721"/>
      <c r="AI123" s="475"/>
      <c r="AJ123" s="718"/>
      <c r="AK123" s="718"/>
      <c r="AL123" s="722"/>
      <c r="AM123" s="722"/>
      <c r="AN123" s="722"/>
    </row>
    <row r="124" spans="22:40" x14ac:dyDescent="0.25">
      <c r="V124" s="718"/>
      <c r="W124" s="475"/>
      <c r="X124" s="475"/>
      <c r="Y124" s="475"/>
      <c r="Z124" s="475"/>
      <c r="AA124" s="475"/>
      <c r="AB124" s="475"/>
      <c r="AC124" s="475"/>
      <c r="AD124" s="475"/>
      <c r="AE124" s="475"/>
      <c r="AF124" s="719"/>
      <c r="AG124" s="720"/>
      <c r="AH124" s="721"/>
      <c r="AI124" s="475"/>
      <c r="AJ124" s="718"/>
      <c r="AK124" s="718"/>
      <c r="AL124" s="722"/>
      <c r="AM124" s="722"/>
      <c r="AN124" s="722"/>
    </row>
    <row r="125" spans="22:40" x14ac:dyDescent="0.25">
      <c r="V125" s="718"/>
      <c r="W125" s="475"/>
      <c r="X125" s="475"/>
      <c r="Y125" s="475"/>
      <c r="Z125" s="475"/>
      <c r="AA125" s="475"/>
      <c r="AB125" s="475"/>
      <c r="AC125" s="475"/>
      <c r="AD125" s="475"/>
      <c r="AE125" s="475"/>
      <c r="AF125" s="719"/>
      <c r="AG125" s="720"/>
      <c r="AH125" s="721"/>
      <c r="AI125" s="475"/>
      <c r="AJ125" s="718"/>
      <c r="AK125" s="718"/>
      <c r="AL125" s="722"/>
      <c r="AM125" s="722"/>
      <c r="AN125" s="722"/>
    </row>
    <row r="126" spans="22:40" x14ac:dyDescent="0.25">
      <c r="V126" s="718"/>
      <c r="W126" s="475"/>
      <c r="X126" s="475"/>
      <c r="Y126" s="475"/>
      <c r="Z126" s="475"/>
      <c r="AA126" s="475"/>
      <c r="AB126" s="475"/>
      <c r="AC126" s="475"/>
      <c r="AD126" s="475"/>
      <c r="AE126" s="475"/>
      <c r="AF126" s="475"/>
      <c r="AG126" s="475"/>
      <c r="AH126" s="475"/>
      <c r="AI126" s="475"/>
      <c r="AJ126" s="718"/>
      <c r="AK126" s="718"/>
      <c r="AL126" s="722"/>
      <c r="AM126" s="722"/>
      <c r="AN126" s="722"/>
    </row>
    <row r="127" spans="22:40" x14ac:dyDescent="0.25">
      <c r="V127" s="718"/>
      <c r="W127" s="475"/>
      <c r="X127" s="475"/>
      <c r="Y127" s="475"/>
      <c r="Z127" s="475"/>
      <c r="AA127" s="475"/>
      <c r="AB127" s="475"/>
      <c r="AC127" s="475"/>
      <c r="AD127" s="475"/>
      <c r="AE127" s="475"/>
      <c r="AF127" s="475"/>
      <c r="AG127" s="475"/>
      <c r="AH127" s="475"/>
      <c r="AI127" s="720"/>
      <c r="AJ127" s="718"/>
      <c r="AK127" s="718"/>
      <c r="AL127" s="722"/>
      <c r="AM127" s="722"/>
      <c r="AN127" s="722"/>
    </row>
    <row r="128" spans="22:40" x14ac:dyDescent="0.25">
      <c r="V128" s="718"/>
      <c r="W128" s="475"/>
      <c r="X128" s="475"/>
      <c r="Y128" s="475"/>
      <c r="Z128" s="475"/>
      <c r="AA128" s="475"/>
      <c r="AB128" s="475"/>
      <c r="AC128" s="475"/>
      <c r="AD128" s="475"/>
      <c r="AE128" s="475"/>
      <c r="AF128" s="475"/>
      <c r="AG128" s="475"/>
      <c r="AH128" s="475"/>
      <c r="AI128" s="720"/>
      <c r="AJ128" s="718"/>
      <c r="AK128" s="718"/>
      <c r="AL128" s="722"/>
      <c r="AM128" s="722"/>
      <c r="AN128" s="722"/>
    </row>
    <row r="129" spans="22:40" x14ac:dyDescent="0.25">
      <c r="V129" s="718"/>
      <c r="W129" s="475"/>
      <c r="X129" s="475"/>
      <c r="Y129" s="475"/>
      <c r="Z129" s="475"/>
      <c r="AA129" s="475"/>
      <c r="AB129" s="475"/>
      <c r="AC129" s="475"/>
      <c r="AD129" s="475"/>
      <c r="AE129" s="475"/>
      <c r="AF129" s="475"/>
      <c r="AG129" s="475"/>
      <c r="AH129" s="475"/>
      <c r="AI129" s="475"/>
      <c r="AJ129" s="718"/>
      <c r="AK129" s="718"/>
      <c r="AL129" s="722"/>
      <c r="AM129" s="722"/>
      <c r="AN129" s="722"/>
    </row>
    <row r="130" spans="22:40" x14ac:dyDescent="0.25">
      <c r="V130" s="718"/>
      <c r="W130" s="718"/>
      <c r="X130" s="718"/>
      <c r="Y130" s="718"/>
      <c r="Z130" s="718"/>
      <c r="AA130" s="718"/>
      <c r="AB130" s="718"/>
      <c r="AC130" s="718"/>
      <c r="AD130" s="718"/>
      <c r="AE130" s="718"/>
      <c r="AF130" s="718"/>
      <c r="AG130" s="718"/>
      <c r="AH130" s="718"/>
      <c r="AI130" s="718"/>
      <c r="AJ130" s="718"/>
      <c r="AK130" s="718"/>
      <c r="AL130" s="722"/>
      <c r="AM130" s="722"/>
      <c r="AN130" s="722"/>
    </row>
    <row r="131" spans="22:40" x14ac:dyDescent="0.25">
      <c r="V131" s="718"/>
      <c r="W131" s="718"/>
      <c r="X131" s="718"/>
      <c r="Y131" s="718"/>
      <c r="Z131" s="718"/>
      <c r="AA131" s="718"/>
      <c r="AB131" s="718"/>
      <c r="AC131" s="718"/>
      <c r="AD131" s="718"/>
      <c r="AE131" s="718"/>
      <c r="AF131" s="718"/>
      <c r="AG131" s="718"/>
      <c r="AH131" s="718"/>
      <c r="AI131" s="718"/>
      <c r="AJ131" s="718"/>
      <c r="AK131" s="718"/>
      <c r="AL131" s="722"/>
      <c r="AM131" s="722"/>
      <c r="AN131" s="722"/>
    </row>
    <row r="132" spans="22:40" x14ac:dyDescent="0.25">
      <c r="V132" s="718"/>
      <c r="W132" s="718"/>
      <c r="X132" s="718"/>
      <c r="Y132" s="718"/>
      <c r="Z132" s="718"/>
      <c r="AA132" s="718"/>
      <c r="AB132" s="718"/>
      <c r="AC132" s="718"/>
      <c r="AD132" s="718"/>
      <c r="AE132" s="718"/>
      <c r="AF132" s="718"/>
      <c r="AG132" s="718"/>
      <c r="AH132" s="718"/>
      <c r="AI132" s="718"/>
      <c r="AJ132" s="718"/>
      <c r="AK132" s="718"/>
      <c r="AL132" s="722"/>
      <c r="AM132" s="722"/>
      <c r="AN132" s="722"/>
    </row>
    <row r="133" spans="22:40" x14ac:dyDescent="0.25">
      <c r="V133" s="718"/>
      <c r="W133" s="718"/>
      <c r="X133" s="718"/>
      <c r="Y133" s="718"/>
      <c r="Z133" s="718"/>
      <c r="AA133" s="718"/>
      <c r="AB133" s="718"/>
      <c r="AC133" s="718"/>
      <c r="AD133" s="718"/>
      <c r="AE133" s="718"/>
      <c r="AF133" s="718"/>
      <c r="AG133" s="718"/>
      <c r="AH133" s="718"/>
      <c r="AI133" s="718"/>
      <c r="AJ133" s="718"/>
      <c r="AK133" s="718"/>
      <c r="AL133" s="722"/>
      <c r="AM133" s="722"/>
      <c r="AN133" s="722"/>
    </row>
    <row r="134" spans="22:40" x14ac:dyDescent="0.25">
      <c r="V134" s="718"/>
      <c r="W134" s="718"/>
      <c r="X134" s="718"/>
      <c r="Y134" s="718"/>
      <c r="Z134" s="718"/>
      <c r="AA134" s="718"/>
      <c r="AB134" s="718"/>
      <c r="AC134" s="718"/>
      <c r="AD134" s="718"/>
      <c r="AE134" s="718"/>
      <c r="AF134" s="718"/>
      <c r="AG134" s="718"/>
      <c r="AH134" s="718"/>
      <c r="AI134" s="718"/>
      <c r="AJ134" s="718"/>
      <c r="AK134" s="718"/>
      <c r="AL134" s="722"/>
      <c r="AM134" s="722"/>
      <c r="AN134" s="722"/>
    </row>
    <row r="135" spans="22:40" x14ac:dyDescent="0.25">
      <c r="V135" s="718"/>
      <c r="W135" s="718"/>
      <c r="X135" s="718"/>
      <c r="Y135" s="718"/>
      <c r="Z135" s="718"/>
      <c r="AA135" s="718"/>
      <c r="AB135" s="718"/>
      <c r="AC135" s="718"/>
      <c r="AD135" s="718"/>
      <c r="AE135" s="718"/>
      <c r="AF135" s="718"/>
      <c r="AG135" s="718"/>
      <c r="AH135" s="718"/>
      <c r="AI135" s="718"/>
      <c r="AJ135" s="718"/>
      <c r="AK135" s="718"/>
      <c r="AL135" s="722"/>
      <c r="AM135" s="722"/>
      <c r="AN135" s="722"/>
    </row>
    <row r="136" spans="22:40" x14ac:dyDescent="0.25">
      <c r="V136" s="718"/>
      <c r="W136" s="718"/>
      <c r="X136" s="718"/>
      <c r="Y136" s="718"/>
      <c r="Z136" s="718"/>
      <c r="AA136" s="718"/>
      <c r="AB136" s="718"/>
      <c r="AC136" s="718"/>
      <c r="AD136" s="718"/>
      <c r="AE136" s="718"/>
      <c r="AF136" s="718"/>
      <c r="AG136" s="718"/>
      <c r="AH136" s="718"/>
      <c r="AI136" s="718"/>
      <c r="AJ136" s="718"/>
      <c r="AK136" s="718"/>
      <c r="AL136" s="722"/>
      <c r="AM136" s="722"/>
      <c r="AN136" s="722"/>
    </row>
  </sheetData>
  <sheetProtection sheet="1" objects="1" scenarios="1"/>
  <protectedRanges>
    <protectedRange sqref="E16" name="Rango3_3_1_1_1_1_1_1_1_1"/>
    <protectedRange sqref="E11:E13" name="Rango3_3_1_1_1_1_1_1_1_1_2"/>
    <protectedRange sqref="E9:E10" name="Rango3_3_1_1_1_1_1_2_1"/>
  </protectedRanges>
  <mergeCells count="47">
    <mergeCell ref="A86:L86"/>
    <mergeCell ref="N26:O26"/>
    <mergeCell ref="N44:O44"/>
    <mergeCell ref="N49:O49"/>
    <mergeCell ref="J46:L46"/>
    <mergeCell ref="J47:L47"/>
    <mergeCell ref="J60:L60"/>
    <mergeCell ref="J50:L51"/>
    <mergeCell ref="A83:L83"/>
    <mergeCell ref="A77:L77"/>
    <mergeCell ref="A41:E41"/>
    <mergeCell ref="J41:L41"/>
    <mergeCell ref="G32:H32"/>
    <mergeCell ref="J42:L42"/>
    <mergeCell ref="J40:L40"/>
    <mergeCell ref="J38:L38"/>
    <mergeCell ref="A6:L6"/>
    <mergeCell ref="A7:L7"/>
    <mergeCell ref="A14:L14"/>
    <mergeCell ref="A15:L15"/>
    <mergeCell ref="A17:L17"/>
    <mergeCell ref="C9:H9"/>
    <mergeCell ref="C10:H10"/>
    <mergeCell ref="C11:H11"/>
    <mergeCell ref="C12:H12"/>
    <mergeCell ref="J35:L35"/>
    <mergeCell ref="J36:L36"/>
    <mergeCell ref="J37:L37"/>
    <mergeCell ref="A35:E35"/>
    <mergeCell ref="A36:E36"/>
    <mergeCell ref="A37:E37"/>
    <mergeCell ref="A38:E38"/>
    <mergeCell ref="A40:E40"/>
    <mergeCell ref="J44:L44"/>
    <mergeCell ref="J45:L45"/>
    <mergeCell ref="J48:L49"/>
    <mergeCell ref="A79:L79"/>
    <mergeCell ref="A80:L80"/>
    <mergeCell ref="A82:L82"/>
    <mergeCell ref="A81:L81"/>
    <mergeCell ref="J61:L61"/>
    <mergeCell ref="J62:L62"/>
    <mergeCell ref="F66:G66"/>
    <mergeCell ref="F67:G67"/>
    <mergeCell ref="F68:G68"/>
    <mergeCell ref="H74:I74"/>
    <mergeCell ref="H75:I75"/>
  </mergeCells>
  <printOptions horizontalCentered="1"/>
  <pageMargins left="0" right="0" top="0.70866141732283472" bottom="0" header="0.11811023622047245" footer="0"/>
  <pageSetup paperSize="274" scale="83" orientation="portrait" r:id="rId1"/>
  <headerFooter scaleWithDoc="0">
    <oddHeader>&amp;C&amp;G</oddHeader>
  </headerFooter>
  <rowBreaks count="1" manualBreakCount="1">
    <brk id="63" max="11" man="1"/>
  </rowBreak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C133"/>
  <sheetViews>
    <sheetView showGridLines="0" topLeftCell="A67" zoomScaleNormal="100" zoomScaleSheetLayoutView="100" workbookViewId="0">
      <selection activeCell="U15" sqref="U15"/>
    </sheetView>
  </sheetViews>
  <sheetFormatPr baseColWidth="10" defaultColWidth="10.33203125" defaultRowHeight="13.8" x14ac:dyDescent="0.25"/>
  <cols>
    <col min="1" max="1" width="1.33203125" style="702" customWidth="1"/>
    <col min="2" max="3" width="12.88671875" style="702" customWidth="1"/>
    <col min="4" max="4" width="10.88671875" style="702" customWidth="1"/>
    <col min="5" max="5" width="12.88671875" style="702" customWidth="1"/>
    <col min="6" max="6" width="16.109375" style="702" customWidth="1"/>
    <col min="7" max="8" width="13.5546875" style="702" customWidth="1"/>
    <col min="9" max="9" width="15.33203125" style="702" customWidth="1"/>
    <col min="10" max="10" width="13.5546875" style="702" customWidth="1"/>
    <col min="11" max="11" width="13.109375" style="702" customWidth="1"/>
    <col min="12" max="13" width="13.5546875" style="702" customWidth="1"/>
    <col min="14" max="14" width="14.33203125" style="702" customWidth="1"/>
    <col min="15" max="16" width="6" style="702" customWidth="1"/>
    <col min="17" max="17" width="16.33203125" style="702" customWidth="1"/>
    <col min="18" max="18" width="12.88671875" style="702" customWidth="1"/>
    <col min="19" max="19" width="13.6640625" style="702" customWidth="1"/>
    <col min="20" max="20" width="8.6640625" style="702" customWidth="1"/>
    <col min="21" max="21" width="9.109375" style="702" customWidth="1"/>
    <col min="22" max="28" width="8.6640625" style="702" customWidth="1"/>
    <col min="29" max="16384" width="10.33203125" style="702"/>
  </cols>
  <sheetData>
    <row r="2" spans="2:19" ht="12" customHeight="1" x14ac:dyDescent="0.25">
      <c r="B2" s="1395" t="s">
        <v>11</v>
      </c>
      <c r="C2" s="1396"/>
      <c r="D2" s="1396"/>
      <c r="E2" s="1396"/>
      <c r="F2" s="1396"/>
      <c r="G2" s="1396"/>
      <c r="H2" s="1396"/>
      <c r="I2" s="1396"/>
      <c r="J2" s="1396"/>
      <c r="K2" s="1396"/>
      <c r="L2" s="1396"/>
      <c r="M2" s="1396"/>
      <c r="N2" s="1396"/>
      <c r="O2" s="1397"/>
    </row>
    <row r="3" spans="2:19" ht="10.5" customHeight="1" x14ac:dyDescent="0.25">
      <c r="B3" s="1398" t="s">
        <v>12</v>
      </c>
      <c r="C3" s="1399"/>
      <c r="D3" s="1399"/>
      <c r="E3" s="1399"/>
      <c r="F3" s="1399"/>
      <c r="G3" s="1399"/>
      <c r="H3" s="1399"/>
      <c r="I3" s="1399"/>
      <c r="J3" s="1399"/>
      <c r="K3" s="1399"/>
      <c r="L3" s="1399"/>
      <c r="M3" s="1399"/>
      <c r="N3" s="1399"/>
      <c r="O3" s="1400"/>
    </row>
    <row r="5" spans="2:19" ht="13.5" customHeight="1" x14ac:dyDescent="0.25">
      <c r="B5" s="682" t="s">
        <v>74</v>
      </c>
      <c r="C5" s="682"/>
      <c r="D5" s="682"/>
      <c r="E5" s="682"/>
      <c r="F5" s="682"/>
      <c r="G5" s="682" t="s">
        <v>548</v>
      </c>
      <c r="H5" s="682"/>
      <c r="I5" s="682"/>
      <c r="J5" s="682"/>
      <c r="K5" s="682"/>
      <c r="L5" s="682"/>
      <c r="M5" s="682"/>
    </row>
    <row r="6" spans="2:19" ht="19.5" customHeight="1" x14ac:dyDescent="0.25">
      <c r="B6" s="1038" t="s">
        <v>525</v>
      </c>
      <c r="C6" s="1039"/>
      <c r="D6" s="1039"/>
      <c r="E6" s="1039"/>
      <c r="F6" s="1040"/>
      <c r="G6" s="1038" t="s">
        <v>75</v>
      </c>
      <c r="H6" s="1039"/>
      <c r="I6" s="1039"/>
      <c r="J6" s="1039"/>
      <c r="K6" s="1040"/>
      <c r="L6" s="1061" t="s">
        <v>558</v>
      </c>
      <c r="M6" s="1062"/>
      <c r="N6" s="1063"/>
      <c r="O6" s="1039"/>
      <c r="P6" s="1040"/>
      <c r="Q6" s="703" t="s">
        <v>76</v>
      </c>
      <c r="R6" s="945" t="s">
        <v>530</v>
      </c>
    </row>
    <row r="7" spans="2:19" ht="19.5" customHeight="1" x14ac:dyDescent="0.25">
      <c r="B7" s="1041" t="s">
        <v>77</v>
      </c>
      <c r="C7" s="723"/>
      <c r="D7" s="1042">
        <v>1</v>
      </c>
      <c r="E7" s="723" t="s">
        <v>182</v>
      </c>
      <c r="F7" s="724"/>
      <c r="G7" s="1041" t="s">
        <v>555</v>
      </c>
      <c r="H7" s="723"/>
      <c r="I7" s="723"/>
      <c r="J7" s="723"/>
      <c r="K7" s="724"/>
      <c r="L7" s="1064" t="s">
        <v>559</v>
      </c>
      <c r="M7" s="1065"/>
      <c r="N7" s="480"/>
      <c r="O7" s="723"/>
      <c r="P7" s="724"/>
      <c r="Q7" s="698" t="s">
        <v>67</v>
      </c>
      <c r="R7" s="1129" t="s">
        <v>67</v>
      </c>
    </row>
    <row r="8" spans="2:19" ht="19.5" customHeight="1" x14ac:dyDescent="0.25">
      <c r="B8" s="1041" t="s">
        <v>78</v>
      </c>
      <c r="C8" s="723"/>
      <c r="D8" s="696">
        <f>+Balanza!$C$7</f>
        <v>-1.4899999999999999E-6</v>
      </c>
      <c r="E8" s="723"/>
      <c r="F8" s="724"/>
      <c r="G8" s="1041" t="s">
        <v>78</v>
      </c>
      <c r="H8" s="723"/>
      <c r="I8" s="696">
        <f>+Balanza!M7</f>
        <v>-3.2899999999999998E-6</v>
      </c>
      <c r="J8" s="723"/>
      <c r="K8" s="724"/>
      <c r="L8" s="1064" t="s">
        <v>560</v>
      </c>
      <c r="M8" s="1065"/>
      <c r="N8" s="696">
        <f>+Balanza!U7</f>
        <v>3.7900000000000001E-6</v>
      </c>
      <c r="O8" s="723"/>
      <c r="P8" s="724"/>
    </row>
    <row r="9" spans="2:19" ht="19.5" customHeight="1" x14ac:dyDescent="0.25">
      <c r="B9" s="1041" t="s">
        <v>79</v>
      </c>
      <c r="C9" s="723"/>
      <c r="D9" s="1043" t="str">
        <f>+Balanza!C11</f>
        <v>EQP-0054</v>
      </c>
      <c r="E9" s="723"/>
      <c r="F9" s="724"/>
      <c r="G9" s="1041" t="s">
        <v>79</v>
      </c>
      <c r="H9" s="723"/>
      <c r="I9" s="1043" t="str">
        <f>+Balanza!M11</f>
        <v>EQP-0046</v>
      </c>
      <c r="J9" s="723"/>
      <c r="K9" s="724"/>
      <c r="L9" s="1066" t="s">
        <v>561</v>
      </c>
      <c r="M9" s="480"/>
      <c r="N9" s="1067" t="str">
        <f>+Balanza!U11</f>
        <v>EQP-0045</v>
      </c>
      <c r="O9" s="723"/>
      <c r="P9" s="724"/>
    </row>
    <row r="10" spans="2:19" ht="19.5" customHeight="1" x14ac:dyDescent="0.25">
      <c r="B10" s="1044" t="s">
        <v>82</v>
      </c>
      <c r="C10" s="1045"/>
      <c r="D10" s="1046">
        <f>+Balanza!D12</f>
        <v>46160</v>
      </c>
      <c r="E10" s="1045"/>
      <c r="F10" s="1047"/>
      <c r="G10" s="1044" t="s">
        <v>82</v>
      </c>
      <c r="H10" s="1045"/>
      <c r="I10" s="1046">
        <f>+Balanza!N12</f>
        <v>46132</v>
      </c>
      <c r="J10" s="1045"/>
      <c r="K10" s="1047"/>
      <c r="L10" s="1068" t="s">
        <v>562</v>
      </c>
      <c r="M10" s="1069"/>
      <c r="N10" s="1070">
        <f>+Balanza!V12</f>
        <v>46132</v>
      </c>
      <c r="O10" s="1045"/>
      <c r="P10" s="1047"/>
    </row>
    <row r="11" spans="2:19" ht="19.5" customHeight="1" x14ac:dyDescent="0.25">
      <c r="B11" s="725"/>
      <c r="C11" s="705"/>
      <c r="D11" s="494"/>
      <c r="G11" s="725"/>
      <c r="H11" s="705"/>
      <c r="I11" s="705"/>
      <c r="L11" s="725"/>
      <c r="M11" s="705"/>
      <c r="N11" s="494"/>
    </row>
    <row r="12" spans="2:19" ht="19.5" customHeight="1" x14ac:dyDescent="0.25">
      <c r="B12" s="1389" t="s">
        <v>83</v>
      </c>
      <c r="C12" s="1389"/>
      <c r="D12" s="1389"/>
      <c r="E12" s="1389">
        <v>1</v>
      </c>
      <c r="F12" s="1389"/>
      <c r="G12" s="1389">
        <v>2</v>
      </c>
      <c r="H12" s="1389"/>
      <c r="I12" s="1389">
        <v>3</v>
      </c>
      <c r="J12" s="1389"/>
      <c r="K12" s="1389">
        <v>4</v>
      </c>
      <c r="L12" s="1389"/>
      <c r="M12" s="1389">
        <v>5</v>
      </c>
      <c r="N12" s="1389"/>
      <c r="Q12" s="1138" t="s">
        <v>579</v>
      </c>
      <c r="R12" s="1138" t="s">
        <v>580</v>
      </c>
      <c r="S12" s="1138" t="s">
        <v>582</v>
      </c>
    </row>
    <row r="13" spans="2:19" ht="27.75" customHeight="1" x14ac:dyDescent="0.25">
      <c r="B13" s="1389"/>
      <c r="C13" s="1389"/>
      <c r="D13" s="1389"/>
      <c r="E13" s="730" t="s">
        <v>84</v>
      </c>
      <c r="F13" s="730" t="s">
        <v>85</v>
      </c>
      <c r="G13" s="730" t="s">
        <v>84</v>
      </c>
      <c r="H13" s="730" t="s">
        <v>85</v>
      </c>
      <c r="I13" s="730" t="s">
        <v>84</v>
      </c>
      <c r="J13" s="730" t="s">
        <v>85</v>
      </c>
      <c r="K13" s="730" t="s">
        <v>84</v>
      </c>
      <c r="L13" s="730" t="s">
        <v>85</v>
      </c>
      <c r="M13" s="730" t="s">
        <v>84</v>
      </c>
      <c r="N13" s="730" t="s">
        <v>85</v>
      </c>
      <c r="Q13" s="1137">
        <v>46112</v>
      </c>
      <c r="R13" s="1137">
        <v>46043</v>
      </c>
      <c r="S13" s="1136" t="s">
        <v>585</v>
      </c>
    </row>
    <row r="14" spans="2:19" ht="19.5" customHeight="1" x14ac:dyDescent="0.25">
      <c r="B14" s="1401" t="s">
        <v>24</v>
      </c>
      <c r="C14" s="1401"/>
      <c r="D14" s="1402"/>
      <c r="E14" s="1255">
        <v>1</v>
      </c>
      <c r="F14" s="1145"/>
      <c r="G14" s="1256">
        <v>2</v>
      </c>
      <c r="H14" s="1147"/>
      <c r="I14" s="1256">
        <v>3</v>
      </c>
      <c r="J14" s="1142"/>
      <c r="K14" s="1256">
        <v>4</v>
      </c>
      <c r="L14" s="1148"/>
      <c r="M14" s="1149"/>
      <c r="N14" s="1150"/>
      <c r="Q14" s="1137"/>
      <c r="R14" s="1137"/>
      <c r="S14" s="1136" t="s">
        <v>586</v>
      </c>
    </row>
    <row r="15" spans="2:19" ht="19.5" customHeight="1" x14ac:dyDescent="0.25">
      <c r="B15" s="1390" t="s">
        <v>25</v>
      </c>
      <c r="C15" s="1390"/>
      <c r="D15" s="1391"/>
      <c r="E15" s="1139">
        <v>5</v>
      </c>
      <c r="F15" s="1142">
        <f>E15</f>
        <v>5</v>
      </c>
      <c r="G15" s="1146">
        <f>+E15</f>
        <v>5</v>
      </c>
      <c r="H15" s="1142">
        <f>E15</f>
        <v>5</v>
      </c>
      <c r="I15" s="1146">
        <f>+E15</f>
        <v>5</v>
      </c>
      <c r="J15" s="1142">
        <f>E15</f>
        <v>5</v>
      </c>
      <c r="K15" s="1146">
        <f>+E15</f>
        <v>5</v>
      </c>
      <c r="L15" s="1142">
        <f>E15</f>
        <v>5</v>
      </c>
      <c r="M15" s="1149"/>
      <c r="N15" s="1145"/>
      <c r="Q15" s="1136" t="s">
        <v>577</v>
      </c>
      <c r="R15" s="1136" t="s">
        <v>578</v>
      </c>
      <c r="S15" s="1136" t="s">
        <v>581</v>
      </c>
    </row>
    <row r="16" spans="2:19" ht="19.5" customHeight="1" x14ac:dyDescent="0.25">
      <c r="B16" s="1390" t="s">
        <v>26</v>
      </c>
      <c r="C16" s="1390"/>
      <c r="D16" s="1391"/>
      <c r="E16" s="1139">
        <f>+formato!D17</f>
        <v>0</v>
      </c>
      <c r="F16" s="1142">
        <f>E16</f>
        <v>0</v>
      </c>
      <c r="G16" s="1146">
        <f>+formato!F17</f>
        <v>0</v>
      </c>
      <c r="H16" s="1142">
        <f>E16</f>
        <v>0</v>
      </c>
      <c r="I16" s="1146">
        <f>+formato!G17</f>
        <v>0</v>
      </c>
      <c r="J16" s="1142">
        <f>E16</f>
        <v>0</v>
      </c>
      <c r="K16" s="1146">
        <f>+formato!H17</f>
        <v>0</v>
      </c>
      <c r="L16" s="1142">
        <f>E16</f>
        <v>0</v>
      </c>
      <c r="M16" s="1149"/>
      <c r="N16" s="1145"/>
      <c r="Q16" s="1159">
        <v>6819</v>
      </c>
      <c r="R16" s="1159">
        <v>3875.5</v>
      </c>
      <c r="S16" s="1136" t="s">
        <v>583</v>
      </c>
    </row>
    <row r="17" spans="2:21" ht="19.5" customHeight="1" x14ac:dyDescent="0.25">
      <c r="B17" s="1390" t="s">
        <v>86</v>
      </c>
      <c r="C17" s="1390"/>
      <c r="D17" s="1391"/>
      <c r="E17" s="1139">
        <f>+formato!D18</f>
        <v>0</v>
      </c>
      <c r="F17" s="1142">
        <f>E17+($D$8*E17)</f>
        <v>0</v>
      </c>
      <c r="G17" s="1139">
        <f>+formato!F18</f>
        <v>0</v>
      </c>
      <c r="H17" s="1142">
        <f>G17+($D$8*G17)</f>
        <v>0</v>
      </c>
      <c r="I17" s="1139">
        <f>+formato!G18</f>
        <v>0</v>
      </c>
      <c r="J17" s="1142">
        <f>I17+($D$8*I17)</f>
        <v>0</v>
      </c>
      <c r="K17" s="1139">
        <f>+formato!H18</f>
        <v>0</v>
      </c>
      <c r="L17" s="1142">
        <f>K17+($D$8*K17)</f>
        <v>0</v>
      </c>
      <c r="M17" s="1149"/>
      <c r="N17" s="1145"/>
      <c r="Q17" s="1159">
        <v>2130</v>
      </c>
      <c r="R17" s="1159">
        <v>939.81</v>
      </c>
      <c r="S17" s="1136" t="s">
        <v>584</v>
      </c>
    </row>
    <row r="18" spans="2:21" ht="19.5" customHeight="1" x14ac:dyDescent="0.25">
      <c r="B18" s="1390" t="s">
        <v>87</v>
      </c>
      <c r="C18" s="1390"/>
      <c r="D18" s="1391"/>
      <c r="E18" s="1139">
        <f>+formato!D19</f>
        <v>0</v>
      </c>
      <c r="F18" s="1142">
        <f>E18+($D$8*E18)</f>
        <v>0</v>
      </c>
      <c r="G18" s="1142">
        <f>+E18</f>
        <v>0</v>
      </c>
      <c r="H18" s="1142">
        <f>G18+($D$8*G18)</f>
        <v>0</v>
      </c>
      <c r="I18" s="1142">
        <f>+E18</f>
        <v>0</v>
      </c>
      <c r="J18" s="1142">
        <f>I18+($D$8*I18)</f>
        <v>0</v>
      </c>
      <c r="K18" s="1142">
        <f>+E18</f>
        <v>0</v>
      </c>
      <c r="L18" s="1142">
        <f>K18+($D$8*K18)</f>
        <v>0</v>
      </c>
      <c r="M18" s="1145"/>
      <c r="N18" s="1145"/>
    </row>
    <row r="19" spans="2:21" ht="19.5" customHeight="1" thickBot="1" x14ac:dyDescent="0.3">
      <c r="B19" s="1391" t="s">
        <v>27</v>
      </c>
      <c r="C19" s="1412"/>
      <c r="D19" s="1412"/>
      <c r="E19" s="1142">
        <f t="shared" ref="E19:K19" si="0">+E17-E18</f>
        <v>0</v>
      </c>
      <c r="F19" s="1142">
        <f t="shared" si="0"/>
        <v>0</v>
      </c>
      <c r="G19" s="1142">
        <f t="shared" si="0"/>
        <v>0</v>
      </c>
      <c r="H19" s="1142">
        <f t="shared" si="0"/>
        <v>0</v>
      </c>
      <c r="I19" s="1142">
        <f t="shared" si="0"/>
        <v>0</v>
      </c>
      <c r="J19" s="1142">
        <f>+J17-J18</f>
        <v>0</v>
      </c>
      <c r="K19" s="1142">
        <f t="shared" si="0"/>
        <v>0</v>
      </c>
      <c r="L19" s="1142">
        <f>+L17-L18</f>
        <v>0</v>
      </c>
      <c r="M19" s="1145"/>
      <c r="N19" s="1145"/>
    </row>
    <row r="20" spans="2:21" ht="19.5" customHeight="1" x14ac:dyDescent="0.25">
      <c r="B20" s="1390" t="s">
        <v>88</v>
      </c>
      <c r="C20" s="1390"/>
      <c r="D20" s="1391"/>
      <c r="E20" s="1139">
        <f>+formato!D21</f>
        <v>0</v>
      </c>
      <c r="F20" s="1142">
        <f>E20</f>
        <v>0</v>
      </c>
      <c r="G20" s="1142">
        <f>+E20</f>
        <v>0</v>
      </c>
      <c r="H20" s="1142">
        <f>E20</f>
        <v>0</v>
      </c>
      <c r="I20" s="1142">
        <f>+E20</f>
        <v>0</v>
      </c>
      <c r="J20" s="1142">
        <f>E20</f>
        <v>0</v>
      </c>
      <c r="K20" s="1142">
        <f>E20</f>
        <v>0</v>
      </c>
      <c r="L20" s="1142">
        <f>E20</f>
        <v>0</v>
      </c>
      <c r="M20" s="1145"/>
      <c r="N20" s="1145"/>
      <c r="Q20" s="946" t="s">
        <v>534</v>
      </c>
      <c r="R20" s="947" t="s">
        <v>373</v>
      </c>
      <c r="S20" s="947" t="s">
        <v>371</v>
      </c>
      <c r="T20" s="947" t="s">
        <v>369</v>
      </c>
      <c r="U20" s="948"/>
    </row>
    <row r="21" spans="2:21" ht="19.5" customHeight="1" x14ac:dyDescent="0.25">
      <c r="B21" s="1413" t="s">
        <v>89</v>
      </c>
      <c r="C21" s="1413"/>
      <c r="D21" s="1414"/>
      <c r="E21" s="1142" t="e">
        <f t="shared" ref="E21:K21" si="1">+E19/E20</f>
        <v>#DIV/0!</v>
      </c>
      <c r="F21" s="1142" t="e">
        <f t="shared" si="1"/>
        <v>#DIV/0!</v>
      </c>
      <c r="G21" s="1142" t="e">
        <f t="shared" si="1"/>
        <v>#DIV/0!</v>
      </c>
      <c r="H21" s="1142" t="e">
        <f>+H19/H20</f>
        <v>#DIV/0!</v>
      </c>
      <c r="I21" s="1142" t="e">
        <f t="shared" si="1"/>
        <v>#DIV/0!</v>
      </c>
      <c r="J21" s="1142" t="e">
        <f t="shared" si="1"/>
        <v>#DIV/0!</v>
      </c>
      <c r="K21" s="1142" t="e">
        <f t="shared" si="1"/>
        <v>#DIV/0!</v>
      </c>
      <c r="L21" s="1142" t="e">
        <f>+L19/L20</f>
        <v>#DIV/0!</v>
      </c>
      <c r="M21" s="1145"/>
      <c r="N21" s="1145"/>
      <c r="O21" s="477" t="s">
        <v>90</v>
      </c>
      <c r="Q21" s="949"/>
      <c r="R21" s="1048" t="s">
        <v>535</v>
      </c>
      <c r="S21" s="1048" t="s">
        <v>536</v>
      </c>
      <c r="T21" s="1049" t="s">
        <v>537</v>
      </c>
      <c r="U21" s="950"/>
    </row>
    <row r="22" spans="2:21" ht="19.5" customHeight="1" x14ac:dyDescent="0.25">
      <c r="B22" s="682" t="s">
        <v>91</v>
      </c>
      <c r="C22" s="741"/>
      <c r="D22" s="741"/>
      <c r="E22" s="1151"/>
      <c r="F22" s="1151"/>
      <c r="G22" s="1151"/>
      <c r="H22" s="1151"/>
      <c r="I22" s="1151"/>
      <c r="J22" s="1151"/>
      <c r="K22" s="1151"/>
      <c r="L22" s="1152"/>
      <c r="M22" s="1153"/>
      <c r="N22" s="1154"/>
      <c r="Q22" s="949" t="s">
        <v>538</v>
      </c>
      <c r="R22" s="1160" t="s">
        <v>539</v>
      </c>
      <c r="S22" s="1160" t="s">
        <v>540</v>
      </c>
      <c r="T22" s="1160" t="s">
        <v>541</v>
      </c>
      <c r="U22" s="950"/>
    </row>
    <row r="23" spans="2:21" ht="19.5" customHeight="1" thickBot="1" x14ac:dyDescent="0.3">
      <c r="B23" s="1401" t="s">
        <v>92</v>
      </c>
      <c r="C23" s="1401"/>
      <c r="D23" s="1402"/>
      <c r="E23" s="1139">
        <f>+formato!D24</f>
        <v>0</v>
      </c>
      <c r="F23" s="1147"/>
      <c r="G23" s="1139">
        <f>+formato!F24</f>
        <v>0</v>
      </c>
      <c r="H23" s="1147"/>
      <c r="I23" s="1139">
        <f>+formato!G24</f>
        <v>0</v>
      </c>
      <c r="J23" s="1142"/>
      <c r="K23" s="1139">
        <f>+formato!H24</f>
        <v>0</v>
      </c>
      <c r="L23" s="1142"/>
      <c r="M23" s="1149"/>
      <c r="N23" s="1145"/>
      <c r="O23" s="495"/>
      <c r="Q23" s="951" t="s">
        <v>542</v>
      </c>
      <c r="R23" s="952" t="s">
        <v>543</v>
      </c>
      <c r="S23" s="952" t="s">
        <v>554</v>
      </c>
      <c r="T23" s="952" t="s">
        <v>544</v>
      </c>
      <c r="U23" s="953"/>
    </row>
    <row r="24" spans="2:21" ht="19.5" customHeight="1" x14ac:dyDescent="0.25">
      <c r="B24" s="1390" t="s">
        <v>93</v>
      </c>
      <c r="C24" s="1390"/>
      <c r="D24" s="1391"/>
      <c r="E24" s="1139">
        <f>+formato!D25</f>
        <v>0</v>
      </c>
      <c r="F24" s="1142" t="e">
        <f>IF($C$50="A",E24+($I$8*E24),E24+($N$8*E24))</f>
        <v>#DIV/0!</v>
      </c>
      <c r="G24" s="1139">
        <f>+formato!F25</f>
        <v>0</v>
      </c>
      <c r="H24" s="1142" t="e">
        <f>IF($C$50="A",G24+($I$8*G24),G24+($N$8*G24))</f>
        <v>#DIV/0!</v>
      </c>
      <c r="I24" s="1139">
        <f>+formato!G25</f>
        <v>0</v>
      </c>
      <c r="J24" s="1142" t="e">
        <f>IF($C$50="A",I24+($I$8*I24),I24+($N$8*I24))</f>
        <v>#DIV/0!</v>
      </c>
      <c r="K24" s="1139">
        <f>+formato!H25</f>
        <v>0</v>
      </c>
      <c r="L24" s="1142" t="e">
        <f>IF($C$50="A",K24+($I$8*K24),K24+($N$8*K24))</f>
        <v>#DIV/0!</v>
      </c>
      <c r="M24" s="1149"/>
      <c r="N24" s="1145"/>
      <c r="Q24" s="949" t="s">
        <v>547</v>
      </c>
      <c r="R24" s="1160">
        <f>+E24-E29</f>
        <v>0</v>
      </c>
      <c r="S24" s="1160">
        <f>+G24-G29</f>
        <v>0</v>
      </c>
      <c r="T24" s="1160">
        <f>+I24-I29</f>
        <v>0</v>
      </c>
      <c r="U24" s="1161">
        <f>+K24-K29</f>
        <v>0</v>
      </c>
    </row>
    <row r="25" spans="2:21" ht="19.5" customHeight="1" x14ac:dyDescent="0.25">
      <c r="B25" s="1390" t="s">
        <v>94</v>
      </c>
      <c r="C25" s="1390"/>
      <c r="D25" s="1391"/>
      <c r="E25" s="1139">
        <f>+formato!D26</f>
        <v>0</v>
      </c>
      <c r="F25" s="1142" t="e">
        <f t="shared" ref="F25:F27" si="2">IF($C$50="A",E25+($I$8*E25),E25+($N$8*E25))</f>
        <v>#DIV/0!</v>
      </c>
      <c r="G25" s="1139">
        <f>+formato!F26</f>
        <v>0</v>
      </c>
      <c r="H25" s="1142" t="e">
        <f t="shared" ref="H25:H27" si="3">IF($C$50="A",G25+($I$8*G25),G25+($N$8*G25))</f>
        <v>#DIV/0!</v>
      </c>
      <c r="I25" s="1139">
        <f>+formato!G26</f>
        <v>0</v>
      </c>
      <c r="J25" s="1142" t="e">
        <f t="shared" ref="J25:J27" si="4">IF($C$50="A",I25+($I$8*I25),I25+($N$8*I25))</f>
        <v>#DIV/0!</v>
      </c>
      <c r="K25" s="1139">
        <f>+formato!H26</f>
        <v>0</v>
      </c>
      <c r="L25" s="1142" t="e">
        <f t="shared" ref="L25:L27" si="5">IF($C$50="A",K25+($I$8*K25),K25+($N$8*K25))</f>
        <v>#DIV/0!</v>
      </c>
      <c r="M25" s="1149"/>
      <c r="N25" s="1145"/>
      <c r="Q25" s="949" t="s">
        <v>545</v>
      </c>
      <c r="R25" s="1160">
        <v>3.9</v>
      </c>
      <c r="S25" s="1160">
        <v>5.8</v>
      </c>
      <c r="T25" s="1160">
        <v>7.7</v>
      </c>
      <c r="U25" s="1161">
        <v>8.9</v>
      </c>
    </row>
    <row r="26" spans="2:21" ht="19.5" customHeight="1" thickBot="1" x14ac:dyDescent="0.3">
      <c r="B26" s="1390" t="s">
        <v>95</v>
      </c>
      <c r="C26" s="1390"/>
      <c r="D26" s="1391"/>
      <c r="E26" s="1139">
        <f>+formato!D27</f>
        <v>0</v>
      </c>
      <c r="F26" s="1142" t="e">
        <f t="shared" si="2"/>
        <v>#DIV/0!</v>
      </c>
      <c r="G26" s="1139">
        <f>+formato!F27</f>
        <v>0</v>
      </c>
      <c r="H26" s="1142" t="e">
        <f t="shared" si="3"/>
        <v>#DIV/0!</v>
      </c>
      <c r="I26" s="1139">
        <f>+formato!G27</f>
        <v>0</v>
      </c>
      <c r="J26" s="1142" t="e">
        <f t="shared" si="4"/>
        <v>#DIV/0!</v>
      </c>
      <c r="K26" s="1139">
        <f>+formato!H27</f>
        <v>0</v>
      </c>
      <c r="L26" s="1142" t="e">
        <f t="shared" si="5"/>
        <v>#DIV/0!</v>
      </c>
      <c r="M26" s="1149"/>
      <c r="N26" s="1145"/>
      <c r="Q26" s="949" t="s">
        <v>546</v>
      </c>
      <c r="R26" s="1160">
        <f>+(E24+(R25*E29/100))/(R25/100+1)</f>
        <v>0</v>
      </c>
      <c r="S26" s="1162">
        <f>+(G24+(S25*G29/100))/(S25/100+1)</f>
        <v>0</v>
      </c>
      <c r="T26" s="1162">
        <f>+(I24+(T25*I29/100))/(T25/100+1)</f>
        <v>0</v>
      </c>
      <c r="U26" s="1163">
        <f>+(K24+(U25*K29/100))/(U25/100+1)</f>
        <v>0</v>
      </c>
    </row>
    <row r="27" spans="2:21" ht="19.5" customHeight="1" thickBot="1" x14ac:dyDescent="0.3">
      <c r="B27" s="1390" t="s">
        <v>96</v>
      </c>
      <c r="C27" s="1390"/>
      <c r="D27" s="1391"/>
      <c r="E27" s="1139">
        <f>+formato!D28</f>
        <v>0</v>
      </c>
      <c r="F27" s="1142" t="e">
        <f t="shared" si="2"/>
        <v>#DIV/0!</v>
      </c>
      <c r="G27" s="1139">
        <f>+formato!F28</f>
        <v>0</v>
      </c>
      <c r="H27" s="1142" t="e">
        <f t="shared" si="3"/>
        <v>#DIV/0!</v>
      </c>
      <c r="I27" s="1139">
        <f>+formato!G28</f>
        <v>0</v>
      </c>
      <c r="J27" s="1142" t="e">
        <f t="shared" si="4"/>
        <v>#DIV/0!</v>
      </c>
      <c r="K27" s="1139">
        <f>+formato!H28</f>
        <v>0</v>
      </c>
      <c r="L27" s="1142" t="e">
        <f t="shared" si="5"/>
        <v>#DIV/0!</v>
      </c>
      <c r="M27" s="1149"/>
      <c r="N27" s="1145"/>
      <c r="Q27" s="1097" t="s">
        <v>567</v>
      </c>
      <c r="R27" s="1098" t="e">
        <f>IF(C50="C",2500,IF(C50="B",500,100))</f>
        <v>#DIV/0!</v>
      </c>
    </row>
    <row r="28" spans="2:21" ht="19.5" customHeight="1" x14ac:dyDescent="0.25">
      <c r="B28" s="1390" t="s">
        <v>31</v>
      </c>
      <c r="C28" s="1390"/>
      <c r="D28" s="1391"/>
      <c r="E28" s="1155">
        <f t="shared" ref="E28:L28" si="6">+E24-E27</f>
        <v>0</v>
      </c>
      <c r="F28" s="1142" t="e">
        <f t="shared" si="6"/>
        <v>#DIV/0!</v>
      </c>
      <c r="G28" s="1155">
        <f t="shared" si="6"/>
        <v>0</v>
      </c>
      <c r="H28" s="1142" t="e">
        <f t="shared" si="6"/>
        <v>#DIV/0!</v>
      </c>
      <c r="I28" s="1142">
        <f t="shared" si="6"/>
        <v>0</v>
      </c>
      <c r="J28" s="1142" t="e">
        <f t="shared" si="6"/>
        <v>#DIV/0!</v>
      </c>
      <c r="K28" s="1142">
        <f t="shared" si="6"/>
        <v>0</v>
      </c>
      <c r="L28" s="1142" t="e">
        <f t="shared" si="6"/>
        <v>#DIV/0!</v>
      </c>
      <c r="M28" s="1156"/>
      <c r="N28" s="1145"/>
    </row>
    <row r="29" spans="2:21" ht="19.5" customHeight="1" x14ac:dyDescent="0.25">
      <c r="B29" s="1390" t="s">
        <v>97</v>
      </c>
      <c r="C29" s="1390"/>
      <c r="D29" s="1391"/>
      <c r="E29" s="1139">
        <f>+formato!D30</f>
        <v>0</v>
      </c>
      <c r="F29" s="1142" t="e">
        <f>IF($C$50="A",E29+($I$8*E29),E29+($N$8*E29))</f>
        <v>#DIV/0!</v>
      </c>
      <c r="G29" s="1139">
        <f>+formato!F30</f>
        <v>0</v>
      </c>
      <c r="H29" s="1142" t="e">
        <f>IF($C$50="A",G29+($I$8*G29),G29+($N$8*G29))</f>
        <v>#DIV/0!</v>
      </c>
      <c r="I29" s="1139">
        <f>+formato!G30</f>
        <v>0</v>
      </c>
      <c r="J29" s="1142" t="e">
        <f>IF($C$50="A",I29+($I$8*I29),I29+($N$8*I29))</f>
        <v>#DIV/0!</v>
      </c>
      <c r="K29" s="1139">
        <f>+formato!H30</f>
        <v>0</v>
      </c>
      <c r="L29" s="1142" t="e">
        <f>IF($C$50="A",K29+($I$8*K29),K29+($N$8*K29))</f>
        <v>#DIV/0!</v>
      </c>
      <c r="M29" s="1149"/>
      <c r="N29" s="1145"/>
    </row>
    <row r="30" spans="2:21" ht="19.5" customHeight="1" x14ac:dyDescent="0.25">
      <c r="B30" s="1391" t="s">
        <v>32</v>
      </c>
      <c r="C30" s="1412"/>
      <c r="D30" s="1412"/>
      <c r="E30" s="1142"/>
      <c r="F30" s="1142" t="e">
        <f t="shared" ref="F30:L30" si="7">+F27-F29</f>
        <v>#DIV/0!</v>
      </c>
      <c r="G30" s="1142"/>
      <c r="H30" s="1142" t="e">
        <f t="shared" si="7"/>
        <v>#DIV/0!</v>
      </c>
      <c r="I30" s="1142"/>
      <c r="J30" s="1142" t="e">
        <f t="shared" si="7"/>
        <v>#DIV/0!</v>
      </c>
      <c r="K30" s="1142"/>
      <c r="L30" s="1142" t="e">
        <f t="shared" si="7"/>
        <v>#DIV/0!</v>
      </c>
      <c r="M30" s="1145"/>
      <c r="N30" s="1145"/>
    </row>
    <row r="31" spans="2:21" ht="19.5" customHeight="1" x14ac:dyDescent="0.25">
      <c r="B31" s="1391" t="s">
        <v>98</v>
      </c>
      <c r="C31" s="1412"/>
      <c r="D31" s="1412"/>
      <c r="E31" s="1142"/>
      <c r="F31" s="1142" t="e">
        <f t="shared" ref="F31:L31" si="8">+F28/F30*100</f>
        <v>#DIV/0!</v>
      </c>
      <c r="G31" s="1142"/>
      <c r="H31" s="1142" t="e">
        <f t="shared" si="8"/>
        <v>#DIV/0!</v>
      </c>
      <c r="I31" s="1142"/>
      <c r="J31" s="1142" t="e">
        <f t="shared" si="8"/>
        <v>#DIV/0!</v>
      </c>
      <c r="K31" s="1142"/>
      <c r="L31" s="1142" t="e">
        <f t="shared" si="8"/>
        <v>#DIV/0!</v>
      </c>
      <c r="M31" s="1145"/>
      <c r="N31" s="1145"/>
      <c r="O31" s="477" t="s">
        <v>99</v>
      </c>
    </row>
    <row r="32" spans="2:21" ht="19.2" customHeight="1" x14ac:dyDescent="0.25">
      <c r="B32" s="1414" t="s">
        <v>100</v>
      </c>
      <c r="C32" s="1415"/>
      <c r="D32" s="1415"/>
      <c r="E32" s="1142"/>
      <c r="F32" s="1142" t="e">
        <f t="shared" ref="F32:L32" si="9">+F21/(1+F31/100)</f>
        <v>#DIV/0!</v>
      </c>
      <c r="G32" s="1142"/>
      <c r="H32" s="1142" t="e">
        <f t="shared" si="9"/>
        <v>#DIV/0!</v>
      </c>
      <c r="I32" s="1142"/>
      <c r="J32" s="1142" t="e">
        <f t="shared" si="9"/>
        <v>#DIV/0!</v>
      </c>
      <c r="K32" s="1142"/>
      <c r="L32" s="1142" t="e">
        <f t="shared" si="9"/>
        <v>#DIV/0!</v>
      </c>
      <c r="M32" s="1145"/>
      <c r="N32" s="1145"/>
      <c r="O32" s="477" t="s">
        <v>90</v>
      </c>
    </row>
    <row r="33" spans="2:15" ht="19.2" customHeight="1" x14ac:dyDescent="0.25">
      <c r="B33" s="1091" t="s">
        <v>563</v>
      </c>
      <c r="C33" s="1092"/>
      <c r="D33" s="1092"/>
      <c r="E33" s="1157"/>
      <c r="F33" s="1157" t="e">
        <f>+F32*9.8066</f>
        <v>#DIV/0!</v>
      </c>
      <c r="G33" s="1157"/>
      <c r="H33" s="1157" t="e">
        <f>+H32*9.8066</f>
        <v>#DIV/0!</v>
      </c>
      <c r="I33" s="1157"/>
      <c r="J33" s="1157" t="e">
        <f>+J32*9.8066</f>
        <v>#DIV/0!</v>
      </c>
      <c r="K33" s="1157"/>
      <c r="L33" s="1157" t="e">
        <f>+L32*9.8066</f>
        <v>#DIV/0!</v>
      </c>
      <c r="M33" s="1158"/>
      <c r="N33" s="1158"/>
      <c r="O33" s="477"/>
    </row>
    <row r="34" spans="2:15" ht="12.75" customHeight="1" x14ac:dyDescent="0.25">
      <c r="B34" s="684" t="s">
        <v>568</v>
      </c>
      <c r="F34" s="685" t="e">
        <f>IF(R24&lt;R27,"No Cumple","Cumple")</f>
        <v>#DIV/0!</v>
      </c>
      <c r="H34" s="685" t="e">
        <f>IF(S24&lt;R27,"No Cumple","Cumple")</f>
        <v>#DIV/0!</v>
      </c>
      <c r="J34" s="685" t="e">
        <f>IF(T24&lt;R27,"No Cumple","Cumple")</f>
        <v>#DIV/0!</v>
      </c>
      <c r="L34" s="685" t="e">
        <f>IF(U24&lt;R27,"No Cumple","Cumple")</f>
        <v>#DIV/0!</v>
      </c>
    </row>
    <row r="35" spans="2:15" ht="17.399999999999999" customHeight="1" x14ac:dyDescent="0.25">
      <c r="B35" s="684" t="s">
        <v>101</v>
      </c>
      <c r="C35" s="729"/>
      <c r="D35" s="729"/>
      <c r="E35" s="679" t="e">
        <f>+(E26-E27)/E27*100</f>
        <v>#DIV/0!</v>
      </c>
      <c r="F35" s="685" t="e">
        <f>+IF(E35&lt;0.1,"Cumple", "No Cumple")</f>
        <v>#DIV/0!</v>
      </c>
      <c r="G35" s="679" t="e">
        <f>+(G26-G27)/G27*100</f>
        <v>#DIV/0!</v>
      </c>
      <c r="H35" s="685" t="e">
        <f>+IF(G35&lt;0.1,"Cumple", "No Cumple")</f>
        <v>#DIV/0!</v>
      </c>
      <c r="I35" s="679" t="e">
        <f>+(I26-I27)/I27*100</f>
        <v>#DIV/0!</v>
      </c>
      <c r="J35" s="685" t="e">
        <f>+IF(I35&lt;0.1,"Cumple", "No Cumple")</f>
        <v>#DIV/0!</v>
      </c>
      <c r="K35" s="679" t="e">
        <f>+(K26-K27)/K27*100</f>
        <v>#DIV/0!</v>
      </c>
      <c r="L35" s="685" t="e">
        <f>+IF(K35&lt;0.1,"Cumple", "No Cumple")</f>
        <v>#DIV/0!</v>
      </c>
      <c r="M35" s="686"/>
      <c r="N35" s="686"/>
    </row>
    <row r="36" spans="2:15" ht="12.75" customHeight="1" x14ac:dyDescent="0.25"/>
    <row r="37" spans="2:15" ht="19.5" customHeight="1" x14ac:dyDescent="0.25">
      <c r="C37" s="678" t="s">
        <v>66</v>
      </c>
      <c r="D37" s="706"/>
      <c r="E37" s="707"/>
      <c r="F37" s="1406">
        <v>0</v>
      </c>
      <c r="G37" s="1406"/>
      <c r="H37" s="1406"/>
    </row>
    <row r="38" spans="2:15" ht="19.5" customHeight="1" x14ac:dyDescent="0.25">
      <c r="C38" s="678" t="s">
        <v>68</v>
      </c>
      <c r="D38" s="706"/>
      <c r="E38" s="707"/>
      <c r="F38" s="1407">
        <v>0</v>
      </c>
      <c r="G38" s="1407"/>
      <c r="H38" s="1407"/>
    </row>
    <row r="39" spans="2:15" ht="9" customHeight="1" x14ac:dyDescent="0.25"/>
    <row r="40" spans="2:15" ht="7.5" customHeight="1" x14ac:dyDescent="0.25">
      <c r="B40" s="1022"/>
      <c r="C40" s="1023"/>
      <c r="D40" s="1023"/>
      <c r="E40" s="1024"/>
      <c r="F40" s="1024"/>
      <c r="G40" s="1023"/>
      <c r="H40" s="1025"/>
      <c r="I40" s="1025"/>
      <c r="J40" s="1025"/>
      <c r="K40" s="1025"/>
      <c r="L40" s="1025"/>
      <c r="M40" s="1025"/>
      <c r="N40" s="1026"/>
    </row>
    <row r="41" spans="2:15" ht="19.5" customHeight="1" x14ac:dyDescent="0.25">
      <c r="B41" s="1027"/>
      <c r="C41" s="1028" t="s">
        <v>56</v>
      </c>
      <c r="D41" s="1029"/>
      <c r="E41" s="1030"/>
      <c r="F41" s="1408">
        <v>0</v>
      </c>
      <c r="G41" s="1408"/>
      <c r="H41" s="1408"/>
      <c r="K41" s="1405" t="s">
        <v>49</v>
      </c>
      <c r="L41" s="1405"/>
      <c r="M41" s="478"/>
      <c r="N41" s="1403" t="s">
        <v>102</v>
      </c>
    </row>
    <row r="42" spans="2:15" ht="19.5" customHeight="1" x14ac:dyDescent="0.25">
      <c r="B42" s="1027"/>
      <c r="K42" s="1031" t="s">
        <v>51</v>
      </c>
      <c r="L42" s="1031" t="s">
        <v>52</v>
      </c>
      <c r="M42" s="478"/>
      <c r="N42" s="1404"/>
    </row>
    <row r="43" spans="2:15" ht="19.5" customHeight="1" x14ac:dyDescent="0.25">
      <c r="B43" s="1027"/>
      <c r="C43" s="1032" t="s">
        <v>103</v>
      </c>
      <c r="D43" s="1033"/>
      <c r="E43" s="1031" t="s">
        <v>564</v>
      </c>
      <c r="F43" s="1096">
        <v>9.8065999999999995</v>
      </c>
      <c r="G43" s="1095">
        <f>+F43</f>
        <v>9.8065999999999995</v>
      </c>
      <c r="H43" s="1095">
        <f>+F43</f>
        <v>9.8065999999999995</v>
      </c>
      <c r="I43" s="1095">
        <f>+F43</f>
        <v>9.8065999999999995</v>
      </c>
      <c r="K43" s="1034" t="e">
        <f>LARGE($F$44:$I$44,N43)</f>
        <v>#DIV/0!</v>
      </c>
      <c r="L43" s="1034" t="e">
        <f>SMALL($F$46:$I$46,N43)</f>
        <v>#DIV/0!</v>
      </c>
      <c r="M43" s="478"/>
      <c r="N43" s="1035">
        <v>1</v>
      </c>
    </row>
    <row r="44" spans="2:15" ht="19.5" customHeight="1" x14ac:dyDescent="0.25">
      <c r="B44" s="1027"/>
      <c r="C44" s="1032" t="s">
        <v>104</v>
      </c>
      <c r="D44" s="1033"/>
      <c r="E44" s="1031" t="s">
        <v>564</v>
      </c>
      <c r="F44" s="957" t="e">
        <f>+F33</f>
        <v>#DIV/0!</v>
      </c>
      <c r="G44" s="957" t="e">
        <f>+H33</f>
        <v>#DIV/0!</v>
      </c>
      <c r="H44" s="957" t="e">
        <f>+J33</f>
        <v>#DIV/0!</v>
      </c>
      <c r="I44" s="957" t="e">
        <f>+L33</f>
        <v>#DIV/0!</v>
      </c>
      <c r="K44" s="1034" t="e">
        <f>LARGE($F$44:$I$44,N44)</f>
        <v>#DIV/0!</v>
      </c>
      <c r="L44" s="1034" t="e">
        <f>SMALL($F$46:$I$46,N44)</f>
        <v>#DIV/0!</v>
      </c>
      <c r="M44" s="478"/>
      <c r="N44" s="1035">
        <v>2</v>
      </c>
    </row>
    <row r="45" spans="2:15" ht="19.5" customHeight="1" x14ac:dyDescent="0.25">
      <c r="B45" s="1027"/>
      <c r="C45" s="1032" t="s">
        <v>105</v>
      </c>
      <c r="D45" s="1033"/>
      <c r="E45" s="1031" t="s">
        <v>67</v>
      </c>
      <c r="F45" s="1036">
        <v>2.81</v>
      </c>
      <c r="G45" s="956">
        <f>+$F$45</f>
        <v>2.81</v>
      </c>
      <c r="H45" s="956">
        <f>+$F$45</f>
        <v>2.81</v>
      </c>
      <c r="I45" s="956">
        <f>+$F$45</f>
        <v>2.81</v>
      </c>
      <c r="K45" s="1034" t="e">
        <f>LARGE($F$44:$I$44,N45)</f>
        <v>#DIV/0!</v>
      </c>
      <c r="L45" s="1034" t="e">
        <f>SMALL($F$46:$I$46,N45)</f>
        <v>#DIV/0!</v>
      </c>
      <c r="M45" s="478"/>
      <c r="N45" s="1035">
        <v>3</v>
      </c>
    </row>
    <row r="46" spans="2:15" ht="19.5" customHeight="1" x14ac:dyDescent="0.25">
      <c r="B46" s="1027"/>
      <c r="C46" s="1032" t="s">
        <v>106</v>
      </c>
      <c r="D46" s="1033"/>
      <c r="E46" s="1031" t="s">
        <v>107</v>
      </c>
      <c r="F46" s="957" t="e">
        <f>+(F43*F45-F44)/F44/F45*100</f>
        <v>#DIV/0!</v>
      </c>
      <c r="G46" s="957" t="e">
        <f>+(G43*G45-G44)/G44/G45*100</f>
        <v>#DIV/0!</v>
      </c>
      <c r="H46" s="957" t="e">
        <f>+(H43*H45-H44)/H44/H45*100</f>
        <v>#DIV/0!</v>
      </c>
      <c r="I46" s="957" t="e">
        <f t="shared" ref="I46" si="10">+(I43*I45-I44)/I44/I45*100</f>
        <v>#DIV/0!</v>
      </c>
      <c r="K46" s="1034" t="e">
        <f>LARGE($F$44:$I$44,N46)</f>
        <v>#DIV/0!</v>
      </c>
      <c r="L46" s="1034" t="e">
        <f>SMALL($F$46:$I$46,N46)</f>
        <v>#DIV/0!</v>
      </c>
      <c r="M46" s="478"/>
      <c r="N46" s="1035">
        <v>4</v>
      </c>
    </row>
    <row r="47" spans="2:15" ht="5.25" customHeight="1" x14ac:dyDescent="0.25">
      <c r="B47" s="742"/>
      <c r="C47" s="704"/>
      <c r="D47" s="704"/>
      <c r="E47" s="704"/>
      <c r="F47" s="704"/>
      <c r="G47" s="704"/>
      <c r="H47" s="704"/>
      <c r="I47" s="704"/>
      <c r="J47" s="704"/>
      <c r="K47" s="704"/>
      <c r="L47" s="704"/>
      <c r="M47" s="704"/>
      <c r="N47" s="1037"/>
    </row>
    <row r="48" spans="2:15" ht="19.5" customHeight="1" x14ac:dyDescent="0.25">
      <c r="B48" s="711"/>
      <c r="N48" s="712"/>
    </row>
    <row r="49" spans="2:15" ht="15" customHeight="1" x14ac:dyDescent="0.25">
      <c r="B49" s="711"/>
      <c r="C49" s="1392" t="s">
        <v>35</v>
      </c>
      <c r="D49" s="1393"/>
      <c r="E49" s="1394"/>
      <c r="N49" s="712"/>
    </row>
    <row r="50" spans="2:15" ht="10.5" customHeight="1" x14ac:dyDescent="0.25">
      <c r="B50" s="711"/>
      <c r="C50" s="1409" t="e">
        <f>IF(G54="","",IF(AND(G54&lt;=25),"A",IF(AND(G54&gt;25,G53&lt;=25),"B",IF(AND(G53&gt;25,G52&lt;30),"C"))))</f>
        <v>#DIV/0!</v>
      </c>
      <c r="D50" s="1410"/>
      <c r="E50" s="1411"/>
      <c r="F50" s="475"/>
      <c r="N50" s="712"/>
      <c r="O50" s="713"/>
    </row>
    <row r="51" spans="2:15" ht="34.5" customHeight="1" x14ac:dyDescent="0.25">
      <c r="B51" s="711"/>
      <c r="C51" s="493" t="s">
        <v>40</v>
      </c>
      <c r="D51" s="493" t="s">
        <v>41</v>
      </c>
      <c r="E51" s="493" t="s">
        <v>573</v>
      </c>
      <c r="F51" s="493" t="s">
        <v>42</v>
      </c>
      <c r="G51" s="493" t="s">
        <v>43</v>
      </c>
      <c r="H51" s="493" t="s">
        <v>44</v>
      </c>
      <c r="N51" s="712"/>
      <c r="O51" s="713"/>
    </row>
    <row r="52" spans="2:15" ht="19.5" customHeight="1" x14ac:dyDescent="0.25">
      <c r="B52" s="711"/>
      <c r="C52" s="479" t="s">
        <v>108</v>
      </c>
      <c r="D52" s="1139">
        <f>+formato!G37</f>
        <v>0</v>
      </c>
      <c r="E52" s="1141">
        <f>+D52+D52*$I$8</f>
        <v>0</v>
      </c>
      <c r="F52" s="1142" t="e">
        <f>E52/E56*100</f>
        <v>#DIV/0!</v>
      </c>
      <c r="G52" s="1142" t="e">
        <f>F52</f>
        <v>#DIV/0!</v>
      </c>
      <c r="H52" s="1140" t="e">
        <f>100-G52</f>
        <v>#DIV/0!</v>
      </c>
      <c r="N52" s="712"/>
    </row>
    <row r="53" spans="2:15" ht="19.5" customHeight="1" x14ac:dyDescent="0.25">
      <c r="B53" s="711"/>
      <c r="C53" s="479" t="s">
        <v>109</v>
      </c>
      <c r="D53" s="1139">
        <f>+formato!G38</f>
        <v>0</v>
      </c>
      <c r="E53" s="1141">
        <f t="shared" ref="E53:E55" si="11">+D53+D53*$I$8</f>
        <v>0</v>
      </c>
      <c r="F53" s="1142" t="e">
        <f>E53/E56*100</f>
        <v>#DIV/0!</v>
      </c>
      <c r="G53" s="1142" t="e">
        <f>G52+F53</f>
        <v>#DIV/0!</v>
      </c>
      <c r="H53" s="1140" t="e">
        <f t="shared" ref="H53:H55" si="12">100-G53</f>
        <v>#DIV/0!</v>
      </c>
      <c r="N53" s="712"/>
    </row>
    <row r="54" spans="2:15" ht="19.5" customHeight="1" x14ac:dyDescent="0.25">
      <c r="B54" s="711"/>
      <c r="C54" s="479" t="s">
        <v>110</v>
      </c>
      <c r="D54" s="1139">
        <f>+formato!G39</f>
        <v>0</v>
      </c>
      <c r="E54" s="1141">
        <f>+D54+D54*$I$8</f>
        <v>0</v>
      </c>
      <c r="F54" s="1142" t="e">
        <f>E54/E56*100</f>
        <v>#DIV/0!</v>
      </c>
      <c r="G54" s="1142" t="e">
        <f>G53+F54</f>
        <v>#DIV/0!</v>
      </c>
      <c r="H54" s="1140" t="e">
        <f t="shared" si="12"/>
        <v>#DIV/0!</v>
      </c>
      <c r="N54" s="712"/>
    </row>
    <row r="55" spans="2:15" ht="19.5" customHeight="1" x14ac:dyDescent="0.25">
      <c r="B55" s="711"/>
      <c r="C55" s="479" t="s">
        <v>48</v>
      </c>
      <c r="D55" s="1139">
        <f>+formato!G40</f>
        <v>0</v>
      </c>
      <c r="E55" s="1141">
        <f t="shared" si="11"/>
        <v>0</v>
      </c>
      <c r="F55" s="1142" t="e">
        <f>E55/E56*100</f>
        <v>#DIV/0!</v>
      </c>
      <c r="G55" s="1142" t="e">
        <f>G54+F55</f>
        <v>#DIV/0!</v>
      </c>
      <c r="H55" s="1140" t="e">
        <f t="shared" si="12"/>
        <v>#DIV/0!</v>
      </c>
      <c r="N55" s="712"/>
    </row>
    <row r="56" spans="2:15" ht="19.5" customHeight="1" x14ac:dyDescent="0.25">
      <c r="B56" s="711"/>
      <c r="C56" s="729" t="s">
        <v>50</v>
      </c>
      <c r="D56" s="1140">
        <f>SUM(D52:D55)</f>
        <v>0</v>
      </c>
      <c r="E56" s="1140">
        <f>SUM(E52:E55)</f>
        <v>0</v>
      </c>
      <c r="F56" s="1143"/>
      <c r="G56" s="1143"/>
      <c r="H56" s="1144"/>
      <c r="N56" s="712"/>
    </row>
    <row r="57" spans="2:15" ht="19.5" customHeight="1" x14ac:dyDescent="0.25">
      <c r="B57" s="742"/>
      <c r="C57" s="704"/>
      <c r="D57" s="704"/>
      <c r="E57" s="704"/>
      <c r="F57" s="704"/>
      <c r="G57" s="704"/>
      <c r="H57" s="704"/>
      <c r="I57" s="704"/>
      <c r="J57" s="704"/>
      <c r="K57" s="704"/>
      <c r="L57" s="704"/>
      <c r="M57" s="704"/>
      <c r="N57" s="740"/>
    </row>
    <row r="58" spans="2:15" ht="19.5" customHeight="1" x14ac:dyDescent="0.25">
      <c r="B58" s="708"/>
      <c r="C58" s="709"/>
      <c r="D58" s="709"/>
      <c r="E58" s="709"/>
      <c r="F58" s="709"/>
      <c r="G58" s="709"/>
      <c r="H58" s="709"/>
      <c r="I58" s="709"/>
      <c r="J58" s="709"/>
      <c r="K58" s="709"/>
      <c r="L58" s="709"/>
      <c r="M58" s="709"/>
      <c r="N58" s="710"/>
    </row>
    <row r="59" spans="2:15" ht="19.5" customHeight="1" x14ac:dyDescent="0.25">
      <c r="B59" s="711"/>
      <c r="C59" s="729" t="s">
        <v>111</v>
      </c>
      <c r="D59" s="729" t="s">
        <v>112</v>
      </c>
      <c r="E59" s="729" t="s">
        <v>113</v>
      </c>
      <c r="F59" s="729" t="s">
        <v>114</v>
      </c>
      <c r="G59" s="729" t="s">
        <v>115</v>
      </c>
      <c r="H59" s="729" t="s">
        <v>116</v>
      </c>
      <c r="I59" s="729" t="s">
        <v>117</v>
      </c>
      <c r="J59" s="729" t="s">
        <v>118</v>
      </c>
      <c r="K59" s="729" t="s">
        <v>119</v>
      </c>
      <c r="L59" s="729" t="s">
        <v>120</v>
      </c>
      <c r="M59" s="723"/>
      <c r="N59" s="712"/>
    </row>
    <row r="60" spans="2:15" ht="19.5" customHeight="1" x14ac:dyDescent="0.25">
      <c r="B60" s="711"/>
      <c r="C60" s="683" t="e">
        <f>IF(F31="","",F31)</f>
        <v>#DIV/0!</v>
      </c>
      <c r="D60" s="683" t="e">
        <f>IF(F32="","",F32)</f>
        <v>#DIV/0!</v>
      </c>
      <c r="E60" s="683" t="e">
        <f>IF(C60="","",C60^2)</f>
        <v>#DIV/0!</v>
      </c>
      <c r="F60" s="683" t="e">
        <f>IF(C60="","",C60^3)</f>
        <v>#DIV/0!</v>
      </c>
      <c r="G60" s="683" t="e">
        <f>IF(C60="","",C60^4)</f>
        <v>#DIV/0!</v>
      </c>
      <c r="H60" s="683" t="e">
        <f>IF(C60="","",C60^5)</f>
        <v>#DIV/0!</v>
      </c>
      <c r="I60" s="683" t="e">
        <f>IF(C60="","",C60^6)</f>
        <v>#DIV/0!</v>
      </c>
      <c r="J60" s="683" t="e">
        <f>IF(C60="","",C60*D60)</f>
        <v>#DIV/0!</v>
      </c>
      <c r="K60" s="683" t="e">
        <f>IF(C60="","",C60^2*D60)</f>
        <v>#DIV/0!</v>
      </c>
      <c r="L60" s="683" t="e">
        <f>IF(C60="","",C60^3*D60)</f>
        <v>#DIV/0!</v>
      </c>
      <c r="M60" s="723"/>
      <c r="N60" s="712"/>
    </row>
    <row r="61" spans="2:15" ht="19.5" customHeight="1" x14ac:dyDescent="0.25">
      <c r="B61" s="711"/>
      <c r="C61" s="683" t="e">
        <f>IF(H31="","",H31)</f>
        <v>#DIV/0!</v>
      </c>
      <c r="D61" s="683" t="e">
        <f>IF(H32="","",H32)</f>
        <v>#DIV/0!</v>
      </c>
      <c r="E61" s="683" t="e">
        <f>IF(C61="","",C61^2)</f>
        <v>#DIV/0!</v>
      </c>
      <c r="F61" s="683" t="e">
        <f>IF(C61="","",C61^3)</f>
        <v>#DIV/0!</v>
      </c>
      <c r="G61" s="683" t="e">
        <f t="shared" ref="G61:G64" si="13">IF(C61="","",C61^4)</f>
        <v>#DIV/0!</v>
      </c>
      <c r="H61" s="683" t="e">
        <f t="shared" ref="H61:H64" si="14">IF(C61="","",C61^5)</f>
        <v>#DIV/0!</v>
      </c>
      <c r="I61" s="683" t="e">
        <f t="shared" ref="I61:I64" si="15">IF(C61="","",C61^6)</f>
        <v>#DIV/0!</v>
      </c>
      <c r="J61" s="683" t="e">
        <f>IF(C61="","",C61*D61)</f>
        <v>#DIV/0!</v>
      </c>
      <c r="K61" s="683" t="e">
        <f>IF(C61="","",C61^2*D61)</f>
        <v>#DIV/0!</v>
      </c>
      <c r="L61" s="683" t="e">
        <f t="shared" ref="L61:L64" si="16">IF(C61="","",C61^3*D61)</f>
        <v>#DIV/0!</v>
      </c>
      <c r="M61" s="723"/>
      <c r="N61" s="712"/>
    </row>
    <row r="62" spans="2:15" ht="19.5" customHeight="1" x14ac:dyDescent="0.25">
      <c r="B62" s="711"/>
      <c r="C62" s="683" t="e">
        <f>IF(J31="","",J31)</f>
        <v>#DIV/0!</v>
      </c>
      <c r="D62" s="683" t="e">
        <f>IF(J32="","",J32)</f>
        <v>#DIV/0!</v>
      </c>
      <c r="E62" s="683" t="e">
        <f>IF(C62="","",C62^2)</f>
        <v>#DIV/0!</v>
      </c>
      <c r="F62" s="683" t="e">
        <f>IF(C62="","",C62^3)</f>
        <v>#DIV/0!</v>
      </c>
      <c r="G62" s="683" t="e">
        <f t="shared" si="13"/>
        <v>#DIV/0!</v>
      </c>
      <c r="H62" s="683" t="e">
        <f t="shared" si="14"/>
        <v>#DIV/0!</v>
      </c>
      <c r="I62" s="683" t="e">
        <f t="shared" si="15"/>
        <v>#DIV/0!</v>
      </c>
      <c r="J62" s="683" t="e">
        <f>IF(C62="","",C62*D62)</f>
        <v>#DIV/0!</v>
      </c>
      <c r="K62" s="683" t="e">
        <f>IF(C62="","",C62^2*D62)</f>
        <v>#DIV/0!</v>
      </c>
      <c r="L62" s="683" t="e">
        <f t="shared" si="16"/>
        <v>#DIV/0!</v>
      </c>
      <c r="M62" s="723"/>
      <c r="N62" s="712"/>
    </row>
    <row r="63" spans="2:15" ht="19.5" customHeight="1" x14ac:dyDescent="0.25">
      <c r="B63" s="711"/>
      <c r="C63" s="683" t="e">
        <f>IF(L31="","",L31)</f>
        <v>#DIV/0!</v>
      </c>
      <c r="D63" s="683" t="e">
        <f>IF(L32="","",L32)</f>
        <v>#DIV/0!</v>
      </c>
      <c r="E63" s="683" t="e">
        <f>IF(C63="","",C63^2)</f>
        <v>#DIV/0!</v>
      </c>
      <c r="F63" s="683" t="e">
        <f>IF(C63="","",C63^3)</f>
        <v>#DIV/0!</v>
      </c>
      <c r="G63" s="683" t="e">
        <f t="shared" si="13"/>
        <v>#DIV/0!</v>
      </c>
      <c r="H63" s="683" t="e">
        <f t="shared" si="14"/>
        <v>#DIV/0!</v>
      </c>
      <c r="I63" s="683" t="e">
        <f t="shared" si="15"/>
        <v>#DIV/0!</v>
      </c>
      <c r="J63" s="683" t="e">
        <f>IF(C63="","",C63*D63)</f>
        <v>#DIV/0!</v>
      </c>
      <c r="K63" s="683" t="e">
        <f>IF(C63="","",C63^2*D63)</f>
        <v>#DIV/0!</v>
      </c>
      <c r="L63" s="683" t="e">
        <f t="shared" si="16"/>
        <v>#DIV/0!</v>
      </c>
      <c r="M63" s="723"/>
      <c r="N63" s="712"/>
    </row>
    <row r="64" spans="2:15" ht="19.5" customHeight="1" x14ac:dyDescent="0.25">
      <c r="B64" s="711"/>
      <c r="C64" s="683" t="str">
        <f>IF(N31="","",N31)</f>
        <v/>
      </c>
      <c r="D64" s="683" t="str">
        <f>IF(N32="","",N32)</f>
        <v/>
      </c>
      <c r="E64" s="683" t="str">
        <f>IF(C64="","",C64^2)</f>
        <v/>
      </c>
      <c r="F64" s="683" t="str">
        <f>IF(C64="","",C64^3)</f>
        <v/>
      </c>
      <c r="G64" s="683" t="str">
        <f t="shared" si="13"/>
        <v/>
      </c>
      <c r="H64" s="683" t="str">
        <f t="shared" si="14"/>
        <v/>
      </c>
      <c r="I64" s="683" t="str">
        <f t="shared" si="15"/>
        <v/>
      </c>
      <c r="J64" s="683" t="str">
        <f>IF(C64="","",C64*D64)</f>
        <v/>
      </c>
      <c r="K64" s="683" t="str">
        <f>IF(C64="","",C64^2*D64)</f>
        <v/>
      </c>
      <c r="L64" s="683" t="str">
        <f t="shared" si="16"/>
        <v/>
      </c>
      <c r="M64" s="723"/>
      <c r="N64" s="712"/>
    </row>
    <row r="65" spans="2:14" ht="19.5" customHeight="1" x14ac:dyDescent="0.25">
      <c r="B65" s="711"/>
      <c r="C65" s="683" t="e">
        <f>SUM(C60:C64)</f>
        <v>#DIV/0!</v>
      </c>
      <c r="D65" s="683" t="e">
        <f>SUM(D60:D64)</f>
        <v>#DIV/0!</v>
      </c>
      <c r="E65" s="683" t="e">
        <f t="shared" ref="E65:I65" si="17">SUM(E60:E64)</f>
        <v>#DIV/0!</v>
      </c>
      <c r="F65" s="683" t="e">
        <f t="shared" si="17"/>
        <v>#DIV/0!</v>
      </c>
      <c r="G65" s="683" t="e">
        <f t="shared" si="17"/>
        <v>#DIV/0!</v>
      </c>
      <c r="H65" s="683" t="e">
        <f t="shared" si="17"/>
        <v>#DIV/0!</v>
      </c>
      <c r="I65" s="683" t="e">
        <f t="shared" si="17"/>
        <v>#DIV/0!</v>
      </c>
      <c r="J65" s="683" t="e">
        <f>SUM(J60:J64)</f>
        <v>#DIV/0!</v>
      </c>
      <c r="K65" s="683" t="e">
        <f>SUM(K60:K64)</f>
        <v>#DIV/0!</v>
      </c>
      <c r="L65" s="683" t="e">
        <f>SUM(L60:L64)</f>
        <v>#DIV/0!</v>
      </c>
      <c r="M65" s="723"/>
      <c r="N65" s="712"/>
    </row>
    <row r="66" spans="2:14" ht="19.5" customHeight="1" x14ac:dyDescent="0.25">
      <c r="B66" s="711"/>
      <c r="C66" s="723"/>
      <c r="D66" s="723"/>
      <c r="E66" s="723"/>
      <c r="F66" s="723"/>
      <c r="G66" s="723"/>
      <c r="H66" s="723"/>
      <c r="I66" s="723"/>
      <c r="J66" s="723"/>
      <c r="K66" s="723"/>
      <c r="L66" s="723"/>
      <c r="M66" s="723"/>
      <c r="N66" s="712"/>
    </row>
    <row r="67" spans="2:14" ht="19.5" customHeight="1" x14ac:dyDescent="0.25">
      <c r="B67" s="711"/>
      <c r="C67" s="683">
        <f>COUNT(C60:C64)</f>
        <v>0</v>
      </c>
      <c r="D67" s="683" t="e">
        <f>+C65</f>
        <v>#DIV/0!</v>
      </c>
      <c r="E67" s="683" t="e">
        <f>+E65</f>
        <v>#DIV/0!</v>
      </c>
      <c r="F67" s="683" t="e">
        <f>+F65</f>
        <v>#DIV/0!</v>
      </c>
      <c r="G67" s="683" t="e">
        <f>+D65</f>
        <v>#DIV/0!</v>
      </c>
      <c r="H67" s="723"/>
      <c r="I67" s="723"/>
      <c r="J67" s="723"/>
      <c r="K67" s="723"/>
      <c r="L67" s="723"/>
      <c r="M67" s="723"/>
      <c r="N67" s="712"/>
    </row>
    <row r="68" spans="2:14" ht="19.5" customHeight="1" x14ac:dyDescent="0.25">
      <c r="B68" s="711"/>
      <c r="C68" s="683" t="e">
        <f>+C65</f>
        <v>#DIV/0!</v>
      </c>
      <c r="D68" s="683" t="e">
        <f>+E65</f>
        <v>#DIV/0!</v>
      </c>
      <c r="E68" s="683" t="e">
        <f>+F65</f>
        <v>#DIV/0!</v>
      </c>
      <c r="F68" s="683" t="e">
        <f>+G65</f>
        <v>#DIV/0!</v>
      </c>
      <c r="G68" s="683" t="e">
        <f>+J65</f>
        <v>#DIV/0!</v>
      </c>
      <c r="H68" s="723"/>
      <c r="I68" s="723"/>
      <c r="J68" s="723"/>
      <c r="K68" s="723"/>
      <c r="L68" s="723"/>
      <c r="M68" s="723"/>
      <c r="N68" s="712"/>
    </row>
    <row r="69" spans="2:14" ht="19.5" customHeight="1" x14ac:dyDescent="0.25">
      <c r="B69" s="711"/>
      <c r="C69" s="683" t="e">
        <f>+E65</f>
        <v>#DIV/0!</v>
      </c>
      <c r="D69" s="683" t="e">
        <f>+F65</f>
        <v>#DIV/0!</v>
      </c>
      <c r="E69" s="683" t="e">
        <f>+G65</f>
        <v>#DIV/0!</v>
      </c>
      <c r="F69" s="683" t="e">
        <f>+H65</f>
        <v>#DIV/0!</v>
      </c>
      <c r="G69" s="683" t="e">
        <f>+K65</f>
        <v>#DIV/0!</v>
      </c>
      <c r="H69" s="723"/>
      <c r="I69" s="729" t="s">
        <v>121</v>
      </c>
      <c r="J69" s="683" t="e">
        <f t="array" ref="J69:J72">MMULT(C72:F75,G72:G75)</f>
        <v>#DIV/0!</v>
      </c>
      <c r="K69" s="683"/>
      <c r="L69" s="723"/>
      <c r="M69" s="723"/>
      <c r="N69" s="712"/>
    </row>
    <row r="70" spans="2:14" ht="19.5" customHeight="1" x14ac:dyDescent="0.25">
      <c r="B70" s="711"/>
      <c r="C70" s="683" t="e">
        <f>+F65</f>
        <v>#DIV/0!</v>
      </c>
      <c r="D70" s="683" t="e">
        <f>+G65</f>
        <v>#DIV/0!</v>
      </c>
      <c r="E70" s="683" t="e">
        <f>+H65</f>
        <v>#DIV/0!</v>
      </c>
      <c r="F70" s="683" t="e">
        <f>+I65</f>
        <v>#DIV/0!</v>
      </c>
      <c r="G70" s="683" t="e">
        <f>+L65</f>
        <v>#DIV/0!</v>
      </c>
      <c r="H70" s="723"/>
      <c r="I70" s="729" t="s">
        <v>122</v>
      </c>
      <c r="J70" s="683" t="e">
        <v>#DIV/0!</v>
      </c>
      <c r="K70" s="683" t="e">
        <f>+J70</f>
        <v>#DIV/0!</v>
      </c>
      <c r="L70" s="723"/>
      <c r="M70" s="723"/>
      <c r="N70" s="712"/>
    </row>
    <row r="71" spans="2:14" ht="19.5" customHeight="1" x14ac:dyDescent="0.25">
      <c r="B71" s="711"/>
      <c r="C71" s="723"/>
      <c r="D71" s="723"/>
      <c r="E71" s="723"/>
      <c r="F71" s="723"/>
      <c r="G71" s="723"/>
      <c r="H71" s="723"/>
      <c r="I71" s="729" t="s">
        <v>123</v>
      </c>
      <c r="J71" s="683" t="e">
        <v>#DIV/0!</v>
      </c>
      <c r="K71" s="683" t="e">
        <f>2*J71</f>
        <v>#DIV/0!</v>
      </c>
      <c r="L71" s="723"/>
      <c r="M71" s="723"/>
      <c r="N71" s="712"/>
    </row>
    <row r="72" spans="2:14" ht="19.5" customHeight="1" x14ac:dyDescent="0.25">
      <c r="B72" s="711"/>
      <c r="C72" s="683" t="e">
        <f t="array" ref="C72:F75">MINVERSE(C67:F70)</f>
        <v>#DIV/0!</v>
      </c>
      <c r="D72" s="683" t="e">
        <v>#DIV/0!</v>
      </c>
      <c r="E72" s="683" t="e">
        <v>#DIV/0!</v>
      </c>
      <c r="F72" s="683" t="e">
        <v>#DIV/0!</v>
      </c>
      <c r="G72" s="683" t="e">
        <f>+G67</f>
        <v>#DIV/0!</v>
      </c>
      <c r="H72" s="723"/>
      <c r="I72" s="729" t="s">
        <v>124</v>
      </c>
      <c r="J72" s="683" t="e">
        <v>#DIV/0!</v>
      </c>
      <c r="K72" s="683" t="e">
        <f>3*J72</f>
        <v>#DIV/0!</v>
      </c>
      <c r="L72" s="723"/>
      <c r="M72" s="723"/>
      <c r="N72" s="712"/>
    </row>
    <row r="73" spans="2:14" ht="19.5" customHeight="1" x14ac:dyDescent="0.25">
      <c r="B73" s="711"/>
      <c r="C73" s="683" t="e">
        <v>#DIV/0!</v>
      </c>
      <c r="D73" s="683" t="e">
        <v>#DIV/0!</v>
      </c>
      <c r="E73" s="683" t="e">
        <v>#DIV/0!</v>
      </c>
      <c r="F73" s="683" t="e">
        <v>#DIV/0!</v>
      </c>
      <c r="G73" s="683" t="e">
        <f t="shared" ref="G73:G75" si="18">+G68</f>
        <v>#DIV/0!</v>
      </c>
      <c r="H73" s="723"/>
      <c r="I73" s="723"/>
      <c r="J73" s="723"/>
      <c r="K73" s="723"/>
      <c r="L73" s="723"/>
      <c r="M73" s="723"/>
      <c r="N73" s="712"/>
    </row>
    <row r="74" spans="2:14" ht="19.5" customHeight="1" x14ac:dyDescent="0.25">
      <c r="B74" s="711"/>
      <c r="C74" s="683" t="e">
        <v>#DIV/0!</v>
      </c>
      <c r="D74" s="683" t="e">
        <v>#DIV/0!</v>
      </c>
      <c r="E74" s="683" t="e">
        <v>#DIV/0!</v>
      </c>
      <c r="F74" s="683" t="e">
        <v>#DIV/0!</v>
      </c>
      <c r="G74" s="683" t="e">
        <f t="shared" si="18"/>
        <v>#DIV/0!</v>
      </c>
      <c r="H74" s="723"/>
      <c r="I74" s="728" t="s">
        <v>125</v>
      </c>
      <c r="J74" s="680" t="e">
        <f>+(-K71-SQRT((K71^2)-4*K72*K70))/(2*K72)</f>
        <v>#DIV/0!</v>
      </c>
      <c r="K74" s="726" t="s">
        <v>126</v>
      </c>
      <c r="L74" s="728"/>
      <c r="M74" s="728"/>
      <c r="N74" s="712"/>
    </row>
    <row r="75" spans="2:14" ht="19.5" customHeight="1" x14ac:dyDescent="0.25">
      <c r="B75" s="711"/>
      <c r="C75" s="683" t="e">
        <v>#DIV/0!</v>
      </c>
      <c r="D75" s="683" t="e">
        <v>#DIV/0!</v>
      </c>
      <c r="E75" s="683" t="e">
        <v>#DIV/0!</v>
      </c>
      <c r="F75" s="683" t="e">
        <v>#DIV/0!</v>
      </c>
      <c r="G75" s="683" t="e">
        <f t="shared" si="18"/>
        <v>#DIV/0!</v>
      </c>
      <c r="H75" s="723"/>
      <c r="I75" s="728" t="s">
        <v>127</v>
      </c>
      <c r="J75" s="680" t="e">
        <f>J72*J74^3+J71*J74^2+J70*J74+J69</f>
        <v>#DIV/0!</v>
      </c>
      <c r="K75" s="726" t="s">
        <v>36</v>
      </c>
      <c r="L75" s="728"/>
      <c r="M75" s="728"/>
      <c r="N75" s="712"/>
    </row>
    <row r="76" spans="2:14" ht="19.5" customHeight="1" x14ac:dyDescent="0.25">
      <c r="B76" s="743"/>
      <c r="C76" s="714"/>
      <c r="D76" s="714"/>
      <c r="E76" s="714"/>
      <c r="F76" s="714"/>
      <c r="G76" s="714"/>
      <c r="H76" s="714"/>
      <c r="I76" s="715"/>
      <c r="J76" s="714"/>
      <c r="K76" s="714"/>
      <c r="L76" s="704"/>
      <c r="M76" s="704"/>
      <c r="N76" s="740"/>
    </row>
    <row r="77" spans="2:14" x14ac:dyDescent="0.25">
      <c r="B77" s="716"/>
      <c r="C77" s="716"/>
      <c r="G77" s="716"/>
      <c r="H77" s="716"/>
      <c r="I77" s="717"/>
      <c r="J77" s="716"/>
      <c r="K77" s="716"/>
    </row>
    <row r="78" spans="2:14" x14ac:dyDescent="0.25">
      <c r="B78" s="716"/>
      <c r="C78" s="716"/>
      <c r="G78" s="716"/>
      <c r="H78" s="716"/>
      <c r="I78" s="717"/>
      <c r="J78" s="716"/>
      <c r="K78" s="716"/>
    </row>
    <row r="79" spans="2:14" x14ac:dyDescent="0.25">
      <c r="B79" s="716"/>
      <c r="C79" s="716"/>
      <c r="G79" s="716"/>
      <c r="H79" s="716"/>
      <c r="I79" s="717"/>
      <c r="J79" s="716"/>
      <c r="K79" s="716"/>
    </row>
    <row r="80" spans="2:14" x14ac:dyDescent="0.25">
      <c r="B80" s="716"/>
      <c r="C80" s="716"/>
      <c r="G80" s="716"/>
      <c r="H80" s="716"/>
      <c r="I80" s="717"/>
      <c r="J80" s="716"/>
      <c r="K80" s="716"/>
    </row>
    <row r="81" spans="1:29" x14ac:dyDescent="0.25">
      <c r="B81" s="716"/>
      <c r="C81" s="716"/>
      <c r="G81" s="716"/>
      <c r="H81" s="716"/>
      <c r="I81" s="717"/>
      <c r="J81" s="716"/>
      <c r="K81" s="716"/>
    </row>
    <row r="82" spans="1:29" x14ac:dyDescent="0.25">
      <c r="A82" s="478"/>
      <c r="B82" s="716"/>
      <c r="C82" s="716"/>
      <c r="G82" s="716"/>
      <c r="H82" s="716"/>
      <c r="I82" s="717"/>
      <c r="J82" s="716"/>
      <c r="K82" s="716"/>
    </row>
    <row r="83" spans="1:29" x14ac:dyDescent="0.25">
      <c r="A83" s="478"/>
      <c r="B83" s="716"/>
      <c r="C83" s="716"/>
      <c r="G83" s="716"/>
      <c r="H83" s="716"/>
      <c r="I83" s="717"/>
      <c r="J83" s="716"/>
      <c r="K83" s="716"/>
      <c r="L83" s="727"/>
    </row>
    <row r="84" spans="1:29" x14ac:dyDescent="0.25">
      <c r="A84" s="478"/>
      <c r="B84" s="478"/>
      <c r="C84" s="478"/>
      <c r="D84" s="478"/>
      <c r="E84" s="478"/>
      <c r="F84" s="478"/>
      <c r="G84" s="478"/>
      <c r="H84" s="478"/>
      <c r="I84" s="478"/>
      <c r="J84" s="478"/>
      <c r="L84" s="727"/>
    </row>
    <row r="85" spans="1:29" x14ac:dyDescent="0.25">
      <c r="P85" s="475"/>
      <c r="Q85" s="475"/>
      <c r="R85" s="475"/>
      <c r="S85" s="475"/>
      <c r="T85" s="475"/>
      <c r="U85" s="719"/>
      <c r="V85" s="720"/>
      <c r="W85" s="721"/>
      <c r="X85" s="475"/>
      <c r="Y85" s="718"/>
      <c r="Z85" s="718"/>
      <c r="AA85" s="722"/>
      <c r="AB85" s="722"/>
      <c r="AC85" s="722"/>
    </row>
    <row r="86" spans="1:29" x14ac:dyDescent="0.25">
      <c r="P86" s="475"/>
      <c r="Q86" s="475"/>
      <c r="R86" s="475"/>
      <c r="S86" s="475"/>
      <c r="T86" s="475"/>
      <c r="U86" s="719"/>
      <c r="V86" s="720"/>
      <c r="W86" s="721"/>
      <c r="X86" s="475"/>
      <c r="Y86" s="718"/>
      <c r="Z86" s="718"/>
      <c r="AA86" s="722"/>
      <c r="AB86" s="722"/>
      <c r="AC86" s="722"/>
    </row>
    <row r="87" spans="1:29" x14ac:dyDescent="0.25">
      <c r="P87" s="475"/>
      <c r="Q87" s="475"/>
      <c r="R87" s="475"/>
      <c r="S87" s="475"/>
      <c r="T87" s="475"/>
      <c r="U87" s="719"/>
      <c r="V87" s="720"/>
      <c r="W87" s="721"/>
      <c r="X87" s="475"/>
      <c r="Y87" s="718"/>
      <c r="Z87" s="718"/>
      <c r="AA87" s="722"/>
      <c r="AB87" s="722"/>
      <c r="AC87" s="722"/>
    </row>
    <row r="88" spans="1:29" x14ac:dyDescent="0.25">
      <c r="P88" s="475"/>
      <c r="Q88" s="475"/>
      <c r="R88" s="475"/>
      <c r="S88" s="475"/>
      <c r="T88" s="475"/>
      <c r="U88" s="719"/>
      <c r="V88" s="720"/>
      <c r="W88" s="721"/>
      <c r="X88" s="475"/>
      <c r="Y88" s="718"/>
      <c r="Z88" s="718"/>
      <c r="AA88" s="722"/>
      <c r="AB88" s="722"/>
      <c r="AC88" s="722"/>
    </row>
    <row r="89" spans="1:29" x14ac:dyDescent="0.25">
      <c r="P89" s="475"/>
      <c r="Q89" s="475"/>
      <c r="R89" s="475"/>
      <c r="S89" s="475"/>
      <c r="T89" s="475"/>
      <c r="U89" s="719"/>
      <c r="V89" s="720"/>
      <c r="W89" s="721"/>
      <c r="X89" s="475"/>
      <c r="Y89" s="718"/>
      <c r="Z89" s="718"/>
      <c r="AA89" s="722"/>
      <c r="AB89" s="722"/>
      <c r="AC89" s="722"/>
    </row>
    <row r="90" spans="1:29" x14ac:dyDescent="0.25">
      <c r="P90" s="475"/>
      <c r="Q90" s="475"/>
      <c r="R90" s="475"/>
      <c r="S90" s="475"/>
      <c r="T90" s="475"/>
      <c r="U90" s="719"/>
      <c r="V90" s="720"/>
      <c r="W90" s="721"/>
      <c r="X90" s="475"/>
      <c r="Y90" s="718"/>
      <c r="Z90" s="718"/>
      <c r="AA90" s="722"/>
      <c r="AB90" s="722"/>
      <c r="AC90" s="722"/>
    </row>
    <row r="91" spans="1:29" x14ac:dyDescent="0.25">
      <c r="P91" s="475"/>
      <c r="Q91" s="475"/>
      <c r="R91" s="475"/>
      <c r="S91" s="475"/>
      <c r="T91" s="475"/>
      <c r="U91" s="719"/>
      <c r="V91" s="720"/>
      <c r="W91" s="721"/>
      <c r="X91" s="475"/>
      <c r="Y91" s="718"/>
      <c r="Z91" s="718"/>
      <c r="AA91" s="722"/>
      <c r="AB91" s="722"/>
      <c r="AC91" s="722"/>
    </row>
    <row r="92" spans="1:29" x14ac:dyDescent="0.25">
      <c r="P92" s="475"/>
      <c r="Q92" s="475"/>
      <c r="R92" s="475"/>
      <c r="S92" s="475"/>
      <c r="T92" s="475"/>
      <c r="U92" s="719"/>
      <c r="V92" s="720"/>
      <c r="W92" s="721"/>
      <c r="X92" s="475"/>
      <c r="Y92" s="718"/>
      <c r="Z92" s="718"/>
      <c r="AA92" s="722"/>
      <c r="AB92" s="722"/>
      <c r="AC92" s="722"/>
    </row>
    <row r="93" spans="1:29" x14ac:dyDescent="0.25">
      <c r="P93" s="475"/>
      <c r="Q93" s="475"/>
      <c r="R93" s="475"/>
      <c r="S93" s="475"/>
      <c r="T93" s="475"/>
      <c r="U93" s="719"/>
      <c r="V93" s="720"/>
      <c r="W93" s="721"/>
      <c r="X93" s="475"/>
      <c r="Y93" s="718"/>
      <c r="Z93" s="718"/>
      <c r="AA93" s="722"/>
      <c r="AB93" s="722"/>
      <c r="AC93" s="722"/>
    </row>
    <row r="94" spans="1:29" x14ac:dyDescent="0.25">
      <c r="P94" s="475"/>
      <c r="Q94" s="475"/>
      <c r="R94" s="475"/>
      <c r="S94" s="475"/>
      <c r="T94" s="475"/>
      <c r="U94" s="719"/>
      <c r="V94" s="720"/>
      <c r="W94" s="721"/>
      <c r="X94" s="475"/>
      <c r="Y94" s="718"/>
      <c r="Z94" s="718"/>
      <c r="AA94" s="722"/>
      <c r="AB94" s="722"/>
      <c r="AC94" s="722"/>
    </row>
    <row r="95" spans="1:29" x14ac:dyDescent="0.25">
      <c r="P95" s="475"/>
      <c r="Q95" s="475"/>
      <c r="R95" s="475"/>
      <c r="S95" s="475"/>
      <c r="T95" s="475"/>
      <c r="U95" s="719"/>
      <c r="V95" s="720"/>
      <c r="W95" s="721"/>
      <c r="X95" s="475"/>
      <c r="Y95" s="718"/>
      <c r="Z95" s="718"/>
      <c r="AA95" s="722"/>
      <c r="AB95" s="722"/>
      <c r="AC95" s="722"/>
    </row>
    <row r="96" spans="1:29" x14ac:dyDescent="0.25">
      <c r="P96" s="475"/>
      <c r="Q96" s="475"/>
      <c r="R96" s="475"/>
      <c r="S96" s="475"/>
      <c r="T96" s="475"/>
      <c r="U96" s="719"/>
      <c r="V96" s="720"/>
      <c r="W96" s="721"/>
      <c r="X96" s="475"/>
      <c r="Y96" s="718"/>
      <c r="Z96" s="718"/>
      <c r="AA96" s="722"/>
      <c r="AB96" s="722"/>
      <c r="AC96" s="722"/>
    </row>
    <row r="97" spans="16:29" x14ac:dyDescent="0.25">
      <c r="P97" s="475"/>
      <c r="Q97" s="475"/>
      <c r="R97" s="475"/>
      <c r="S97" s="475"/>
      <c r="T97" s="475"/>
      <c r="U97" s="719"/>
      <c r="V97" s="720"/>
      <c r="W97" s="721"/>
      <c r="X97" s="475"/>
      <c r="Y97" s="718"/>
      <c r="Z97" s="718"/>
      <c r="AA97" s="722"/>
      <c r="AB97" s="722"/>
      <c r="AC97" s="722"/>
    </row>
    <row r="98" spans="16:29" x14ac:dyDescent="0.25">
      <c r="P98" s="475"/>
      <c r="Q98" s="475"/>
      <c r="R98" s="475"/>
      <c r="S98" s="475"/>
      <c r="T98" s="475"/>
      <c r="U98" s="719"/>
      <c r="V98" s="720"/>
      <c r="W98" s="721"/>
      <c r="X98" s="475"/>
      <c r="Y98" s="718"/>
      <c r="Z98" s="718"/>
      <c r="AA98" s="722"/>
      <c r="AB98" s="722"/>
      <c r="AC98" s="722"/>
    </row>
    <row r="99" spans="16:29" x14ac:dyDescent="0.25">
      <c r="P99" s="475"/>
      <c r="Q99" s="475"/>
      <c r="R99" s="475"/>
      <c r="S99" s="475"/>
      <c r="T99" s="475"/>
      <c r="U99" s="719"/>
      <c r="V99" s="720"/>
      <c r="W99" s="721"/>
      <c r="X99" s="475"/>
      <c r="Y99" s="718"/>
      <c r="Z99" s="718"/>
      <c r="AA99" s="722"/>
      <c r="AB99" s="722"/>
      <c r="AC99" s="722"/>
    </row>
    <row r="100" spans="16:29" x14ac:dyDescent="0.25">
      <c r="P100" s="475"/>
      <c r="Q100" s="475"/>
      <c r="R100" s="475"/>
      <c r="S100" s="475"/>
      <c r="T100" s="475"/>
      <c r="U100" s="719"/>
      <c r="V100" s="720"/>
      <c r="W100" s="721"/>
      <c r="X100" s="475"/>
      <c r="Y100" s="718"/>
      <c r="Z100" s="718"/>
      <c r="AA100" s="722"/>
      <c r="AB100" s="722"/>
      <c r="AC100" s="722"/>
    </row>
    <row r="101" spans="16:29" x14ac:dyDescent="0.25">
      <c r="P101" s="475"/>
      <c r="Q101" s="475"/>
      <c r="R101" s="475"/>
      <c r="S101" s="475"/>
      <c r="T101" s="475"/>
      <c r="U101" s="719"/>
      <c r="V101" s="720"/>
      <c r="W101" s="721"/>
      <c r="X101" s="475"/>
      <c r="Y101" s="718"/>
      <c r="Z101" s="718"/>
      <c r="AA101" s="722"/>
      <c r="AB101" s="722"/>
      <c r="AC101" s="722"/>
    </row>
    <row r="102" spans="16:29" x14ac:dyDescent="0.25">
      <c r="P102" s="475"/>
      <c r="Q102" s="475"/>
      <c r="R102" s="475"/>
      <c r="S102" s="475"/>
      <c r="T102" s="475"/>
      <c r="U102" s="719"/>
      <c r="V102" s="720"/>
      <c r="W102" s="721"/>
      <c r="X102" s="475"/>
      <c r="Y102" s="718"/>
      <c r="Z102" s="718"/>
      <c r="AA102" s="722"/>
      <c r="AB102" s="722"/>
      <c r="AC102" s="722"/>
    </row>
    <row r="103" spans="16:29" x14ac:dyDescent="0.25">
      <c r="P103" s="475"/>
      <c r="Q103" s="475"/>
      <c r="R103" s="475"/>
      <c r="S103" s="475"/>
      <c r="T103" s="475"/>
      <c r="U103" s="719"/>
      <c r="V103" s="720"/>
      <c r="W103" s="721"/>
      <c r="X103" s="475"/>
      <c r="Y103" s="718"/>
      <c r="Z103" s="718"/>
      <c r="AA103" s="722"/>
      <c r="AB103" s="722"/>
      <c r="AC103" s="722"/>
    </row>
    <row r="104" spans="16:29" x14ac:dyDescent="0.25">
      <c r="P104" s="475"/>
      <c r="Q104" s="475"/>
      <c r="R104" s="475"/>
      <c r="S104" s="475"/>
      <c r="T104" s="475"/>
      <c r="U104" s="719"/>
      <c r="V104" s="720"/>
      <c r="W104" s="721"/>
      <c r="X104" s="475"/>
      <c r="Y104" s="718"/>
      <c r="Z104" s="718"/>
      <c r="AA104" s="722"/>
      <c r="AB104" s="722"/>
      <c r="AC104" s="722"/>
    </row>
    <row r="105" spans="16:29" x14ac:dyDescent="0.25">
      <c r="P105" s="475"/>
      <c r="Q105" s="475"/>
      <c r="R105" s="475"/>
      <c r="S105" s="475"/>
      <c r="T105" s="475"/>
      <c r="U105" s="719"/>
      <c r="V105" s="720"/>
      <c r="W105" s="721"/>
      <c r="X105" s="475"/>
      <c r="Y105" s="718"/>
      <c r="Z105" s="718"/>
      <c r="AA105" s="722"/>
      <c r="AB105" s="722"/>
      <c r="AC105" s="722"/>
    </row>
    <row r="106" spans="16:29" x14ac:dyDescent="0.25">
      <c r="P106" s="475"/>
      <c r="Q106" s="475"/>
      <c r="R106" s="475"/>
      <c r="S106" s="475"/>
      <c r="T106" s="475"/>
      <c r="U106" s="719"/>
      <c r="V106" s="720"/>
      <c r="W106" s="721"/>
      <c r="X106" s="475"/>
      <c r="Y106" s="718"/>
      <c r="Z106" s="718"/>
      <c r="AA106" s="722"/>
      <c r="AB106" s="722"/>
      <c r="AC106" s="722"/>
    </row>
    <row r="107" spans="16:29" x14ac:dyDescent="0.25">
      <c r="P107" s="475"/>
      <c r="Q107" s="475"/>
      <c r="R107" s="475"/>
      <c r="S107" s="475"/>
      <c r="T107" s="475"/>
      <c r="U107" s="719"/>
      <c r="V107" s="720"/>
      <c r="W107" s="721"/>
      <c r="X107" s="475"/>
      <c r="Y107" s="718"/>
      <c r="Z107" s="718"/>
      <c r="AA107" s="722"/>
      <c r="AB107" s="722"/>
      <c r="AC107" s="722"/>
    </row>
    <row r="108" spans="16:29" x14ac:dyDescent="0.25">
      <c r="P108" s="475"/>
      <c r="Q108" s="475"/>
      <c r="R108" s="475"/>
      <c r="S108" s="475"/>
      <c r="T108" s="475"/>
      <c r="U108" s="719"/>
      <c r="V108" s="720"/>
      <c r="W108" s="721"/>
      <c r="X108" s="475"/>
      <c r="Y108" s="718"/>
      <c r="Z108" s="718"/>
      <c r="AA108" s="722"/>
      <c r="AB108" s="722"/>
      <c r="AC108" s="722"/>
    </row>
    <row r="109" spans="16:29" x14ac:dyDescent="0.25">
      <c r="P109" s="475"/>
      <c r="Q109" s="475"/>
      <c r="R109" s="475"/>
      <c r="S109" s="475"/>
      <c r="T109" s="475"/>
      <c r="U109" s="719"/>
      <c r="V109" s="720"/>
      <c r="W109" s="721"/>
      <c r="X109" s="475"/>
      <c r="Y109" s="718"/>
      <c r="Z109" s="718"/>
      <c r="AA109" s="722"/>
      <c r="AB109" s="722"/>
      <c r="AC109" s="722"/>
    </row>
    <row r="110" spans="16:29" x14ac:dyDescent="0.25">
      <c r="P110" s="475"/>
      <c r="Q110" s="475"/>
      <c r="R110" s="475"/>
      <c r="S110" s="475"/>
      <c r="T110" s="475"/>
      <c r="U110" s="719"/>
      <c r="V110" s="720"/>
      <c r="W110" s="721"/>
      <c r="X110" s="475"/>
      <c r="Y110" s="718"/>
      <c r="Z110" s="718"/>
      <c r="AA110" s="722"/>
      <c r="AB110" s="722"/>
      <c r="AC110" s="722"/>
    </row>
    <row r="111" spans="16:29" x14ac:dyDescent="0.25">
      <c r="P111" s="475"/>
      <c r="Q111" s="475"/>
      <c r="R111" s="475"/>
      <c r="S111" s="475"/>
      <c r="T111" s="475"/>
      <c r="U111" s="719"/>
      <c r="V111" s="720"/>
      <c r="W111" s="721"/>
      <c r="X111" s="475"/>
      <c r="Y111" s="718"/>
      <c r="Z111" s="718"/>
      <c r="AA111" s="722"/>
      <c r="AB111" s="722"/>
      <c r="AC111" s="722"/>
    </row>
    <row r="112" spans="16:29" x14ac:dyDescent="0.25">
      <c r="P112" s="475"/>
      <c r="Q112" s="475"/>
      <c r="R112" s="475"/>
      <c r="S112" s="475"/>
      <c r="T112" s="475"/>
      <c r="U112" s="719"/>
      <c r="V112" s="720"/>
      <c r="W112" s="721"/>
      <c r="X112" s="475"/>
      <c r="Y112" s="718"/>
      <c r="Z112" s="718"/>
      <c r="AA112" s="722"/>
      <c r="AB112" s="722"/>
      <c r="AC112" s="722"/>
    </row>
    <row r="113" spans="16:29" x14ac:dyDescent="0.25">
      <c r="P113" s="475"/>
      <c r="Q113" s="475"/>
      <c r="R113" s="475"/>
      <c r="S113" s="475"/>
      <c r="T113" s="475"/>
      <c r="U113" s="719"/>
      <c r="V113" s="720"/>
      <c r="W113" s="721"/>
      <c r="X113" s="475"/>
      <c r="Y113" s="718"/>
      <c r="Z113" s="718"/>
      <c r="AA113" s="722"/>
      <c r="AB113" s="722"/>
      <c r="AC113" s="722"/>
    </row>
    <row r="114" spans="16:29" x14ac:dyDescent="0.25">
      <c r="P114" s="475"/>
      <c r="Q114" s="475"/>
      <c r="R114" s="475"/>
      <c r="S114" s="475"/>
      <c r="T114" s="475"/>
      <c r="U114" s="719"/>
      <c r="V114" s="720"/>
      <c r="W114" s="721"/>
      <c r="X114" s="475"/>
      <c r="Y114" s="718"/>
      <c r="Z114" s="718"/>
      <c r="AA114" s="722"/>
      <c r="AB114" s="722"/>
      <c r="AC114" s="722"/>
    </row>
    <row r="115" spans="16:29" x14ac:dyDescent="0.25">
      <c r="P115" s="475"/>
      <c r="Q115" s="475"/>
      <c r="R115" s="475"/>
      <c r="S115" s="475"/>
      <c r="T115" s="475"/>
      <c r="U115" s="719"/>
      <c r="V115" s="720"/>
      <c r="W115" s="721"/>
      <c r="X115" s="475"/>
      <c r="Y115" s="718"/>
      <c r="Z115" s="718"/>
      <c r="AA115" s="722"/>
      <c r="AB115" s="722"/>
      <c r="AC115" s="722"/>
    </row>
    <row r="116" spans="16:29" x14ac:dyDescent="0.25">
      <c r="P116" s="475"/>
      <c r="Q116" s="475"/>
      <c r="R116" s="475"/>
      <c r="S116" s="475"/>
      <c r="T116" s="475"/>
      <c r="U116" s="719"/>
      <c r="V116" s="720"/>
      <c r="W116" s="721"/>
      <c r="X116" s="475"/>
      <c r="Y116" s="718"/>
      <c r="Z116" s="718"/>
      <c r="AA116" s="722"/>
      <c r="AB116" s="722"/>
      <c r="AC116" s="722"/>
    </row>
    <row r="117" spans="16:29" x14ac:dyDescent="0.25">
      <c r="P117" s="475"/>
      <c r="Q117" s="475"/>
      <c r="R117" s="475"/>
      <c r="S117" s="475"/>
      <c r="T117" s="475"/>
      <c r="U117" s="719"/>
      <c r="V117" s="720"/>
      <c r="W117" s="721"/>
      <c r="X117" s="475"/>
      <c r="Y117" s="718"/>
      <c r="Z117" s="718"/>
      <c r="AA117" s="722"/>
      <c r="AB117" s="722"/>
      <c r="AC117" s="722"/>
    </row>
    <row r="118" spans="16:29" x14ac:dyDescent="0.25">
      <c r="P118" s="475"/>
      <c r="Q118" s="475"/>
      <c r="R118" s="475"/>
      <c r="S118" s="475"/>
      <c r="T118" s="475"/>
      <c r="U118" s="719"/>
      <c r="V118" s="720"/>
      <c r="W118" s="721"/>
      <c r="X118" s="475"/>
      <c r="Y118" s="718"/>
      <c r="Z118" s="718"/>
      <c r="AA118" s="722"/>
      <c r="AB118" s="722"/>
      <c r="AC118" s="722"/>
    </row>
    <row r="119" spans="16:29" x14ac:dyDescent="0.25">
      <c r="P119" s="475"/>
      <c r="Q119" s="475"/>
      <c r="R119" s="475"/>
      <c r="S119" s="475"/>
      <c r="T119" s="475"/>
      <c r="U119" s="719"/>
      <c r="V119" s="720"/>
      <c r="W119" s="721"/>
      <c r="X119" s="475"/>
      <c r="Y119" s="718"/>
      <c r="Z119" s="718"/>
      <c r="AA119" s="722"/>
      <c r="AB119" s="722"/>
      <c r="AC119" s="722"/>
    </row>
    <row r="120" spans="16:29" x14ac:dyDescent="0.25">
      <c r="P120" s="475"/>
      <c r="Q120" s="475"/>
      <c r="R120" s="475"/>
      <c r="S120" s="475"/>
      <c r="T120" s="475"/>
      <c r="U120" s="719"/>
      <c r="V120" s="720"/>
      <c r="W120" s="721"/>
      <c r="X120" s="475"/>
      <c r="Y120" s="718"/>
      <c r="Z120" s="718"/>
      <c r="AA120" s="722"/>
      <c r="AB120" s="722"/>
      <c r="AC120" s="722"/>
    </row>
    <row r="121" spans="16:29" x14ac:dyDescent="0.25">
      <c r="P121" s="475"/>
      <c r="Q121" s="475"/>
      <c r="R121" s="475"/>
      <c r="S121" s="475"/>
      <c r="T121" s="475"/>
      <c r="U121" s="719"/>
      <c r="V121" s="720"/>
      <c r="W121" s="721"/>
      <c r="X121" s="475"/>
      <c r="Y121" s="718"/>
      <c r="Z121" s="718"/>
      <c r="AA121" s="722"/>
      <c r="AB121" s="722"/>
      <c r="AC121" s="722"/>
    </row>
    <row r="122" spans="16:29" x14ac:dyDescent="0.25">
      <c r="P122" s="475"/>
      <c r="Q122" s="475"/>
      <c r="R122" s="475"/>
      <c r="S122" s="475"/>
      <c r="T122" s="475"/>
      <c r="U122" s="719"/>
      <c r="V122" s="720"/>
      <c r="W122" s="721"/>
      <c r="X122" s="475"/>
      <c r="Y122" s="718"/>
      <c r="Z122" s="718"/>
      <c r="AA122" s="722"/>
      <c r="AB122" s="722"/>
      <c r="AC122" s="722"/>
    </row>
    <row r="123" spans="16:29" x14ac:dyDescent="0.25">
      <c r="P123" s="475"/>
      <c r="Q123" s="475"/>
      <c r="R123" s="475"/>
      <c r="S123" s="475"/>
      <c r="T123" s="475"/>
      <c r="U123" s="475"/>
      <c r="V123" s="475"/>
      <c r="W123" s="475"/>
      <c r="X123" s="475"/>
      <c r="Y123" s="718"/>
      <c r="Z123" s="718"/>
      <c r="AA123" s="722"/>
      <c r="AB123" s="722"/>
      <c r="AC123" s="722"/>
    </row>
    <row r="124" spans="16:29" x14ac:dyDescent="0.25">
      <c r="P124" s="475"/>
      <c r="Q124" s="475"/>
      <c r="R124" s="475"/>
      <c r="S124" s="475"/>
      <c r="T124" s="475"/>
      <c r="U124" s="475"/>
      <c r="V124" s="475"/>
      <c r="W124" s="475"/>
      <c r="X124" s="720"/>
      <c r="Y124" s="718"/>
      <c r="Z124" s="718"/>
      <c r="AA124" s="722"/>
      <c r="AB124" s="722"/>
      <c r="AC124" s="722"/>
    </row>
    <row r="125" spans="16:29" x14ac:dyDescent="0.25">
      <c r="P125" s="475"/>
      <c r="Q125" s="475"/>
      <c r="R125" s="475"/>
      <c r="S125" s="475"/>
      <c r="T125" s="475"/>
      <c r="U125" s="475"/>
      <c r="V125" s="475"/>
      <c r="W125" s="475"/>
      <c r="X125" s="720"/>
      <c r="Y125" s="718"/>
      <c r="Z125" s="718"/>
      <c r="AA125" s="722"/>
      <c r="AB125" s="722"/>
      <c r="AC125" s="722"/>
    </row>
    <row r="126" spans="16:29" x14ac:dyDescent="0.25">
      <c r="P126" s="475"/>
      <c r="Q126" s="475"/>
      <c r="R126" s="475"/>
      <c r="S126" s="475"/>
      <c r="T126" s="475"/>
      <c r="U126" s="475"/>
      <c r="V126" s="475"/>
      <c r="W126" s="475"/>
      <c r="X126" s="475"/>
      <c r="Y126" s="718"/>
      <c r="Z126" s="718"/>
      <c r="AA126" s="722"/>
      <c r="AB126" s="722"/>
      <c r="AC126" s="722"/>
    </row>
    <row r="127" spans="16:29" x14ac:dyDescent="0.25">
      <c r="P127" s="718"/>
      <c r="Q127" s="718"/>
      <c r="R127" s="718"/>
      <c r="S127" s="718"/>
      <c r="T127" s="718"/>
      <c r="U127" s="718"/>
      <c r="V127" s="718"/>
      <c r="W127" s="718"/>
      <c r="X127" s="718"/>
      <c r="Y127" s="718"/>
      <c r="Z127" s="718"/>
      <c r="AA127" s="722"/>
      <c r="AB127" s="722"/>
      <c r="AC127" s="722"/>
    </row>
    <row r="128" spans="16:29" x14ac:dyDescent="0.25">
      <c r="P128" s="718"/>
      <c r="Q128" s="718"/>
      <c r="R128" s="718"/>
      <c r="S128" s="718"/>
      <c r="T128" s="718"/>
      <c r="U128" s="718"/>
      <c r="V128" s="718"/>
      <c r="W128" s="718"/>
      <c r="X128" s="718"/>
      <c r="Y128" s="718"/>
      <c r="Z128" s="718"/>
      <c r="AA128" s="722"/>
      <c r="AB128" s="722"/>
      <c r="AC128" s="722"/>
    </row>
    <row r="129" spans="16:29" x14ac:dyDescent="0.25">
      <c r="P129" s="718"/>
      <c r="Q129" s="718"/>
      <c r="R129" s="718"/>
      <c r="S129" s="718"/>
      <c r="T129" s="718"/>
      <c r="U129" s="718"/>
      <c r="V129" s="718"/>
      <c r="W129" s="718"/>
      <c r="X129" s="718"/>
      <c r="Y129" s="718"/>
      <c r="Z129" s="718"/>
      <c r="AA129" s="722"/>
      <c r="AB129" s="722"/>
      <c r="AC129" s="722"/>
    </row>
    <row r="130" spans="16:29" x14ac:dyDescent="0.25">
      <c r="P130" s="718"/>
      <c r="Q130" s="718"/>
      <c r="R130" s="718"/>
      <c r="S130" s="718"/>
      <c r="T130" s="718"/>
      <c r="U130" s="718"/>
      <c r="V130" s="718"/>
      <c r="W130" s="718"/>
      <c r="X130" s="718"/>
      <c r="Y130" s="718"/>
      <c r="Z130" s="718"/>
      <c r="AA130" s="722"/>
      <c r="AB130" s="722"/>
      <c r="AC130" s="722"/>
    </row>
    <row r="131" spans="16:29" x14ac:dyDescent="0.25">
      <c r="P131" s="718"/>
      <c r="Q131" s="718"/>
      <c r="R131" s="718"/>
      <c r="S131" s="718"/>
      <c r="T131" s="718"/>
      <c r="U131" s="718"/>
      <c r="V131" s="718"/>
      <c r="W131" s="718"/>
      <c r="X131" s="718"/>
      <c r="Y131" s="718"/>
      <c r="Z131" s="718"/>
      <c r="AA131" s="722"/>
      <c r="AB131" s="722"/>
      <c r="AC131" s="722"/>
    </row>
    <row r="132" spans="16:29" x14ac:dyDescent="0.25">
      <c r="P132" s="718"/>
      <c r="Q132" s="718"/>
      <c r="R132" s="718"/>
      <c r="S132" s="718"/>
      <c r="T132" s="718"/>
      <c r="U132" s="718"/>
      <c r="V132" s="718"/>
      <c r="W132" s="718"/>
      <c r="X132" s="718"/>
      <c r="Y132" s="718"/>
      <c r="Z132" s="718"/>
      <c r="AA132" s="722"/>
      <c r="AB132" s="722"/>
      <c r="AC132" s="722"/>
    </row>
    <row r="133" spans="16:29" x14ac:dyDescent="0.25">
      <c r="P133" s="718"/>
      <c r="Q133" s="718"/>
      <c r="R133" s="718"/>
      <c r="S133" s="718"/>
      <c r="T133" s="718"/>
      <c r="U133" s="718"/>
      <c r="V133" s="718"/>
      <c r="W133" s="718"/>
      <c r="X133" s="718"/>
      <c r="Y133" s="718"/>
      <c r="Z133" s="718"/>
      <c r="AA133" s="722"/>
      <c r="AB133" s="722"/>
      <c r="AC133" s="722"/>
    </row>
  </sheetData>
  <sheetProtection algorithmName="SHA-512" hashValue="e49E/OysaywdZI0JcuM+C0cQuCvqe9PMqZ/ilP9GIY/P45QRK0Ai6JyKU7eB4WtZltnkC9BaQI8vpXNlfCIiIw==" saltValue="LOl5Rt57JcvlkUy4kBpOXg==" spinCount="100000" sheet="1" objects="1" scenarios="1"/>
  <mergeCells count="33">
    <mergeCell ref="C50:E50"/>
    <mergeCell ref="B18:D18"/>
    <mergeCell ref="B19:D19"/>
    <mergeCell ref="B21:D21"/>
    <mergeCell ref="B23:D23"/>
    <mergeCell ref="B30:D30"/>
    <mergeCell ref="B31:D31"/>
    <mergeCell ref="B32:D32"/>
    <mergeCell ref="B24:D24"/>
    <mergeCell ref="B25:D25"/>
    <mergeCell ref="B26:D26"/>
    <mergeCell ref="B27:D27"/>
    <mergeCell ref="F37:H37"/>
    <mergeCell ref="F38:H38"/>
    <mergeCell ref="F41:H41"/>
    <mergeCell ref="B20:D20"/>
    <mergeCell ref="B29:D29"/>
    <mergeCell ref="E12:F12"/>
    <mergeCell ref="B28:D28"/>
    <mergeCell ref="I12:J12"/>
    <mergeCell ref="C49:E49"/>
    <mergeCell ref="B2:O2"/>
    <mergeCell ref="B3:O3"/>
    <mergeCell ref="M12:N12"/>
    <mergeCell ref="B12:D13"/>
    <mergeCell ref="B14:D14"/>
    <mergeCell ref="B15:D15"/>
    <mergeCell ref="B16:D16"/>
    <mergeCell ref="G12:H12"/>
    <mergeCell ref="K12:L12"/>
    <mergeCell ref="N41:N42"/>
    <mergeCell ref="K41:L41"/>
    <mergeCell ref="B17:D17"/>
  </mergeCells>
  <conditionalFormatting sqref="F34:F35">
    <cfRule type="containsText" dxfId="3" priority="7" operator="containsText" text="No Cumple">
      <formula>NOT(ISERROR(SEARCH("No Cumple",F34)))</formula>
    </cfRule>
  </conditionalFormatting>
  <conditionalFormatting sqref="H34:H35">
    <cfRule type="containsText" dxfId="2" priority="3" operator="containsText" text="No Cumple">
      <formula>NOT(ISERROR(SEARCH("No Cumple",H34)))</formula>
    </cfRule>
  </conditionalFormatting>
  <conditionalFormatting sqref="J34:J35">
    <cfRule type="containsText" dxfId="1" priority="2" operator="containsText" text="No Cumple">
      <formula>NOT(ISERROR(SEARCH("No Cumple",J34)))</formula>
    </cfRule>
  </conditionalFormatting>
  <conditionalFormatting sqref="L34:L35">
    <cfRule type="containsText" dxfId="0" priority="1" operator="containsText" text="No Cumple">
      <formula>NOT(ISERROR(SEARCH("No Cumple",L34)))</formula>
    </cfRule>
  </conditionalFormatting>
  <dataValidations count="2">
    <dataValidation type="list" allowBlank="1" showInputMessage="1" showErrorMessage="1" sqref="Q7" xr:uid="{00000000-0002-0000-0100-000000000000}">
      <formula1>"-, M4, M6"</formula1>
    </dataValidation>
    <dataValidation type="list" allowBlank="1" showInputMessage="1" showErrorMessage="1" sqref="R7" xr:uid="{00000000-0002-0000-0100-000001000000}">
      <formula1>"-, DEIVY, IVAN"</formula1>
    </dataValidation>
  </dataValidations>
  <printOptions horizontalCentered="1"/>
  <pageMargins left="0" right="0" top="0.70866141732283472" bottom="0" header="0.11811023622047245" footer="0"/>
  <pageSetup paperSize="9" scale="91" orientation="portrait" r:id="rId1"/>
  <headerFooter scaleWithDoc="0"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3"/>
  <sheetViews>
    <sheetView topLeftCell="A16" zoomScale="90" zoomScaleNormal="90" workbookViewId="0">
      <selection activeCell="O104" sqref="O104"/>
    </sheetView>
  </sheetViews>
  <sheetFormatPr baseColWidth="10" defaultColWidth="11.44140625" defaultRowHeight="13.2" x14ac:dyDescent="0.25"/>
  <cols>
    <col min="1" max="1" width="25.44140625" style="413" customWidth="1"/>
    <col min="2" max="2" width="9.44140625" style="413" customWidth="1"/>
    <col min="3" max="3" width="13.109375" style="413" customWidth="1"/>
    <col min="4" max="4" width="15.109375" style="413" customWidth="1"/>
    <col min="5" max="5" width="15.6640625" style="413" customWidth="1"/>
    <col min="6" max="6" width="14.44140625" style="413" customWidth="1"/>
    <col min="7" max="8" width="12.109375" style="413" customWidth="1"/>
    <col min="9" max="9" width="9.88671875" style="413" customWidth="1"/>
    <col min="10" max="10" width="14.44140625" style="413" customWidth="1"/>
    <col min="11" max="11" width="16" style="413" customWidth="1"/>
    <col min="12" max="12" width="12.88671875" style="413" customWidth="1"/>
    <col min="13" max="13" width="13.6640625" style="413" customWidth="1"/>
    <col min="14" max="14" width="12.109375" style="413" customWidth="1"/>
    <col min="15" max="15" width="10.109375" style="413" customWidth="1"/>
    <col min="16" max="16" width="14.88671875" style="413" customWidth="1"/>
    <col min="17" max="17" width="16" style="413" customWidth="1"/>
    <col min="18" max="18" width="12.88671875" style="413" customWidth="1"/>
    <col min="19" max="19" width="11.44140625" style="413" customWidth="1"/>
    <col min="20" max="20" width="13.88671875" style="413" customWidth="1"/>
    <col min="21" max="21" width="10.109375" style="413" customWidth="1"/>
    <col min="22" max="22" width="12.33203125" style="413" customWidth="1"/>
    <col min="23" max="23" width="16.5546875" style="413" customWidth="1"/>
    <col min="24" max="24" width="12.88671875" style="413" customWidth="1"/>
    <col min="25" max="25" width="12.5546875" style="413" customWidth="1"/>
    <col min="26" max="26" width="12" style="413" customWidth="1"/>
    <col min="27" max="16384" width="11.44140625" style="413"/>
  </cols>
  <sheetData>
    <row r="1" spans="1:10" ht="12.75" customHeight="1" x14ac:dyDescent="0.25">
      <c r="A1" s="1423"/>
      <c r="B1" s="1423"/>
      <c r="C1" s="1423"/>
      <c r="D1" s="1424" t="s">
        <v>128</v>
      </c>
      <c r="E1" s="1424"/>
      <c r="F1" s="1424"/>
      <c r="G1" s="1424"/>
      <c r="H1" s="1424"/>
      <c r="I1" s="484" t="s">
        <v>129</v>
      </c>
      <c r="J1" s="1259" t="s">
        <v>130</v>
      </c>
    </row>
    <row r="2" spans="1:10" ht="12.75" customHeight="1" x14ac:dyDescent="0.25">
      <c r="A2" s="1423"/>
      <c r="B2" s="1423"/>
      <c r="C2" s="1423"/>
      <c r="D2" s="1424"/>
      <c r="E2" s="1424"/>
      <c r="F2" s="1424"/>
      <c r="G2" s="1424"/>
      <c r="H2" s="1424"/>
      <c r="I2" s="484" t="s">
        <v>131</v>
      </c>
      <c r="J2" s="1260">
        <v>3</v>
      </c>
    </row>
    <row r="3" spans="1:10" ht="12.75" customHeight="1" x14ac:dyDescent="0.25">
      <c r="A3" s="1423"/>
      <c r="B3" s="1423"/>
      <c r="C3" s="1423"/>
      <c r="D3" s="1424"/>
      <c r="E3" s="1424"/>
      <c r="F3" s="1424"/>
      <c r="G3" s="1424"/>
      <c r="H3" s="1424"/>
      <c r="I3" s="484" t="s">
        <v>132</v>
      </c>
      <c r="J3" s="1261">
        <v>46146</v>
      </c>
    </row>
    <row r="4" spans="1:10" ht="12.75" customHeight="1" x14ac:dyDescent="0.25">
      <c r="A4" s="1423"/>
      <c r="B4" s="1423"/>
      <c r="C4" s="1423"/>
      <c r="D4" s="1424"/>
      <c r="E4" s="1424"/>
      <c r="F4" s="1424"/>
      <c r="G4" s="1424"/>
      <c r="H4" s="1424"/>
      <c r="I4" s="484" t="s">
        <v>133</v>
      </c>
      <c r="J4" s="1259" t="s">
        <v>134</v>
      </c>
    </row>
    <row r="6" spans="1:10" ht="32.25" customHeight="1" x14ac:dyDescent="0.25">
      <c r="A6" s="744" t="s">
        <v>135</v>
      </c>
      <c r="B6" s="1419" t="s">
        <v>136</v>
      </c>
      <c r="C6" s="1420"/>
      <c r="D6" s="1420"/>
      <c r="E6" s="1420"/>
      <c r="F6" s="1420"/>
      <c r="G6" s="1420"/>
      <c r="H6" s="1420"/>
      <c r="I6" s="1420"/>
      <c r="J6" s="1421"/>
    </row>
    <row r="7" spans="1:10" ht="21" customHeight="1" x14ac:dyDescent="0.25">
      <c r="A7" s="744" t="s">
        <v>137</v>
      </c>
      <c r="B7" s="476" t="s">
        <v>531</v>
      </c>
      <c r="C7" s="469"/>
      <c r="D7" s="469"/>
      <c r="E7" s="469"/>
      <c r="F7" s="468"/>
      <c r="G7" s="468"/>
      <c r="H7" s="468"/>
      <c r="I7" s="468"/>
      <c r="J7" s="745"/>
    </row>
    <row r="8" spans="1:10" ht="21" customHeight="1" x14ac:dyDescent="0.25">
      <c r="A8" s="744" t="s">
        <v>138</v>
      </c>
      <c r="B8" s="476" t="s">
        <v>139</v>
      </c>
      <c r="C8" s="469"/>
      <c r="D8" s="469"/>
      <c r="E8" s="469"/>
      <c r="F8" s="468"/>
      <c r="G8" s="468"/>
      <c r="H8" s="468"/>
      <c r="I8" s="468"/>
      <c r="J8" s="745"/>
    </row>
    <row r="9" spans="1:10" ht="21" customHeight="1" x14ac:dyDescent="0.25">
      <c r="A9" s="746" t="s">
        <v>654</v>
      </c>
      <c r="B9" s="476" t="s">
        <v>643</v>
      </c>
      <c r="C9" s="469"/>
      <c r="D9" s="469"/>
      <c r="E9" s="469"/>
      <c r="F9" s="468"/>
      <c r="G9" s="468"/>
      <c r="H9" s="468"/>
      <c r="I9" s="468"/>
      <c r="J9" s="745"/>
    </row>
    <row r="11" spans="1:10" ht="15" customHeight="1" x14ac:dyDescent="0.25">
      <c r="A11" s="111" t="s">
        <v>644</v>
      </c>
      <c r="B11" s="940"/>
      <c r="C11" s="940"/>
      <c r="D11" s="940"/>
      <c r="E11" s="940"/>
      <c r="F11" s="940"/>
      <c r="G11" s="940"/>
      <c r="H11" s="940"/>
    </row>
    <row r="12" spans="1:10" ht="15" customHeight="1" x14ac:dyDescent="0.25">
      <c r="A12" s="111"/>
      <c r="B12" s="940"/>
      <c r="C12" s="940"/>
      <c r="D12" s="940"/>
      <c r="E12" s="940"/>
      <c r="F12" s="940"/>
      <c r="G12" s="940"/>
      <c r="H12" s="940"/>
    </row>
    <row r="13" spans="1:10" ht="15" customHeight="1" x14ac:dyDescent="0.25">
      <c r="A13" s="941" t="s">
        <v>140</v>
      </c>
      <c r="B13" s="940"/>
      <c r="C13" s="940"/>
      <c r="D13" s="940"/>
      <c r="E13" s="940"/>
      <c r="F13" s="941" t="s">
        <v>149</v>
      </c>
      <c r="G13" s="940"/>
      <c r="H13" s="940"/>
    </row>
    <row r="14" spans="1:10" ht="15" customHeight="1" x14ac:dyDescent="0.25">
      <c r="A14" s="940"/>
      <c r="B14" s="940"/>
      <c r="C14" s="940"/>
      <c r="D14" s="940"/>
      <c r="E14" s="940"/>
      <c r="F14" s="940"/>
      <c r="G14" s="940"/>
      <c r="H14" s="940"/>
    </row>
    <row r="15" spans="1:10" ht="15" customHeight="1" x14ac:dyDescent="0.25">
      <c r="A15" s="943" t="s">
        <v>142</v>
      </c>
      <c r="B15" s="940"/>
      <c r="C15" s="940"/>
      <c r="D15" s="940" t="s">
        <v>143</v>
      </c>
      <c r="E15" s="940"/>
      <c r="F15" s="940"/>
      <c r="G15" s="940"/>
      <c r="H15" s="940"/>
    </row>
    <row r="16" spans="1:10" ht="15" customHeight="1" x14ac:dyDescent="0.25">
      <c r="A16" s="943" t="s">
        <v>144</v>
      </c>
      <c r="B16" s="940"/>
      <c r="C16" s="940"/>
      <c r="D16" s="940" t="s">
        <v>145</v>
      </c>
      <c r="E16" s="940"/>
      <c r="F16" s="940"/>
      <c r="G16" s="942"/>
      <c r="H16" s="940"/>
    </row>
    <row r="17" spans="1:21" ht="15" customHeight="1" x14ac:dyDescent="0.25">
      <c r="A17" s="943" t="s">
        <v>146</v>
      </c>
      <c r="B17" s="940"/>
      <c r="C17" s="940"/>
      <c r="D17" s="940" t="s">
        <v>147</v>
      </c>
      <c r="E17" s="940"/>
      <c r="F17" s="940"/>
      <c r="G17" s="940"/>
      <c r="H17" s="940"/>
    </row>
    <row r="18" spans="1:21" ht="15" customHeight="1" x14ac:dyDescent="0.25">
      <c r="A18" s="944" t="s">
        <v>148</v>
      </c>
      <c r="B18" s="940"/>
      <c r="C18" s="940"/>
      <c r="D18" s="940"/>
      <c r="E18" s="940"/>
      <c r="F18" s="940"/>
      <c r="G18" s="940"/>
      <c r="H18" s="940"/>
    </row>
    <row r="19" spans="1:21" ht="15" customHeight="1" x14ac:dyDescent="0.25">
      <c r="A19" s="243"/>
      <c r="B19" s="940"/>
      <c r="C19" s="940"/>
      <c r="D19" s="940"/>
      <c r="E19" s="940"/>
      <c r="F19" s="940"/>
      <c r="G19" s="940"/>
      <c r="H19" s="940"/>
    </row>
    <row r="20" spans="1:21" ht="15" customHeight="1" x14ac:dyDescent="0.25">
      <c r="A20" s="941" t="s">
        <v>151</v>
      </c>
      <c r="B20" s="940"/>
      <c r="C20" s="940"/>
      <c r="D20" s="940"/>
      <c r="E20" s="940"/>
      <c r="F20" s="940"/>
      <c r="G20" s="942"/>
      <c r="H20" s="940"/>
    </row>
    <row r="21" spans="1:21" x14ac:dyDescent="0.25">
      <c r="A21" s="940"/>
      <c r="B21" s="940"/>
      <c r="C21" s="940"/>
      <c r="D21" s="940"/>
      <c r="E21" s="940"/>
      <c r="F21" s="940"/>
      <c r="G21" s="940"/>
      <c r="H21" s="940"/>
    </row>
    <row r="22" spans="1:21" ht="15" customHeight="1" x14ac:dyDescent="0.25">
      <c r="A22" s="944" t="s">
        <v>152</v>
      </c>
      <c r="B22" s="940"/>
      <c r="C22" s="940"/>
      <c r="D22" s="940"/>
      <c r="E22" s="940"/>
      <c r="F22" s="940"/>
      <c r="G22" s="942"/>
      <c r="H22" s="940"/>
    </row>
    <row r="23" spans="1:21" x14ac:dyDescent="0.25">
      <c r="A23" s="940"/>
      <c r="B23" s="940"/>
      <c r="C23" s="940"/>
      <c r="D23" s="940"/>
      <c r="E23" s="940"/>
      <c r="F23" s="940"/>
      <c r="G23" s="940"/>
      <c r="H23" s="940"/>
    </row>
    <row r="24" spans="1:21" ht="15" customHeight="1" x14ac:dyDescent="0.25">
      <c r="A24" s="111" t="s">
        <v>153</v>
      </c>
      <c r="B24" s="940"/>
      <c r="C24" s="940"/>
      <c r="D24" s="940"/>
      <c r="E24" s="940"/>
      <c r="F24" s="940"/>
      <c r="G24" s="940"/>
      <c r="H24" s="940"/>
    </row>
    <row r="25" spans="1:21" ht="12" customHeight="1" x14ac:dyDescent="0.25">
      <c r="A25" s="940"/>
      <c r="B25" s="940"/>
      <c r="C25" s="940"/>
      <c r="D25" s="940"/>
      <c r="E25" s="940"/>
      <c r="F25" s="940"/>
      <c r="G25" s="940"/>
      <c r="H25" s="940"/>
    </row>
    <row r="26" spans="1:21" ht="12" customHeight="1" x14ac:dyDescent="0.25">
      <c r="A26" s="471"/>
      <c r="B26" s="471"/>
      <c r="C26" s="471"/>
      <c r="D26" s="471"/>
      <c r="E26" s="471"/>
      <c r="F26" s="471"/>
      <c r="G26" s="471"/>
      <c r="H26" s="471"/>
    </row>
    <row r="27" spans="1:21" ht="12" customHeight="1" x14ac:dyDescent="0.25">
      <c r="A27" s="471"/>
      <c r="B27" s="471"/>
      <c r="C27" s="471"/>
      <c r="D27" s="471"/>
      <c r="E27" s="471"/>
      <c r="F27" s="471"/>
      <c r="G27" s="471"/>
      <c r="H27" s="471"/>
    </row>
    <row r="28" spans="1:21" ht="12" customHeight="1" x14ac:dyDescent="0.25">
      <c r="A28" s="471"/>
      <c r="B28" s="471"/>
      <c r="C28" s="471"/>
      <c r="D28" s="471"/>
      <c r="E28" s="471"/>
      <c r="F28" s="471"/>
      <c r="G28" s="471"/>
      <c r="H28" s="471"/>
    </row>
    <row r="29" spans="1:21" x14ac:dyDescent="0.25">
      <c r="A29" s="471"/>
      <c r="B29" s="471"/>
      <c r="C29" s="471"/>
      <c r="D29" s="471"/>
      <c r="E29" s="471"/>
      <c r="F29" s="471"/>
      <c r="G29" s="471"/>
      <c r="H29" s="471"/>
    </row>
    <row r="30" spans="1:21" ht="16.5" customHeight="1" x14ac:dyDescent="0.25">
      <c r="A30" s="471"/>
      <c r="B30"/>
      <c r="C30" s="471"/>
      <c r="D30" s="471"/>
      <c r="E30" s="471"/>
      <c r="F30" s="470"/>
      <c r="G30" s="471"/>
      <c r="H30" s="470"/>
      <c r="L30" s="1425"/>
      <c r="R30" s="1422"/>
      <c r="S30" s="1422"/>
      <c r="T30" s="674"/>
      <c r="U30" s="675"/>
    </row>
    <row r="31" spans="1:21" ht="16.5" customHeight="1" x14ac:dyDescent="0.25">
      <c r="A31" s="471"/>
      <c r="B31" s="471"/>
      <c r="C31" s="471"/>
      <c r="D31" s="471"/>
      <c r="E31" s="471"/>
      <c r="F31" s="470"/>
      <c r="G31" s="471"/>
      <c r="H31" s="471"/>
      <c r="L31" s="1425"/>
      <c r="R31" s="1422"/>
      <c r="S31" s="1422"/>
      <c r="T31" s="674"/>
      <c r="U31" s="675"/>
    </row>
    <row r="32" spans="1:21" ht="16.5" customHeight="1" x14ac:dyDescent="0.25">
      <c r="A32" s="471"/>
      <c r="B32" s="471"/>
      <c r="C32" s="471"/>
      <c r="D32" s="471"/>
      <c r="E32" s="471"/>
      <c r="F32" s="471"/>
      <c r="G32" s="471"/>
      <c r="H32" s="471"/>
      <c r="L32" s="1425"/>
      <c r="R32" s="1422"/>
      <c r="S32" s="1422"/>
      <c r="T32" s="674"/>
      <c r="U32" s="675"/>
    </row>
    <row r="33" spans="1:26" ht="16.5" customHeight="1" x14ac:dyDescent="0.25">
      <c r="A33" s="471"/>
      <c r="B33" s="471"/>
      <c r="C33" s="471"/>
      <c r="D33" s="471"/>
      <c r="E33" s="471"/>
      <c r="F33" s="471"/>
      <c r="G33" s="471"/>
      <c r="H33" s="471"/>
      <c r="L33" s="1425"/>
      <c r="O33" s="673"/>
      <c r="R33" s="1422"/>
      <c r="S33" s="1422"/>
      <c r="T33" s="488"/>
      <c r="U33" s="675"/>
    </row>
    <row r="34" spans="1:26" ht="21.75" customHeight="1" x14ac:dyDescent="0.25">
      <c r="A34" s="471"/>
      <c r="B34" s="471"/>
      <c r="C34" s="471"/>
      <c r="D34" s="471"/>
      <c r="E34" s="471"/>
      <c r="F34" s="471"/>
      <c r="G34" s="471"/>
      <c r="H34" s="471"/>
      <c r="I34" s="467"/>
      <c r="J34" s="467"/>
      <c r="L34" s="1426"/>
      <c r="M34" s="1426"/>
      <c r="N34" s="1426"/>
      <c r="O34" s="1426"/>
      <c r="P34" s="1426"/>
      <c r="Q34" s="1426"/>
      <c r="R34" s="1426"/>
      <c r="S34" s="1426"/>
      <c r="T34" s="1426"/>
      <c r="U34" s="1426"/>
    </row>
    <row r="35" spans="1:26" ht="17.25" customHeight="1" x14ac:dyDescent="0.25">
      <c r="B35"/>
      <c r="F35" s="470"/>
      <c r="I35" s="467"/>
      <c r="J35" s="467"/>
      <c r="L35" s="1427"/>
      <c r="M35" s="1427"/>
      <c r="N35" s="676"/>
      <c r="P35" s="1428"/>
      <c r="Q35" s="676"/>
      <c r="S35" s="1429"/>
      <c r="T35" s="1430"/>
      <c r="U35" s="1430"/>
    </row>
    <row r="36" spans="1:26" ht="17.25" customHeight="1" x14ac:dyDescent="0.25">
      <c r="I36" s="467"/>
      <c r="J36" s="467"/>
      <c r="L36" s="1427"/>
      <c r="M36" s="1427"/>
      <c r="N36" s="677"/>
      <c r="P36" s="1429"/>
      <c r="Q36" s="677"/>
      <c r="S36" s="1429"/>
      <c r="T36" s="1430"/>
      <c r="U36" s="1430"/>
    </row>
    <row r="37" spans="1:26" ht="22.5" customHeight="1" thickBot="1" x14ac:dyDescent="0.3">
      <c r="A37" s="534" t="s">
        <v>645</v>
      </c>
      <c r="B37" s="533"/>
      <c r="C37" s="533"/>
      <c r="E37" s="533"/>
      <c r="F37" s="533"/>
      <c r="G37" s="533"/>
      <c r="H37" s="533"/>
      <c r="I37" s="467"/>
      <c r="J37" s="467"/>
    </row>
    <row r="38" spans="1:26" ht="39" customHeight="1" thickBot="1" x14ac:dyDescent="0.3">
      <c r="A38" s="528" t="s">
        <v>154</v>
      </c>
      <c r="B38" s="529" t="s">
        <v>155</v>
      </c>
      <c r="C38" s="528" t="s">
        <v>156</v>
      </c>
      <c r="D38" s="530" t="s">
        <v>157</v>
      </c>
      <c r="E38" s="530" t="s">
        <v>158</v>
      </c>
      <c r="F38" s="530" t="s">
        <v>159</v>
      </c>
      <c r="G38" s="530" t="s">
        <v>160</v>
      </c>
      <c r="H38" s="531" t="s">
        <v>161</v>
      </c>
      <c r="I38" s="528" t="s">
        <v>156</v>
      </c>
      <c r="J38" s="530" t="s">
        <v>157</v>
      </c>
      <c r="K38" s="530" t="s">
        <v>158</v>
      </c>
      <c r="L38" s="530" t="s">
        <v>159</v>
      </c>
      <c r="M38" s="530" t="s">
        <v>160</v>
      </c>
      <c r="N38" s="531" t="s">
        <v>161</v>
      </c>
      <c r="O38" s="528" t="s">
        <v>156</v>
      </c>
      <c r="P38" s="530" t="s">
        <v>157</v>
      </c>
      <c r="Q38" s="530" t="s">
        <v>158</v>
      </c>
      <c r="R38" s="530" t="s">
        <v>159</v>
      </c>
      <c r="S38" s="530" t="s">
        <v>160</v>
      </c>
      <c r="T38" s="531" t="s">
        <v>161</v>
      </c>
      <c r="U38" s="532" t="s">
        <v>156</v>
      </c>
      <c r="V38" s="530" t="s">
        <v>157</v>
      </c>
      <c r="W38" s="530" t="s">
        <v>158</v>
      </c>
      <c r="X38" s="530" t="s">
        <v>159</v>
      </c>
      <c r="Y38" s="530" t="s">
        <v>160</v>
      </c>
      <c r="Z38" s="531" t="s">
        <v>161</v>
      </c>
    </row>
    <row r="39" spans="1:26" ht="28.5" customHeight="1" x14ac:dyDescent="0.25">
      <c r="A39" s="540" t="s">
        <v>162</v>
      </c>
      <c r="B39" s="554" t="s">
        <v>163</v>
      </c>
      <c r="C39" s="908" t="e">
        <f>100*(C40-C44)/C48/(100+C49)</f>
        <v>#DIV/0!</v>
      </c>
      <c r="D39" s="541" t="s">
        <v>164</v>
      </c>
      <c r="E39" s="541" t="s">
        <v>164</v>
      </c>
      <c r="F39" s="541" t="s">
        <v>164</v>
      </c>
      <c r="G39" s="541" t="s">
        <v>164</v>
      </c>
      <c r="H39" s="542" t="s">
        <v>164</v>
      </c>
      <c r="I39" s="909" t="e">
        <f>100*(I40-I44)/I48/(100+I49)</f>
        <v>#DIV/0!</v>
      </c>
      <c r="J39" s="541" t="s">
        <v>164</v>
      </c>
      <c r="K39" s="541" t="s">
        <v>164</v>
      </c>
      <c r="L39" s="541" t="s">
        <v>164</v>
      </c>
      <c r="M39" s="541" t="s">
        <v>164</v>
      </c>
      <c r="N39" s="554" t="s">
        <v>164</v>
      </c>
      <c r="O39" s="908" t="e">
        <f>100*(O40-O44)/O48/(100+O49)</f>
        <v>#DIV/0!</v>
      </c>
      <c r="P39" s="541" t="s">
        <v>164</v>
      </c>
      <c r="Q39" s="541" t="s">
        <v>164</v>
      </c>
      <c r="R39" s="541" t="s">
        <v>164</v>
      </c>
      <c r="S39" s="541" t="s">
        <v>164</v>
      </c>
      <c r="T39" s="542" t="s">
        <v>164</v>
      </c>
      <c r="U39" s="909" t="e">
        <f>100*(U40-U44)/U48/(100+U49)</f>
        <v>#DIV/0!</v>
      </c>
      <c r="V39" s="541" t="s">
        <v>164</v>
      </c>
      <c r="W39" s="541" t="s">
        <v>164</v>
      </c>
      <c r="X39" s="541" t="s">
        <v>164</v>
      </c>
      <c r="Y39" s="541" t="s">
        <v>164</v>
      </c>
      <c r="Z39" s="542" t="s">
        <v>164</v>
      </c>
    </row>
    <row r="40" spans="1:26" ht="22.5" customHeight="1" x14ac:dyDescent="0.25">
      <c r="A40" s="543" t="s">
        <v>165</v>
      </c>
      <c r="B40" s="555" t="s">
        <v>166</v>
      </c>
      <c r="C40" s="562">
        <f>Balanza!D25</f>
        <v>0</v>
      </c>
      <c r="D40" s="513" t="s">
        <v>164</v>
      </c>
      <c r="E40" s="514" t="s">
        <v>164</v>
      </c>
      <c r="F40" s="515">
        <f>SQRT((F41*F41)+(F42*F42)+(F43*F43))</f>
        <v>1.1060440015358037</v>
      </c>
      <c r="G40" s="544" t="e">
        <f>100/(100*C48+C49*C48)</f>
        <v>#DIV/0!</v>
      </c>
      <c r="H40" s="906" t="e">
        <f>+G40*F40</f>
        <v>#DIV/0!</v>
      </c>
      <c r="I40" s="558">
        <f>Balanza!F25</f>
        <v>0</v>
      </c>
      <c r="J40" s="513" t="s">
        <v>164</v>
      </c>
      <c r="K40" s="514" t="s">
        <v>164</v>
      </c>
      <c r="L40" s="515">
        <f>SQRT((L41*L41)+(L42*L42)+(L43*L43))</f>
        <v>1.1060440015358037</v>
      </c>
      <c r="M40" s="544" t="e">
        <f>100/(100*I48+I49*I48)</f>
        <v>#DIV/0!</v>
      </c>
      <c r="N40" s="568" t="e">
        <f>+M40*L40</f>
        <v>#DIV/0!</v>
      </c>
      <c r="O40" s="562">
        <f>Balanza!H25</f>
        <v>0</v>
      </c>
      <c r="P40" s="513" t="s">
        <v>164</v>
      </c>
      <c r="Q40" s="514" t="s">
        <v>164</v>
      </c>
      <c r="R40" s="515">
        <f>SQRT((R41*R41)+(R42*R42)+(R43*R43))</f>
        <v>1.1060440015358037</v>
      </c>
      <c r="S40" s="544" t="e">
        <f>100/(100*O48+O49*O48)</f>
        <v>#DIV/0!</v>
      </c>
      <c r="T40" s="906" t="e">
        <f>+S40*R40</f>
        <v>#DIV/0!</v>
      </c>
      <c r="U40" s="558">
        <f>Balanza!J25</f>
        <v>0</v>
      </c>
      <c r="V40" s="513" t="s">
        <v>164</v>
      </c>
      <c r="W40" s="514" t="s">
        <v>164</v>
      </c>
      <c r="X40" s="515">
        <f>SQRT((X41*X41)+(X42*X42)+(X43*X43))</f>
        <v>1.1060440015358037</v>
      </c>
      <c r="Y40" s="544" t="e">
        <f>100/(100*U48+U49*U48)</f>
        <v>#DIV/0!</v>
      </c>
      <c r="Z40" s="906" t="e">
        <f>+Y40*X40</f>
        <v>#DIV/0!</v>
      </c>
    </row>
    <row r="41" spans="1:26" ht="22.5" customHeight="1" x14ac:dyDescent="0.25">
      <c r="A41" s="545" t="s">
        <v>167</v>
      </c>
      <c r="B41" s="556" t="s">
        <v>166</v>
      </c>
      <c r="C41" s="563"/>
      <c r="D41" s="516">
        <f>+Balanza!E25</f>
        <v>0</v>
      </c>
      <c r="E41" s="517" t="s">
        <v>168</v>
      </c>
      <c r="F41" s="518">
        <f>+D41</f>
        <v>0</v>
      </c>
      <c r="G41" s="519" t="s">
        <v>164</v>
      </c>
      <c r="H41" s="546" t="s">
        <v>164</v>
      </c>
      <c r="I41" s="559"/>
      <c r="J41" s="516">
        <f>Balanza!G25</f>
        <v>0</v>
      </c>
      <c r="K41" s="517" t="s">
        <v>168</v>
      </c>
      <c r="L41" s="518">
        <f>+J41</f>
        <v>0</v>
      </c>
      <c r="M41" s="519" t="s">
        <v>164</v>
      </c>
      <c r="N41" s="569" t="s">
        <v>164</v>
      </c>
      <c r="O41" s="563"/>
      <c r="P41" s="516">
        <f>Balanza!I25</f>
        <v>0</v>
      </c>
      <c r="Q41" s="517" t="s">
        <v>168</v>
      </c>
      <c r="R41" s="518">
        <f>+P41</f>
        <v>0</v>
      </c>
      <c r="S41" s="519" t="s">
        <v>164</v>
      </c>
      <c r="T41" s="546" t="s">
        <v>164</v>
      </c>
      <c r="U41" s="559"/>
      <c r="V41" s="516">
        <f>Balanza!K25</f>
        <v>0</v>
      </c>
      <c r="W41" s="517" t="s">
        <v>168</v>
      </c>
      <c r="X41" s="518">
        <f>+V41</f>
        <v>0</v>
      </c>
      <c r="Y41" s="519" t="s">
        <v>164</v>
      </c>
      <c r="Z41" s="546" t="s">
        <v>164</v>
      </c>
    </row>
    <row r="42" spans="1:26" ht="22.5" customHeight="1" x14ac:dyDescent="0.25">
      <c r="A42" s="545" t="s">
        <v>169</v>
      </c>
      <c r="B42" s="556" t="s">
        <v>166</v>
      </c>
      <c r="C42" s="563"/>
      <c r="D42" s="520">
        <f>2*(SQRT(Balanza!$C$8+Balanza!$D$8*(POWER(C40,2))))</f>
        <v>2.1354156504062622</v>
      </c>
      <c r="E42" s="517" t="s">
        <v>170</v>
      </c>
      <c r="F42" s="518">
        <f>+D42/2</f>
        <v>1.0677078252031311</v>
      </c>
      <c r="G42" s="519" t="s">
        <v>164</v>
      </c>
      <c r="H42" s="546" t="s">
        <v>164</v>
      </c>
      <c r="I42" s="559"/>
      <c r="J42" s="520">
        <f>2*(SQRT(Balanza!$C$8+Balanza!$D$8*(POWER(I40,2))))</f>
        <v>2.1354156504062622</v>
      </c>
      <c r="K42" s="517" t="s">
        <v>170</v>
      </c>
      <c r="L42" s="518">
        <f>+J42/2</f>
        <v>1.0677078252031311</v>
      </c>
      <c r="M42" s="519" t="s">
        <v>164</v>
      </c>
      <c r="N42" s="569" t="s">
        <v>164</v>
      </c>
      <c r="O42" s="563"/>
      <c r="P42" s="520">
        <f>2*(SQRT(Balanza!$C$8+Balanza!$D$8*(POWER(O40,2))))</f>
        <v>2.1354156504062622</v>
      </c>
      <c r="Q42" s="517" t="s">
        <v>170</v>
      </c>
      <c r="R42" s="518">
        <f>+P42/2</f>
        <v>1.0677078252031311</v>
      </c>
      <c r="S42" s="519" t="s">
        <v>164</v>
      </c>
      <c r="T42" s="546" t="s">
        <v>164</v>
      </c>
      <c r="U42" s="559"/>
      <c r="V42" s="520">
        <f>2*(SQRT(Balanza!$C$8+Balanza!$D$8*(POWER(U40,2))))</f>
        <v>2.1354156504062622</v>
      </c>
      <c r="W42" s="517" t="s">
        <v>170</v>
      </c>
      <c r="X42" s="518">
        <f>+V42/2</f>
        <v>1.0677078252031311</v>
      </c>
      <c r="Y42" s="519" t="s">
        <v>164</v>
      </c>
      <c r="Z42" s="546" t="s">
        <v>164</v>
      </c>
    </row>
    <row r="43" spans="1:26" ht="22.5" customHeight="1" x14ac:dyDescent="0.25">
      <c r="A43" s="545" t="s">
        <v>171</v>
      </c>
      <c r="B43" s="556" t="s">
        <v>166</v>
      </c>
      <c r="C43" s="563"/>
      <c r="D43" s="512">
        <f>Balanza!$C$10</f>
        <v>1</v>
      </c>
      <c r="E43" s="521" t="s">
        <v>172</v>
      </c>
      <c r="F43" s="518">
        <f>+D43/SQRT(3)/2</f>
        <v>0.28867513459481292</v>
      </c>
      <c r="G43" s="519" t="s">
        <v>164</v>
      </c>
      <c r="H43" s="546" t="s">
        <v>164</v>
      </c>
      <c r="I43" s="559"/>
      <c r="J43" s="512">
        <f>Balanza!$C$10</f>
        <v>1</v>
      </c>
      <c r="K43" s="521" t="s">
        <v>172</v>
      </c>
      <c r="L43" s="518">
        <f>+J43/SQRT(3)/2</f>
        <v>0.28867513459481292</v>
      </c>
      <c r="M43" s="519" t="s">
        <v>164</v>
      </c>
      <c r="N43" s="569" t="s">
        <v>164</v>
      </c>
      <c r="O43" s="563"/>
      <c r="P43" s="512">
        <f>Balanza!$C$10</f>
        <v>1</v>
      </c>
      <c r="Q43" s="521" t="s">
        <v>172</v>
      </c>
      <c r="R43" s="518">
        <f>+P43/SQRT(3)/2</f>
        <v>0.28867513459481292</v>
      </c>
      <c r="S43" s="519" t="s">
        <v>164</v>
      </c>
      <c r="T43" s="546" t="s">
        <v>164</v>
      </c>
      <c r="U43" s="559"/>
      <c r="V43" s="512">
        <f>Balanza!$C$10</f>
        <v>1</v>
      </c>
      <c r="W43" s="521" t="s">
        <v>172</v>
      </c>
      <c r="X43" s="518">
        <f>+V43/SQRT(3)/2</f>
        <v>0.28867513459481292</v>
      </c>
      <c r="Y43" s="519" t="s">
        <v>164</v>
      </c>
      <c r="Z43" s="546" t="s">
        <v>164</v>
      </c>
    </row>
    <row r="44" spans="1:26" ht="22.5" customHeight="1" x14ac:dyDescent="0.25">
      <c r="A44" s="547" t="s">
        <v>173</v>
      </c>
      <c r="B44" s="556" t="s">
        <v>166</v>
      </c>
      <c r="C44" s="562">
        <f>Balanza!D26</f>
        <v>0</v>
      </c>
      <c r="D44" s="522"/>
      <c r="E44" s="523" t="s">
        <v>164</v>
      </c>
      <c r="F44" s="515">
        <f>SQRT((F45*F45)+(F46*F46)+(F47*F47))</f>
        <v>1.1060440015358037</v>
      </c>
      <c r="G44" s="524" t="e">
        <f>1/(100*C48+C49*C48)</f>
        <v>#DIV/0!</v>
      </c>
      <c r="H44" s="565" t="e">
        <f>+G44*F44</f>
        <v>#DIV/0!</v>
      </c>
      <c r="I44" s="558">
        <f>Balanza!F26</f>
        <v>0</v>
      </c>
      <c r="J44" s="522"/>
      <c r="K44" s="523" t="s">
        <v>164</v>
      </c>
      <c r="L44" s="515">
        <f>SQRT((L45*L45)+(L46*L46)+(L47*L47))</f>
        <v>1.1060440015358037</v>
      </c>
      <c r="M44" s="524" t="e">
        <f>1/(100*I48+I49*I48)</f>
        <v>#DIV/0!</v>
      </c>
      <c r="N44" s="570" t="e">
        <f>+M44*L44</f>
        <v>#DIV/0!</v>
      </c>
      <c r="O44" s="562">
        <f>Balanza!H26</f>
        <v>0</v>
      </c>
      <c r="P44" s="522"/>
      <c r="Q44" s="523" t="s">
        <v>164</v>
      </c>
      <c r="R44" s="515">
        <f>SQRT((R45*R45)+(R46*R46)+(R47*R47))</f>
        <v>1.1060440015358037</v>
      </c>
      <c r="S44" s="524" t="e">
        <f>1/(100*O48+O49*O48)</f>
        <v>#DIV/0!</v>
      </c>
      <c r="T44" s="565" t="e">
        <f>+S44*R44</f>
        <v>#DIV/0!</v>
      </c>
      <c r="U44" s="558">
        <f>Balanza!J26</f>
        <v>0</v>
      </c>
      <c r="V44" s="522"/>
      <c r="W44" s="523" t="s">
        <v>164</v>
      </c>
      <c r="X44" s="515">
        <f>SQRT((X45*X45)+(X46*X46)+(X47*X47))</f>
        <v>1.1060440015358037</v>
      </c>
      <c r="Y44" s="524" t="e">
        <f>1/(100*U48+U49*U48)</f>
        <v>#DIV/0!</v>
      </c>
      <c r="Z44" s="565" t="e">
        <f>+Y44*X44</f>
        <v>#DIV/0!</v>
      </c>
    </row>
    <row r="45" spans="1:26" ht="22.5" customHeight="1" x14ac:dyDescent="0.25">
      <c r="A45" s="545" t="s">
        <v>167</v>
      </c>
      <c r="B45" s="556" t="s">
        <v>166</v>
      </c>
      <c r="C45" s="563"/>
      <c r="D45" s="516">
        <f>Balanza!E26</f>
        <v>0</v>
      </c>
      <c r="E45" s="517" t="s">
        <v>168</v>
      </c>
      <c r="F45" s="518">
        <f>+D45</f>
        <v>0</v>
      </c>
      <c r="G45" s="519" t="s">
        <v>164</v>
      </c>
      <c r="H45" s="546" t="s">
        <v>164</v>
      </c>
      <c r="I45" s="559"/>
      <c r="J45" s="516">
        <f>Balanza!G26</f>
        <v>0</v>
      </c>
      <c r="K45" s="517" t="s">
        <v>168</v>
      </c>
      <c r="L45" s="518">
        <f>+J45</f>
        <v>0</v>
      </c>
      <c r="M45" s="519" t="s">
        <v>164</v>
      </c>
      <c r="N45" s="569" t="s">
        <v>164</v>
      </c>
      <c r="O45" s="563"/>
      <c r="P45" s="516">
        <f>Balanza!I26</f>
        <v>0</v>
      </c>
      <c r="Q45" s="517" t="s">
        <v>168</v>
      </c>
      <c r="R45" s="518">
        <f>+P45</f>
        <v>0</v>
      </c>
      <c r="S45" s="519" t="s">
        <v>164</v>
      </c>
      <c r="T45" s="546" t="s">
        <v>164</v>
      </c>
      <c r="U45" s="559"/>
      <c r="V45" s="516">
        <f>Balanza!K26</f>
        <v>0</v>
      </c>
      <c r="W45" s="517" t="s">
        <v>168</v>
      </c>
      <c r="X45" s="518">
        <f>+V45</f>
        <v>0</v>
      </c>
      <c r="Y45" s="519" t="s">
        <v>164</v>
      </c>
      <c r="Z45" s="546" t="s">
        <v>164</v>
      </c>
    </row>
    <row r="46" spans="1:26" ht="22.5" customHeight="1" x14ac:dyDescent="0.25">
      <c r="A46" s="545" t="s">
        <v>169</v>
      </c>
      <c r="B46" s="556" t="s">
        <v>166</v>
      </c>
      <c r="C46" s="563"/>
      <c r="D46" s="520">
        <f>2*(SQRT(Balanza!$C$8+Balanza!$D$8*(POWER(C44,2))))</f>
        <v>2.1354156504062622</v>
      </c>
      <c r="E46" s="517" t="s">
        <v>170</v>
      </c>
      <c r="F46" s="518">
        <f>+D46/2</f>
        <v>1.0677078252031311</v>
      </c>
      <c r="G46" s="519" t="s">
        <v>164</v>
      </c>
      <c r="H46" s="546" t="s">
        <v>164</v>
      </c>
      <c r="I46" s="559"/>
      <c r="J46" s="520">
        <f>2*(SQRT(Balanza!$C$8+Balanza!$D$8*(POWER(I44,2))))</f>
        <v>2.1354156504062622</v>
      </c>
      <c r="K46" s="517" t="s">
        <v>170</v>
      </c>
      <c r="L46" s="518">
        <f>+J46/2</f>
        <v>1.0677078252031311</v>
      </c>
      <c r="M46" s="519" t="s">
        <v>164</v>
      </c>
      <c r="N46" s="569" t="s">
        <v>164</v>
      </c>
      <c r="O46" s="563"/>
      <c r="P46" s="520">
        <f>2*(SQRT(Balanza!$C$8+Balanza!$D$8*(POWER(O44,2))))</f>
        <v>2.1354156504062622</v>
      </c>
      <c r="Q46" s="517" t="s">
        <v>170</v>
      </c>
      <c r="R46" s="518">
        <f>+P46/2</f>
        <v>1.0677078252031311</v>
      </c>
      <c r="S46" s="519" t="s">
        <v>164</v>
      </c>
      <c r="T46" s="546" t="s">
        <v>164</v>
      </c>
      <c r="U46" s="559"/>
      <c r="V46" s="520">
        <f>2*(SQRT(Balanza!$C$8+Balanza!$D$8*(POWER(U44,2))))</f>
        <v>2.1354156504062622</v>
      </c>
      <c r="W46" s="517" t="s">
        <v>170</v>
      </c>
      <c r="X46" s="518">
        <f>+V46/2</f>
        <v>1.0677078252031311</v>
      </c>
      <c r="Y46" s="519" t="s">
        <v>164</v>
      </c>
      <c r="Z46" s="546" t="s">
        <v>164</v>
      </c>
    </row>
    <row r="47" spans="1:26" ht="22.5" customHeight="1" x14ac:dyDescent="0.25">
      <c r="A47" s="545" t="s">
        <v>171</v>
      </c>
      <c r="B47" s="556" t="s">
        <v>166</v>
      </c>
      <c r="C47" s="563"/>
      <c r="D47" s="512">
        <f>Balanza!$C$10</f>
        <v>1</v>
      </c>
      <c r="E47" s="521" t="s">
        <v>172</v>
      </c>
      <c r="F47" s="518">
        <f>+D47/SQRT(3)/2</f>
        <v>0.28867513459481292</v>
      </c>
      <c r="G47" s="519" t="s">
        <v>164</v>
      </c>
      <c r="H47" s="546" t="s">
        <v>164</v>
      </c>
      <c r="I47" s="559"/>
      <c r="J47" s="512">
        <f>Balanza!$C$10</f>
        <v>1</v>
      </c>
      <c r="K47" s="521" t="s">
        <v>172</v>
      </c>
      <c r="L47" s="518">
        <f>+J47/SQRT(3)/2</f>
        <v>0.28867513459481292</v>
      </c>
      <c r="M47" s="519" t="s">
        <v>164</v>
      </c>
      <c r="N47" s="569" t="s">
        <v>164</v>
      </c>
      <c r="O47" s="563"/>
      <c r="P47" s="512">
        <f>Balanza!$C$10</f>
        <v>1</v>
      </c>
      <c r="Q47" s="521" t="s">
        <v>172</v>
      </c>
      <c r="R47" s="518">
        <f>+P47/SQRT(3)/2</f>
        <v>0.28867513459481292</v>
      </c>
      <c r="S47" s="519" t="s">
        <v>164</v>
      </c>
      <c r="T47" s="546" t="s">
        <v>164</v>
      </c>
      <c r="U47" s="559"/>
      <c r="V47" s="512">
        <f>Balanza!$C$10</f>
        <v>1</v>
      </c>
      <c r="W47" s="521" t="s">
        <v>172</v>
      </c>
      <c r="X47" s="518">
        <f>+V47/SQRT(3)/2</f>
        <v>0.28867513459481292</v>
      </c>
      <c r="Y47" s="519" t="s">
        <v>164</v>
      </c>
      <c r="Z47" s="546" t="s">
        <v>164</v>
      </c>
    </row>
    <row r="48" spans="1:26" ht="22.5" customHeight="1" x14ac:dyDescent="0.25">
      <c r="A48" s="547" t="s">
        <v>174</v>
      </c>
      <c r="B48" s="556" t="s">
        <v>175</v>
      </c>
      <c r="C48" s="562">
        <f>+Balanza!D27</f>
        <v>0</v>
      </c>
      <c r="D48" s="522"/>
      <c r="E48" s="523" t="s">
        <v>164</v>
      </c>
      <c r="F48" s="515">
        <f>+$H$96/1000</f>
        <v>0.76283550513170739</v>
      </c>
      <c r="G48" s="525" t="e">
        <f>+ABS((C44-100*C40)*(100+C49)/POWER(100*C48+C48*C49,2))</f>
        <v>#DIV/0!</v>
      </c>
      <c r="H48" s="565" t="e">
        <f>+G48*F48</f>
        <v>#DIV/0!</v>
      </c>
      <c r="I48" s="558">
        <f>+C48</f>
        <v>0</v>
      </c>
      <c r="J48" s="522"/>
      <c r="K48" s="523" t="s">
        <v>164</v>
      </c>
      <c r="L48" s="515">
        <f>+$H$96/1000</f>
        <v>0.76283550513170739</v>
      </c>
      <c r="M48" s="525" t="e">
        <f>+ABS((I44-100*I40)*(100+I49)/POWER(100*I48+I48*I49,2))</f>
        <v>#DIV/0!</v>
      </c>
      <c r="N48" s="565" t="e">
        <f>+M48*L48</f>
        <v>#DIV/0!</v>
      </c>
      <c r="O48" s="562">
        <f>+C48</f>
        <v>0</v>
      </c>
      <c r="P48" s="522"/>
      <c r="Q48" s="523" t="s">
        <v>164</v>
      </c>
      <c r="R48" s="515">
        <f>+$H$96/1000</f>
        <v>0.76283550513170739</v>
      </c>
      <c r="S48" s="525" t="e">
        <f>+ABS((O44-100*O40)*(100+O49)/POWER(100*O48+O48*O49,2))</f>
        <v>#DIV/0!</v>
      </c>
      <c r="T48" s="565" t="e">
        <f>+S48*R48</f>
        <v>#DIV/0!</v>
      </c>
      <c r="U48" s="558">
        <f>+C48</f>
        <v>0</v>
      </c>
      <c r="V48" s="522"/>
      <c r="W48" s="523" t="s">
        <v>164</v>
      </c>
      <c r="X48" s="515">
        <f>+$H$96/1000</f>
        <v>0.76283550513170739</v>
      </c>
      <c r="Y48" s="525" t="e">
        <f>+ABS((U44-100*U40)*(100+U49)/POWER(100*U48+U48*U49,2))</f>
        <v>#DIV/0!</v>
      </c>
      <c r="Z48" s="565" t="e">
        <f>+Y48*X48</f>
        <v>#DIV/0!</v>
      </c>
    </row>
    <row r="49" spans="1:26" ht="22.5" customHeight="1" x14ac:dyDescent="0.25">
      <c r="A49" s="543" t="s">
        <v>176</v>
      </c>
      <c r="B49" s="556" t="s">
        <v>107</v>
      </c>
      <c r="C49" s="564" t="e">
        <f>+C57</f>
        <v>#DIV/0!</v>
      </c>
      <c r="D49" s="512"/>
      <c r="E49" s="521"/>
      <c r="F49" s="526" t="e">
        <f>+H71</f>
        <v>#DIV/0!</v>
      </c>
      <c r="G49" s="519" t="e">
        <f>ABS((C44-100*C40)*C48/POWER(100*C48+C49*C48,2))</f>
        <v>#DIV/0!</v>
      </c>
      <c r="H49" s="546" t="e">
        <f>+F49*G49</f>
        <v>#DIV/0!</v>
      </c>
      <c r="I49" s="560" t="e">
        <f>+I57</f>
        <v>#DIV/0!</v>
      </c>
      <c r="J49" s="512"/>
      <c r="K49" s="521"/>
      <c r="L49" s="518" t="e">
        <f>+N71</f>
        <v>#DIV/0!</v>
      </c>
      <c r="M49" s="519" t="e">
        <f>ABS((I44-100*I40)*I48/POWER(100*I48+I49*I48,2))</f>
        <v>#DIV/0!</v>
      </c>
      <c r="N49" s="570" t="e">
        <f>+M49*L49</f>
        <v>#DIV/0!</v>
      </c>
      <c r="O49" s="564" t="e">
        <f>+O57</f>
        <v>#DIV/0!</v>
      </c>
      <c r="P49" s="512"/>
      <c r="Q49" s="521"/>
      <c r="R49" s="518" t="e">
        <f>+T71</f>
        <v>#DIV/0!</v>
      </c>
      <c r="S49" s="519" t="e">
        <f>ABS((O44-100*O40)*O48/POWER(100*O48+O49*O48,2))</f>
        <v>#DIV/0!</v>
      </c>
      <c r="T49" s="565" t="e">
        <f>+S49*R49</f>
        <v>#DIV/0!</v>
      </c>
      <c r="U49" s="560" t="e">
        <f>+U57</f>
        <v>#DIV/0!</v>
      </c>
      <c r="V49" s="516"/>
      <c r="W49" s="521"/>
      <c r="X49" s="518" t="e">
        <f>+Z71</f>
        <v>#DIV/0!</v>
      </c>
      <c r="Y49" s="519" t="e">
        <f>ABS((U44-100*U40)*U48/POWER(100*U48+U49*U48,2))</f>
        <v>#DIV/0!</v>
      </c>
      <c r="Z49" s="565" t="e">
        <f>+Y49*X49</f>
        <v>#DIV/0!</v>
      </c>
    </row>
    <row r="50" spans="1:26" ht="22.5" customHeight="1" thickBot="1" x14ac:dyDescent="0.3">
      <c r="A50" s="548" t="s">
        <v>177</v>
      </c>
      <c r="B50" s="557"/>
      <c r="C50" s="566">
        <f>+precision!B7</f>
        <v>2.0947951371589977E-2</v>
      </c>
      <c r="D50" s="549"/>
      <c r="E50" s="549"/>
      <c r="F50" s="550">
        <f>+C50</f>
        <v>2.0947951371589977E-2</v>
      </c>
      <c r="G50" s="551">
        <v>1</v>
      </c>
      <c r="H50" s="567">
        <f>+F50*G50</f>
        <v>2.0947951371589977E-2</v>
      </c>
      <c r="I50" s="561">
        <f>+C50</f>
        <v>2.0947951371589977E-2</v>
      </c>
      <c r="J50" s="549"/>
      <c r="K50" s="549"/>
      <c r="L50" s="550">
        <f>+F50</f>
        <v>2.0947951371589977E-2</v>
      </c>
      <c r="M50" s="551">
        <v>1</v>
      </c>
      <c r="N50" s="571">
        <f>+L50*M50</f>
        <v>2.0947951371589977E-2</v>
      </c>
      <c r="O50" s="573">
        <f>+C50</f>
        <v>2.0947951371589977E-2</v>
      </c>
      <c r="P50" s="549"/>
      <c r="Q50" s="549"/>
      <c r="R50" s="550">
        <f>+O50</f>
        <v>2.0947951371589977E-2</v>
      </c>
      <c r="S50" s="549">
        <v>1</v>
      </c>
      <c r="T50" s="567">
        <f>+R50*S50</f>
        <v>2.0947951371589977E-2</v>
      </c>
      <c r="U50" s="572">
        <f>+C50</f>
        <v>2.0947951371589977E-2</v>
      </c>
      <c r="V50" s="549"/>
      <c r="W50" s="549"/>
      <c r="X50" s="553">
        <f>+U50</f>
        <v>2.0947951371589977E-2</v>
      </c>
      <c r="Y50" s="549">
        <v>1</v>
      </c>
      <c r="Z50" s="567">
        <f>+X50*Y50</f>
        <v>2.0947951371589977E-2</v>
      </c>
    </row>
    <row r="51" spans="1:26" ht="22.5" customHeight="1" thickBot="1" x14ac:dyDescent="0.3">
      <c r="A51" s="593" t="s">
        <v>178</v>
      </c>
      <c r="B51" s="594"/>
      <c r="C51" s="594"/>
      <c r="D51" s="595"/>
      <c r="E51" s="594"/>
      <c r="F51" s="490"/>
      <c r="G51" s="489"/>
      <c r="H51" s="922" t="e">
        <f>SQRT((H40*H40)+(H44*H44)+(H48*H48)+(H49*H49)+(H50*H50))</f>
        <v>#DIV/0!</v>
      </c>
      <c r="I51" s="925"/>
      <c r="J51" s="926"/>
      <c r="K51" s="927"/>
      <c r="L51" s="927"/>
      <c r="M51" s="927"/>
      <c r="N51" s="924" t="e">
        <f>SQRT((N40*N40)+(N44*N44)+(N48*N48)+(N49*N49)+(N50*N50))</f>
        <v>#DIV/0!</v>
      </c>
      <c r="O51" s="923"/>
      <c r="P51" s="923"/>
      <c r="Q51" s="923"/>
      <c r="R51" s="923"/>
      <c r="S51" s="923"/>
      <c r="T51" s="924" t="e">
        <f>SQRT((T40*T40)+(T44*T44)+(T48*T48)+(T49*T49)+(T50*T50))</f>
        <v>#DIV/0!</v>
      </c>
      <c r="U51" s="923"/>
      <c r="V51" s="923"/>
      <c r="W51" s="923"/>
      <c r="X51" s="923"/>
      <c r="Y51" s="923"/>
      <c r="Z51" s="924" t="e">
        <f>SQRT((Z40*Z40)+(Z44*Z44)+(Z48*Z48)+(Z49*Z49)+(Z50*Z50))</f>
        <v>#DIV/0!</v>
      </c>
    </row>
    <row r="52" spans="1:26" ht="22.5" customHeight="1" thickBot="1" x14ac:dyDescent="0.3">
      <c r="A52" s="915" t="s">
        <v>180</v>
      </c>
      <c r="B52" s="490"/>
      <c r="C52" s="490"/>
      <c r="D52" s="490"/>
      <c r="E52" s="489"/>
      <c r="F52" s="490"/>
      <c r="G52" s="595" t="s">
        <v>179</v>
      </c>
      <c r="H52" s="928" t="e">
        <f>+(IF(I52=I39,N51,T51))*2</f>
        <v>#DIV/0!</v>
      </c>
      <c r="I52" s="929" t="e">
        <f>+MAX(I39,O39)</f>
        <v>#DIV/0!</v>
      </c>
      <c r="J52" s="588"/>
    </row>
    <row r="53" spans="1:26" ht="22.5" customHeight="1" thickBot="1" x14ac:dyDescent="0.3">
      <c r="A53" s="917" t="s">
        <v>180</v>
      </c>
      <c r="B53" s="918"/>
      <c r="C53" s="918"/>
      <c r="D53" s="487"/>
      <c r="E53" s="919"/>
      <c r="F53" s="487"/>
      <c r="G53" s="920" t="s">
        <v>576</v>
      </c>
      <c r="H53" s="916" t="e">
        <f>+H52*9.8066</f>
        <v>#DIV/0!</v>
      </c>
      <c r="I53" s="381"/>
      <c r="J53" s="914"/>
      <c r="K53" s="910"/>
      <c r="L53" s="910"/>
      <c r="M53" s="910"/>
      <c r="N53" s="474"/>
      <c r="P53" s="911"/>
    </row>
    <row r="54" spans="1:26" ht="21.75" customHeight="1" x14ac:dyDescent="0.25">
      <c r="I54" s="467"/>
      <c r="J54" s="907"/>
      <c r="K54" s="910"/>
      <c r="L54" s="910"/>
      <c r="M54" s="910"/>
    </row>
    <row r="55" spans="1:26" ht="21" customHeight="1" thickBot="1" x14ac:dyDescent="0.3">
      <c r="A55" s="536" t="s">
        <v>646</v>
      </c>
      <c r="B55" s="537"/>
      <c r="C55" s="537"/>
      <c r="D55" s="654"/>
      <c r="E55" s="537"/>
      <c r="F55" s="537"/>
      <c r="G55" s="537"/>
      <c r="H55" s="537"/>
      <c r="I55" s="467"/>
      <c r="J55" s="467"/>
    </row>
    <row r="56" spans="1:26" ht="37.5" customHeight="1" thickBot="1" x14ac:dyDescent="0.3">
      <c r="A56" s="620" t="s">
        <v>154</v>
      </c>
      <c r="B56" s="621" t="s">
        <v>155</v>
      </c>
      <c r="C56" s="620" t="s">
        <v>156</v>
      </c>
      <c r="D56" s="622" t="s">
        <v>157</v>
      </c>
      <c r="E56" s="622" t="s">
        <v>158</v>
      </c>
      <c r="F56" s="622" t="s">
        <v>159</v>
      </c>
      <c r="G56" s="622" t="s">
        <v>160</v>
      </c>
      <c r="H56" s="623" t="s">
        <v>161</v>
      </c>
      <c r="I56" s="620" t="s">
        <v>156</v>
      </c>
      <c r="J56" s="622" t="s">
        <v>157</v>
      </c>
      <c r="K56" s="622" t="s">
        <v>158</v>
      </c>
      <c r="L56" s="622" t="s">
        <v>159</v>
      </c>
      <c r="M56" s="622" t="s">
        <v>160</v>
      </c>
      <c r="N56" s="623" t="s">
        <v>161</v>
      </c>
      <c r="O56" s="620" t="s">
        <v>156</v>
      </c>
      <c r="P56" s="622" t="s">
        <v>157</v>
      </c>
      <c r="Q56" s="622" t="s">
        <v>158</v>
      </c>
      <c r="R56" s="622" t="s">
        <v>159</v>
      </c>
      <c r="S56" s="622" t="s">
        <v>160</v>
      </c>
      <c r="T56" s="623" t="s">
        <v>161</v>
      </c>
      <c r="U56" s="624" t="s">
        <v>156</v>
      </c>
      <c r="V56" s="622" t="s">
        <v>157</v>
      </c>
      <c r="W56" s="622" t="s">
        <v>158</v>
      </c>
      <c r="X56" s="622" t="s">
        <v>159</v>
      </c>
      <c r="Y56" s="622" t="s">
        <v>160</v>
      </c>
      <c r="Z56" s="623" t="s">
        <v>161</v>
      </c>
    </row>
    <row r="57" spans="1:26" s="474" customFormat="1" ht="21.75" customHeight="1" x14ac:dyDescent="0.2">
      <c r="A57" s="578" t="s">
        <v>91</v>
      </c>
      <c r="B57" s="580"/>
      <c r="C57" s="585" t="e">
        <f>+((C58-C62)/(C62-C66)*100)</f>
        <v>#DIV/0!</v>
      </c>
      <c r="D57" s="527" t="s">
        <v>164</v>
      </c>
      <c r="E57" s="527" t="s">
        <v>164</v>
      </c>
      <c r="F57" s="527" t="s">
        <v>164</v>
      </c>
      <c r="G57" s="527" t="s">
        <v>164</v>
      </c>
      <c r="H57" s="579" t="s">
        <v>164</v>
      </c>
      <c r="I57" s="585" t="e">
        <f>+((I58-I62)/(I62-I66)*100)</f>
        <v>#DIV/0!</v>
      </c>
      <c r="J57" s="527" t="s">
        <v>164</v>
      </c>
      <c r="K57" s="527" t="s">
        <v>164</v>
      </c>
      <c r="L57" s="527" t="s">
        <v>164</v>
      </c>
      <c r="M57" s="527" t="s">
        <v>164</v>
      </c>
      <c r="N57" s="579" t="s">
        <v>164</v>
      </c>
      <c r="O57" s="585" t="e">
        <f>+((O58-O62)/(O62-O66)*100)</f>
        <v>#DIV/0!</v>
      </c>
      <c r="P57" s="527" t="s">
        <v>164</v>
      </c>
      <c r="Q57" s="527" t="s">
        <v>164</v>
      </c>
      <c r="R57" s="527" t="s">
        <v>164</v>
      </c>
      <c r="S57" s="527" t="s">
        <v>164</v>
      </c>
      <c r="T57" s="579" t="s">
        <v>164</v>
      </c>
      <c r="U57" s="582" t="e">
        <f>+((U58-U62)/(U62-U66)*100)</f>
        <v>#DIV/0!</v>
      </c>
      <c r="V57" s="527" t="s">
        <v>164</v>
      </c>
      <c r="W57" s="527" t="s">
        <v>164</v>
      </c>
      <c r="X57" s="527" t="s">
        <v>164</v>
      </c>
      <c r="Y57" s="527" t="s">
        <v>164</v>
      </c>
      <c r="Z57" s="579" t="s">
        <v>164</v>
      </c>
    </row>
    <row r="58" spans="1:26" s="474" customFormat="1" ht="21.75" customHeight="1" x14ac:dyDescent="0.2">
      <c r="A58" s="596" t="s">
        <v>181</v>
      </c>
      <c r="B58" s="597" t="s">
        <v>182</v>
      </c>
      <c r="C58" s="598" t="e">
        <f>Balanza!O26</f>
        <v>#DIV/0!</v>
      </c>
      <c r="D58" s="599" t="s">
        <v>164</v>
      </c>
      <c r="E58" s="600" t="s">
        <v>164</v>
      </c>
      <c r="F58" s="601" t="e">
        <f>SQRT((F59*F59)+(F60*F60)+(F61*F61))</f>
        <v>#DIV/0!</v>
      </c>
      <c r="G58" s="600" t="e">
        <f>100/(C62-C66)</f>
        <v>#DIV/0!</v>
      </c>
      <c r="H58" s="602" t="e">
        <f>+G58*F58</f>
        <v>#DIV/0!</v>
      </c>
      <c r="I58" s="598" t="e">
        <f>Balanza!Q26</f>
        <v>#DIV/0!</v>
      </c>
      <c r="J58" s="599" t="s">
        <v>164</v>
      </c>
      <c r="K58" s="600" t="s">
        <v>164</v>
      </c>
      <c r="L58" s="601" t="e">
        <f>SQRT((L59*L59)+(L60*L60)+(L61*L61))</f>
        <v>#DIV/0!</v>
      </c>
      <c r="M58" s="600" t="e">
        <f>100/(I62-I66)</f>
        <v>#DIV/0!</v>
      </c>
      <c r="N58" s="602" t="e">
        <f>+M58*L58</f>
        <v>#DIV/0!</v>
      </c>
      <c r="O58" s="598" t="e">
        <f>Balanza!S26</f>
        <v>#DIV/0!</v>
      </c>
      <c r="P58" s="599" t="s">
        <v>164</v>
      </c>
      <c r="Q58" s="600" t="s">
        <v>164</v>
      </c>
      <c r="R58" s="601" t="e">
        <f>SQRT((R59*R59)+(R60*R60)+(R61*R61))</f>
        <v>#DIV/0!</v>
      </c>
      <c r="S58" s="600" t="e">
        <f>100/(O62-O66)</f>
        <v>#DIV/0!</v>
      </c>
      <c r="T58" s="602" t="e">
        <f>+S58*R58</f>
        <v>#DIV/0!</v>
      </c>
      <c r="U58" s="603" t="e">
        <f>Balanza!U26</f>
        <v>#DIV/0!</v>
      </c>
      <c r="V58" s="599" t="s">
        <v>164</v>
      </c>
      <c r="W58" s="600" t="s">
        <v>164</v>
      </c>
      <c r="X58" s="601" t="e">
        <f>SQRT((X59*X59)+(X60*X60)+(X61*X61))</f>
        <v>#DIV/0!</v>
      </c>
      <c r="Y58" s="600" t="e">
        <f>100/(U62-U66)</f>
        <v>#DIV/0!</v>
      </c>
      <c r="Z58" s="574" t="e">
        <f>+Y58*X58</f>
        <v>#DIV/0!</v>
      </c>
    </row>
    <row r="59" spans="1:26" s="474" customFormat="1" ht="21.75" customHeight="1" x14ac:dyDescent="0.2">
      <c r="A59" s="604" t="s">
        <v>167</v>
      </c>
      <c r="B59" s="597" t="s">
        <v>182</v>
      </c>
      <c r="C59" s="605"/>
      <c r="D59" s="606" t="e">
        <f>+Balanza!P26</f>
        <v>#DIV/0!</v>
      </c>
      <c r="E59" s="607" t="s">
        <v>168</v>
      </c>
      <c r="F59" s="608" t="e">
        <f>+D59</f>
        <v>#DIV/0!</v>
      </c>
      <c r="G59" s="609" t="s">
        <v>164</v>
      </c>
      <c r="H59" s="610" t="s">
        <v>164</v>
      </c>
      <c r="I59" s="605"/>
      <c r="J59" s="606" t="e">
        <f>+Balanza!R26</f>
        <v>#DIV/0!</v>
      </c>
      <c r="K59" s="607" t="s">
        <v>168</v>
      </c>
      <c r="L59" s="608" t="e">
        <f>+J59</f>
        <v>#DIV/0!</v>
      </c>
      <c r="M59" s="609" t="s">
        <v>164</v>
      </c>
      <c r="N59" s="610" t="s">
        <v>164</v>
      </c>
      <c r="O59" s="605"/>
      <c r="P59" s="606" t="e">
        <f>+Balanza!T26</f>
        <v>#DIV/0!</v>
      </c>
      <c r="Q59" s="607" t="s">
        <v>168</v>
      </c>
      <c r="R59" s="608" t="e">
        <f>+P59</f>
        <v>#DIV/0!</v>
      </c>
      <c r="S59" s="609" t="s">
        <v>164</v>
      </c>
      <c r="T59" s="610" t="s">
        <v>164</v>
      </c>
      <c r="U59" s="611"/>
      <c r="V59" s="606" t="e">
        <f>+Balanza!V26</f>
        <v>#DIV/0!</v>
      </c>
      <c r="W59" s="607" t="s">
        <v>168</v>
      </c>
      <c r="X59" s="608" t="e">
        <f>+V59</f>
        <v>#DIV/0!</v>
      </c>
      <c r="Y59" s="609" t="s">
        <v>164</v>
      </c>
      <c r="Z59" s="546" t="s">
        <v>164</v>
      </c>
    </row>
    <row r="60" spans="1:26" s="474" customFormat="1" ht="21.75" customHeight="1" x14ac:dyDescent="0.2">
      <c r="A60" s="604" t="s">
        <v>169</v>
      </c>
      <c r="B60" s="597" t="s">
        <v>182</v>
      </c>
      <c r="C60" s="605"/>
      <c r="D60" s="612" t="e">
        <f>2*(SQRT(Balanza!$M$8+Balanza!$N$8*(POWER(C58,2))))</f>
        <v>#DIV/0!</v>
      </c>
      <c r="E60" s="607" t="s">
        <v>170</v>
      </c>
      <c r="F60" s="608" t="e">
        <f>+D60/2</f>
        <v>#DIV/0!</v>
      </c>
      <c r="G60" s="609" t="s">
        <v>164</v>
      </c>
      <c r="H60" s="610" t="s">
        <v>164</v>
      </c>
      <c r="I60" s="605"/>
      <c r="J60" s="612" t="e">
        <f>2*(SQRT(Balanza!$M$8+Balanza!$N$8*(POWER(I58,2))))</f>
        <v>#DIV/0!</v>
      </c>
      <c r="K60" s="607" t="s">
        <v>170</v>
      </c>
      <c r="L60" s="608" t="e">
        <f>+J60/2</f>
        <v>#DIV/0!</v>
      </c>
      <c r="M60" s="609" t="s">
        <v>164</v>
      </c>
      <c r="N60" s="610" t="s">
        <v>164</v>
      </c>
      <c r="O60" s="605"/>
      <c r="P60" s="612" t="e">
        <f>2*(SQRT(Balanza!$M$8+Balanza!$N$8*(POWER(O58,2))))</f>
        <v>#DIV/0!</v>
      </c>
      <c r="Q60" s="607" t="s">
        <v>170</v>
      </c>
      <c r="R60" s="608" t="e">
        <f>+P60/2</f>
        <v>#DIV/0!</v>
      </c>
      <c r="S60" s="609" t="s">
        <v>164</v>
      </c>
      <c r="T60" s="610" t="s">
        <v>164</v>
      </c>
      <c r="U60" s="611"/>
      <c r="V60" s="612" t="e">
        <f>2*(SQRT(Balanza!$M$8+Balanza!$N$8*(POWER(U58,2))))</f>
        <v>#DIV/0!</v>
      </c>
      <c r="W60" s="607" t="s">
        <v>170</v>
      </c>
      <c r="X60" s="608" t="e">
        <f>+V60/2</f>
        <v>#DIV/0!</v>
      </c>
      <c r="Y60" s="609" t="s">
        <v>164</v>
      </c>
      <c r="Z60" s="546" t="s">
        <v>164</v>
      </c>
    </row>
    <row r="61" spans="1:26" s="474" customFormat="1" ht="21.75" customHeight="1" x14ac:dyDescent="0.2">
      <c r="A61" s="604" t="s">
        <v>171</v>
      </c>
      <c r="B61" s="597" t="s">
        <v>182</v>
      </c>
      <c r="C61" s="605"/>
      <c r="D61" s="656">
        <f>+Balanza!$M$10</f>
        <v>0.1</v>
      </c>
      <c r="E61" s="613" t="s">
        <v>172</v>
      </c>
      <c r="F61" s="608">
        <f>+D61/SQRT(3)/2</f>
        <v>2.8867513459481291E-2</v>
      </c>
      <c r="G61" s="609" t="s">
        <v>164</v>
      </c>
      <c r="H61" s="610" t="s">
        <v>164</v>
      </c>
      <c r="I61" s="605"/>
      <c r="J61" s="656">
        <f>+Balanza!$M$10</f>
        <v>0.1</v>
      </c>
      <c r="K61" s="613" t="s">
        <v>172</v>
      </c>
      <c r="L61" s="608">
        <f>+J61/SQRT(3)/2</f>
        <v>2.8867513459481291E-2</v>
      </c>
      <c r="M61" s="609" t="s">
        <v>164</v>
      </c>
      <c r="N61" s="610" t="s">
        <v>164</v>
      </c>
      <c r="O61" s="605"/>
      <c r="P61" s="656">
        <f>+Balanza!$M$10</f>
        <v>0.1</v>
      </c>
      <c r="Q61" s="613" t="s">
        <v>172</v>
      </c>
      <c r="R61" s="608">
        <f>+P61/SQRT(3)/2</f>
        <v>2.8867513459481291E-2</v>
      </c>
      <c r="S61" s="609" t="s">
        <v>164</v>
      </c>
      <c r="T61" s="610" t="s">
        <v>164</v>
      </c>
      <c r="U61" s="611"/>
      <c r="V61" s="656">
        <f>+Balanza!$M$10</f>
        <v>0.1</v>
      </c>
      <c r="W61" s="613" t="s">
        <v>172</v>
      </c>
      <c r="X61" s="608">
        <f>+V61/SQRT(3)/2</f>
        <v>2.8867513459481291E-2</v>
      </c>
      <c r="Y61" s="609" t="s">
        <v>164</v>
      </c>
      <c r="Z61" s="546" t="s">
        <v>164</v>
      </c>
    </row>
    <row r="62" spans="1:26" s="474" customFormat="1" ht="21.75" customHeight="1" x14ac:dyDescent="0.2">
      <c r="A62" s="614" t="s">
        <v>183</v>
      </c>
      <c r="B62" s="597" t="s">
        <v>182</v>
      </c>
      <c r="C62" s="598" t="e">
        <f>Balanza!O27</f>
        <v>#DIV/0!</v>
      </c>
      <c r="D62" s="615"/>
      <c r="E62" s="616" t="s">
        <v>164</v>
      </c>
      <c r="F62" s="601" t="e">
        <f>SQRT((F63*F63)+(F64*F64)+(F65*F65))</f>
        <v>#DIV/0!</v>
      </c>
      <c r="G62" s="617" t="e">
        <f>((C58-C66)*100)/(POWER((C62-C66),2))</f>
        <v>#DIV/0!</v>
      </c>
      <c r="H62" s="618" t="e">
        <f>+G62*F62</f>
        <v>#DIV/0!</v>
      </c>
      <c r="I62" s="598" t="e">
        <f>Balanza!Q27</f>
        <v>#DIV/0!</v>
      </c>
      <c r="J62" s="615"/>
      <c r="K62" s="616" t="s">
        <v>164</v>
      </c>
      <c r="L62" s="601" t="e">
        <f>SQRT((L63*L63)+(L64*L64)+(L65*L65))</f>
        <v>#DIV/0!</v>
      </c>
      <c r="M62" s="617" t="e">
        <f>((I58-I66)*100)/(POWER((I62-I66),2))</f>
        <v>#DIV/0!</v>
      </c>
      <c r="N62" s="618" t="e">
        <f>+M62*L62</f>
        <v>#DIV/0!</v>
      </c>
      <c r="O62" s="598" t="e">
        <f>Balanza!S27</f>
        <v>#DIV/0!</v>
      </c>
      <c r="P62" s="615"/>
      <c r="Q62" s="616" t="s">
        <v>164</v>
      </c>
      <c r="R62" s="601" t="e">
        <f>SQRT((R63*R63)+(R64*R64)+(R65*R65))</f>
        <v>#DIV/0!</v>
      </c>
      <c r="S62" s="617" t="e">
        <f>((O58-O66)*100)/(POWER((O62-O66),2))</f>
        <v>#DIV/0!</v>
      </c>
      <c r="T62" s="618" t="e">
        <f>+S62*R62</f>
        <v>#DIV/0!</v>
      </c>
      <c r="U62" s="603" t="e">
        <f>Balanza!U27</f>
        <v>#DIV/0!</v>
      </c>
      <c r="V62" s="615"/>
      <c r="W62" s="616" t="s">
        <v>164</v>
      </c>
      <c r="X62" s="601" t="e">
        <f>SQRT((X63*X63)+(X64*X64)+(X65*X65))</f>
        <v>#DIV/0!</v>
      </c>
      <c r="Y62" s="617" t="e">
        <f>((U58-U66)*100)/(POWER((U62-U66),2))</f>
        <v>#DIV/0!</v>
      </c>
      <c r="Z62" s="565" t="e">
        <f>+Y62*X62</f>
        <v>#DIV/0!</v>
      </c>
    </row>
    <row r="63" spans="1:26" s="474" customFormat="1" ht="21.75" customHeight="1" x14ac:dyDescent="0.2">
      <c r="A63" s="604" t="s">
        <v>167</v>
      </c>
      <c r="B63" s="597" t="s">
        <v>182</v>
      </c>
      <c r="C63" s="605"/>
      <c r="D63" s="606" t="e">
        <f>+Balanza!P27</f>
        <v>#DIV/0!</v>
      </c>
      <c r="E63" s="607" t="s">
        <v>168</v>
      </c>
      <c r="F63" s="608" t="e">
        <f>+D63</f>
        <v>#DIV/0!</v>
      </c>
      <c r="G63" s="609" t="s">
        <v>164</v>
      </c>
      <c r="H63" s="610" t="s">
        <v>164</v>
      </c>
      <c r="I63" s="605"/>
      <c r="J63" s="606" t="e">
        <f>+Balanza!R27</f>
        <v>#DIV/0!</v>
      </c>
      <c r="K63" s="607" t="s">
        <v>168</v>
      </c>
      <c r="L63" s="608" t="e">
        <f>+J63</f>
        <v>#DIV/0!</v>
      </c>
      <c r="M63" s="609" t="s">
        <v>164</v>
      </c>
      <c r="N63" s="610" t="s">
        <v>164</v>
      </c>
      <c r="O63" s="605"/>
      <c r="P63" s="606" t="e">
        <f>+Balanza!T27</f>
        <v>#DIV/0!</v>
      </c>
      <c r="Q63" s="607" t="s">
        <v>168</v>
      </c>
      <c r="R63" s="608" t="e">
        <f>+P63</f>
        <v>#DIV/0!</v>
      </c>
      <c r="S63" s="609" t="s">
        <v>164</v>
      </c>
      <c r="T63" s="610" t="s">
        <v>164</v>
      </c>
      <c r="U63" s="611"/>
      <c r="V63" s="606" t="e">
        <f>+Balanza!V27</f>
        <v>#DIV/0!</v>
      </c>
      <c r="W63" s="607" t="s">
        <v>168</v>
      </c>
      <c r="X63" s="608" t="e">
        <f>+V63</f>
        <v>#DIV/0!</v>
      </c>
      <c r="Y63" s="609" t="s">
        <v>164</v>
      </c>
      <c r="Z63" s="546" t="s">
        <v>164</v>
      </c>
    </row>
    <row r="64" spans="1:26" s="474" customFormat="1" ht="21.75" customHeight="1" x14ac:dyDescent="0.2">
      <c r="A64" s="604" t="s">
        <v>169</v>
      </c>
      <c r="B64" s="597" t="s">
        <v>182</v>
      </c>
      <c r="C64" s="605"/>
      <c r="D64" s="612" t="e">
        <f>2*(SQRT(Balanza!$M$8+Balanza!$N$8*(POWER(C62,2))))</f>
        <v>#DIV/0!</v>
      </c>
      <c r="E64" s="607" t="s">
        <v>170</v>
      </c>
      <c r="F64" s="608" t="e">
        <f>+D64/2</f>
        <v>#DIV/0!</v>
      </c>
      <c r="G64" s="609" t="s">
        <v>164</v>
      </c>
      <c r="H64" s="610" t="s">
        <v>164</v>
      </c>
      <c r="I64" s="605"/>
      <c r="J64" s="612" t="e">
        <f>2*(SQRT(Balanza!$M$8+Balanza!$N$8*(POWER(I62,2))))</f>
        <v>#DIV/0!</v>
      </c>
      <c r="K64" s="607" t="s">
        <v>170</v>
      </c>
      <c r="L64" s="608" t="e">
        <f>+J64/2</f>
        <v>#DIV/0!</v>
      </c>
      <c r="M64" s="609" t="s">
        <v>164</v>
      </c>
      <c r="N64" s="610" t="s">
        <v>164</v>
      </c>
      <c r="O64" s="605"/>
      <c r="P64" s="612" t="e">
        <f>2*(SQRT(Balanza!$M$8+Balanza!$N$8*(POWER(O62,2))))</f>
        <v>#DIV/0!</v>
      </c>
      <c r="Q64" s="607" t="s">
        <v>170</v>
      </c>
      <c r="R64" s="608" t="e">
        <f>+P64/2</f>
        <v>#DIV/0!</v>
      </c>
      <c r="S64" s="609" t="s">
        <v>164</v>
      </c>
      <c r="T64" s="610" t="s">
        <v>164</v>
      </c>
      <c r="U64" s="611"/>
      <c r="V64" s="612" t="e">
        <f>2*(SQRT(Balanza!$M$8+Balanza!$N$8*(POWER(U62,2))))</f>
        <v>#DIV/0!</v>
      </c>
      <c r="W64" s="607" t="s">
        <v>170</v>
      </c>
      <c r="X64" s="608" t="e">
        <f>+V64/2</f>
        <v>#DIV/0!</v>
      </c>
      <c r="Y64" s="609" t="s">
        <v>164</v>
      </c>
      <c r="Z64" s="546" t="s">
        <v>164</v>
      </c>
    </row>
    <row r="65" spans="1:26" s="474" customFormat="1" ht="21.75" customHeight="1" x14ac:dyDescent="0.2">
      <c r="A65" s="604" t="s">
        <v>171</v>
      </c>
      <c r="B65" s="597" t="s">
        <v>182</v>
      </c>
      <c r="C65" s="605"/>
      <c r="D65" s="656">
        <f>+Balanza!$M$10</f>
        <v>0.1</v>
      </c>
      <c r="E65" s="613" t="s">
        <v>172</v>
      </c>
      <c r="F65" s="608">
        <f>+D65/SQRT(3)/2</f>
        <v>2.8867513459481291E-2</v>
      </c>
      <c r="G65" s="609" t="s">
        <v>164</v>
      </c>
      <c r="H65" s="610" t="s">
        <v>164</v>
      </c>
      <c r="I65" s="605"/>
      <c r="J65" s="656">
        <f>+Balanza!$M$10</f>
        <v>0.1</v>
      </c>
      <c r="K65" s="613" t="s">
        <v>172</v>
      </c>
      <c r="L65" s="608">
        <f>+J65/SQRT(3)/2</f>
        <v>2.8867513459481291E-2</v>
      </c>
      <c r="M65" s="609" t="s">
        <v>164</v>
      </c>
      <c r="N65" s="610" t="s">
        <v>164</v>
      </c>
      <c r="O65" s="605"/>
      <c r="P65" s="656">
        <f>+Balanza!$M$10</f>
        <v>0.1</v>
      </c>
      <c r="Q65" s="613" t="s">
        <v>172</v>
      </c>
      <c r="R65" s="608">
        <f>+P65/SQRT(3)/2</f>
        <v>2.8867513459481291E-2</v>
      </c>
      <c r="S65" s="609" t="s">
        <v>164</v>
      </c>
      <c r="T65" s="610" t="s">
        <v>164</v>
      </c>
      <c r="U65" s="611"/>
      <c r="V65" s="656">
        <f>+Balanza!$M$10</f>
        <v>0.1</v>
      </c>
      <c r="W65" s="613" t="s">
        <v>172</v>
      </c>
      <c r="X65" s="608">
        <f>+V65/SQRT(3)/2</f>
        <v>2.8867513459481291E-2</v>
      </c>
      <c r="Y65" s="609" t="s">
        <v>164</v>
      </c>
      <c r="Z65" s="546" t="s">
        <v>164</v>
      </c>
    </row>
    <row r="66" spans="1:26" s="474" customFormat="1" ht="21.75" customHeight="1" x14ac:dyDescent="0.2">
      <c r="A66" s="614" t="s">
        <v>184</v>
      </c>
      <c r="B66" s="597" t="s">
        <v>182</v>
      </c>
      <c r="C66" s="598" t="e">
        <f>Balanza!O28</f>
        <v>#DIV/0!</v>
      </c>
      <c r="D66" s="615"/>
      <c r="E66" s="616" t="s">
        <v>164</v>
      </c>
      <c r="F66" s="601" t="e">
        <f>SQRT((F67*F67)+(F68*F68)+(F69*F69))</f>
        <v>#DIV/0!</v>
      </c>
      <c r="G66" s="617" t="e">
        <f>((C58-C62)*100)/(POWER((C62-C66),2))</f>
        <v>#DIV/0!</v>
      </c>
      <c r="H66" s="619" t="e">
        <f>+G66*F66</f>
        <v>#DIV/0!</v>
      </c>
      <c r="I66" s="598" t="e">
        <f>Balanza!Q28</f>
        <v>#DIV/0!</v>
      </c>
      <c r="J66" s="615"/>
      <c r="K66" s="616" t="s">
        <v>164</v>
      </c>
      <c r="L66" s="601" t="e">
        <f>SQRT((L67*L67)+(L68*L68)+(L69*L69))</f>
        <v>#DIV/0!</v>
      </c>
      <c r="M66" s="617" t="e">
        <f>((I58-I62)*100)/(POWER((I62-I66),2))</f>
        <v>#DIV/0!</v>
      </c>
      <c r="N66" s="619" t="e">
        <f>+M66*L66</f>
        <v>#DIV/0!</v>
      </c>
      <c r="O66" s="598" t="e">
        <f>Balanza!S28</f>
        <v>#DIV/0!</v>
      </c>
      <c r="P66" s="615"/>
      <c r="Q66" s="616" t="s">
        <v>164</v>
      </c>
      <c r="R66" s="601" t="e">
        <f>SQRT((R67*R67)+(R68*R68)+(R69*R69))</f>
        <v>#DIV/0!</v>
      </c>
      <c r="S66" s="617" t="e">
        <f>((O58-O62)*100)/(POWER((O62-O66),2))</f>
        <v>#DIV/0!</v>
      </c>
      <c r="T66" s="619" t="e">
        <f>+S66*R66</f>
        <v>#DIV/0!</v>
      </c>
      <c r="U66" s="603" t="e">
        <f>Balanza!U28</f>
        <v>#DIV/0!</v>
      </c>
      <c r="V66" s="615"/>
      <c r="W66" s="616" t="s">
        <v>164</v>
      </c>
      <c r="X66" s="601" t="e">
        <f>SQRT((X67*X67)+(X68*X68)+(X69*X69))</f>
        <v>#DIV/0!</v>
      </c>
      <c r="Y66" s="617" t="e">
        <f>((U58-U62)*100)/(POWER((U62-U66),2))</f>
        <v>#DIV/0!</v>
      </c>
      <c r="Z66" s="575" t="e">
        <f>+Y66*X66</f>
        <v>#DIV/0!</v>
      </c>
    </row>
    <row r="67" spans="1:26" s="474" customFormat="1" ht="21.75" customHeight="1" x14ac:dyDescent="0.2">
      <c r="A67" s="545" t="s">
        <v>167</v>
      </c>
      <c r="B67" s="581" t="s">
        <v>182</v>
      </c>
      <c r="C67" s="586"/>
      <c r="D67" s="516" t="e">
        <f>+Balanza!P28</f>
        <v>#DIV/0!</v>
      </c>
      <c r="E67" s="517" t="s">
        <v>168</v>
      </c>
      <c r="F67" s="518" t="e">
        <f>+D67</f>
        <v>#DIV/0!</v>
      </c>
      <c r="G67" s="519" t="s">
        <v>164</v>
      </c>
      <c r="H67" s="546" t="s">
        <v>164</v>
      </c>
      <c r="I67" s="586"/>
      <c r="J67" s="606" t="e">
        <f>+Balanza!R28</f>
        <v>#DIV/0!</v>
      </c>
      <c r="K67" s="517" t="s">
        <v>168</v>
      </c>
      <c r="L67" s="518" t="e">
        <f>+J67</f>
        <v>#DIV/0!</v>
      </c>
      <c r="M67" s="519" t="s">
        <v>164</v>
      </c>
      <c r="N67" s="546" t="s">
        <v>164</v>
      </c>
      <c r="O67" s="586"/>
      <c r="P67" s="516" t="e">
        <f>+Balanza!T28</f>
        <v>#DIV/0!</v>
      </c>
      <c r="Q67" s="517" t="s">
        <v>168</v>
      </c>
      <c r="R67" s="518" t="e">
        <f>+P67</f>
        <v>#DIV/0!</v>
      </c>
      <c r="S67" s="519" t="s">
        <v>164</v>
      </c>
      <c r="T67" s="546" t="s">
        <v>164</v>
      </c>
      <c r="U67" s="583"/>
      <c r="V67" s="516" t="e">
        <f>+Balanza!V28</f>
        <v>#DIV/0!</v>
      </c>
      <c r="W67" s="517" t="s">
        <v>168</v>
      </c>
      <c r="X67" s="518" t="e">
        <f>+V67</f>
        <v>#DIV/0!</v>
      </c>
      <c r="Y67" s="519" t="s">
        <v>164</v>
      </c>
      <c r="Z67" s="546" t="s">
        <v>164</v>
      </c>
    </row>
    <row r="68" spans="1:26" s="474" customFormat="1" ht="21.75" customHeight="1" x14ac:dyDescent="0.2">
      <c r="A68" s="545" t="s">
        <v>169</v>
      </c>
      <c r="B68" s="581" t="s">
        <v>182</v>
      </c>
      <c r="C68" s="586"/>
      <c r="D68" s="612" t="e">
        <f>2*(SQRT(Balanza!$M$8+Balanza!$N$8*(POWER(C66,2))))</f>
        <v>#DIV/0!</v>
      </c>
      <c r="E68" s="517" t="s">
        <v>170</v>
      </c>
      <c r="F68" s="518" t="e">
        <f>+D68/2</f>
        <v>#DIV/0!</v>
      </c>
      <c r="G68" s="519" t="s">
        <v>164</v>
      </c>
      <c r="H68" s="546" t="s">
        <v>164</v>
      </c>
      <c r="I68" s="586"/>
      <c r="J68" s="612" t="e">
        <f>2*(SQRT(Balanza!$M$8+Balanza!$N$8*(POWER(I66,2))))</f>
        <v>#DIV/0!</v>
      </c>
      <c r="K68" s="517" t="s">
        <v>170</v>
      </c>
      <c r="L68" s="518" t="e">
        <f>+J68/2</f>
        <v>#DIV/0!</v>
      </c>
      <c r="M68" s="519" t="s">
        <v>164</v>
      </c>
      <c r="N68" s="546" t="s">
        <v>164</v>
      </c>
      <c r="O68" s="586"/>
      <c r="P68" s="612" t="e">
        <f>2*(SQRT(Balanza!$M$8+Balanza!$N$8*(POWER(O66,2))))</f>
        <v>#DIV/0!</v>
      </c>
      <c r="Q68" s="517" t="s">
        <v>170</v>
      </c>
      <c r="R68" s="518" t="e">
        <f>+P68/2</f>
        <v>#DIV/0!</v>
      </c>
      <c r="S68" s="519" t="s">
        <v>164</v>
      </c>
      <c r="T68" s="546" t="s">
        <v>164</v>
      </c>
      <c r="U68" s="583"/>
      <c r="V68" s="612" t="e">
        <f>2*(SQRT(Balanza!$M$8+Balanza!$N$8*(POWER(U66,2))))</f>
        <v>#DIV/0!</v>
      </c>
      <c r="W68" s="517" t="s">
        <v>170</v>
      </c>
      <c r="X68" s="518" t="e">
        <f>+V68/2</f>
        <v>#DIV/0!</v>
      </c>
      <c r="Y68" s="519" t="s">
        <v>164</v>
      </c>
      <c r="Z68" s="546" t="s">
        <v>164</v>
      </c>
    </row>
    <row r="69" spans="1:26" s="474" customFormat="1" ht="21.75" customHeight="1" x14ac:dyDescent="0.2">
      <c r="A69" s="545" t="s">
        <v>171</v>
      </c>
      <c r="B69" s="581" t="s">
        <v>182</v>
      </c>
      <c r="C69" s="586"/>
      <c r="D69" s="656">
        <f>+Balanza!$M$10</f>
        <v>0.1</v>
      </c>
      <c r="E69" s="521" t="s">
        <v>172</v>
      </c>
      <c r="F69" s="518">
        <f>+D69/SQRT(3)/2</f>
        <v>2.8867513459481291E-2</v>
      </c>
      <c r="G69" s="519" t="s">
        <v>164</v>
      </c>
      <c r="H69" s="546" t="s">
        <v>164</v>
      </c>
      <c r="I69" s="586"/>
      <c r="J69" s="656">
        <f>+Balanza!$M$10</f>
        <v>0.1</v>
      </c>
      <c r="K69" s="521" t="s">
        <v>172</v>
      </c>
      <c r="L69" s="518">
        <f>+J69/SQRT(3)/2</f>
        <v>2.8867513459481291E-2</v>
      </c>
      <c r="M69" s="519" t="s">
        <v>164</v>
      </c>
      <c r="N69" s="546" t="s">
        <v>164</v>
      </c>
      <c r="O69" s="586"/>
      <c r="P69" s="656">
        <f>+Balanza!$M$10</f>
        <v>0.1</v>
      </c>
      <c r="Q69" s="521" t="s">
        <v>172</v>
      </c>
      <c r="R69" s="518">
        <f>+P69/SQRT(3)/2</f>
        <v>2.8867513459481291E-2</v>
      </c>
      <c r="S69" s="519" t="s">
        <v>164</v>
      </c>
      <c r="T69" s="546" t="s">
        <v>164</v>
      </c>
      <c r="U69" s="583"/>
      <c r="V69" s="656">
        <f>+Balanza!$M$10</f>
        <v>0.1</v>
      </c>
      <c r="W69" s="521" t="s">
        <v>172</v>
      </c>
      <c r="X69" s="518">
        <f>+V69/SQRT(3)/2</f>
        <v>2.8867513459481291E-2</v>
      </c>
      <c r="Y69" s="519" t="s">
        <v>164</v>
      </c>
      <c r="Z69" s="546" t="s">
        <v>164</v>
      </c>
    </row>
    <row r="70" spans="1:26" s="474" customFormat="1" ht="21.75" customHeight="1" thickBot="1" x14ac:dyDescent="0.25">
      <c r="A70" s="589" t="s">
        <v>185</v>
      </c>
      <c r="B70" s="625" t="s">
        <v>107</v>
      </c>
      <c r="C70" s="590">
        <f>+precision!H7</f>
        <v>0.11030261405182915</v>
      </c>
      <c r="D70" s="626"/>
      <c r="E70" s="627" t="s">
        <v>186</v>
      </c>
      <c r="F70" s="628">
        <f>C70/SQRT(1)</f>
        <v>0.11030261405182915</v>
      </c>
      <c r="G70" s="591">
        <v>1</v>
      </c>
      <c r="H70" s="592">
        <f>+F70*G70</f>
        <v>0.11030261405182915</v>
      </c>
      <c r="I70" s="566">
        <f>+C70</f>
        <v>0.11030261405182915</v>
      </c>
      <c r="J70" s="576"/>
      <c r="K70" s="577" t="s">
        <v>186</v>
      </c>
      <c r="L70" s="552">
        <f>I70/SQRT(1)</f>
        <v>0.11030261405182915</v>
      </c>
      <c r="M70" s="551">
        <v>1</v>
      </c>
      <c r="N70" s="567">
        <f>+L70*M70</f>
        <v>0.11030261405182915</v>
      </c>
      <c r="O70" s="566">
        <f>+C70</f>
        <v>0.11030261405182915</v>
      </c>
      <c r="P70" s="576"/>
      <c r="Q70" s="577" t="s">
        <v>186</v>
      </c>
      <c r="R70" s="552">
        <f>O70/SQRT(1)</f>
        <v>0.11030261405182915</v>
      </c>
      <c r="S70" s="551">
        <v>1</v>
      </c>
      <c r="T70" s="567">
        <f>+R70*S70</f>
        <v>0.11030261405182915</v>
      </c>
      <c r="U70" s="584">
        <f>+C70</f>
        <v>0.11030261405182915</v>
      </c>
      <c r="V70" s="576"/>
      <c r="W70" s="577" t="s">
        <v>186</v>
      </c>
      <c r="X70" s="552">
        <f>U70/SQRT(1)</f>
        <v>0.11030261405182915</v>
      </c>
      <c r="Y70" s="551">
        <v>1</v>
      </c>
      <c r="Z70" s="567">
        <f>+X70*Y70</f>
        <v>0.11030261405182915</v>
      </c>
    </row>
    <row r="71" spans="1:26" s="474" customFormat="1" ht="21.75" customHeight="1" thickBot="1" x14ac:dyDescent="0.3">
      <c r="A71" s="629" t="s">
        <v>529</v>
      </c>
      <c r="B71" s="630"/>
      <c r="C71" s="491"/>
      <c r="D71" s="491"/>
      <c r="E71" s="492"/>
      <c r="F71" s="491"/>
      <c r="G71" s="631" t="s">
        <v>107</v>
      </c>
      <c r="H71" s="653" t="e">
        <f>SQRT((H58*H58)+(H62*H62)+(H66*H66)+(H70*H70))</f>
        <v>#DIV/0!</v>
      </c>
      <c r="I71" s="931"/>
      <c r="J71" s="932"/>
      <c r="K71" s="918"/>
      <c r="L71" s="919"/>
      <c r="M71" s="933"/>
      <c r="N71" s="587" t="e">
        <f>SQRT((N58*N58)+(N62*N62)+(N66*N66)+(N70*N70))</f>
        <v>#DIV/0!</v>
      </c>
      <c r="O71" s="934"/>
      <c r="P71" s="932"/>
      <c r="Q71" s="918"/>
      <c r="R71" s="919"/>
      <c r="S71" s="933"/>
      <c r="T71" s="587" t="e">
        <f>SQRT((T58*T58)+(T62*T62)+(T66*T66)+(T70*T70))</f>
        <v>#DIV/0!</v>
      </c>
      <c r="U71" s="934"/>
      <c r="V71" s="932"/>
      <c r="W71" s="918"/>
      <c r="X71" s="919"/>
      <c r="Y71" s="933"/>
      <c r="Z71" s="587" t="e">
        <f>SQRT((Z58*Z58)+(Z62*Z62)+(Z66*Z66)+(Z70*Z70))</f>
        <v>#DIV/0!</v>
      </c>
    </row>
    <row r="72" spans="1:26" s="474" customFormat="1" ht="21.75" customHeight="1" thickBot="1" x14ac:dyDescent="0.25">
      <c r="A72" s="629" t="s">
        <v>180</v>
      </c>
      <c r="B72" s="935"/>
      <c r="C72" s="935"/>
      <c r="D72" s="630"/>
      <c r="E72" s="935"/>
      <c r="F72" s="630"/>
      <c r="G72" s="936" t="s">
        <v>107</v>
      </c>
      <c r="H72" s="937" t="e">
        <f>+(IF(I72=I39,N71,T71))*2</f>
        <v>#DIV/0!</v>
      </c>
      <c r="I72" s="930" t="e">
        <f>+MAX(I57,O57)</f>
        <v>#DIV/0!</v>
      </c>
      <c r="J72" s="467"/>
    </row>
    <row r="73" spans="1:26" ht="18" customHeight="1" x14ac:dyDescent="0.25">
      <c r="D73" s="467"/>
      <c r="E73" s="467"/>
      <c r="F73" s="467"/>
      <c r="G73" s="467"/>
      <c r="H73" s="473"/>
      <c r="I73" s="467"/>
      <c r="J73" s="467"/>
    </row>
    <row r="74" spans="1:26" ht="24" customHeight="1" x14ac:dyDescent="0.25">
      <c r="D74" s="467"/>
      <c r="E74" s="467"/>
      <c r="F74" s="467"/>
      <c r="G74" s="467"/>
      <c r="H74" s="473"/>
      <c r="I74" s="467"/>
      <c r="J74" s="467"/>
      <c r="M74" s="471"/>
    </row>
    <row r="75" spans="1:26" x14ac:dyDescent="0.25">
      <c r="A75" s="1418" t="s">
        <v>188</v>
      </c>
      <c r="B75" s="1418"/>
      <c r="C75" s="1418"/>
      <c r="D75" s="1418"/>
      <c r="E75" s="467"/>
      <c r="F75" s="467"/>
      <c r="G75" s="467"/>
      <c r="H75" s="467"/>
      <c r="I75" s="467"/>
      <c r="J75" s="467"/>
      <c r="M75" s="471"/>
    </row>
    <row r="76" spans="1:26" ht="24" customHeight="1" x14ac:dyDescent="0.25">
      <c r="A76" s="1417" t="s">
        <v>189</v>
      </c>
      <c r="B76" s="1417"/>
      <c r="C76" s="641" t="s">
        <v>190</v>
      </c>
      <c r="D76" s="641" t="s">
        <v>107</v>
      </c>
      <c r="E76" s="467"/>
      <c r="F76" s="467"/>
      <c r="G76" s="467"/>
      <c r="H76" s="467"/>
      <c r="I76" s="467"/>
      <c r="J76" s="467"/>
      <c r="M76" s="471"/>
      <c r="P76" s="471"/>
    </row>
    <row r="77" spans="1:26" ht="19.5" customHeight="1" x14ac:dyDescent="0.25">
      <c r="A77" s="634"/>
      <c r="B77" s="635" t="str">
        <f>A40</f>
        <v>Masa molde + Suelo Humedo</v>
      </c>
      <c r="C77" s="639" t="e">
        <f>H40</f>
        <v>#DIV/0!</v>
      </c>
      <c r="D77" s="642" t="e">
        <f>+C77/$C$81</f>
        <v>#DIV/0!</v>
      </c>
      <c r="E77" s="467"/>
      <c r="F77" s="467"/>
      <c r="G77" s="467"/>
      <c r="H77" s="467"/>
      <c r="I77" s="467"/>
      <c r="J77" s="467"/>
      <c r="P77" s="471"/>
    </row>
    <row r="78" spans="1:26" ht="19.5" customHeight="1" x14ac:dyDescent="0.25">
      <c r="A78" s="636"/>
      <c r="B78" s="637" t="str">
        <f>A44</f>
        <v xml:space="preserve">Masa Molde </v>
      </c>
      <c r="C78" s="640" t="e">
        <f>H44</f>
        <v>#DIV/0!</v>
      </c>
      <c r="D78" s="643" t="e">
        <f>+C78/$C$81</f>
        <v>#DIV/0!</v>
      </c>
      <c r="E78" s="467"/>
      <c r="F78" s="467"/>
      <c r="G78" s="467"/>
      <c r="H78" s="467"/>
      <c r="I78" s="467"/>
      <c r="J78" s="467"/>
      <c r="P78" s="471"/>
    </row>
    <row r="79" spans="1:26" ht="19.5" customHeight="1" x14ac:dyDescent="0.25">
      <c r="A79" s="636"/>
      <c r="B79" s="637" t="str">
        <f>A48</f>
        <v>Volumen del Molde</v>
      </c>
      <c r="C79" s="640" t="e">
        <f>H48</f>
        <v>#DIV/0!</v>
      </c>
      <c r="D79" s="643" t="e">
        <f>+C79/$C$81</f>
        <v>#DIV/0!</v>
      </c>
      <c r="E79" s="467"/>
      <c r="F79" s="467"/>
      <c r="G79" s="467"/>
      <c r="H79" s="467"/>
      <c r="I79" s="467"/>
      <c r="J79" s="467"/>
    </row>
    <row r="80" spans="1:26" ht="19.5" customHeight="1" x14ac:dyDescent="0.25">
      <c r="A80" s="485"/>
      <c r="B80" s="638" t="str">
        <f>A50</f>
        <v>factor de presición MDS</v>
      </c>
      <c r="C80" s="645">
        <f>H50</f>
        <v>2.0947951371589977E-2</v>
      </c>
      <c r="D80" s="643" t="e">
        <f>+C80/$C$81</f>
        <v>#DIV/0!</v>
      </c>
    </row>
    <row r="81" spans="1:25" ht="19.5" customHeight="1" x14ac:dyDescent="0.25">
      <c r="B81" s="488"/>
      <c r="C81" s="921" t="e">
        <f>SUM(C77:C80)</f>
        <v>#DIV/0!</v>
      </c>
      <c r="D81" s="644" t="e">
        <f>+C81/$C$81</f>
        <v>#DIV/0!</v>
      </c>
    </row>
    <row r="85" spans="1:25" ht="13.8" thickBot="1" x14ac:dyDescent="0.3">
      <c r="A85" s="672" t="s">
        <v>647</v>
      </c>
    </row>
    <row r="86" spans="1:25" ht="40.200000000000003" thickBot="1" x14ac:dyDescent="0.3">
      <c r="A86" s="620" t="s">
        <v>154</v>
      </c>
      <c r="B86" s="621" t="s">
        <v>155</v>
      </c>
      <c r="C86" s="620" t="s">
        <v>156</v>
      </c>
      <c r="D86" s="622" t="s">
        <v>157</v>
      </c>
      <c r="E86" s="622" t="s">
        <v>158</v>
      </c>
      <c r="F86" s="622" t="s">
        <v>159</v>
      </c>
      <c r="G86" s="622" t="s">
        <v>160</v>
      </c>
      <c r="H86" s="623" t="s">
        <v>161</v>
      </c>
      <c r="J86" s="671" t="s">
        <v>191</v>
      </c>
      <c r="K86" s="486" t="str">
        <f>+DATOS!Q7</f>
        <v>-</v>
      </c>
    </row>
    <row r="87" spans="1:25" ht="19.5" customHeight="1" x14ac:dyDescent="0.25">
      <c r="A87" s="578" t="s">
        <v>192</v>
      </c>
      <c r="B87" s="660" t="s">
        <v>193</v>
      </c>
      <c r="C87" s="585">
        <f>3.14159*C88*C92*C92/4</f>
        <v>939517.41613012517</v>
      </c>
      <c r="D87" s="527" t="s">
        <v>164</v>
      </c>
      <c r="E87" s="527" t="s">
        <v>164</v>
      </c>
      <c r="F87" s="527" t="s">
        <v>164</v>
      </c>
      <c r="G87" s="527" t="s">
        <v>164</v>
      </c>
      <c r="H87" s="579" t="s">
        <v>164</v>
      </c>
      <c r="J87" s="413" t="s">
        <v>194</v>
      </c>
      <c r="N87" s="486"/>
      <c r="O87" s="486" t="s">
        <v>195</v>
      </c>
      <c r="P87" s="486" t="s">
        <v>196</v>
      </c>
      <c r="Q87" s="486" t="s">
        <v>197</v>
      </c>
      <c r="R87" s="486" t="s">
        <v>198</v>
      </c>
      <c r="T87" s="1416" t="s">
        <v>527</v>
      </c>
      <c r="U87" s="1416"/>
      <c r="V87" s="1416"/>
      <c r="W87" s="1416" t="s">
        <v>528</v>
      </c>
      <c r="X87" s="1416"/>
      <c r="Y87" s="1416"/>
    </row>
    <row r="88" spans="1:25" ht="19.5" customHeight="1" x14ac:dyDescent="0.25">
      <c r="A88" s="596" t="s">
        <v>199</v>
      </c>
      <c r="B88" s="597" t="s">
        <v>200</v>
      </c>
      <c r="C88" s="598">
        <f>+IF($K$86="M6",L89,L90)</f>
        <v>116.78</v>
      </c>
      <c r="D88" s="599" t="s">
        <v>164</v>
      </c>
      <c r="E88" s="600" t="s">
        <v>164</v>
      </c>
      <c r="F88" s="601">
        <f>SQRT((F89*F89)+(F90*F90)+(F91*F91))</f>
        <v>5.0700675819628581E-2</v>
      </c>
      <c r="G88" s="600">
        <f>3.14159*POWER(C92,2)/4</f>
        <v>8045.1910954797495</v>
      </c>
      <c r="H88" s="602">
        <f>+G88*F88</f>
        <v>407.89662563888129</v>
      </c>
      <c r="J88" s="657" t="s">
        <v>76</v>
      </c>
      <c r="K88" s="657" t="s">
        <v>201</v>
      </c>
      <c r="L88" s="657" t="s">
        <v>202</v>
      </c>
      <c r="N88" s="669">
        <v>1</v>
      </c>
      <c r="O88" s="503">
        <f>+V88</f>
        <v>152.17000000000002</v>
      </c>
      <c r="P88" s="669">
        <v>116.51</v>
      </c>
      <c r="Q88" s="503">
        <f>+Y88</f>
        <v>101.17</v>
      </c>
      <c r="R88" s="669">
        <v>116.75</v>
      </c>
      <c r="T88" s="912">
        <v>152.28</v>
      </c>
      <c r="U88" s="912">
        <v>152.06</v>
      </c>
      <c r="V88" s="913">
        <f>+AVERAGE(T88:U88)</f>
        <v>152.17000000000002</v>
      </c>
      <c r="W88" s="912">
        <v>101</v>
      </c>
      <c r="X88" s="912">
        <v>101.34</v>
      </c>
      <c r="Y88" s="913">
        <f>+AVERAGE(W88:X88)</f>
        <v>101.17</v>
      </c>
    </row>
    <row r="89" spans="1:25" ht="19.5" customHeight="1" x14ac:dyDescent="0.25">
      <c r="A89" s="604" t="s">
        <v>203</v>
      </c>
      <c r="B89" s="597" t="s">
        <v>200</v>
      </c>
      <c r="C89" s="605"/>
      <c r="D89" s="606">
        <f>+IF($K$86="M6",P94,R94)</f>
        <v>5.0310149185934627E-2</v>
      </c>
      <c r="E89" s="607" t="s">
        <v>168</v>
      </c>
      <c r="F89" s="608">
        <f>+D89</f>
        <v>5.0310149185934627E-2</v>
      </c>
      <c r="G89" s="609" t="s">
        <v>164</v>
      </c>
      <c r="H89" s="610" t="s">
        <v>164</v>
      </c>
      <c r="J89" s="657">
        <v>6</v>
      </c>
      <c r="K89" s="658">
        <v>152.22999999999999</v>
      </c>
      <c r="L89" s="658">
        <v>116.55</v>
      </c>
      <c r="N89" s="669">
        <v>2</v>
      </c>
      <c r="O89" s="503">
        <f t="shared" ref="O89:O93" si="0">+V89</f>
        <v>152.26499999999999</v>
      </c>
      <c r="P89" s="669">
        <v>116.82</v>
      </c>
      <c r="Q89" s="503">
        <f t="shared" ref="Q89:Q93" si="1">+Y89</f>
        <v>101.19499999999999</v>
      </c>
      <c r="R89" s="669">
        <v>116.83</v>
      </c>
      <c r="T89" s="912">
        <v>152.01</v>
      </c>
      <c r="U89" s="912">
        <v>152.52000000000001</v>
      </c>
      <c r="V89" s="913">
        <f t="shared" ref="V89:V93" si="2">+AVERAGE(T89:U89)</f>
        <v>152.26499999999999</v>
      </c>
      <c r="W89" s="912">
        <v>101.17</v>
      </c>
      <c r="X89" s="912">
        <v>101.22</v>
      </c>
      <c r="Y89" s="913">
        <f t="shared" ref="Y89:Y93" si="3">+AVERAGE(W89:X89)</f>
        <v>101.19499999999999</v>
      </c>
    </row>
    <row r="90" spans="1:25" ht="19.5" customHeight="1" x14ac:dyDescent="0.25">
      <c r="A90" s="604" t="s">
        <v>169</v>
      </c>
      <c r="B90" s="597" t="s">
        <v>200</v>
      </c>
      <c r="C90" s="605"/>
      <c r="D90" s="659">
        <f>+SQRT(11.156^2+(0.006^2)*((C88/1000)^2))/1000</f>
        <v>1.1156000022003966E-2</v>
      </c>
      <c r="E90" s="607" t="s">
        <v>170</v>
      </c>
      <c r="F90" s="608">
        <f>+D90/2</f>
        <v>5.5780000110019828E-3</v>
      </c>
      <c r="G90" s="609" t="s">
        <v>164</v>
      </c>
      <c r="H90" s="610" t="s">
        <v>164</v>
      </c>
      <c r="J90" s="657">
        <v>4</v>
      </c>
      <c r="K90" s="658">
        <v>101.21</v>
      </c>
      <c r="L90" s="658">
        <v>116.78</v>
      </c>
      <c r="N90" s="669">
        <v>3</v>
      </c>
      <c r="O90" s="503">
        <f t="shared" si="0"/>
        <v>152.345</v>
      </c>
      <c r="P90" s="669">
        <v>116.62</v>
      </c>
      <c r="Q90" s="503">
        <f t="shared" si="1"/>
        <v>101.125</v>
      </c>
      <c r="R90" s="669">
        <v>116.61</v>
      </c>
      <c r="T90" s="912">
        <v>152.38</v>
      </c>
      <c r="U90" s="912">
        <v>152.31</v>
      </c>
      <c r="V90" s="913">
        <f t="shared" si="2"/>
        <v>152.345</v>
      </c>
      <c r="W90" s="912">
        <v>101.19</v>
      </c>
      <c r="X90" s="912">
        <v>101.06</v>
      </c>
      <c r="Y90" s="913">
        <f t="shared" si="3"/>
        <v>101.125</v>
      </c>
    </row>
    <row r="91" spans="1:25" ht="19.5" customHeight="1" x14ac:dyDescent="0.25">
      <c r="A91" s="604" t="s">
        <v>171</v>
      </c>
      <c r="B91" s="597" t="s">
        <v>200</v>
      </c>
      <c r="C91" s="605"/>
      <c r="D91" s="656">
        <v>0.01</v>
      </c>
      <c r="E91" s="613" t="s">
        <v>172</v>
      </c>
      <c r="F91" s="608">
        <f>+D91/SQRT(3)/2</f>
        <v>2.886751345948129E-3</v>
      </c>
      <c r="G91" s="609" t="s">
        <v>164</v>
      </c>
      <c r="H91" s="610" t="s">
        <v>164</v>
      </c>
      <c r="N91" s="669">
        <v>4</v>
      </c>
      <c r="O91" s="503">
        <f t="shared" si="0"/>
        <v>151.95499999999998</v>
      </c>
      <c r="P91" s="669">
        <v>116.39</v>
      </c>
      <c r="Q91" s="503">
        <f t="shared" si="1"/>
        <v>101.36</v>
      </c>
      <c r="R91" s="669">
        <v>116.96</v>
      </c>
      <c r="T91" s="912">
        <v>151.9</v>
      </c>
      <c r="U91" s="912">
        <v>152.01</v>
      </c>
      <c r="V91" s="913">
        <f t="shared" si="2"/>
        <v>151.95499999999998</v>
      </c>
      <c r="W91" s="912">
        <v>101.47</v>
      </c>
      <c r="X91" s="912">
        <v>101.25</v>
      </c>
      <c r="Y91" s="913">
        <f t="shared" si="3"/>
        <v>101.36</v>
      </c>
    </row>
    <row r="92" spans="1:25" ht="19.5" customHeight="1" x14ac:dyDescent="0.25">
      <c r="A92" s="614" t="s">
        <v>204</v>
      </c>
      <c r="B92" s="597" t="s">
        <v>200</v>
      </c>
      <c r="C92" s="598">
        <f>+IF($K$86="M6",K89,K90)</f>
        <v>101.21</v>
      </c>
      <c r="D92" s="615"/>
      <c r="E92" s="616" t="s">
        <v>164</v>
      </c>
      <c r="F92" s="601">
        <f>SQRT((F93*F93)+(F94*F94)+(F95*F95))</f>
        <v>3.4721153905603541E-2</v>
      </c>
      <c r="G92" s="617">
        <f>3.14159*C88*C92/2</f>
        <v>18565.703312521</v>
      </c>
      <c r="H92" s="618">
        <f>+G92*F92</f>
        <v>644.62264207981514</v>
      </c>
      <c r="N92" s="669">
        <v>5</v>
      </c>
      <c r="O92" s="503">
        <f t="shared" si="0"/>
        <v>152.38499999999999</v>
      </c>
      <c r="P92" s="669">
        <v>116.31</v>
      </c>
      <c r="Q92" s="503">
        <f t="shared" si="1"/>
        <v>101.22</v>
      </c>
      <c r="R92" s="669">
        <v>116.7</v>
      </c>
      <c r="T92" s="912">
        <v>152.25</v>
      </c>
      <c r="U92" s="912">
        <v>152.52000000000001</v>
      </c>
      <c r="V92" s="913">
        <f t="shared" si="2"/>
        <v>152.38499999999999</v>
      </c>
      <c r="W92" s="912">
        <v>101.24</v>
      </c>
      <c r="X92" s="912">
        <v>101.2</v>
      </c>
      <c r="Y92" s="913">
        <f t="shared" si="3"/>
        <v>101.22</v>
      </c>
    </row>
    <row r="93" spans="1:25" ht="19.5" customHeight="1" x14ac:dyDescent="0.25">
      <c r="A93" s="604" t="s">
        <v>203</v>
      </c>
      <c r="B93" s="597" t="s">
        <v>200</v>
      </c>
      <c r="C93" s="605"/>
      <c r="D93" s="606">
        <f>+IF($K$86="M6",O94,Q94)</f>
        <v>3.4148369084204939E-2</v>
      </c>
      <c r="E93" s="607" t="s">
        <v>168</v>
      </c>
      <c r="F93" s="608">
        <f>+D93</f>
        <v>3.4148369084204939E-2</v>
      </c>
      <c r="G93" s="609" t="s">
        <v>164</v>
      </c>
      <c r="H93" s="610" t="s">
        <v>164</v>
      </c>
      <c r="N93" s="669">
        <v>6</v>
      </c>
      <c r="O93" s="503">
        <f t="shared" si="0"/>
        <v>152.22999999999999</v>
      </c>
      <c r="P93" s="669">
        <v>116.71</v>
      </c>
      <c r="Q93" s="503">
        <f t="shared" si="1"/>
        <v>101.15</v>
      </c>
      <c r="R93" s="669">
        <v>116.85</v>
      </c>
      <c r="T93" s="912">
        <v>152.13999999999999</v>
      </c>
      <c r="U93" s="912">
        <v>152.32</v>
      </c>
      <c r="V93" s="913">
        <f t="shared" si="2"/>
        <v>152.22999999999999</v>
      </c>
      <c r="W93" s="912">
        <v>101.1</v>
      </c>
      <c r="X93" s="912">
        <v>101.2</v>
      </c>
      <c r="Y93" s="913">
        <f t="shared" si="3"/>
        <v>101.15</v>
      </c>
    </row>
    <row r="94" spans="1:25" ht="19.5" customHeight="1" x14ac:dyDescent="0.25">
      <c r="A94" s="604" t="s">
        <v>169</v>
      </c>
      <c r="B94" s="597" t="s">
        <v>200</v>
      </c>
      <c r="C94" s="605"/>
      <c r="D94" s="659">
        <f>+SQRT((11.156^2)+(0.006^2)*((C92/1000)^2))/1000</f>
        <v>1.115600001652764E-2</v>
      </c>
      <c r="E94" s="607" t="s">
        <v>170</v>
      </c>
      <c r="F94" s="608">
        <f>+D94/2</f>
        <v>5.5780000082638198E-3</v>
      </c>
      <c r="G94" s="609" t="s">
        <v>164</v>
      </c>
      <c r="H94" s="610" t="s">
        <v>164</v>
      </c>
      <c r="M94" s="731" t="s">
        <v>205</v>
      </c>
      <c r="N94" s="731">
        <f>+COUNT(N88:N93)</f>
        <v>6</v>
      </c>
      <c r="O94" s="670">
        <f>+STDEV(O88:O93)/SQRT($N$94)</f>
        <v>6.2596592026510647E-2</v>
      </c>
      <c r="P94" s="670">
        <f>+STDEV(P88:P93)/SQRT($N$94)</f>
        <v>7.9078020545111705E-2</v>
      </c>
      <c r="Q94" s="670">
        <f t="shared" ref="Q94:R94" si="4">+STDEV(Q88:Q93)/SQRT($N$94)</f>
        <v>3.4148369084204939E-2</v>
      </c>
      <c r="R94" s="670">
        <f t="shared" si="4"/>
        <v>5.0310149185934627E-2</v>
      </c>
    </row>
    <row r="95" spans="1:25" ht="19.5" customHeight="1" thickBot="1" x14ac:dyDescent="0.3">
      <c r="A95" s="604" t="s">
        <v>171</v>
      </c>
      <c r="B95" s="597" t="s">
        <v>200</v>
      </c>
      <c r="C95" s="605"/>
      <c r="D95" s="656">
        <v>0.01</v>
      </c>
      <c r="E95" s="613" t="s">
        <v>172</v>
      </c>
      <c r="F95" s="608">
        <f>+D95/SQRT(3)/2</f>
        <v>2.886751345948129E-3</v>
      </c>
      <c r="G95" s="609" t="s">
        <v>164</v>
      </c>
      <c r="H95" s="610" t="s">
        <v>164</v>
      </c>
    </row>
    <row r="96" spans="1:25" ht="19.5" customHeight="1" x14ac:dyDescent="0.25">
      <c r="A96" s="661" t="s">
        <v>187</v>
      </c>
      <c r="B96" s="662"/>
      <c r="C96" s="662"/>
      <c r="D96" s="663"/>
      <c r="E96" s="662"/>
      <c r="F96" s="663"/>
      <c r="G96" s="664" t="s">
        <v>193</v>
      </c>
      <c r="H96" s="632">
        <f>+SQRT(H88*H88+H92*H92)</f>
        <v>762.83550513170735</v>
      </c>
    </row>
    <row r="97" spans="1:8" ht="19.5" customHeight="1" thickBot="1" x14ac:dyDescent="0.3">
      <c r="A97" s="665" t="s">
        <v>180</v>
      </c>
      <c r="B97" s="666"/>
      <c r="C97" s="666"/>
      <c r="D97" s="667"/>
      <c r="E97" s="666"/>
      <c r="F97" s="667"/>
      <c r="G97" s="668" t="s">
        <v>193</v>
      </c>
      <c r="H97" s="633">
        <f>H96*2</f>
        <v>1525.6710102634147</v>
      </c>
    </row>
    <row r="100" spans="1:8" x14ac:dyDescent="0.25">
      <c r="A100" s="1262" t="s">
        <v>648</v>
      </c>
      <c r="B100" s="1431" t="s">
        <v>649</v>
      </c>
      <c r="C100" s="1432"/>
      <c r="D100" s="1263"/>
      <c r="E100" s="1433" t="s">
        <v>650</v>
      </c>
      <c r="F100" s="1433"/>
      <c r="G100" s="1434" t="s">
        <v>651</v>
      </c>
      <c r="H100" s="1435"/>
    </row>
    <row r="101" spans="1:8" x14ac:dyDescent="0.25">
      <c r="A101" s="940"/>
      <c r="B101" s="940"/>
      <c r="C101" s="940"/>
      <c r="D101" s="940"/>
      <c r="E101" s="940"/>
      <c r="F101" s="940"/>
      <c r="G101" s="940"/>
      <c r="H101" s="940"/>
    </row>
    <row r="102" spans="1:8" x14ac:dyDescent="0.25">
      <c r="A102" s="1264" t="s">
        <v>652</v>
      </c>
      <c r="B102" s="1436">
        <v>44944</v>
      </c>
      <c r="C102" s="1437"/>
      <c r="D102" s="940"/>
      <c r="E102" s="1438" t="s">
        <v>653</v>
      </c>
      <c r="F102" s="1438"/>
      <c r="G102" s="1436">
        <v>44944</v>
      </c>
      <c r="H102" s="1437"/>
    </row>
    <row r="103" spans="1:8" x14ac:dyDescent="0.25">
      <c r="A103" s="940"/>
      <c r="B103" s="940"/>
      <c r="C103" s="940"/>
      <c r="D103" s="940"/>
      <c r="E103" s="940"/>
      <c r="F103" s="940"/>
      <c r="G103" s="940"/>
      <c r="H103" s="940"/>
    </row>
  </sheetData>
  <sheetProtection algorithmName="SHA-512" hashValue="wd0Sk3J/OeT0TxJIAnp4S2dGatByENh6gH5lE7pLCIYYn5xv110dK84OeIJzfd1un3raa/Q0kk7gUzEP+5w5+g==" saltValue="Nxfv9eN1cqS8LPjiSFaCXw==" spinCount="100000" sheet="1" selectLockedCells="1" selectUnlockedCells="1"/>
  <mergeCells count="20">
    <mergeCell ref="B100:C100"/>
    <mergeCell ref="E100:F100"/>
    <mergeCell ref="G100:H100"/>
    <mergeCell ref="B102:C102"/>
    <mergeCell ref="E102:F102"/>
    <mergeCell ref="G102:H102"/>
    <mergeCell ref="A1:C4"/>
    <mergeCell ref="D1:H4"/>
    <mergeCell ref="L30:L33"/>
    <mergeCell ref="L34:U34"/>
    <mergeCell ref="L35:M36"/>
    <mergeCell ref="P35:P36"/>
    <mergeCell ref="S35:S36"/>
    <mergeCell ref="T35:U36"/>
    <mergeCell ref="T87:V87"/>
    <mergeCell ref="W87:Y87"/>
    <mergeCell ref="A76:B76"/>
    <mergeCell ref="A75:D75"/>
    <mergeCell ref="B6:J6"/>
    <mergeCell ref="R30:S33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8197" r:id="rId4">
          <objectPr defaultSize="0" autoPict="0" r:id="rId5">
            <anchor moveWithCells="1">
              <from>
                <xdr:col>5</xdr:col>
                <xdr:colOff>861060</xdr:colOff>
                <xdr:row>16</xdr:row>
                <xdr:rowOff>175260</xdr:rowOff>
              </from>
              <to>
                <xdr:col>8</xdr:col>
                <xdr:colOff>457200</xdr:colOff>
                <xdr:row>20</xdr:row>
                <xdr:rowOff>38100</xdr:rowOff>
              </to>
            </anchor>
          </objectPr>
        </oleObject>
      </mc:Choice>
      <mc:Fallback>
        <oleObject progId="Equation.3" shapeId="8197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C65"/>
  <sheetViews>
    <sheetView zoomScaleNormal="100" workbookViewId="0">
      <selection activeCell="G30" sqref="G30"/>
    </sheetView>
  </sheetViews>
  <sheetFormatPr baseColWidth="10" defaultColWidth="11.44140625" defaultRowHeight="13.2" x14ac:dyDescent="0.25"/>
  <cols>
    <col min="1" max="1" width="11.44140625" style="470"/>
    <col min="2" max="2" width="13.88671875" style="470" customWidth="1"/>
    <col min="3" max="3" width="11.109375" style="470" customWidth="1"/>
    <col min="4" max="4" width="12" style="470" customWidth="1"/>
    <col min="5" max="7" width="11.44140625" style="470"/>
    <col min="8" max="10" width="14.44140625" style="470" customWidth="1"/>
    <col min="11" max="11" width="11.44140625" style="470"/>
    <col min="12" max="12" width="11.88671875" style="470" customWidth="1"/>
    <col min="13" max="13" width="11.109375" style="470" customWidth="1"/>
    <col min="14" max="16384" width="11.44140625" style="470"/>
  </cols>
  <sheetData>
    <row r="2" spans="2:27" x14ac:dyDescent="0.25">
      <c r="B2" s="1439" t="s">
        <v>206</v>
      </c>
      <c r="C2" s="1439"/>
      <c r="D2" s="1439"/>
      <c r="E2" s="1439"/>
      <c r="F2" s="1439"/>
      <c r="G2" s="1439"/>
      <c r="L2" s="1439" t="s">
        <v>206</v>
      </c>
      <c r="M2" s="1439"/>
      <c r="N2" s="1439"/>
      <c r="O2" s="1439"/>
      <c r="P2" s="1439"/>
      <c r="Q2" s="1439"/>
      <c r="T2" s="471"/>
      <c r="U2" s="471"/>
      <c r="V2" s="1050" t="s">
        <v>206</v>
      </c>
      <c r="W2" s="471"/>
      <c r="X2" s="471"/>
      <c r="Y2" s="471"/>
      <c r="Z2" s="471"/>
      <c r="AA2" s="471"/>
    </row>
    <row r="3" spans="2:27" x14ac:dyDescent="0.25">
      <c r="T3" s="471"/>
      <c r="U3" s="471"/>
      <c r="V3" s="471"/>
      <c r="W3" s="471"/>
      <c r="X3" s="471"/>
      <c r="Y3" s="471"/>
      <c r="Z3" s="471"/>
      <c r="AA3" s="471"/>
    </row>
    <row r="4" spans="2:27" x14ac:dyDescent="0.25">
      <c r="T4" s="471"/>
      <c r="U4" s="471"/>
      <c r="V4" s="471"/>
      <c r="W4" s="471"/>
      <c r="X4" s="471"/>
      <c r="Y4" s="471"/>
      <c r="Z4" s="471"/>
      <c r="AA4" s="471"/>
    </row>
    <row r="5" spans="2:27" x14ac:dyDescent="0.25">
      <c r="T5" s="471"/>
      <c r="U5" s="471"/>
      <c r="V5" s="471"/>
      <c r="W5" s="471"/>
      <c r="X5" s="471"/>
      <c r="Y5" s="471"/>
      <c r="Z5" s="471"/>
      <c r="AA5" s="471"/>
    </row>
    <row r="6" spans="2:27" x14ac:dyDescent="0.25">
      <c r="I6" s="1440" t="s">
        <v>207</v>
      </c>
      <c r="J6" s="1441"/>
      <c r="T6" s="471"/>
      <c r="U6" s="471"/>
      <c r="V6" s="471"/>
      <c r="W6" s="471"/>
      <c r="X6" s="471"/>
      <c r="Y6" s="471"/>
      <c r="Z6" s="471"/>
      <c r="AA6" s="471"/>
    </row>
    <row r="7" spans="2:27" x14ac:dyDescent="0.25">
      <c r="B7" s="508" t="s">
        <v>78</v>
      </c>
      <c r="C7" s="1120">
        <v>-1.4899999999999999E-6</v>
      </c>
      <c r="D7" s="471"/>
      <c r="E7" s="471"/>
      <c r="F7" s="471"/>
      <c r="G7" s="471"/>
      <c r="H7" s="471"/>
      <c r="I7" s="498">
        <f>IF(Incertidumbre!E55=0.1,Balanza!C8,Balanza!M8)</f>
        <v>4.1599999999999996E-3</v>
      </c>
      <c r="J7" s="498">
        <f>IF(Incertidumbre!E55=0.1,Balanza!D8,Balanza!N8)</f>
        <v>2.4299999999999999E-10</v>
      </c>
      <c r="L7" s="508" t="s">
        <v>560</v>
      </c>
      <c r="M7" s="696">
        <v>-3.2899999999999998E-6</v>
      </c>
      <c r="N7" s="471"/>
      <c r="O7" s="471"/>
      <c r="T7" s="508" t="s">
        <v>560</v>
      </c>
      <c r="U7" s="696">
        <v>3.7900000000000001E-6</v>
      </c>
      <c r="V7" s="471"/>
      <c r="W7" s="471"/>
      <c r="X7" s="471"/>
      <c r="Y7" s="471"/>
      <c r="Z7" s="471"/>
      <c r="AA7" s="471"/>
    </row>
    <row r="8" spans="2:27" x14ac:dyDescent="0.25">
      <c r="B8" s="509" t="s">
        <v>208</v>
      </c>
      <c r="C8" s="1121">
        <v>1.1399999999999999</v>
      </c>
      <c r="D8" s="1122">
        <v>2.4800000000000002E-10</v>
      </c>
      <c r="E8" s="471"/>
      <c r="F8" s="471"/>
      <c r="G8" s="471"/>
      <c r="H8" s="471"/>
      <c r="I8" s="471"/>
      <c r="J8" s="471"/>
      <c r="L8" s="509" t="s">
        <v>208</v>
      </c>
      <c r="M8" s="472">
        <v>4.1599999999999996E-3</v>
      </c>
      <c r="N8" s="696">
        <v>2.4299999999999999E-10</v>
      </c>
      <c r="O8" s="471"/>
      <c r="T8" s="509" t="s">
        <v>208</v>
      </c>
      <c r="U8" s="696">
        <v>4.4299999999999999E-5</v>
      </c>
      <c r="V8" s="696">
        <v>2.3000000000000001E-10</v>
      </c>
      <c r="W8" s="471"/>
      <c r="X8" s="471"/>
      <c r="Y8" s="471"/>
      <c r="Z8" s="471"/>
      <c r="AA8" s="471"/>
    </row>
    <row r="9" spans="2:27" x14ac:dyDescent="0.25">
      <c r="B9" s="509" t="s">
        <v>209</v>
      </c>
      <c r="C9" s="1123" t="s">
        <v>661</v>
      </c>
      <c r="D9" s="472"/>
      <c r="E9" s="471"/>
      <c r="F9" s="646" t="s">
        <v>182</v>
      </c>
      <c r="G9" s="471"/>
      <c r="H9" s="471"/>
      <c r="I9" s="471"/>
      <c r="J9" s="471"/>
      <c r="L9" s="509" t="s">
        <v>637</v>
      </c>
      <c r="M9" s="647" t="s">
        <v>636</v>
      </c>
      <c r="N9" s="472"/>
      <c r="O9" s="471"/>
      <c r="T9" s="509" t="s">
        <v>637</v>
      </c>
      <c r="U9" s="647" t="s">
        <v>635</v>
      </c>
      <c r="V9" s="472"/>
      <c r="W9" s="471"/>
      <c r="X9" s="471"/>
      <c r="Y9" s="471"/>
      <c r="Z9" s="471"/>
      <c r="AA9" s="471"/>
    </row>
    <row r="10" spans="2:27" x14ac:dyDescent="0.25">
      <c r="B10" s="509" t="s">
        <v>210</v>
      </c>
      <c r="C10" s="647">
        <v>1</v>
      </c>
      <c r="D10" s="472" t="s">
        <v>182</v>
      </c>
      <c r="E10" s="471"/>
      <c r="F10" s="471"/>
      <c r="G10" s="471"/>
      <c r="H10" s="471"/>
      <c r="I10" s="471"/>
      <c r="J10" s="471"/>
      <c r="L10" s="509" t="s">
        <v>171</v>
      </c>
      <c r="M10" s="647">
        <v>0.1</v>
      </c>
      <c r="N10" s="472" t="s">
        <v>182</v>
      </c>
      <c r="T10" s="509" t="s">
        <v>171</v>
      </c>
      <c r="U10" s="647" t="s">
        <v>556</v>
      </c>
      <c r="V10" s="472"/>
      <c r="W10" s="471"/>
      <c r="X10" s="471"/>
      <c r="Y10" s="471"/>
      <c r="Z10" s="471"/>
      <c r="AA10" s="471"/>
    </row>
    <row r="11" spans="2:27" x14ac:dyDescent="0.25">
      <c r="B11" s="509" t="s">
        <v>211</v>
      </c>
      <c r="C11" s="472" t="s">
        <v>80</v>
      </c>
      <c r="D11" s="471"/>
      <c r="E11" s="471"/>
      <c r="F11" s="471"/>
      <c r="G11" s="471"/>
      <c r="H11" s="471"/>
      <c r="I11" s="471"/>
      <c r="J11" s="471"/>
      <c r="L11" s="509" t="s">
        <v>638</v>
      </c>
      <c r="M11" s="472" t="s">
        <v>81</v>
      </c>
      <c r="N11" s="471"/>
      <c r="T11" s="509" t="s">
        <v>638</v>
      </c>
      <c r="U11" s="472" t="s">
        <v>557</v>
      </c>
      <c r="V11" s="471"/>
      <c r="W11" s="471"/>
      <c r="X11" s="471"/>
      <c r="Y11" s="471"/>
      <c r="Z11" s="471"/>
      <c r="AA11" s="471"/>
    </row>
    <row r="12" spans="2:27" x14ac:dyDescent="0.25">
      <c r="B12" s="509" t="s">
        <v>570</v>
      </c>
      <c r="C12" s="508"/>
      <c r="D12" s="1258">
        <v>46160</v>
      </c>
      <c r="E12" s="471"/>
      <c r="F12" s="471"/>
      <c r="G12" s="471"/>
      <c r="H12" s="471"/>
      <c r="I12" s="471"/>
      <c r="J12" s="471"/>
      <c r="L12" s="509" t="s">
        <v>570</v>
      </c>
      <c r="N12" s="1258">
        <v>46132</v>
      </c>
      <c r="T12" s="509" t="s">
        <v>639</v>
      </c>
      <c r="V12" s="1258">
        <v>46132</v>
      </c>
      <c r="W12" s="471"/>
      <c r="X12" s="471"/>
      <c r="Y12" s="471"/>
      <c r="Z12" s="471"/>
      <c r="AA12" s="471"/>
    </row>
    <row r="13" spans="2:27" x14ac:dyDescent="0.25">
      <c r="B13" s="693" t="s">
        <v>212</v>
      </c>
      <c r="C13" s="695" t="s">
        <v>213</v>
      </c>
      <c r="D13" s="681">
        <v>500</v>
      </c>
      <c r="E13" s="681">
        <v>1000</v>
      </c>
      <c r="F13" s="681">
        <v>5000</v>
      </c>
      <c r="G13" s="681">
        <v>10000</v>
      </c>
      <c r="H13" s="681">
        <v>15000</v>
      </c>
      <c r="I13" s="499">
        <v>20000</v>
      </c>
      <c r="J13" s="499"/>
      <c r="L13" s="693" t="s">
        <v>212</v>
      </c>
      <c r="M13" s="695" t="s">
        <v>213</v>
      </c>
      <c r="N13" s="499">
        <v>200</v>
      </c>
      <c r="O13" s="499">
        <v>500</v>
      </c>
      <c r="P13" s="499">
        <v>1000</v>
      </c>
      <c r="Q13" s="499">
        <v>5000</v>
      </c>
      <c r="R13" s="499">
        <v>10000</v>
      </c>
      <c r="T13" s="693" t="s">
        <v>212</v>
      </c>
      <c r="U13" s="695" t="s">
        <v>213</v>
      </c>
      <c r="V13" s="1052">
        <v>20</v>
      </c>
      <c r="W13" s="1052">
        <v>200</v>
      </c>
      <c r="X13" s="1052">
        <v>500</v>
      </c>
      <c r="Y13" s="1052">
        <v>1000</v>
      </c>
      <c r="Z13" s="471"/>
      <c r="AA13" s="471"/>
    </row>
    <row r="14" spans="2:27" ht="14.25" customHeight="1" x14ac:dyDescent="0.25">
      <c r="B14" s="954"/>
      <c r="C14" s="955"/>
      <c r="D14" s="939"/>
      <c r="E14" s="939"/>
      <c r="F14" s="939"/>
      <c r="G14" s="939"/>
      <c r="H14" s="939"/>
      <c r="I14" s="1164"/>
      <c r="J14" s="694"/>
      <c r="L14" s="954"/>
      <c r="M14" s="955"/>
      <c r="N14" s="938"/>
      <c r="O14" s="938"/>
      <c r="P14" s="938"/>
      <c r="Q14" s="938"/>
      <c r="R14" s="938"/>
      <c r="T14" s="954"/>
      <c r="U14" s="955"/>
      <c r="V14" s="1053"/>
      <c r="W14" s="1053"/>
      <c r="X14" s="1053"/>
      <c r="Y14" s="1054"/>
      <c r="Z14" s="471"/>
      <c r="AA14" s="471"/>
    </row>
    <row r="15" spans="2:27" ht="14.25" customHeight="1" x14ac:dyDescent="0.25">
      <c r="B15" s="954"/>
      <c r="C15" s="955"/>
      <c r="D15" s="939"/>
      <c r="E15" s="939"/>
      <c r="F15" s="939"/>
      <c r="G15" s="939"/>
      <c r="H15" s="939"/>
      <c r="I15" s="694"/>
      <c r="J15" s="694"/>
      <c r="L15" s="954"/>
      <c r="M15" s="955"/>
      <c r="N15" s="938"/>
      <c r="O15" s="938"/>
      <c r="P15" s="938"/>
      <c r="Q15" s="938"/>
      <c r="R15" s="938"/>
      <c r="T15" s="954"/>
      <c r="U15" s="955"/>
      <c r="V15" s="1053"/>
      <c r="W15" s="1053"/>
      <c r="X15" s="1053"/>
      <c r="Y15" s="1054"/>
      <c r="Z15" s="471"/>
      <c r="AA15" s="471"/>
    </row>
    <row r="16" spans="2:27" x14ac:dyDescent="0.25">
      <c r="B16" s="471"/>
      <c r="C16" s="471"/>
      <c r="D16" s="471"/>
      <c r="E16" s="471"/>
      <c r="F16" s="471"/>
      <c r="G16" s="471"/>
      <c r="H16" s="471"/>
      <c r="I16" s="471"/>
      <c r="J16" s="471"/>
      <c r="L16" s="471"/>
      <c r="M16" s="471"/>
      <c r="N16" s="471"/>
      <c r="O16" s="471"/>
      <c r="P16" s="471"/>
      <c r="Q16" s="471"/>
      <c r="T16" s="471"/>
      <c r="U16" s="471"/>
      <c r="V16" s="471"/>
      <c r="W16" s="471"/>
      <c r="X16" s="471"/>
      <c r="Y16" s="471"/>
      <c r="Z16" s="471"/>
      <c r="AA16" s="471"/>
    </row>
    <row r="17" spans="2:29" x14ac:dyDescent="0.25">
      <c r="B17" s="498"/>
      <c r="C17" s="497" t="s">
        <v>214</v>
      </c>
      <c r="D17" s="500">
        <v>0</v>
      </c>
      <c r="E17" s="500">
        <v>0</v>
      </c>
      <c r="F17" s="500">
        <v>0</v>
      </c>
      <c r="G17" s="500">
        <v>0</v>
      </c>
      <c r="H17" s="500">
        <v>0</v>
      </c>
      <c r="I17" s="500">
        <v>0</v>
      </c>
      <c r="J17" s="500"/>
      <c r="L17" s="498"/>
      <c r="M17" s="497" t="s">
        <v>214</v>
      </c>
      <c r="N17" s="500">
        <v>0</v>
      </c>
      <c r="O17" s="500">
        <v>0</v>
      </c>
      <c r="P17" s="500">
        <v>0</v>
      </c>
      <c r="Q17" s="500">
        <v>0</v>
      </c>
      <c r="R17" s="500">
        <v>0</v>
      </c>
      <c r="T17" s="1055"/>
      <c r="U17" s="1056" t="s">
        <v>214</v>
      </c>
      <c r="V17" s="500">
        <v>0</v>
      </c>
      <c r="W17" s="500">
        <v>0</v>
      </c>
      <c r="X17" s="500">
        <v>0</v>
      </c>
      <c r="Y17" s="1057"/>
      <c r="Z17" s="471"/>
      <c r="AA17" s="471"/>
    </row>
    <row r="18" spans="2:29" x14ac:dyDescent="0.25">
      <c r="B18" s="646"/>
      <c r="C18" s="509"/>
      <c r="D18" s="648"/>
      <c r="E18" s="648"/>
      <c r="F18" s="648"/>
      <c r="G18" s="648"/>
      <c r="H18" s="648"/>
      <c r="I18" s="648"/>
      <c r="J18" s="648"/>
      <c r="L18" s="646"/>
      <c r="M18" s="509"/>
      <c r="N18" s="648"/>
      <c r="O18" s="648"/>
      <c r="P18" s="648"/>
      <c r="Q18" s="648"/>
      <c r="T18" s="471"/>
      <c r="U18" s="471"/>
      <c r="V18" s="471"/>
      <c r="W18" s="471"/>
      <c r="X18" s="471"/>
      <c r="Y18" s="471"/>
      <c r="Z18" s="471"/>
      <c r="AA18" s="471"/>
    </row>
    <row r="19" spans="2:29" x14ac:dyDescent="0.25">
      <c r="B19" s="481" t="s">
        <v>215</v>
      </c>
      <c r="C19" s="481"/>
      <c r="D19" s="481"/>
      <c r="E19" s="481"/>
      <c r="F19" s="471"/>
      <c r="G19" s="471"/>
      <c r="H19" s="471"/>
      <c r="I19" s="471"/>
      <c r="J19" s="471"/>
      <c r="K19" s="471"/>
      <c r="L19" s="471"/>
      <c r="Y19" s="471"/>
      <c r="Z19" s="471"/>
      <c r="AA19" s="471"/>
    </row>
    <row r="20" spans="2:29" ht="15.75" customHeight="1" x14ac:dyDescent="0.25">
      <c r="D20" s="499">
        <f t="shared" ref="D20:I20" si="0">+D13</f>
        <v>500</v>
      </c>
      <c r="E20" s="499">
        <f t="shared" si="0"/>
        <v>1000</v>
      </c>
      <c r="F20" s="499">
        <f t="shared" si="0"/>
        <v>5000</v>
      </c>
      <c r="G20" s="499">
        <f t="shared" si="0"/>
        <v>10000</v>
      </c>
      <c r="H20" s="499">
        <f t="shared" si="0"/>
        <v>15000</v>
      </c>
      <c r="I20" s="499">
        <f t="shared" si="0"/>
        <v>20000</v>
      </c>
      <c r="J20" s="499"/>
      <c r="N20" s="499">
        <f>+N13</f>
        <v>200</v>
      </c>
      <c r="O20" s="499">
        <f>+O13</f>
        <v>500</v>
      </c>
      <c r="P20" s="499">
        <f>+P13</f>
        <v>1000</v>
      </c>
      <c r="Q20" s="499">
        <f>+Q13</f>
        <v>5000</v>
      </c>
      <c r="R20" s="499">
        <f>+R13</f>
        <v>10000</v>
      </c>
      <c r="T20" s="1058"/>
      <c r="U20" s="1060"/>
      <c r="V20" s="1051">
        <f>+V13</f>
        <v>20</v>
      </c>
      <c r="W20" s="1051">
        <f>+W13</f>
        <v>200</v>
      </c>
      <c r="X20" s="1051">
        <f>+X13</f>
        <v>500</v>
      </c>
      <c r="Y20" s="1051"/>
      <c r="Z20" s="471"/>
      <c r="AA20" s="471"/>
    </row>
    <row r="21" spans="2:29" x14ac:dyDescent="0.25">
      <c r="D21" s="501">
        <f t="shared" ref="D21:I21" si="1">D17</f>
        <v>0</v>
      </c>
      <c r="E21" s="501">
        <f t="shared" si="1"/>
        <v>0</v>
      </c>
      <c r="F21" s="501">
        <f t="shared" si="1"/>
        <v>0</v>
      </c>
      <c r="G21" s="501">
        <f t="shared" si="1"/>
        <v>0</v>
      </c>
      <c r="H21" s="501">
        <f t="shared" si="1"/>
        <v>0</v>
      </c>
      <c r="I21" s="501">
        <f t="shared" si="1"/>
        <v>0</v>
      </c>
      <c r="J21" s="501"/>
      <c r="N21" s="500">
        <f>N17</f>
        <v>0</v>
      </c>
      <c r="O21" s="500">
        <f>O17</f>
        <v>0</v>
      </c>
      <c r="P21" s="500">
        <f>P17</f>
        <v>0</v>
      </c>
      <c r="Q21" s="500">
        <f>Q17</f>
        <v>0</v>
      </c>
      <c r="R21" s="500">
        <f>R17</f>
        <v>0</v>
      </c>
      <c r="T21" s="471"/>
      <c r="U21" s="483"/>
      <c r="V21" s="1057">
        <f>V17</f>
        <v>0</v>
      </c>
      <c r="W21" s="1057">
        <f>W17</f>
        <v>0</v>
      </c>
      <c r="X21" s="1057">
        <f>X17</f>
        <v>0</v>
      </c>
      <c r="Y21" s="1057"/>
      <c r="Z21" s="471"/>
      <c r="AA21" s="471"/>
    </row>
    <row r="22" spans="2:29" ht="14.4" x14ac:dyDescent="0.25">
      <c r="B22" s="111"/>
      <c r="C22" s="111"/>
      <c r="G22" s="471"/>
      <c r="H22" s="471"/>
      <c r="I22" s="471"/>
      <c r="J22" s="471"/>
      <c r="K22" s="471"/>
      <c r="L22" s="471"/>
      <c r="T22" s="940"/>
      <c r="U22" s="1059"/>
      <c r="Z22" s="471"/>
      <c r="AA22" s="471"/>
    </row>
    <row r="23" spans="2:29" x14ac:dyDescent="0.25">
      <c r="B23" s="511" t="s">
        <v>216</v>
      </c>
      <c r="C23" s="111"/>
      <c r="G23" s="471"/>
      <c r="H23" s="471"/>
      <c r="I23" s="471"/>
      <c r="J23" s="471"/>
      <c r="L23" s="471"/>
      <c r="Z23" s="471"/>
      <c r="AA23" s="471"/>
    </row>
    <row r="24" spans="2:29" ht="18.75" customHeight="1" x14ac:dyDescent="0.25">
      <c r="B24" s="510" t="s">
        <v>217</v>
      </c>
      <c r="C24" s="111"/>
      <c r="G24" s="471"/>
      <c r="H24" s="471"/>
      <c r="I24" s="471"/>
      <c r="J24" s="471"/>
      <c r="K24" s="471"/>
      <c r="L24" s="471"/>
      <c r="Z24" s="471"/>
      <c r="AA24" s="471"/>
    </row>
    <row r="25" spans="2:29" ht="18.75" customHeight="1" x14ac:dyDescent="0.25">
      <c r="B25" s="687" t="s">
        <v>86</v>
      </c>
      <c r="C25" s="688"/>
      <c r="D25" s="502">
        <f>+DATOS!F17</f>
        <v>0</v>
      </c>
      <c r="E25" s="500">
        <f>IF(D25&lt;=$D$20,$D$21,IF(AND(D25&gt;$D$20,D25&lt;=$E$20),$E$21,IF(AND(D25&gt;$E$20,D25&lt;=$F$20),$F$21,IF(AND(D25&gt;$F$20,D25&lt;=$G$20),$G$21,IF(AND(D25&gt;$G$20,D25&lt;=$H$20),$H$21,$H$21)))))</f>
        <v>0</v>
      </c>
      <c r="F25" s="502">
        <f>+DATOS!H17</f>
        <v>0</v>
      </c>
      <c r="G25" s="500">
        <f>IF(F25&lt;=$D$20,$D$21,IF(AND(F25&gt;$D$20,F25&lt;=$E$20),$E$21,IF(AND(F25&gt;$E$20,F25&lt;=$F$20),$F$21,IF(AND(F25&gt;$F$20,F25&lt;=$G$20),$G$21,IF(AND(F25&gt;$G$20,F25&lt;=$H$20),$H$21,$H$21)))))</f>
        <v>0</v>
      </c>
      <c r="H25" s="502">
        <f>+DATOS!J17</f>
        <v>0</v>
      </c>
      <c r="I25" s="500">
        <f>IF(H25&lt;=$D$20,$D$21,IF(AND(H25&gt;$D$20,H25&lt;=$E$20),$E$21,IF(AND(H25&gt;$E$20,H25&lt;=$F$20),$F$21,IF(AND(H25&gt;$F$20,H25&lt;=$G$20),$G$21,IF(AND(H25&gt;$G$20,H25&lt;=$H$20),$H$21,$H$21)))))</f>
        <v>0</v>
      </c>
      <c r="J25" s="502">
        <f>+DATOS!L17</f>
        <v>0</v>
      </c>
      <c r="K25" s="500">
        <f>IF(J25&lt;=$D$20,$D$21,IF(AND(J25&gt;$D$20,J25&lt;=$E$20),$E$21,IF(AND(J25&gt;$E$20,J25&lt;=$F$20),$F$21,IF(AND(J25&gt;$F$20,J25&lt;=$G$20),$G$21,IF(AND(J25&gt;$G$20,J25&lt;=$H$20),$H$21,$H$21)))))</f>
        <v>0</v>
      </c>
      <c r="M25" s="481" t="s">
        <v>219</v>
      </c>
      <c r="O25" s="655"/>
    </row>
    <row r="26" spans="2:29" ht="18.75" customHeight="1" x14ac:dyDescent="0.25">
      <c r="B26" s="691" t="s">
        <v>87</v>
      </c>
      <c r="C26" s="692"/>
      <c r="D26" s="502">
        <f>+DATOS!F18</f>
        <v>0</v>
      </c>
      <c r="E26" s="500">
        <f>IF(D26&lt;=$D$20,$D$21,IF(AND(D26&gt;$D$20,D26&lt;=$E$20),$E$21,IF(AND(D26&gt;$E$20,D26&lt;=$F$20),$F$21,IF(AND(D26&gt;$F$20,D26&lt;=$G$20),$G$21,IF(AND(D26&gt;$G$20,D26&lt;=$H$20),$H$21,$H$21)))))</f>
        <v>0</v>
      </c>
      <c r="F26" s="502">
        <f>+DATOS!H18</f>
        <v>0</v>
      </c>
      <c r="G26" s="500">
        <f>IF(F26&lt;=$D$20,$D$21,IF(AND(F26&gt;$D$20,F26&lt;=$E$20),$E$21,IF(AND(F26&gt;$E$20,F26&lt;=$F$20),$F$21,IF(AND(F26&gt;$F$20,F26&lt;=$G$20),$G$21,IF(AND(F26&gt;$G$20,F26&lt;=$H$20),$H$21,$H$21)))))</f>
        <v>0</v>
      </c>
      <c r="H26" s="502">
        <f>+DATOS!J18</f>
        <v>0</v>
      </c>
      <c r="I26" s="500">
        <f>IF(H26&lt;=$D$20,$D$21,IF(AND(H26&gt;$D$20,H26&lt;=$E$20),$E$21,IF(AND(H26&gt;$E$20,H26&lt;=$F$20),$F$21,IF(AND(H26&gt;$F$20,H26&lt;=$G$20),$G$21,IF(AND(H26&gt;$G$20,H26&lt;=$H$20),$H$21,$H$21)))))</f>
        <v>0</v>
      </c>
      <c r="J26" s="502">
        <f>+DATOS!L18</f>
        <v>0</v>
      </c>
      <c r="K26" s="500">
        <f>IF(J26&lt;=$D$20,$D$21,IF(AND(J26&gt;$D$20,J26&lt;=$E$20),$E$21,IF(AND(J26&gt;$E$20,J26&lt;=$F$20),$F$21,IF(AND(J26&gt;$F$20,J26&lt;=$G$20),$G$21,IF(AND(J26&gt;$G$20,J26&lt;=$H$20),$H$21,$H$21)))))</f>
        <v>0</v>
      </c>
      <c r="M26" s="687" t="s">
        <v>93</v>
      </c>
      <c r="N26" s="688"/>
      <c r="O26" s="503" t="e">
        <f>+DATOS!F24</f>
        <v>#DIV/0!</v>
      </c>
      <c r="P26" s="500" t="e">
        <f>IF(O26&lt;=$N$20,$N$21,IF(AND(O26&gt;$N$20,O26&lt;=$O$20),$O$21,IF(AND(O26&gt;$O$20,O26&lt;=$P$20),$P$21,IF(AND(O26&gt;$P$20,O26&lt;=$Q$20),$Q$21,IF(AND(O26&gt;$Q$20,O26&lt;=$R$20),$R$21,$R$21)))))</f>
        <v>#DIV/0!</v>
      </c>
      <c r="Q26" s="503" t="e">
        <f>+DATOS!H24</f>
        <v>#DIV/0!</v>
      </c>
      <c r="R26" s="500" t="e">
        <f>IF(Q26&lt;=$N$20,$N$21,IF(AND(Q26&gt;$N$20,Q26&lt;=$O$20),$O$21,IF(AND(Q26&gt;$O$20,Q26&lt;=$P$20),$P$21,IF(AND(Q26&gt;$P$20,Q26&lt;=$Q$20),$Q$21,IF(AND(Q26&gt;$Q$20,Q26&lt;=$R$20),$R$21,$R$21)))))</f>
        <v>#DIV/0!</v>
      </c>
      <c r="S26" s="503" t="e">
        <f>+DATOS!J24</f>
        <v>#DIV/0!</v>
      </c>
      <c r="T26" s="500" t="e">
        <f>IF(S26&lt;=$N$20,$N$21,IF(AND(S26&gt;$N$20,S26&lt;=$O$20),$O$21,IF(AND(S26&gt;$O$20,S26&lt;=$P$20),$P$21,IF(AND(S26&gt;$P$20,S26&lt;=$Q$20),$Q$21,IF(AND(S26&gt;$Q$20,S26&lt;=$R$20),$R$21,$R$21)))))</f>
        <v>#DIV/0!</v>
      </c>
      <c r="U26" s="503" t="e">
        <f>+DATOS!L24</f>
        <v>#DIV/0!</v>
      </c>
      <c r="V26" s="500" t="e">
        <f>IF(U26&lt;=$N$20,$N$21,IF(AND(U26&gt;$N$20,U26&lt;=$O$20),$O$21,IF(AND(U26&gt;$O$20,U26&lt;=$P$20),$P$21,IF(AND(U26&gt;$P$20,U26&lt;=$Q$20),$Q$21,IF(AND(U26&gt;$Q$20,U26&lt;=$R$20),$R$21,$R$21)))))</f>
        <v>#DIV/0!</v>
      </c>
    </row>
    <row r="27" spans="2:29" ht="18.75" customHeight="1" x14ac:dyDescent="0.25">
      <c r="B27" s="687" t="s">
        <v>218</v>
      </c>
      <c r="C27" s="688"/>
      <c r="D27" s="503">
        <f>+DATOS!F20</f>
        <v>0</v>
      </c>
      <c r="E27" s="504"/>
      <c r="F27" s="502">
        <f>+DATOS!H20</f>
        <v>0</v>
      </c>
      <c r="G27" s="505"/>
      <c r="H27" s="502">
        <f>+DATOS!J20</f>
        <v>0</v>
      </c>
      <c r="I27" s="505"/>
      <c r="J27" s="502">
        <f>+DATOS!L20</f>
        <v>0</v>
      </c>
      <c r="K27" s="505"/>
      <c r="M27" s="689" t="s">
        <v>96</v>
      </c>
      <c r="N27" s="690"/>
      <c r="O27" s="503" t="e">
        <f>+DATOS!F27</f>
        <v>#DIV/0!</v>
      </c>
      <c r="P27" s="500" t="e">
        <f t="shared" ref="P27:R28" si="2">IF(O27&lt;=$N$20,$N$21,IF(AND(O27&gt;$N$20,O27&lt;=$O$20),$O$21,IF(AND(O27&gt;$O$20,O27&lt;=$P$20),$P$21,IF(AND(O27&gt;$P$20,O27&lt;=$Q$20),$Q$21,IF(AND(O27&gt;$Q$20,O27&lt;=$R$20),$R$21,$R$21)))))</f>
        <v>#DIV/0!</v>
      </c>
      <c r="Q27" s="503" t="e">
        <f>+DATOS!H27</f>
        <v>#DIV/0!</v>
      </c>
      <c r="R27" s="500" t="e">
        <f t="shared" si="2"/>
        <v>#DIV/0!</v>
      </c>
      <c r="S27" s="503" t="e">
        <f>+DATOS!J27</f>
        <v>#DIV/0!</v>
      </c>
      <c r="T27" s="500" t="e">
        <f t="shared" ref="T27" si="3">IF(S27&lt;=$N$20,$N$21,IF(AND(S27&gt;$N$20,S27&lt;=$O$20),$O$21,IF(AND(S27&gt;$O$20,S27&lt;=$P$20),$P$21,IF(AND(S27&gt;$P$20,S27&lt;=$Q$20),$Q$21,IF(AND(S27&gt;$Q$20,S27&lt;=$R$20),$R$21,$R$21)))))</f>
        <v>#DIV/0!</v>
      </c>
      <c r="U27" s="503" t="e">
        <f>+DATOS!L27</f>
        <v>#DIV/0!</v>
      </c>
      <c r="V27" s="500" t="e">
        <f t="shared" ref="V27" si="4">IF(U27&lt;=$N$20,$N$21,IF(AND(U27&gt;$N$20,U27&lt;=$O$20),$O$21,IF(AND(U27&gt;$O$20,U27&lt;=$P$20),$P$21,IF(AND(U27&gt;$P$20,U27&lt;=$Q$20),$Q$21,IF(AND(U27&gt;$Q$20,U27&lt;=$R$20),$R$21,$R$21)))))</f>
        <v>#DIV/0!</v>
      </c>
    </row>
    <row r="28" spans="2:29" ht="18.75" customHeight="1" x14ac:dyDescent="0.25">
      <c r="B28" s="481"/>
      <c r="D28" s="655"/>
      <c r="M28" s="747" t="s">
        <v>97</v>
      </c>
      <c r="N28" s="748"/>
      <c r="O28" s="503" t="e">
        <f>+DATOS!F29</f>
        <v>#DIV/0!</v>
      </c>
      <c r="P28" s="500" t="e">
        <f t="shared" si="2"/>
        <v>#DIV/0!</v>
      </c>
      <c r="Q28" s="503" t="e">
        <f>+DATOS!H29</f>
        <v>#DIV/0!</v>
      </c>
      <c r="R28" s="500" t="e">
        <f t="shared" si="2"/>
        <v>#DIV/0!</v>
      </c>
      <c r="S28" s="503" t="e">
        <f>+DATOS!J29</f>
        <v>#DIV/0!</v>
      </c>
      <c r="T28" s="500" t="e">
        <f t="shared" ref="T28" si="5">IF(S28&lt;=$N$20,$N$21,IF(AND(S28&gt;$N$20,S28&lt;=$O$20),$O$21,IF(AND(S28&gt;$O$20,S28&lt;=$P$20),$P$21,IF(AND(S28&gt;$P$20,S28&lt;=$Q$20),$Q$21,IF(AND(S28&gt;$Q$20,S28&lt;=$R$20),$R$21,$R$21)))))</f>
        <v>#DIV/0!</v>
      </c>
      <c r="U28" s="503" t="e">
        <f>+DATOS!L29</f>
        <v>#DIV/0!</v>
      </c>
      <c r="V28" s="500" t="e">
        <f t="shared" ref="V28" si="6">IF(U28&lt;=$N$20,$N$21,IF(AND(U28&gt;$N$20,U28&lt;=$O$20),$O$21,IF(AND(U28&gt;$O$20,U28&lt;=$P$20),$P$21,IF(AND(U28&gt;$P$20,U28&lt;=$Q$20),$Q$21,IF(AND(U28&gt;$Q$20,U28&lt;=$R$20),$R$21,$R$21)))))</f>
        <v>#DIV/0!</v>
      </c>
    </row>
    <row r="29" spans="2:29" ht="18.75" customHeight="1" x14ac:dyDescent="0.25">
      <c r="B29" s="471"/>
      <c r="D29" s="697"/>
      <c r="E29" s="648"/>
      <c r="F29" s="697"/>
      <c r="G29" s="648"/>
      <c r="H29" s="697"/>
      <c r="I29" s="648"/>
      <c r="J29" s="697"/>
      <c r="K29" s="648"/>
    </row>
    <row r="30" spans="2:29" ht="18.75" customHeight="1" x14ac:dyDescent="0.25">
      <c r="B30" s="471"/>
      <c r="D30" s="697"/>
      <c r="E30" s="648"/>
      <c r="F30" s="697"/>
      <c r="G30" s="648"/>
      <c r="H30" s="697"/>
      <c r="I30" s="648"/>
      <c r="J30" s="697"/>
      <c r="K30" s="648"/>
      <c r="T30" s="481" t="s">
        <v>219</v>
      </c>
      <c r="V30" s="655"/>
    </row>
    <row r="31" spans="2:29" ht="18.75" customHeight="1" x14ac:dyDescent="0.25">
      <c r="B31" s="471"/>
      <c r="D31" s="697"/>
      <c r="E31" s="648"/>
      <c r="F31" s="697"/>
      <c r="G31" s="648"/>
      <c r="H31" s="697"/>
      <c r="I31" s="648"/>
      <c r="J31" s="697"/>
      <c r="K31" s="648"/>
      <c r="T31" s="687" t="s">
        <v>93</v>
      </c>
      <c r="U31" s="688"/>
      <c r="V31" s="503" t="e">
        <f>+DATOS!F24</f>
        <v>#DIV/0!</v>
      </c>
      <c r="W31" s="500" t="e">
        <f>IF(V31&lt;=$N$20,$N$21,IF(AND(V31&gt;$N$20,V31&lt;=$O$20),$O$21,IF(AND(V31&gt;$O$20,V31&lt;=$P$20),$P$21,IF(AND(V31&gt;$P$20,V31&lt;=$Q$20),$Q$21,IF(AND(V31&gt;$Q$20,V31&lt;=$R$20),$R$21,$R$21)))))</f>
        <v>#DIV/0!</v>
      </c>
      <c r="X31" s="503" t="e">
        <f>+DATOS!H24</f>
        <v>#DIV/0!</v>
      </c>
      <c r="Y31" s="500" t="e">
        <f>IF(X31&lt;=$N$20,$N$21,IF(AND(X31&gt;$N$20,X31&lt;=$O$20),$O$21,IF(AND(X31&gt;$O$20,X31&lt;=$P$20),$P$21,IF(AND(X31&gt;$P$20,X31&lt;=$Q$20),$Q$21,IF(AND(X31&gt;$Q$20,X31&lt;=$R$20),$R$21,$R$21)))))</f>
        <v>#DIV/0!</v>
      </c>
      <c r="Z31" s="503" t="e">
        <f>+DATOS!J24</f>
        <v>#DIV/0!</v>
      </c>
      <c r="AA31" s="500" t="e">
        <f>IF(Z31&lt;=$N$20,$N$21,IF(AND(Z31&gt;$N$20,Z31&lt;=$O$20),$O$21,IF(AND(Z31&gt;$O$20,Z31&lt;=$P$20),$P$21,IF(AND(Z31&gt;$P$20,Z31&lt;=$Q$20),$Q$21,IF(AND(Z31&gt;$Q$20,Z31&lt;=$R$20),$R$21,$R$21)))))</f>
        <v>#DIV/0!</v>
      </c>
      <c r="AB31" s="503" t="e">
        <f>+DATOS!L24</f>
        <v>#DIV/0!</v>
      </c>
      <c r="AC31" s="500" t="e">
        <f>IF(AB31&lt;=$N$20,$N$21,IF(AND(AB31&gt;$N$20,AB31&lt;=$O$20),$O$21,IF(AND(AB31&gt;$O$20,AB31&lt;=$P$20),$P$21,IF(AND(AB31&gt;$P$20,AB31&lt;=$Q$20),$Q$21,IF(AND(AB31&gt;$Q$20,AB31&lt;=$R$20),$R$21,$R$21)))))</f>
        <v>#DIV/0!</v>
      </c>
    </row>
    <row r="32" spans="2:29" x14ac:dyDescent="0.25">
      <c r="T32" s="689" t="s">
        <v>96</v>
      </c>
      <c r="U32" s="690"/>
      <c r="V32" s="503" t="e">
        <f>+DATOS!F27</f>
        <v>#DIV/0!</v>
      </c>
      <c r="W32" s="500" t="e">
        <f t="shared" ref="W32:W33" si="7">IF(V32&lt;=$N$20,$N$21,IF(AND(V32&gt;$N$20,V32&lt;=$O$20),$O$21,IF(AND(V32&gt;$O$20,V32&lt;=$P$20),$P$21,IF(AND(V32&gt;$P$20,V32&lt;=$Q$20),$Q$21,IF(AND(V32&gt;$Q$20,V32&lt;=$R$20),$R$21,$R$21)))))</f>
        <v>#DIV/0!</v>
      </c>
      <c r="X32" s="503" t="e">
        <f>+DATOS!H27</f>
        <v>#DIV/0!</v>
      </c>
      <c r="Y32" s="500" t="e">
        <f t="shared" ref="Y32:Y33" si="8">IF(X32&lt;=$N$20,$N$21,IF(AND(X32&gt;$N$20,X32&lt;=$O$20),$O$21,IF(AND(X32&gt;$O$20,X32&lt;=$P$20),$P$21,IF(AND(X32&gt;$P$20,X32&lt;=$Q$20),$Q$21,IF(AND(X32&gt;$Q$20,X32&lt;=$R$20),$R$21,$R$21)))))</f>
        <v>#DIV/0!</v>
      </c>
      <c r="Z32" s="503" t="e">
        <f>+DATOS!J27</f>
        <v>#DIV/0!</v>
      </c>
      <c r="AA32" s="500" t="e">
        <f t="shared" ref="AA32:AA33" si="9">IF(Z32&lt;=$N$20,$N$21,IF(AND(Z32&gt;$N$20,Z32&lt;=$O$20),$O$21,IF(AND(Z32&gt;$O$20,Z32&lt;=$P$20),$P$21,IF(AND(Z32&gt;$P$20,Z32&lt;=$Q$20),$Q$21,IF(AND(Z32&gt;$Q$20,Z32&lt;=$R$20),$R$21,$R$21)))))</f>
        <v>#DIV/0!</v>
      </c>
      <c r="AB32" s="503" t="e">
        <f>+DATOS!L27</f>
        <v>#DIV/0!</v>
      </c>
      <c r="AC32" s="500" t="e">
        <f t="shared" ref="AC32:AC33" si="10">IF(AB32&lt;=$N$20,$N$21,IF(AND(AB32&gt;$N$20,AB32&lt;=$O$20),$O$21,IF(AND(AB32&gt;$O$20,AB32&lt;=$P$20),$P$21,IF(AND(AB32&gt;$P$20,AB32&lt;=$Q$20),$Q$21,IF(AND(AB32&gt;$Q$20,AB32&lt;=$R$20),$R$21,$R$21)))))</f>
        <v>#DIV/0!</v>
      </c>
    </row>
    <row r="33" spans="2:29" ht="15" customHeight="1" x14ac:dyDescent="0.25">
      <c r="B33" s="649" t="s">
        <v>220</v>
      </c>
      <c r="C33" s="650"/>
      <c r="D33" s="650"/>
      <c r="E33" s="650"/>
      <c r="F33" s="413"/>
      <c r="T33" s="747" t="s">
        <v>97</v>
      </c>
      <c r="U33" s="748"/>
      <c r="V33" s="503" t="e">
        <f>+DATOS!F29</f>
        <v>#DIV/0!</v>
      </c>
      <c r="W33" s="500" t="e">
        <f t="shared" si="7"/>
        <v>#DIV/0!</v>
      </c>
      <c r="X33" s="503" t="e">
        <f>+DATOS!H29</f>
        <v>#DIV/0!</v>
      </c>
      <c r="Y33" s="500" t="e">
        <f t="shared" si="8"/>
        <v>#DIV/0!</v>
      </c>
      <c r="Z33" s="503" t="e">
        <f>+DATOS!J29</f>
        <v>#DIV/0!</v>
      </c>
      <c r="AA33" s="500" t="e">
        <f t="shared" si="9"/>
        <v>#DIV/0!</v>
      </c>
      <c r="AB33" s="503" t="e">
        <f>+DATOS!L29</f>
        <v>#DIV/0!</v>
      </c>
      <c r="AC33" s="500" t="e">
        <f t="shared" si="10"/>
        <v>#DIV/0!</v>
      </c>
    </row>
    <row r="34" spans="2:29" ht="15" customHeight="1" x14ac:dyDescent="0.25">
      <c r="B34" s="506" t="s">
        <v>221</v>
      </c>
      <c r="C34" s="651"/>
      <c r="D34" s="699">
        <v>4529.7</v>
      </c>
      <c r="E34" s="500">
        <f>IF(D34&lt;$D$20,$D$21,IF(AND(D34&gt;=$D$20,D34&lt;$E$20),$E$21,IF(AND(D34&gt;=$E$20,D34&lt;$F$20),$F$21,IF(AND(D34&gt;=$F$20,D34&lt;$G$20),$G$21,IF(AND(D34&gt;=$G$20,D34&lt;$H$20),$H$21,IF(AND(D34&gt;=$H$20,D34&lt;$I$20),$I$21,IF(AND(D34&gt;=$I$20,D34&lt;$J$20),$J$21)))))))</f>
        <v>0</v>
      </c>
      <c r="G34" s="413" t="s">
        <v>660</v>
      </c>
      <c r="I34" s="535"/>
      <c r="J34" s="535"/>
    </row>
    <row r="35" spans="2:29" ht="15" customHeight="1" x14ac:dyDescent="0.25">
      <c r="B35" s="649" t="s">
        <v>222</v>
      </c>
      <c r="C35" s="650"/>
      <c r="D35" s="650"/>
      <c r="E35" s="650"/>
      <c r="F35" s="413"/>
    </row>
    <row r="36" spans="2:29" ht="15" customHeight="1" x14ac:dyDescent="0.25">
      <c r="B36" s="506" t="s">
        <v>223</v>
      </c>
      <c r="C36" s="652"/>
      <c r="D36" s="700">
        <v>2130</v>
      </c>
      <c r="E36" s="500">
        <f>IF(D36&lt;$D$20,$D$21,IF(AND(D36&gt;=$D$20,D36&lt;$E$20),$E$21,IF(AND(D36&gt;=$E$20,D36&lt;$F$20),$F$21,IF(AND(D36&gt;=$F$20,D36&lt;$G$20),$G$21,IF(AND(D36&gt;=$G$20,D36&lt;$H$20),$H$21,IF(AND(D36&gt;=$H$20,D36&lt;$I$20),$I$21,IF(AND(D36&gt;=$I$20,D36&lt;$J$20),$J$21)))))))</f>
        <v>0</v>
      </c>
      <c r="F36" s="413"/>
      <c r="G36" s="413" t="s">
        <v>660</v>
      </c>
    </row>
    <row r="37" spans="2:29" ht="15" customHeight="1" x14ac:dyDescent="0.25">
      <c r="B37" s="649" t="s">
        <v>224</v>
      </c>
      <c r="C37" s="650"/>
      <c r="D37" s="701"/>
      <c r="E37" s="650"/>
      <c r="F37" s="413"/>
    </row>
    <row r="38" spans="2:29" ht="15" customHeight="1" x14ac:dyDescent="0.25">
      <c r="B38" s="506" t="s">
        <v>223</v>
      </c>
      <c r="C38" s="652"/>
      <c r="D38" s="700">
        <v>937.1</v>
      </c>
      <c r="E38" s="500">
        <f>IF(D38&lt;$D$20,$D$21,IF(AND(D38&gt;=$D$20,D38&lt;$E$20),$E$21,IF(AND(D38&gt;=$E$20,D38&lt;$F$20),$F$21,IF(AND(D38&gt;=$F$20,D38&lt;$G$20),$G$21,IF(AND(D38&gt;=$G$20,D38&lt;$H$20),$H$21,IF(AND(D38&gt;=$H$20,D38&lt;$I$20),$I$21,IF(AND(D38&gt;=$I$20,D38&lt;$J$20),$J$21)))))))</f>
        <v>0</v>
      </c>
      <c r="F38" s="413"/>
      <c r="G38" s="413" t="s">
        <v>659</v>
      </c>
    </row>
    <row r="39" spans="2:29" x14ac:dyDescent="0.25">
      <c r="B39" s="413"/>
      <c r="C39" s="413"/>
      <c r="D39" s="413"/>
      <c r="E39" s="413"/>
      <c r="F39" s="413"/>
    </row>
    <row r="41" spans="2:29" x14ac:dyDescent="0.25">
      <c r="B41" s="507"/>
      <c r="C41" s="507"/>
      <c r="D41" s="507"/>
      <c r="E41" s="507"/>
      <c r="F41" s="507"/>
      <c r="G41" s="507"/>
      <c r="H41" s="507"/>
      <c r="I41" s="507"/>
      <c r="J41" s="507"/>
      <c r="K41" s="507"/>
      <c r="L41" s="507"/>
      <c r="M41" s="507"/>
      <c r="N41" s="507"/>
      <c r="O41" s="507"/>
      <c r="P41" s="507"/>
      <c r="Q41" s="507"/>
    </row>
    <row r="42" spans="2:29" x14ac:dyDescent="0.25">
      <c r="B42" s="507"/>
      <c r="C42" s="507"/>
      <c r="D42" s="507"/>
      <c r="E42" s="507"/>
      <c r="F42" s="507"/>
      <c r="G42" s="507"/>
      <c r="H42" s="507"/>
      <c r="I42" s="507"/>
      <c r="J42" s="507"/>
      <c r="K42" s="507"/>
      <c r="L42" s="507"/>
      <c r="M42" s="507"/>
      <c r="N42" s="507"/>
      <c r="O42" s="507"/>
      <c r="P42" s="507"/>
      <c r="Q42" s="507"/>
      <c r="S42" s="481"/>
      <c r="T42" s="481"/>
      <c r="U42" s="481"/>
      <c r="V42" s="481"/>
      <c r="W42" s="471"/>
    </row>
    <row r="43" spans="2:29" x14ac:dyDescent="0.25">
      <c r="F43" s="507"/>
      <c r="G43" s="507"/>
      <c r="H43" s="507"/>
      <c r="I43" s="507"/>
      <c r="J43" s="507"/>
      <c r="K43" s="507"/>
      <c r="L43" s="507"/>
      <c r="M43" s="507"/>
      <c r="N43" s="507"/>
      <c r="O43" s="507"/>
      <c r="P43" s="507"/>
      <c r="Q43" s="507"/>
      <c r="S43" s="481"/>
      <c r="T43" s="481"/>
      <c r="U43" s="481"/>
      <c r="V43" s="481"/>
      <c r="W43" s="471"/>
    </row>
    <row r="44" spans="2:29" x14ac:dyDescent="0.25">
      <c r="B44" s="507"/>
      <c r="C44" s="507"/>
      <c r="D44" s="507"/>
      <c r="E44" s="507"/>
      <c r="F44" s="507"/>
      <c r="G44" s="507"/>
      <c r="H44" s="507"/>
      <c r="I44" s="507"/>
      <c r="J44" s="507"/>
      <c r="K44" s="507"/>
      <c r="L44" s="507"/>
      <c r="M44" s="507"/>
      <c r="N44" s="507"/>
      <c r="O44" s="507"/>
      <c r="P44" s="507"/>
      <c r="Q44" s="507"/>
      <c r="S44" s="481"/>
      <c r="T44" s="481"/>
      <c r="U44" s="481"/>
      <c r="V44" s="481"/>
    </row>
    <row r="45" spans="2:29" x14ac:dyDescent="0.25">
      <c r="S45" s="481"/>
      <c r="T45" s="481"/>
      <c r="U45" s="481"/>
      <c r="V45" s="481"/>
    </row>
    <row r="46" spans="2:29" x14ac:dyDescent="0.25">
      <c r="S46" s="481"/>
      <c r="T46" s="481"/>
      <c r="U46" s="481"/>
      <c r="V46" s="481"/>
    </row>
    <row r="47" spans="2:29" x14ac:dyDescent="0.25">
      <c r="S47" s="538"/>
      <c r="T47" s="538"/>
      <c r="U47" s="538"/>
      <c r="V47" s="538"/>
      <c r="W47" s="538"/>
    </row>
    <row r="48" spans="2:29" x14ac:dyDescent="0.25">
      <c r="S48" s="538"/>
      <c r="T48" s="538"/>
      <c r="U48" s="538"/>
      <c r="V48" s="538"/>
      <c r="W48" s="538"/>
    </row>
    <row r="49" spans="19:23" x14ac:dyDescent="0.25">
      <c r="S49" s="538"/>
      <c r="T49" s="538"/>
      <c r="U49" s="538"/>
      <c r="V49" s="538"/>
      <c r="W49" s="538"/>
    </row>
    <row r="50" spans="19:23" x14ac:dyDescent="0.25">
      <c r="S50" s="538"/>
      <c r="T50" s="538"/>
      <c r="U50" s="538"/>
      <c r="V50" s="538"/>
      <c r="W50" s="538"/>
    </row>
    <row r="51" spans="19:23" x14ac:dyDescent="0.25">
      <c r="S51" s="538"/>
      <c r="T51" s="538"/>
      <c r="U51" s="538"/>
      <c r="V51" s="538"/>
      <c r="W51" s="538"/>
    </row>
    <row r="52" spans="19:23" x14ac:dyDescent="0.25">
      <c r="S52" s="538"/>
      <c r="T52" s="538"/>
      <c r="U52" s="538"/>
      <c r="V52" s="538"/>
      <c r="W52" s="538"/>
    </row>
    <row r="53" spans="19:23" x14ac:dyDescent="0.25">
      <c r="S53" s="538"/>
      <c r="T53" s="538"/>
      <c r="U53" s="538"/>
      <c r="V53" s="538"/>
      <c r="W53" s="538"/>
    </row>
    <row r="54" spans="19:23" x14ac:dyDescent="0.25">
      <c r="S54" s="538"/>
      <c r="T54" s="538"/>
      <c r="U54" s="538"/>
      <c r="V54" s="538"/>
      <c r="W54" s="538"/>
    </row>
    <row r="55" spans="19:23" x14ac:dyDescent="0.25">
      <c r="S55" s="481"/>
      <c r="T55" s="481"/>
      <c r="U55" s="481"/>
      <c r="V55" s="481"/>
    </row>
    <row r="56" spans="19:23" x14ac:dyDescent="0.25">
      <c r="S56" s="481"/>
      <c r="T56" s="481"/>
      <c r="U56" s="481"/>
      <c r="V56" s="481"/>
    </row>
    <row r="57" spans="19:23" x14ac:dyDescent="0.25">
      <c r="S57" s="481"/>
      <c r="T57" s="481"/>
      <c r="U57" s="481"/>
      <c r="V57" s="481"/>
    </row>
    <row r="58" spans="19:23" x14ac:dyDescent="0.25">
      <c r="S58" s="481"/>
      <c r="T58" s="481"/>
      <c r="U58" s="481"/>
      <c r="V58" s="481"/>
    </row>
    <row r="59" spans="19:23" x14ac:dyDescent="0.25">
      <c r="S59" s="481"/>
      <c r="T59" s="481"/>
      <c r="U59" s="481"/>
      <c r="V59" s="481"/>
    </row>
    <row r="60" spans="19:23" x14ac:dyDescent="0.25">
      <c r="S60" s="481"/>
      <c r="T60" s="481"/>
      <c r="U60" s="481"/>
      <c r="V60" s="481"/>
    </row>
    <row r="61" spans="19:23" x14ac:dyDescent="0.25">
      <c r="S61" s="539"/>
      <c r="T61" s="539"/>
      <c r="U61" s="539"/>
      <c r="V61" s="539"/>
    </row>
    <row r="62" spans="19:23" x14ac:dyDescent="0.25">
      <c r="S62" s="539"/>
      <c r="T62" s="539"/>
      <c r="U62" s="539"/>
      <c r="V62" s="539"/>
    </row>
    <row r="63" spans="19:23" x14ac:dyDescent="0.25">
      <c r="S63" s="539"/>
      <c r="T63" s="539"/>
      <c r="U63" s="539"/>
      <c r="V63" s="539"/>
    </row>
    <row r="64" spans="19:23" x14ac:dyDescent="0.25">
      <c r="S64" s="539"/>
      <c r="T64" s="539"/>
      <c r="U64" s="539"/>
      <c r="V64" s="539"/>
    </row>
    <row r="65" spans="19:22" x14ac:dyDescent="0.25">
      <c r="S65" s="539"/>
      <c r="T65" s="539"/>
      <c r="U65" s="539"/>
      <c r="V65" s="539"/>
    </row>
  </sheetData>
  <sheetProtection algorithmName="SHA-512" hashValue="KJYFLgs7+/6EzJ//Gqc8jh9z+b6H02Hdhb3+z7Znvuxe9uOV8coATlvpvtHPJkdBAdL8wwWqEEHVqsJL5MSbEw==" saltValue="sFrPiCg2qXd0m1E0atjIXg==" spinCount="100000" sheet="1" objects="1" scenarios="1"/>
  <mergeCells count="3">
    <mergeCell ref="B2:G2"/>
    <mergeCell ref="L2:Q2"/>
    <mergeCell ref="I6:J6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J8"/>
  <sheetViews>
    <sheetView workbookViewId="0">
      <selection activeCell="E22" sqref="E22"/>
    </sheetView>
  </sheetViews>
  <sheetFormatPr baseColWidth="10" defaultColWidth="11.44140625" defaultRowHeight="13.2" x14ac:dyDescent="0.25"/>
  <cols>
    <col min="1" max="1" width="37" style="1132" customWidth="1"/>
    <col min="2" max="6" width="11.44140625" style="1132"/>
    <col min="7" max="7" width="36" style="1132" customWidth="1"/>
    <col min="8" max="16384" width="11.44140625" style="1132"/>
  </cols>
  <sheetData>
    <row r="2" spans="1:10" ht="14.4" x14ac:dyDescent="0.3">
      <c r="A2" s="1131"/>
    </row>
    <row r="3" spans="1:10" ht="13.8" x14ac:dyDescent="0.25">
      <c r="A3" s="496" t="s">
        <v>655</v>
      </c>
      <c r="G3" s="496" t="s">
        <v>658</v>
      </c>
    </row>
    <row r="4" spans="1:10" ht="13.8" x14ac:dyDescent="0.25">
      <c r="A4" s="496" t="s">
        <v>225</v>
      </c>
      <c r="B4" s="1133">
        <v>45807</v>
      </c>
      <c r="G4" s="496" t="s">
        <v>225</v>
      </c>
      <c r="H4" s="1133">
        <v>46064</v>
      </c>
    </row>
    <row r="5" spans="1:10" ht="13.8" x14ac:dyDescent="0.25">
      <c r="A5" s="496"/>
      <c r="B5" s="1265"/>
    </row>
    <row r="6" spans="1:10" ht="13.8" x14ac:dyDescent="0.25">
      <c r="A6" s="496" t="s">
        <v>656</v>
      </c>
      <c r="B6" s="1134"/>
      <c r="G6" s="1132" t="s">
        <v>657</v>
      </c>
    </row>
    <row r="7" spans="1:10" ht="15" customHeight="1" x14ac:dyDescent="0.3">
      <c r="A7" s="1135" t="s">
        <v>574</v>
      </c>
      <c r="B7" s="1442">
        <v>2.0947951371589977E-2</v>
      </c>
      <c r="C7" s="1442"/>
      <c r="D7" s="1442"/>
      <c r="E7" s="482"/>
      <c r="G7" s="1135" t="s">
        <v>574</v>
      </c>
      <c r="H7" s="1442">
        <v>0.11030261405182915</v>
      </c>
      <c r="I7" s="1442"/>
      <c r="J7" s="1442"/>
    </row>
    <row r="8" spans="1:10" ht="15" customHeight="1" x14ac:dyDescent="0.3">
      <c r="A8" s="1135" t="s">
        <v>575</v>
      </c>
      <c r="B8" s="1442">
        <v>2.1813476975842898E-2</v>
      </c>
      <c r="C8" s="1442"/>
      <c r="D8" s="1442"/>
      <c r="E8" s="482"/>
      <c r="G8" s="1135" t="s">
        <v>575</v>
      </c>
      <c r="H8" s="1442">
        <v>0.11377365443927613</v>
      </c>
      <c r="I8" s="1442"/>
      <c r="J8" s="1442"/>
    </row>
  </sheetData>
  <sheetProtection algorithmName="SHA-512" hashValue="FYJq3GhyQBF7Pmjc4398tmgpF0gfeMaFowah8hdIzkRnEppsVQu7MC046WcPkrhdaONzABmyez2teHVIMA3rRQ==" saltValue="QmbXxEwr+jVZyr/mMxd6pw==" spinCount="100000" sheet="1" objects="1" scenarios="1"/>
  <mergeCells count="4">
    <mergeCell ref="B7:D7"/>
    <mergeCell ref="H7:J7"/>
    <mergeCell ref="B8:D8"/>
    <mergeCell ref="H8:J8"/>
  </mergeCells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L191"/>
  <sheetViews>
    <sheetView showGridLines="0" view="pageBreakPreview" topLeftCell="A13" zoomScale="110" zoomScaleNormal="110" zoomScaleSheetLayoutView="110" workbookViewId="0">
      <selection activeCell="N13" sqref="N13"/>
    </sheetView>
  </sheetViews>
  <sheetFormatPr baseColWidth="10" defaultColWidth="10.33203125" defaultRowHeight="13.8" x14ac:dyDescent="0.25"/>
  <cols>
    <col min="1" max="1" width="16" style="28" customWidth="1"/>
    <col min="2" max="2" width="3.6640625" style="28" customWidth="1"/>
    <col min="3" max="5" width="11.6640625" style="28" customWidth="1"/>
    <col min="6" max="8" width="8.33203125" style="28" customWidth="1"/>
    <col min="9" max="9" width="2.33203125" style="28" customWidth="1"/>
    <col min="10" max="10" width="14.5546875" style="28" customWidth="1"/>
    <col min="11" max="12" width="10.33203125" style="28" customWidth="1"/>
    <col min="13" max="22" width="11.33203125" style="28" customWidth="1"/>
    <col min="23" max="37" width="8.6640625" style="28" customWidth="1"/>
    <col min="38" max="16384" width="10.33203125" style="28"/>
  </cols>
  <sheetData>
    <row r="2" spans="1:38" x14ac:dyDescent="0.25">
      <c r="L2" s="351"/>
      <c r="M2" s="363"/>
      <c r="N2" s="363"/>
      <c r="O2" s="363"/>
      <c r="P2" s="363"/>
      <c r="Q2" s="363"/>
      <c r="R2" s="363"/>
      <c r="S2" s="363"/>
      <c r="T2" s="363"/>
      <c r="U2" s="363"/>
      <c r="V2" s="363"/>
    </row>
    <row r="3" spans="1:38" x14ac:dyDescent="0.25">
      <c r="L3" s="351"/>
      <c r="M3" s="364"/>
      <c r="N3" s="365"/>
      <c r="O3" s="365"/>
      <c r="P3" s="365"/>
      <c r="Q3" s="365"/>
      <c r="R3" s="365"/>
      <c r="S3" s="365"/>
      <c r="T3" s="365"/>
      <c r="U3" s="365"/>
      <c r="V3" s="365"/>
    </row>
    <row r="4" spans="1:38" x14ac:dyDescent="0.25">
      <c r="L4" s="354"/>
      <c r="M4" s="364"/>
      <c r="N4" s="365"/>
      <c r="O4" s="365"/>
      <c r="P4" s="365"/>
      <c r="Q4" s="365"/>
      <c r="R4" s="365"/>
      <c r="S4" s="365"/>
      <c r="T4" s="365"/>
      <c r="U4" s="365"/>
      <c r="V4" s="365"/>
    </row>
    <row r="5" spans="1:38" x14ac:dyDescent="0.25">
      <c r="L5" s="356"/>
      <c r="M5" s="364"/>
      <c r="N5" s="365"/>
      <c r="O5" s="365"/>
      <c r="P5" s="365"/>
      <c r="Q5" s="365"/>
      <c r="R5" s="365"/>
      <c r="S5" s="365"/>
      <c r="T5" s="365"/>
      <c r="U5" s="365"/>
      <c r="V5" s="365"/>
    </row>
    <row r="6" spans="1:38" x14ac:dyDescent="0.25">
      <c r="L6" s="350"/>
      <c r="M6" s="364"/>
      <c r="N6" s="365"/>
      <c r="O6" s="365"/>
      <c r="P6" s="365"/>
      <c r="Q6" s="365"/>
      <c r="R6" s="365"/>
      <c r="S6" s="365"/>
      <c r="T6" s="365"/>
      <c r="U6" s="365"/>
      <c r="V6" s="365"/>
    </row>
    <row r="7" spans="1:38" ht="15.75" customHeight="1" x14ac:dyDescent="0.25">
      <c r="A7" s="1356" t="s">
        <v>0</v>
      </c>
      <c r="B7" s="1356"/>
      <c r="C7" s="1356"/>
      <c r="D7" s="1356"/>
      <c r="E7" s="1356"/>
      <c r="F7" s="1356"/>
      <c r="G7" s="1356"/>
      <c r="H7" s="1356"/>
      <c r="I7" s="1356"/>
      <c r="J7" s="1356"/>
      <c r="L7" s="326"/>
      <c r="M7" s="364"/>
      <c r="N7" s="365"/>
      <c r="O7" s="365"/>
      <c r="P7" s="365"/>
      <c r="Q7" s="365"/>
      <c r="R7" s="365"/>
      <c r="S7" s="365"/>
      <c r="T7" s="365"/>
      <c r="U7" s="365"/>
      <c r="V7" s="365"/>
    </row>
    <row r="8" spans="1:38" ht="15.75" customHeight="1" x14ac:dyDescent="0.25">
      <c r="A8" s="1450">
        <v>1</v>
      </c>
      <c r="B8" s="1450"/>
      <c r="C8" s="1450"/>
      <c r="D8" s="1450"/>
      <c r="E8" s="1450"/>
      <c r="F8" s="1450"/>
      <c r="G8" s="1450"/>
      <c r="H8" s="1450"/>
      <c r="I8" s="1450"/>
      <c r="J8" s="1450"/>
      <c r="L8" s="334"/>
      <c r="M8" s="366"/>
      <c r="N8" s="367"/>
      <c r="O8" s="367"/>
      <c r="P8" s="367"/>
      <c r="Q8" s="367"/>
      <c r="R8" s="367"/>
      <c r="S8" s="367"/>
      <c r="T8" s="367"/>
      <c r="U8" s="367"/>
      <c r="V8" s="367"/>
    </row>
    <row r="9" spans="1:38" ht="13.95" customHeight="1" x14ac:dyDescent="0.25">
      <c r="L9" s="334"/>
      <c r="M9" s="368"/>
      <c r="N9" s="368"/>
      <c r="O9" s="368"/>
      <c r="P9" s="368"/>
      <c r="Q9" s="368"/>
      <c r="R9" s="368"/>
      <c r="S9" s="368"/>
      <c r="T9" s="369"/>
      <c r="U9" s="361"/>
      <c r="V9" s="361"/>
      <c r="X9" s="325"/>
      <c r="Y9" s="325"/>
      <c r="Z9" s="325"/>
      <c r="AA9" s="325"/>
      <c r="AB9" s="325"/>
      <c r="AC9" s="325"/>
      <c r="AD9" s="325"/>
      <c r="AE9" s="325"/>
      <c r="AF9" s="325"/>
      <c r="AG9" s="325"/>
      <c r="AH9" s="314"/>
      <c r="AI9" s="314"/>
      <c r="AJ9" s="315"/>
      <c r="AK9" s="315"/>
      <c r="AL9" s="315"/>
    </row>
    <row r="10" spans="1:38" ht="13.95" customHeight="1" x14ac:dyDescent="0.25">
      <c r="A10" s="424" t="s">
        <v>1</v>
      </c>
      <c r="B10" s="425" t="s">
        <v>2</v>
      </c>
      <c r="C10" s="316">
        <f>+Proctor!E9</f>
        <v>0</v>
      </c>
      <c r="D10" s="735"/>
      <c r="E10" s="735"/>
      <c r="F10" s="735"/>
      <c r="G10" s="735"/>
      <c r="H10" s="426" t="s">
        <v>3</v>
      </c>
      <c r="I10" s="427" t="s">
        <v>2</v>
      </c>
      <c r="J10" s="466" t="s">
        <v>4</v>
      </c>
      <c r="L10" s="334"/>
      <c r="M10" s="370"/>
      <c r="N10" s="364"/>
      <c r="O10" s="365"/>
      <c r="P10" s="365"/>
      <c r="Q10" s="365"/>
      <c r="R10" s="368"/>
      <c r="S10" s="368"/>
      <c r="T10" s="369"/>
      <c r="U10" s="361"/>
      <c r="V10" s="361"/>
      <c r="X10" s="325"/>
      <c r="Y10" s="325"/>
      <c r="Z10" s="325"/>
      <c r="AA10" s="325"/>
      <c r="AB10" s="325"/>
      <c r="AC10" s="325"/>
      <c r="AD10" s="325"/>
      <c r="AE10" s="325"/>
      <c r="AF10" s="325"/>
      <c r="AG10" s="325"/>
      <c r="AH10" s="314"/>
      <c r="AI10" s="314"/>
      <c r="AJ10" s="315"/>
      <c r="AK10" s="315"/>
      <c r="AL10" s="315"/>
    </row>
    <row r="11" spans="1:38" ht="13.95" customHeight="1" x14ac:dyDescent="0.25">
      <c r="A11" s="424" t="s">
        <v>5</v>
      </c>
      <c r="B11" s="425" t="s">
        <v>2</v>
      </c>
      <c r="C11" s="316">
        <f>+Proctor!E10</f>
        <v>0</v>
      </c>
      <c r="D11" s="317"/>
      <c r="E11" s="317"/>
      <c r="F11" s="317"/>
      <c r="G11" s="317"/>
      <c r="H11" s="329" t="s">
        <v>6</v>
      </c>
      <c r="I11" s="425" t="s">
        <v>2</v>
      </c>
      <c r="J11" s="428">
        <f>+Proctor!L10</f>
        <v>0</v>
      </c>
      <c r="K11" s="341"/>
      <c r="M11" s="364"/>
      <c r="N11" s="365"/>
      <c r="O11" s="365"/>
      <c r="P11" s="365"/>
      <c r="Q11" s="365"/>
      <c r="R11" s="368"/>
      <c r="S11" s="368"/>
      <c r="T11" s="369"/>
      <c r="U11" s="361"/>
      <c r="V11" s="361"/>
      <c r="X11" s="325"/>
      <c r="Y11" s="325"/>
      <c r="Z11" s="325"/>
      <c r="AA11" s="325"/>
      <c r="AB11" s="325"/>
      <c r="AC11" s="325"/>
      <c r="AD11" s="325"/>
      <c r="AE11" s="325"/>
      <c r="AF11" s="325"/>
      <c r="AG11" s="325"/>
      <c r="AH11" s="314"/>
      <c r="AI11" s="314"/>
      <c r="AJ11" s="315"/>
      <c r="AK11" s="315"/>
      <c r="AL11" s="315"/>
    </row>
    <row r="12" spans="1:38" ht="13.95" customHeight="1" x14ac:dyDescent="0.25">
      <c r="A12" s="424" t="s">
        <v>7</v>
      </c>
      <c r="B12" s="425" t="s">
        <v>2</v>
      </c>
      <c r="C12" s="316">
        <f>+Proctor!E11</f>
        <v>0</v>
      </c>
      <c r="D12" s="317"/>
      <c r="E12" s="317"/>
      <c r="F12" s="317"/>
      <c r="G12" s="317"/>
      <c r="H12" s="329" t="s">
        <v>226</v>
      </c>
      <c r="I12" s="425" t="s">
        <v>2</v>
      </c>
      <c r="J12" s="429">
        <f>+Proctor!L11</f>
        <v>0</v>
      </c>
      <c r="K12" s="341"/>
      <c r="M12" s="365"/>
      <c r="N12" s="365"/>
      <c r="O12" s="365"/>
      <c r="P12" s="365"/>
      <c r="Q12" s="365"/>
      <c r="R12" s="368"/>
      <c r="S12" s="368"/>
      <c r="T12" s="369"/>
      <c r="U12" s="361"/>
      <c r="V12" s="361"/>
      <c r="X12" s="325"/>
      <c r="Y12" s="325"/>
      <c r="Z12" s="325"/>
      <c r="AA12" s="325"/>
      <c r="AB12" s="325"/>
      <c r="AC12" s="325"/>
      <c r="AD12" s="325"/>
      <c r="AE12" s="325"/>
      <c r="AF12" s="325"/>
      <c r="AG12" s="325"/>
      <c r="AH12" s="314"/>
      <c r="AI12" s="314"/>
      <c r="AJ12" s="315"/>
      <c r="AK12" s="315"/>
      <c r="AL12" s="315"/>
    </row>
    <row r="13" spans="1:38" ht="13.95" customHeight="1" x14ac:dyDescent="0.25">
      <c r="A13" s="424" t="s">
        <v>9</v>
      </c>
      <c r="B13" s="425" t="s">
        <v>2</v>
      </c>
      <c r="C13" s="316">
        <f>+Proctor!E12</f>
        <v>0</v>
      </c>
      <c r="D13" s="317"/>
      <c r="E13" s="317"/>
      <c r="F13" s="317"/>
      <c r="G13" s="317"/>
      <c r="K13" s="341"/>
      <c r="M13" s="365"/>
      <c r="N13" s="365"/>
      <c r="O13" s="365"/>
      <c r="P13" s="365"/>
      <c r="Q13" s="365"/>
      <c r="R13" s="368"/>
      <c r="S13" s="368"/>
      <c r="T13" s="369"/>
      <c r="U13" s="361"/>
      <c r="V13" s="361"/>
      <c r="X13" s="325"/>
      <c r="Y13" s="325"/>
      <c r="Z13" s="325"/>
      <c r="AA13" s="325"/>
      <c r="AB13" s="325"/>
      <c r="AC13" s="325"/>
      <c r="AD13" s="325"/>
      <c r="AE13" s="325"/>
      <c r="AF13" s="325"/>
      <c r="AG13" s="325"/>
      <c r="AH13" s="314"/>
      <c r="AI13" s="314"/>
      <c r="AJ13" s="315"/>
      <c r="AK13" s="315"/>
      <c r="AL13" s="315"/>
    </row>
    <row r="14" spans="1:38" ht="13.95" customHeight="1" x14ac:dyDescent="0.25">
      <c r="A14" s="328" t="s">
        <v>10</v>
      </c>
      <c r="B14" s="430"/>
      <c r="C14" s="431"/>
      <c r="D14" s="431"/>
      <c r="E14" s="431"/>
      <c r="F14" s="431"/>
      <c r="G14" s="431"/>
      <c r="H14" s="432"/>
      <c r="I14" s="430"/>
      <c r="J14" s="433"/>
      <c r="K14" s="341"/>
      <c r="M14" s="361"/>
      <c r="N14" s="361"/>
      <c r="O14" s="361"/>
      <c r="P14" s="361"/>
      <c r="Q14" s="361"/>
      <c r="R14" s="361"/>
      <c r="S14" s="361"/>
      <c r="T14" s="369"/>
      <c r="U14" s="362"/>
      <c r="V14" s="361"/>
      <c r="X14" s="324"/>
      <c r="Y14" s="342"/>
      <c r="Z14" s="325"/>
      <c r="AA14" s="325"/>
      <c r="AB14" s="325"/>
      <c r="AC14" s="325"/>
      <c r="AD14" s="325"/>
      <c r="AE14" s="325"/>
      <c r="AF14" s="325"/>
      <c r="AG14" s="325"/>
      <c r="AH14" s="314"/>
      <c r="AI14" s="314"/>
      <c r="AJ14" s="315"/>
      <c r="AK14" s="315"/>
      <c r="AL14" s="315"/>
    </row>
    <row r="15" spans="1:38" ht="30" customHeight="1" x14ac:dyDescent="0.25">
      <c r="A15" s="1451" t="s">
        <v>227</v>
      </c>
      <c r="B15" s="1452"/>
      <c r="C15" s="1452"/>
      <c r="D15" s="1452"/>
      <c r="E15" s="1452"/>
      <c r="F15" s="1452"/>
      <c r="G15" s="1452"/>
      <c r="H15" s="1452"/>
      <c r="I15" s="1452"/>
      <c r="J15" s="1453"/>
      <c r="K15" s="341"/>
      <c r="M15" s="365"/>
      <c r="N15" s="365"/>
      <c r="O15" s="365"/>
      <c r="P15" s="365"/>
      <c r="Q15" s="365"/>
      <c r="R15" s="361"/>
      <c r="S15" s="361"/>
      <c r="T15" s="369"/>
      <c r="U15" s="362"/>
      <c r="V15" s="361"/>
      <c r="X15" s="324"/>
      <c r="Y15" s="342"/>
      <c r="Z15" s="325"/>
      <c r="AA15" s="325"/>
      <c r="AB15" s="325"/>
      <c r="AC15" s="325"/>
      <c r="AD15" s="325"/>
      <c r="AE15" s="325"/>
      <c r="AF15" s="325"/>
      <c r="AG15" s="325"/>
      <c r="AH15" s="314"/>
      <c r="AI15" s="314"/>
      <c r="AJ15" s="315"/>
      <c r="AK15" s="315"/>
      <c r="AL15" s="315"/>
    </row>
    <row r="16" spans="1:38" ht="13.95" customHeight="1" x14ac:dyDescent="0.25">
      <c r="A16" s="1454" t="s">
        <v>228</v>
      </c>
      <c r="B16" s="1455"/>
      <c r="C16" s="1455"/>
      <c r="D16" s="1455"/>
      <c r="E16" s="1455"/>
      <c r="F16" s="1455"/>
      <c r="G16" s="1455"/>
      <c r="H16" s="1455"/>
      <c r="I16" s="1455"/>
      <c r="J16" s="1456"/>
      <c r="K16" s="341"/>
      <c r="L16" s="341"/>
      <c r="M16" s="365"/>
      <c r="N16" s="365"/>
      <c r="O16" s="365"/>
      <c r="P16" s="365"/>
      <c r="Q16" s="365"/>
      <c r="R16" s="361"/>
      <c r="S16" s="361"/>
      <c r="T16" s="369"/>
      <c r="U16" s="362"/>
      <c r="V16" s="361"/>
      <c r="X16" s="324"/>
      <c r="Y16" s="342"/>
      <c r="Z16" s="325"/>
      <c r="AA16" s="325"/>
      <c r="AB16" s="325"/>
      <c r="AC16" s="325"/>
      <c r="AD16" s="325"/>
      <c r="AE16" s="325"/>
      <c r="AF16" s="325"/>
      <c r="AG16" s="325"/>
      <c r="AH16" s="314"/>
      <c r="AI16" s="314"/>
      <c r="AJ16" s="315"/>
      <c r="AK16" s="315"/>
      <c r="AL16" s="315"/>
    </row>
    <row r="17" spans="1:38" ht="6.6" customHeight="1" x14ac:dyDescent="0.25">
      <c r="A17" s="318"/>
      <c r="B17" s="319"/>
      <c r="C17" s="320"/>
      <c r="D17" s="320"/>
      <c r="E17" s="320"/>
      <c r="F17" s="320"/>
      <c r="G17" s="320"/>
      <c r="H17" s="321"/>
      <c r="I17" s="319"/>
      <c r="J17" s="322"/>
      <c r="K17" s="341"/>
      <c r="L17" s="341"/>
      <c r="M17" s="365"/>
      <c r="N17" s="365"/>
      <c r="O17" s="365"/>
      <c r="P17" s="365"/>
      <c r="Q17" s="365"/>
      <c r="R17" s="361"/>
      <c r="S17" s="361"/>
      <c r="T17" s="369"/>
      <c r="U17" s="362"/>
      <c r="V17" s="361"/>
      <c r="X17" s="324"/>
      <c r="Y17" s="342"/>
      <c r="Z17" s="325"/>
      <c r="AA17" s="325"/>
      <c r="AB17" s="325"/>
      <c r="AC17" s="325"/>
      <c r="AD17" s="325"/>
      <c r="AE17" s="325"/>
      <c r="AF17" s="325"/>
      <c r="AG17" s="325"/>
      <c r="AH17" s="314"/>
      <c r="AI17" s="314"/>
      <c r="AJ17" s="315"/>
      <c r="AK17" s="315"/>
      <c r="AL17" s="315"/>
    </row>
    <row r="18" spans="1:38" ht="13.95" customHeight="1" x14ac:dyDescent="0.25">
      <c r="A18" s="1364" t="s">
        <v>13</v>
      </c>
      <c r="B18" s="1365"/>
      <c r="C18" s="1365"/>
      <c r="D18" s="1365"/>
      <c r="E18" s="1365"/>
      <c r="F18" s="1365"/>
      <c r="G18" s="1365"/>
      <c r="H18" s="1365"/>
      <c r="I18" s="1365"/>
      <c r="J18" s="1366"/>
      <c r="L18" s="341"/>
      <c r="M18" s="365"/>
      <c r="N18" s="365"/>
      <c r="O18" s="365"/>
      <c r="P18" s="365"/>
      <c r="Q18" s="365"/>
      <c r="R18" s="361"/>
      <c r="S18" s="361"/>
      <c r="T18" s="369"/>
      <c r="U18" s="362"/>
      <c r="V18" s="361"/>
      <c r="X18" s="325"/>
      <c r="AG18" s="325"/>
      <c r="AH18" s="314"/>
      <c r="AI18" s="314"/>
      <c r="AJ18" s="315"/>
      <c r="AK18" s="315"/>
      <c r="AL18" s="315"/>
    </row>
    <row r="19" spans="1:38" ht="13.95" customHeight="1" x14ac:dyDescent="0.25">
      <c r="A19" s="358" t="s">
        <v>14</v>
      </c>
      <c r="B19" s="457" t="s">
        <v>2</v>
      </c>
      <c r="C19" s="316">
        <f>+Proctor!E18</f>
        <v>0</v>
      </c>
      <c r="D19" s="323"/>
      <c r="F19" s="316"/>
      <c r="G19" s="316"/>
      <c r="H19" s="329" t="s">
        <v>229</v>
      </c>
      <c r="I19" s="457" t="s">
        <v>2</v>
      </c>
      <c r="J19" s="331">
        <f>+Proctor!L18</f>
        <v>0</v>
      </c>
      <c r="L19" s="341"/>
      <c r="M19" s="361"/>
      <c r="N19" s="1448" t="s">
        <v>230</v>
      </c>
      <c r="O19" s="1448" t="s">
        <v>231</v>
      </c>
      <c r="P19" s="361"/>
      <c r="Q19" s="361"/>
      <c r="R19" s="361"/>
      <c r="S19" s="361"/>
      <c r="T19" s="369"/>
      <c r="U19" s="362"/>
      <c r="V19" s="361"/>
      <c r="X19" s="343"/>
      <c r="Y19" s="342"/>
      <c r="Z19" s="325"/>
      <c r="AA19" s="325"/>
      <c r="AB19" s="325"/>
      <c r="AC19" s="325"/>
      <c r="AD19" s="325"/>
      <c r="AE19" s="325"/>
      <c r="AF19" s="325"/>
      <c r="AG19" s="325"/>
      <c r="AH19" s="314"/>
      <c r="AI19" s="314"/>
      <c r="AJ19" s="315"/>
      <c r="AK19" s="315"/>
      <c r="AL19" s="315"/>
    </row>
    <row r="20" spans="1:38" ht="13.95" customHeight="1" x14ac:dyDescent="0.25">
      <c r="A20" s="358" t="s">
        <v>16</v>
      </c>
      <c r="B20" s="457" t="s">
        <v>2</v>
      </c>
      <c r="C20" s="316">
        <f>+Proctor!E19</f>
        <v>0</v>
      </c>
      <c r="D20" s="323"/>
      <c r="F20" s="316"/>
      <c r="G20" s="316"/>
      <c r="H20" s="329" t="s">
        <v>18</v>
      </c>
      <c r="I20" s="457" t="s">
        <v>2</v>
      </c>
      <c r="J20" s="332">
        <f>+Proctor!L19</f>
        <v>0</v>
      </c>
      <c r="L20" s="341"/>
      <c r="M20" s="361"/>
      <c r="N20" s="1449"/>
      <c r="O20" s="1449"/>
      <c r="P20" s="371"/>
      <c r="Q20" s="372"/>
      <c r="R20" s="361"/>
      <c r="S20" s="361"/>
      <c r="T20" s="369"/>
      <c r="U20" s="362"/>
      <c r="V20" s="362"/>
      <c r="W20" s="325"/>
      <c r="X20" s="325"/>
      <c r="Y20" s="325"/>
      <c r="Z20" s="325"/>
      <c r="AA20" s="325"/>
      <c r="AB20" s="325"/>
      <c r="AC20" s="325"/>
      <c r="AD20" s="325"/>
      <c r="AE20" s="325"/>
      <c r="AF20" s="325"/>
      <c r="AG20" s="325"/>
      <c r="AH20" s="314"/>
      <c r="AI20" s="314"/>
      <c r="AJ20" s="315"/>
      <c r="AK20" s="315"/>
      <c r="AL20" s="315"/>
    </row>
    <row r="21" spans="1:38" ht="13.95" customHeight="1" x14ac:dyDescent="0.25">
      <c r="A21" s="358" t="s">
        <v>19</v>
      </c>
      <c r="B21" s="457" t="s">
        <v>2</v>
      </c>
      <c r="C21" s="316">
        <f>+Proctor!E20</f>
        <v>0</v>
      </c>
      <c r="D21" s="323"/>
      <c r="F21" s="316"/>
      <c r="G21" s="316"/>
      <c r="H21" s="329" t="s">
        <v>20</v>
      </c>
      <c r="I21" s="457" t="s">
        <v>2</v>
      </c>
      <c r="J21" s="332">
        <f>+Proctor!L20</f>
        <v>0</v>
      </c>
      <c r="L21" s="341"/>
      <c r="M21" s="361"/>
      <c r="N21" s="463" t="s">
        <v>232</v>
      </c>
      <c r="O21" s="464" t="e">
        <f>+Proctor!G25</f>
        <v>#DIV/0!</v>
      </c>
      <c r="P21" s="371"/>
      <c r="Q21" s="373"/>
      <c r="R21" s="361"/>
      <c r="S21" s="361"/>
      <c r="T21" s="369"/>
      <c r="U21" s="362"/>
      <c r="V21" s="362"/>
      <c r="W21" s="325"/>
      <c r="X21" s="325"/>
      <c r="Y21" s="325"/>
      <c r="Z21" s="325"/>
      <c r="AA21" s="325"/>
      <c r="AB21" s="325"/>
      <c r="AC21" s="325"/>
      <c r="AD21" s="342"/>
      <c r="AE21" s="324"/>
      <c r="AF21" s="325"/>
      <c r="AG21" s="325"/>
      <c r="AH21" s="314"/>
      <c r="AI21" s="314"/>
      <c r="AJ21" s="315"/>
      <c r="AK21" s="315"/>
      <c r="AL21" s="315"/>
    </row>
    <row r="22" spans="1:38" ht="13.95" customHeight="1" x14ac:dyDescent="0.25">
      <c r="A22" s="358" t="s">
        <v>21</v>
      </c>
      <c r="B22" s="457" t="s">
        <v>2</v>
      </c>
      <c r="C22" s="316" t="s">
        <v>233</v>
      </c>
      <c r="H22" s="330"/>
      <c r="I22" s="29"/>
      <c r="J22" s="332"/>
      <c r="L22" s="341"/>
      <c r="M22" s="361"/>
      <c r="N22" s="434" t="s">
        <v>234</v>
      </c>
      <c r="O22" s="327" t="e">
        <f>+Proctor!G26</f>
        <v>#DIV/0!</v>
      </c>
      <c r="P22" s="371"/>
      <c r="Q22" s="373"/>
      <c r="R22" s="361"/>
      <c r="S22" s="361"/>
      <c r="T22" s="369"/>
      <c r="U22" s="362"/>
      <c r="V22" s="362"/>
      <c r="W22" s="343"/>
      <c r="X22" s="325"/>
      <c r="Y22" s="343"/>
      <c r="Z22" s="325"/>
      <c r="AA22" s="325"/>
      <c r="AB22" s="325"/>
      <c r="AC22" s="325"/>
      <c r="AD22" s="325"/>
      <c r="AE22" s="324"/>
      <c r="AF22" s="324"/>
      <c r="AG22" s="325"/>
      <c r="AH22" s="314"/>
      <c r="AI22" s="314"/>
      <c r="AJ22" s="315"/>
      <c r="AK22" s="315"/>
      <c r="AL22" s="315"/>
    </row>
    <row r="23" spans="1:38" ht="13.95" customHeight="1" x14ac:dyDescent="0.25">
      <c r="A23" s="1457" t="s">
        <v>235</v>
      </c>
      <c r="B23" s="1457"/>
      <c r="C23" s="1457"/>
      <c r="D23" s="1457"/>
      <c r="E23" s="1457"/>
      <c r="F23" s="1457"/>
      <c r="G23" s="1457"/>
      <c r="H23" s="1457"/>
      <c r="I23" s="1457"/>
      <c r="J23" s="1457"/>
      <c r="K23" s="341"/>
      <c r="L23" s="344"/>
      <c r="M23" s="361"/>
      <c r="N23" s="434" t="s">
        <v>236</v>
      </c>
      <c r="O23" s="327" t="e">
        <f>+Proctor!G27</f>
        <v>#DIV/0!</v>
      </c>
      <c r="P23" s="371"/>
      <c r="Q23" s="373"/>
      <c r="R23" s="361"/>
      <c r="S23" s="361"/>
      <c r="T23" s="369"/>
      <c r="U23" s="362"/>
      <c r="V23" s="362"/>
      <c r="W23" s="325"/>
      <c r="X23" s="342"/>
      <c r="Y23" s="325"/>
      <c r="Z23" s="325"/>
      <c r="AA23" s="325"/>
      <c r="AB23" s="325"/>
      <c r="AC23" s="324"/>
      <c r="AD23" s="324"/>
      <c r="AE23" s="324"/>
      <c r="AF23" s="324"/>
      <c r="AG23" s="325"/>
      <c r="AH23" s="314"/>
      <c r="AI23" s="314"/>
      <c r="AJ23" s="315"/>
      <c r="AK23" s="315"/>
      <c r="AL23" s="315"/>
    </row>
    <row r="24" spans="1:38" ht="13.95" customHeight="1" x14ac:dyDescent="0.25">
      <c r="A24" s="749"/>
      <c r="B24" s="460">
        <v>1.1000000000000001</v>
      </c>
      <c r="C24" s="750" t="s">
        <v>237</v>
      </c>
      <c r="D24" s="751"/>
      <c r="E24" s="751"/>
      <c r="F24" s="752"/>
      <c r="G24" s="752"/>
      <c r="H24" s="753" t="e">
        <f>+Proctor!J45</f>
        <v>#DIV/0!</v>
      </c>
      <c r="I24" s="751"/>
      <c r="J24" s="754"/>
      <c r="K24" s="341"/>
      <c r="L24" s="345"/>
      <c r="M24" s="361"/>
      <c r="N24" s="435" t="s">
        <v>238</v>
      </c>
      <c r="O24" s="436" t="e">
        <f>+Proctor!G28</f>
        <v>#DIV/0!</v>
      </c>
      <c r="P24" s="374"/>
      <c r="Q24" s="374"/>
      <c r="R24" s="361"/>
      <c r="S24" s="361"/>
      <c r="T24" s="369"/>
      <c r="U24" s="362"/>
      <c r="V24" s="362"/>
      <c r="W24" s="325"/>
      <c r="X24" s="325"/>
      <c r="Y24" s="325"/>
      <c r="Z24" s="325"/>
      <c r="AA24" s="325"/>
      <c r="AB24" s="325"/>
      <c r="AC24" s="325"/>
      <c r="AD24" s="325"/>
      <c r="AE24" s="324"/>
      <c r="AF24" s="324"/>
      <c r="AG24" s="325"/>
      <c r="AH24" s="314"/>
      <c r="AI24" s="314"/>
      <c r="AJ24" s="315"/>
      <c r="AK24" s="315"/>
      <c r="AL24" s="315"/>
    </row>
    <row r="25" spans="1:38" ht="13.95" customHeight="1" x14ac:dyDescent="0.25">
      <c r="A25" s="438"/>
      <c r="B25" s="460">
        <v>1.2</v>
      </c>
      <c r="C25" s="123" t="s">
        <v>239</v>
      </c>
      <c r="G25" s="357" t="e">
        <f>IF(H24="A","mm","In")</f>
        <v>#DIV/0!</v>
      </c>
      <c r="H25" s="459" t="e">
        <f>IF(H24="A"," Nº4",IF(H24="B","3/8""",IF(H24="C","3/4""")))</f>
        <v>#DIV/0!</v>
      </c>
      <c r="I25" s="123"/>
      <c r="J25" s="458"/>
      <c r="K25" s="341"/>
      <c r="L25" s="346"/>
      <c r="M25" s="361"/>
      <c r="N25" s="361"/>
      <c r="O25" s="361"/>
      <c r="P25" s="375"/>
      <c r="Q25" s="376"/>
      <c r="R25" s="361"/>
      <c r="S25" s="361"/>
      <c r="T25" s="369"/>
      <c r="U25" s="362"/>
      <c r="V25" s="362"/>
      <c r="W25" s="325"/>
      <c r="X25" s="325"/>
      <c r="Y25" s="325"/>
      <c r="Z25" s="325"/>
      <c r="AA25" s="325"/>
      <c r="AB25" s="325"/>
      <c r="AC25" s="325"/>
      <c r="AD25" s="325"/>
      <c r="AE25" s="325"/>
      <c r="AF25" s="325"/>
      <c r="AG25" s="325"/>
      <c r="AH25" s="314"/>
      <c r="AI25" s="314"/>
      <c r="AJ25" s="315"/>
      <c r="AK25" s="315"/>
      <c r="AL25" s="315"/>
    </row>
    <row r="26" spans="1:38" ht="13.95" customHeight="1" x14ac:dyDescent="0.25">
      <c r="A26" s="438"/>
      <c r="B26" s="460">
        <v>1.3</v>
      </c>
      <c r="C26" s="123" t="e">
        <f>IF(H24="A","Porcentaje de la fraccion mas fina &lt;Nº4",IF(H24="B","Porcentaje de la fraccion mas fina &lt;3/8""",IF(H24="C","Porcentaje de la fraccion mas fina &lt;3/4""")))</f>
        <v>#DIV/0!</v>
      </c>
      <c r="F26" s="336" t="s">
        <v>240</v>
      </c>
      <c r="G26" s="357" t="s">
        <v>107</v>
      </c>
      <c r="H26" s="452" t="e">
        <f>100-H27</f>
        <v>#DIV/0!</v>
      </c>
      <c r="I26" s="123"/>
      <c r="J26" s="420"/>
      <c r="K26" s="347"/>
      <c r="L26" s="465"/>
      <c r="M26" s="465"/>
      <c r="N26" s="465"/>
      <c r="O26" s="361"/>
      <c r="P26" s="375"/>
      <c r="Q26" s="377"/>
      <c r="R26" s="361"/>
      <c r="S26" s="361"/>
      <c r="T26" s="369"/>
      <c r="U26" s="362"/>
      <c r="V26" s="362"/>
      <c r="W26" s="325"/>
      <c r="X26" s="325"/>
      <c r="Y26" s="325"/>
      <c r="Z26" s="325"/>
      <c r="AA26" s="325"/>
      <c r="AB26" s="325"/>
      <c r="AC26" s="325"/>
      <c r="AD26" s="325"/>
      <c r="AE26" s="325"/>
      <c r="AF26" s="325"/>
      <c r="AG26" s="325"/>
      <c r="AH26" s="314"/>
      <c r="AI26" s="314"/>
      <c r="AJ26" s="315"/>
      <c r="AK26" s="315"/>
      <c r="AL26" s="315"/>
    </row>
    <row r="27" spans="1:38" ht="13.95" customHeight="1" x14ac:dyDescent="0.25">
      <c r="A27" s="438"/>
      <c r="B27" s="460">
        <v>1.4</v>
      </c>
      <c r="C27" s="123" t="e">
        <f>IF(H24="A","Porcentaje de la fraccion de gran tamaño &gt;Nº4",IF(H24="B","Porcentaje de la fraccion de gran tamaño &gt;3/8""",IF(H24="C","Porcentaje de la fraccion de gran tamaño &gt;3/4""")))</f>
        <v>#DIV/0!</v>
      </c>
      <c r="F27" s="336" t="s">
        <v>241</v>
      </c>
      <c r="G27" s="357" t="s">
        <v>107</v>
      </c>
      <c r="H27" s="340" t="e">
        <f>IF(H24="A",O23,IF(H24="B",O22,IF(H24="C",O21)))</f>
        <v>#DIV/0!</v>
      </c>
      <c r="I27" s="123"/>
      <c r="J27" s="420"/>
      <c r="K27" s="341"/>
      <c r="L27" s="341"/>
      <c r="T27" s="314"/>
      <c r="U27" s="325"/>
      <c r="V27" s="325"/>
      <c r="W27" s="325"/>
      <c r="X27" s="325"/>
      <c r="Y27" s="343"/>
      <c r="Z27" s="325"/>
      <c r="AA27" s="325"/>
      <c r="AB27" s="325"/>
      <c r="AC27" s="325"/>
      <c r="AD27" s="325"/>
      <c r="AE27" s="325"/>
      <c r="AF27" s="325"/>
      <c r="AG27" s="325"/>
      <c r="AH27" s="314"/>
      <c r="AI27" s="314"/>
      <c r="AJ27" s="315"/>
      <c r="AK27" s="315"/>
      <c r="AL27" s="315"/>
    </row>
    <row r="28" spans="1:38" ht="13.95" customHeight="1" x14ac:dyDescent="0.25">
      <c r="A28" s="438"/>
      <c r="B28" s="460">
        <v>1.5</v>
      </c>
      <c r="C28" s="123" t="s">
        <v>242</v>
      </c>
      <c r="D28" s="336"/>
      <c r="F28" s="123" t="s">
        <v>243</v>
      </c>
      <c r="G28" s="357" t="s">
        <v>107</v>
      </c>
      <c r="H28" s="453">
        <f>+Proctor!R40</f>
        <v>0</v>
      </c>
      <c r="I28" s="336"/>
      <c r="J28" s="421"/>
      <c r="K28" s="341"/>
      <c r="L28" s="123"/>
      <c r="T28" s="314"/>
      <c r="U28" s="325"/>
      <c r="V28" s="325"/>
      <c r="W28" s="325"/>
      <c r="X28" s="343"/>
      <c r="Y28" s="325"/>
      <c r="Z28" s="325"/>
      <c r="AA28" s="325"/>
      <c r="AB28" s="325"/>
      <c r="AC28" s="325"/>
      <c r="AD28" s="325"/>
      <c r="AE28" s="325"/>
      <c r="AF28" s="325"/>
      <c r="AG28" s="325"/>
      <c r="AH28" s="314"/>
      <c r="AI28" s="314"/>
      <c r="AJ28" s="315"/>
      <c r="AK28" s="315"/>
      <c r="AL28" s="315"/>
    </row>
    <row r="29" spans="1:38" ht="13.95" customHeight="1" x14ac:dyDescent="0.25">
      <c r="A29" s="438"/>
      <c r="B29" s="460">
        <v>1.6</v>
      </c>
      <c r="C29" s="123" t="s">
        <v>244</v>
      </c>
      <c r="D29" s="336"/>
      <c r="F29" s="123" t="s">
        <v>245</v>
      </c>
      <c r="G29" s="357" t="s">
        <v>246</v>
      </c>
      <c r="H29" s="454">
        <f>+Proctor!R41</f>
        <v>0</v>
      </c>
      <c r="I29" s="336"/>
      <c r="J29" s="422"/>
      <c r="K29" s="341"/>
      <c r="L29" s="341"/>
      <c r="T29" s="314"/>
      <c r="U29" s="325"/>
      <c r="V29" s="325"/>
      <c r="W29" s="324"/>
      <c r="X29" s="325"/>
      <c r="Y29" s="325"/>
      <c r="Z29" s="325"/>
      <c r="AA29" s="325"/>
      <c r="AB29" s="325"/>
      <c r="AC29" s="325"/>
      <c r="AD29" s="325"/>
      <c r="AE29" s="325"/>
      <c r="AF29" s="325"/>
      <c r="AG29" s="325"/>
      <c r="AH29" s="314"/>
      <c r="AI29" s="314"/>
      <c r="AJ29" s="315"/>
      <c r="AK29" s="315"/>
      <c r="AL29" s="315"/>
    </row>
    <row r="30" spans="1:38" ht="13.95" customHeight="1" x14ac:dyDescent="0.25">
      <c r="A30" s="438"/>
      <c r="B30" s="460">
        <v>1.7</v>
      </c>
      <c r="C30" s="123" t="s">
        <v>247</v>
      </c>
      <c r="D30" s="336"/>
      <c r="F30" s="336" t="s">
        <v>248</v>
      </c>
      <c r="G30" s="357" t="s">
        <v>107</v>
      </c>
      <c r="H30" s="452" t="e">
        <f>+Proctor!J50</f>
        <v>#DIV/0!</v>
      </c>
      <c r="I30" s="336"/>
      <c r="J30" s="422"/>
      <c r="K30" s="341"/>
      <c r="L30" s="341"/>
      <c r="T30" s="314"/>
      <c r="U30" s="325"/>
      <c r="V30" s="325"/>
      <c r="W30" s="325"/>
      <c r="X30" s="325"/>
      <c r="Y30" s="325"/>
      <c r="Z30" s="325"/>
      <c r="AA30" s="325"/>
      <c r="AB30" s="325"/>
      <c r="AC30" s="325"/>
      <c r="AD30" s="325"/>
      <c r="AE30" s="325"/>
      <c r="AF30" s="325"/>
      <c r="AG30" s="325"/>
      <c r="AH30" s="314"/>
      <c r="AI30" s="314"/>
      <c r="AJ30" s="315"/>
      <c r="AK30" s="315"/>
      <c r="AL30" s="315"/>
    </row>
    <row r="31" spans="1:38" ht="13.95" customHeight="1" x14ac:dyDescent="0.25">
      <c r="A31" s="438"/>
      <c r="B31" s="460">
        <v>1.8</v>
      </c>
      <c r="C31" s="123" t="s">
        <v>249</v>
      </c>
      <c r="D31" s="423"/>
      <c r="F31" s="423" t="s">
        <v>250</v>
      </c>
      <c r="G31" s="357" t="s">
        <v>246</v>
      </c>
      <c r="H31" s="454" t="e">
        <f>+Proctor!#REF!</f>
        <v>#REF!</v>
      </c>
      <c r="I31" s="123"/>
      <c r="J31" s="420"/>
      <c r="K31" s="341"/>
      <c r="L31" s="341"/>
      <c r="T31" s="314"/>
      <c r="U31" s="325"/>
      <c r="V31" s="325"/>
      <c r="W31" s="325"/>
      <c r="X31" s="325"/>
      <c r="Y31" s="325"/>
      <c r="Z31" s="325"/>
      <c r="AA31" s="325"/>
      <c r="AB31" s="325"/>
      <c r="AC31" s="325"/>
      <c r="AD31" s="325"/>
      <c r="AE31" s="325"/>
      <c r="AF31" s="325"/>
      <c r="AG31" s="325"/>
      <c r="AH31" s="314"/>
      <c r="AI31" s="314"/>
      <c r="AJ31" s="315"/>
      <c r="AK31" s="315"/>
      <c r="AL31" s="315"/>
    </row>
    <row r="32" spans="1:38" ht="13.95" customHeight="1" x14ac:dyDescent="0.25">
      <c r="A32" s="755"/>
      <c r="B32" s="460">
        <v>1.9</v>
      </c>
      <c r="C32" s="439" t="s">
        <v>251</v>
      </c>
      <c r="D32" s="440"/>
      <c r="E32" s="441"/>
      <c r="F32" s="440" t="s">
        <v>252</v>
      </c>
      <c r="G32" s="442" t="s">
        <v>246</v>
      </c>
      <c r="H32" s="455">
        <v>1</v>
      </c>
      <c r="I32" s="440"/>
      <c r="J32" s="756"/>
      <c r="K32" s="341"/>
      <c r="L32" s="341"/>
      <c r="T32" s="314"/>
      <c r="U32" s="325"/>
      <c r="V32" s="325"/>
      <c r="W32" s="325"/>
      <c r="X32" s="325"/>
      <c r="Y32" s="325"/>
      <c r="Z32" s="325"/>
      <c r="AA32" s="325"/>
      <c r="AB32" s="325"/>
      <c r="AC32" s="325"/>
      <c r="AD32" s="325"/>
      <c r="AE32" s="325"/>
      <c r="AF32" s="325"/>
      <c r="AG32" s="325"/>
      <c r="AH32" s="314"/>
      <c r="AI32" s="314"/>
      <c r="AJ32" s="315"/>
      <c r="AK32" s="315"/>
      <c r="AL32" s="315"/>
    </row>
    <row r="33" spans="1:38" ht="13.95" customHeight="1" x14ac:dyDescent="0.25">
      <c r="A33" s="1457" t="s">
        <v>253</v>
      </c>
      <c r="B33" s="1457"/>
      <c r="C33" s="1457"/>
      <c r="D33" s="1457"/>
      <c r="E33" s="1457"/>
      <c r="F33" s="1457"/>
      <c r="G33" s="1457"/>
      <c r="H33" s="1457"/>
      <c r="I33" s="1457"/>
      <c r="J33" s="1457"/>
      <c r="K33" s="437"/>
      <c r="L33" s="437"/>
      <c r="T33" s="314"/>
      <c r="U33" s="325"/>
      <c r="V33" s="325"/>
      <c r="W33" s="325"/>
      <c r="X33" s="325"/>
      <c r="Y33" s="342"/>
      <c r="Z33" s="325"/>
      <c r="AA33" s="325"/>
      <c r="AB33" s="325"/>
      <c r="AC33" s="325"/>
      <c r="AD33" s="325"/>
      <c r="AE33" s="325"/>
      <c r="AF33" s="325"/>
      <c r="AG33" s="325"/>
      <c r="AH33" s="314"/>
      <c r="AI33" s="314"/>
      <c r="AJ33" s="315"/>
      <c r="AK33" s="315"/>
      <c r="AL33" s="315"/>
    </row>
    <row r="34" spans="1:38" ht="13.95" customHeight="1" x14ac:dyDescent="0.25">
      <c r="A34" s="749"/>
      <c r="B34" s="1447" t="s">
        <v>254</v>
      </c>
      <c r="C34" s="1447"/>
      <c r="D34" s="1447"/>
      <c r="E34" s="1447"/>
      <c r="F34" s="1447"/>
      <c r="G34" s="1447"/>
      <c r="H34" s="1447"/>
      <c r="I34" s="757"/>
      <c r="J34" s="758"/>
      <c r="K34" s="341"/>
      <c r="L34" s="341"/>
      <c r="T34" s="314"/>
      <c r="U34" s="325"/>
      <c r="V34" s="325"/>
      <c r="W34" s="325"/>
      <c r="X34" s="343"/>
      <c r="Y34" s="325"/>
      <c r="Z34" s="325"/>
      <c r="AA34" s="325"/>
      <c r="AB34" s="325"/>
      <c r="AC34" s="325"/>
      <c r="AD34" s="325"/>
      <c r="AE34" s="325"/>
      <c r="AF34" s="325"/>
      <c r="AG34" s="325"/>
      <c r="AH34" s="314"/>
      <c r="AI34" s="314"/>
      <c r="AJ34" s="315"/>
      <c r="AK34" s="315"/>
      <c r="AL34" s="315"/>
    </row>
    <row r="35" spans="1:38" ht="13.95" customHeight="1" x14ac:dyDescent="0.25">
      <c r="A35" s="759"/>
      <c r="B35" s="461">
        <v>2.1</v>
      </c>
      <c r="C35" s="456" t="s">
        <v>255</v>
      </c>
      <c r="D35" s="443"/>
      <c r="E35" s="444"/>
      <c r="F35" s="443" t="s">
        <v>256</v>
      </c>
      <c r="G35" s="445" t="s">
        <v>107</v>
      </c>
      <c r="H35" s="446" t="e">
        <f>(H26*H30+H27*H28)/100</f>
        <v>#DIV/0!</v>
      </c>
      <c r="I35" s="447"/>
      <c r="J35" s="760"/>
      <c r="K35" s="341"/>
      <c r="L35" s="341"/>
      <c r="T35" s="314"/>
      <c r="U35" s="325"/>
      <c r="V35" s="325"/>
      <c r="W35" s="342"/>
      <c r="X35" s="325"/>
      <c r="Y35" s="325"/>
      <c r="Z35" s="325"/>
      <c r="AA35" s="325"/>
      <c r="AB35" s="325"/>
      <c r="AC35" s="325"/>
      <c r="AD35" s="325"/>
      <c r="AE35" s="325"/>
      <c r="AF35" s="325"/>
      <c r="AG35" s="325"/>
      <c r="AH35" s="314"/>
      <c r="AI35" s="314"/>
      <c r="AJ35" s="315"/>
      <c r="AK35" s="315"/>
      <c r="AL35" s="315"/>
    </row>
    <row r="36" spans="1:38" ht="13.95" customHeight="1" x14ac:dyDescent="0.25">
      <c r="A36" s="1457" t="s">
        <v>257</v>
      </c>
      <c r="B36" s="1457"/>
      <c r="C36" s="1457"/>
      <c r="D36" s="1457"/>
      <c r="E36" s="1457"/>
      <c r="F36" s="1457"/>
      <c r="G36" s="1457"/>
      <c r="H36" s="1457"/>
      <c r="I36" s="1457"/>
      <c r="J36" s="1457"/>
      <c r="K36" s="341"/>
      <c r="L36" s="341"/>
      <c r="T36" s="314"/>
      <c r="U36" s="325"/>
      <c r="V36" s="325"/>
      <c r="W36" s="325"/>
      <c r="X36" s="325"/>
      <c r="Y36" s="325"/>
      <c r="Z36" s="325"/>
      <c r="AA36" s="325"/>
      <c r="AB36" s="325"/>
      <c r="AC36" s="325"/>
      <c r="AD36" s="325"/>
      <c r="AE36" s="325"/>
      <c r="AF36" s="325"/>
      <c r="AG36" s="325"/>
      <c r="AH36" s="314"/>
      <c r="AI36" s="314"/>
      <c r="AJ36" s="315"/>
      <c r="AK36" s="315"/>
      <c r="AL36" s="315"/>
    </row>
    <row r="37" spans="1:38" ht="13.95" customHeight="1" x14ac:dyDescent="0.25">
      <c r="A37" s="749"/>
      <c r="B37" s="1447" t="s">
        <v>258</v>
      </c>
      <c r="C37" s="1447"/>
      <c r="D37" s="1447"/>
      <c r="E37" s="1447"/>
      <c r="F37" s="1447"/>
      <c r="G37" s="1447"/>
      <c r="H37" s="1447"/>
      <c r="I37" s="757"/>
      <c r="J37" s="758"/>
      <c r="K37" s="341"/>
      <c r="L37" s="341"/>
      <c r="T37" s="314"/>
      <c r="U37" s="325"/>
      <c r="V37" s="325"/>
      <c r="W37" s="325"/>
      <c r="X37" s="325"/>
      <c r="Y37" s="325"/>
      <c r="Z37" s="325"/>
      <c r="AA37" s="325"/>
      <c r="AB37" s="325"/>
      <c r="AC37" s="325"/>
      <c r="AD37" s="325"/>
      <c r="AE37" s="325"/>
      <c r="AF37" s="325"/>
      <c r="AG37" s="325"/>
      <c r="AH37" s="314"/>
      <c r="AI37" s="314"/>
      <c r="AJ37" s="315"/>
      <c r="AK37" s="315"/>
      <c r="AL37" s="315"/>
    </row>
    <row r="38" spans="1:38" ht="13.95" customHeight="1" x14ac:dyDescent="0.25">
      <c r="A38" s="759"/>
      <c r="B38" s="462">
        <v>3.1</v>
      </c>
      <c r="C38" s="456" t="s">
        <v>259</v>
      </c>
      <c r="D38" s="439"/>
      <c r="E38" s="439"/>
      <c r="F38" s="443" t="s">
        <v>260</v>
      </c>
      <c r="G38" s="445" t="s">
        <v>246</v>
      </c>
      <c r="H38" s="448" t="e">
        <f>100*H31*H29*H32/(H31*H27+H29*H32*H26)</f>
        <v>#REF!</v>
      </c>
      <c r="I38" s="449"/>
      <c r="J38" s="761"/>
      <c r="K38" s="341"/>
      <c r="L38" s="341"/>
      <c r="T38" s="314"/>
      <c r="U38" s="325"/>
      <c r="V38" s="325"/>
      <c r="W38" s="325"/>
      <c r="X38" s="325"/>
      <c r="Y38" s="325"/>
      <c r="Z38" s="325"/>
      <c r="AA38" s="325"/>
      <c r="AB38" s="325"/>
      <c r="AC38" s="325"/>
      <c r="AD38" s="325"/>
      <c r="AE38" s="325"/>
      <c r="AF38" s="325"/>
      <c r="AG38" s="325"/>
      <c r="AH38" s="314"/>
      <c r="AI38" s="314"/>
      <c r="AJ38" s="315"/>
      <c r="AK38" s="315"/>
      <c r="AL38" s="315"/>
    </row>
    <row r="39" spans="1:38" ht="13.95" customHeight="1" x14ac:dyDescent="0.25">
      <c r="A39" s="123"/>
      <c r="B39" s="123"/>
      <c r="C39" s="123"/>
      <c r="D39" s="340"/>
      <c r="E39" s="340"/>
      <c r="F39" s="733"/>
      <c r="G39" s="733"/>
      <c r="H39" s="340"/>
      <c r="I39" s="340"/>
      <c r="J39" s="450"/>
      <c r="K39" s="341"/>
      <c r="L39" s="341"/>
      <c r="T39" s="314"/>
      <c r="U39" s="325"/>
      <c r="V39" s="325"/>
      <c r="W39" s="325"/>
      <c r="X39" s="325"/>
      <c r="Y39" s="325"/>
      <c r="Z39" s="325"/>
      <c r="AA39" s="325"/>
      <c r="AB39" s="325"/>
      <c r="AC39" s="325"/>
      <c r="AD39" s="325"/>
      <c r="AE39" s="325"/>
      <c r="AF39" s="325"/>
      <c r="AG39" s="325"/>
      <c r="AH39" s="314"/>
      <c r="AI39" s="314"/>
      <c r="AJ39" s="315"/>
      <c r="AK39" s="315"/>
      <c r="AL39" s="315"/>
    </row>
    <row r="40" spans="1:38" ht="29.4" customHeight="1" x14ac:dyDescent="0.25">
      <c r="A40" s="1443" t="s">
        <v>261</v>
      </c>
      <c r="B40" s="1443"/>
      <c r="C40" s="1443"/>
      <c r="D40" s="1443"/>
      <c r="E40" s="1443"/>
      <c r="F40" s="1443"/>
      <c r="G40" s="1443"/>
      <c r="H40" s="1443"/>
      <c r="I40" s="1443"/>
      <c r="J40" s="1443"/>
      <c r="K40" s="341"/>
      <c r="L40" s="341"/>
      <c r="T40" s="314"/>
      <c r="U40" s="325"/>
      <c r="V40" s="325"/>
      <c r="W40" s="325"/>
      <c r="X40" s="325"/>
      <c r="Y40" s="325"/>
      <c r="Z40" s="325"/>
      <c r="AA40" s="325"/>
      <c r="AB40" s="325"/>
      <c r="AC40" s="325"/>
      <c r="AD40" s="325"/>
      <c r="AE40" s="325"/>
      <c r="AF40" s="325"/>
      <c r="AG40" s="325"/>
      <c r="AH40" s="314"/>
      <c r="AI40" s="314"/>
      <c r="AJ40" s="315"/>
      <c r="AK40" s="315"/>
      <c r="AL40" s="315"/>
    </row>
    <row r="41" spans="1:38" ht="13.95" customHeight="1" x14ac:dyDescent="0.25">
      <c r="A41" s="1443"/>
      <c r="B41" s="1443"/>
      <c r="C41" s="1443"/>
      <c r="D41" s="1443"/>
      <c r="E41" s="1443"/>
      <c r="F41" s="1443"/>
      <c r="G41" s="1443"/>
      <c r="H41" s="1443"/>
      <c r="I41" s="1443"/>
      <c r="J41" s="1443"/>
      <c r="K41" s="341"/>
      <c r="L41" s="341"/>
      <c r="T41" s="314"/>
      <c r="U41" s="325"/>
      <c r="V41" s="325"/>
      <c r="W41" s="325"/>
      <c r="X41" s="325"/>
      <c r="Y41" s="325"/>
      <c r="Z41" s="325"/>
      <c r="AA41" s="325"/>
      <c r="AB41" s="325"/>
      <c r="AC41" s="325"/>
      <c r="AD41" s="325"/>
      <c r="AE41" s="325"/>
      <c r="AF41" s="325"/>
      <c r="AG41" s="325"/>
      <c r="AH41" s="314"/>
      <c r="AI41" s="314"/>
      <c r="AJ41" s="315"/>
      <c r="AK41" s="315"/>
      <c r="AL41" s="315"/>
    </row>
    <row r="42" spans="1:38" ht="17.399999999999999" customHeight="1" x14ac:dyDescent="0.25">
      <c r="A42" s="1443"/>
      <c r="B42" s="1443"/>
      <c r="C42" s="1443"/>
      <c r="D42" s="1443"/>
      <c r="E42" s="1443"/>
      <c r="F42" s="1443"/>
      <c r="G42" s="1443"/>
      <c r="H42" s="1443"/>
      <c r="I42" s="1443"/>
      <c r="J42" s="1443"/>
      <c r="K42" s="418"/>
      <c r="L42" s="381"/>
      <c r="N42" s="378"/>
      <c r="O42" s="379"/>
      <c r="P42" s="380"/>
      <c r="Q42" s="380"/>
      <c r="T42" s="314"/>
      <c r="U42" s="325"/>
      <c r="V42" s="325"/>
      <c r="W42" s="325"/>
      <c r="X42" s="325"/>
      <c r="Y42" s="325"/>
      <c r="Z42" s="325"/>
      <c r="AA42" s="325"/>
      <c r="AB42" s="325"/>
      <c r="AC42" s="325"/>
      <c r="AD42" s="325"/>
      <c r="AE42" s="325"/>
      <c r="AF42" s="325"/>
      <c r="AG42" s="325"/>
      <c r="AH42" s="314"/>
      <c r="AI42" s="314"/>
      <c r="AJ42" s="315"/>
      <c r="AK42" s="315"/>
      <c r="AL42" s="315"/>
    </row>
    <row r="43" spans="1:38" ht="13.95" customHeight="1" x14ac:dyDescent="0.25">
      <c r="A43" s="451"/>
      <c r="B43" s="197"/>
      <c r="C43" s="197"/>
      <c r="D43" s="197"/>
      <c r="E43" s="197"/>
      <c r="F43" s="197"/>
      <c r="G43" s="200"/>
      <c r="H43" s="261"/>
      <c r="I43" s="261"/>
      <c r="J43" s="360" t="s">
        <v>262</v>
      </c>
      <c r="K43" s="419"/>
      <c r="L43" s="381"/>
      <c r="N43" s="378"/>
      <c r="O43" s="382"/>
      <c r="P43" s="348"/>
      <c r="Q43" s="348"/>
      <c r="T43" s="314"/>
      <c r="U43" s="325"/>
      <c r="V43" s="325"/>
      <c r="W43" s="325"/>
      <c r="X43" s="325"/>
      <c r="Y43" s="325"/>
      <c r="Z43" s="325"/>
      <c r="AA43" s="325"/>
      <c r="AB43" s="325"/>
      <c r="AC43" s="325"/>
      <c r="AD43" s="325"/>
      <c r="AE43" s="325"/>
      <c r="AF43" s="325"/>
      <c r="AG43" s="325"/>
      <c r="AH43" s="314"/>
      <c r="AI43" s="314"/>
      <c r="AJ43" s="315"/>
      <c r="AK43" s="315"/>
      <c r="AL43" s="315"/>
    </row>
    <row r="44" spans="1:38" ht="13.95" customHeight="1" x14ac:dyDescent="0.25">
      <c r="A44" s="451"/>
      <c r="B44" s="197"/>
      <c r="C44" s="197"/>
      <c r="D44" s="197"/>
      <c r="E44" s="197"/>
      <c r="F44" s="197"/>
      <c r="G44" s="200"/>
      <c r="H44" s="340"/>
      <c r="I44" s="340"/>
      <c r="J44" s="340"/>
      <c r="K44" s="341"/>
      <c r="L44" s="383"/>
      <c r="M44" s="383"/>
      <c r="N44" s="1335"/>
      <c r="O44" s="1335"/>
      <c r="P44" s="1335"/>
      <c r="T44" s="314"/>
      <c r="U44" s="325"/>
      <c r="V44" s="325"/>
      <c r="W44" s="325"/>
      <c r="X44" s="325"/>
      <c r="Y44" s="325"/>
      <c r="Z44" s="325"/>
      <c r="AA44" s="325"/>
      <c r="AB44" s="325"/>
      <c r="AC44" s="325"/>
      <c r="AD44" s="325"/>
      <c r="AE44" s="325"/>
      <c r="AF44" s="325"/>
      <c r="AG44" s="325"/>
      <c r="AH44" s="314"/>
      <c r="AI44" s="314"/>
      <c r="AJ44" s="315"/>
      <c r="AK44" s="315"/>
      <c r="AL44" s="315"/>
    </row>
    <row r="45" spans="1:38" ht="13.95" customHeight="1" x14ac:dyDescent="0.25">
      <c r="A45" s="451"/>
      <c r="B45" s="197"/>
      <c r="C45" s="197"/>
      <c r="D45" s="197"/>
      <c r="E45" s="197"/>
      <c r="F45" s="197"/>
      <c r="G45" s="200"/>
      <c r="H45" s="1334"/>
      <c r="I45" s="1334"/>
      <c r="J45" s="1334"/>
      <c r="K45" s="341"/>
      <c r="L45" s="384"/>
      <c r="M45" s="385"/>
      <c r="N45" s="1445"/>
      <c r="O45" s="1445"/>
      <c r="P45" s="1445"/>
      <c r="T45" s="314"/>
      <c r="U45" s="325"/>
      <c r="V45" s="325"/>
      <c r="W45" s="325"/>
      <c r="X45" s="325"/>
      <c r="Y45" s="325"/>
      <c r="Z45" s="325"/>
      <c r="AA45" s="325"/>
      <c r="AB45" s="325"/>
      <c r="AC45" s="325"/>
      <c r="AD45" s="325"/>
      <c r="AE45" s="325"/>
      <c r="AF45" s="325"/>
      <c r="AG45" s="325"/>
      <c r="AH45" s="314"/>
      <c r="AI45" s="314"/>
      <c r="AJ45" s="315"/>
      <c r="AK45" s="315"/>
      <c r="AL45" s="315"/>
    </row>
    <row r="46" spans="1:38" ht="13.95" customHeight="1" x14ac:dyDescent="0.25">
      <c r="A46" s="451"/>
      <c r="B46" s="197"/>
      <c r="C46" s="197"/>
      <c r="D46" s="197"/>
      <c r="E46" s="197"/>
      <c r="F46" s="197"/>
      <c r="G46" s="200"/>
      <c r="H46" s="1335"/>
      <c r="I46" s="1335"/>
      <c r="J46" s="1335"/>
      <c r="K46" s="341"/>
      <c r="L46" s="386"/>
      <c r="M46" s="387"/>
      <c r="N46" s="1335"/>
      <c r="O46" s="1335"/>
      <c r="P46" s="1335"/>
      <c r="T46" s="314"/>
      <c r="U46" s="325"/>
      <c r="V46" s="325"/>
      <c r="W46" s="325"/>
      <c r="X46" s="325"/>
      <c r="Y46" s="325"/>
      <c r="Z46" s="325"/>
      <c r="AA46" s="325"/>
      <c r="AB46" s="325"/>
      <c r="AC46" s="325"/>
      <c r="AD46" s="325"/>
      <c r="AE46" s="325"/>
      <c r="AF46" s="325"/>
      <c r="AG46" s="325"/>
      <c r="AH46" s="314"/>
      <c r="AI46" s="314"/>
      <c r="AJ46" s="315"/>
      <c r="AK46" s="315"/>
      <c r="AL46" s="315"/>
    </row>
    <row r="47" spans="1:38" ht="13.95" customHeight="1" x14ac:dyDescent="0.25">
      <c r="A47" s="451"/>
      <c r="B47" s="197"/>
      <c r="C47" s="197"/>
      <c r="D47" s="197"/>
      <c r="E47" s="197"/>
      <c r="F47" s="197"/>
      <c r="G47" s="200"/>
      <c r="H47" s="1445"/>
      <c r="I47" s="1445"/>
      <c r="J47" s="1445"/>
      <c r="K47" s="341"/>
      <c r="L47" s="386"/>
      <c r="M47" s="387"/>
      <c r="N47" s="1334"/>
      <c r="O47" s="1334"/>
      <c r="P47" s="1334"/>
      <c r="T47" s="314"/>
      <c r="U47" s="325"/>
      <c r="V47" s="325"/>
      <c r="W47" s="325"/>
      <c r="X47" s="325"/>
      <c r="Y47" s="325"/>
      <c r="Z47" s="325"/>
      <c r="AA47" s="325"/>
      <c r="AB47" s="325"/>
      <c r="AC47" s="325"/>
      <c r="AD47" s="325"/>
      <c r="AE47" s="325"/>
      <c r="AF47" s="325"/>
      <c r="AG47" s="325"/>
      <c r="AH47" s="314"/>
      <c r="AI47" s="314"/>
      <c r="AJ47" s="315"/>
      <c r="AK47" s="315"/>
      <c r="AL47" s="315"/>
    </row>
    <row r="48" spans="1:38" ht="13.95" customHeight="1" x14ac:dyDescent="0.25">
      <c r="A48" s="451"/>
      <c r="B48" s="197"/>
      <c r="C48" s="197"/>
      <c r="D48" s="197"/>
      <c r="E48" s="197"/>
      <c r="F48" s="197"/>
      <c r="G48" s="200"/>
      <c r="H48" s="1335"/>
      <c r="I48" s="1335"/>
      <c r="J48" s="1335"/>
      <c r="K48" s="341"/>
      <c r="L48" s="386"/>
      <c r="M48" s="387"/>
      <c r="N48" s="1446"/>
      <c r="O48" s="1446"/>
      <c r="P48" s="1446"/>
      <c r="T48" s="314"/>
      <c r="U48" s="325"/>
      <c r="V48" s="325"/>
      <c r="W48" s="325"/>
      <c r="X48" s="325"/>
      <c r="Y48" s="325"/>
      <c r="Z48" s="325"/>
      <c r="AA48" s="325"/>
      <c r="AB48" s="325"/>
      <c r="AC48" s="325"/>
      <c r="AD48" s="325"/>
      <c r="AE48" s="325"/>
      <c r="AF48" s="325"/>
      <c r="AG48" s="325"/>
      <c r="AH48" s="314"/>
      <c r="AI48" s="314"/>
      <c r="AJ48" s="315"/>
      <c r="AK48" s="315"/>
      <c r="AL48" s="315"/>
    </row>
    <row r="49" spans="1:38" ht="13.95" customHeight="1" x14ac:dyDescent="0.25">
      <c r="A49" s="451"/>
      <c r="B49" s="200"/>
      <c r="C49" s="200"/>
      <c r="D49" s="200"/>
      <c r="E49" s="200"/>
      <c r="F49" s="200"/>
      <c r="G49" s="200"/>
      <c r="H49" s="1334"/>
      <c r="I49" s="1334"/>
      <c r="J49" s="1334"/>
      <c r="K49" s="341"/>
      <c r="L49" s="386"/>
      <c r="M49" s="387"/>
      <c r="N49" s="1445"/>
      <c r="O49" s="1445"/>
      <c r="P49" s="1445"/>
      <c r="T49" s="314"/>
      <c r="U49" s="325"/>
      <c r="V49" s="325"/>
      <c r="W49" s="325"/>
      <c r="X49" s="325"/>
      <c r="Y49" s="325"/>
      <c r="Z49" s="325"/>
      <c r="AA49" s="325"/>
      <c r="AB49" s="325"/>
      <c r="AC49" s="325"/>
      <c r="AD49" s="325"/>
      <c r="AE49" s="325"/>
      <c r="AF49" s="325"/>
      <c r="AG49" s="325"/>
      <c r="AH49" s="314"/>
      <c r="AI49" s="314"/>
      <c r="AJ49" s="315"/>
      <c r="AK49" s="315"/>
      <c r="AL49" s="315"/>
    </row>
    <row r="50" spans="1:38" ht="13.95" customHeight="1" x14ac:dyDescent="0.25">
      <c r="B50" s="31"/>
      <c r="C50" s="31"/>
      <c r="D50" s="31"/>
      <c r="E50" s="31"/>
      <c r="F50" s="31"/>
      <c r="G50" s="31"/>
      <c r="I50" s="360"/>
      <c r="J50" s="360"/>
      <c r="K50" s="360"/>
      <c r="T50" s="314"/>
      <c r="U50" s="325"/>
      <c r="V50" s="325"/>
      <c r="W50" s="325"/>
      <c r="X50" s="325"/>
      <c r="Y50" s="325"/>
      <c r="Z50" s="325"/>
      <c r="AA50" s="325"/>
      <c r="AB50" s="325"/>
      <c r="AC50" s="325"/>
      <c r="AD50" s="325"/>
      <c r="AE50" s="325"/>
      <c r="AF50" s="325"/>
      <c r="AG50" s="325"/>
      <c r="AH50" s="314"/>
      <c r="AI50" s="314"/>
      <c r="AJ50" s="315"/>
      <c r="AK50" s="315"/>
      <c r="AL50" s="315"/>
    </row>
    <row r="51" spans="1:38" ht="13.95" customHeight="1" x14ac:dyDescent="0.25">
      <c r="A51" s="359"/>
      <c r="B51" s="31"/>
      <c r="C51" s="31"/>
      <c r="D51" s="31"/>
      <c r="E51" s="31"/>
      <c r="F51" s="31"/>
      <c r="G51" s="31"/>
      <c r="H51" s="31"/>
      <c r="I51" s="31"/>
      <c r="J51" s="31"/>
      <c r="T51" s="314"/>
      <c r="U51" s="325"/>
      <c r="V51" s="325"/>
      <c r="W51" s="325"/>
      <c r="X51" s="325"/>
      <c r="Y51" s="325"/>
      <c r="Z51" s="325"/>
      <c r="AA51" s="325"/>
      <c r="AB51" s="325"/>
      <c r="AC51" s="325"/>
      <c r="AD51" s="325"/>
      <c r="AE51" s="325"/>
      <c r="AF51" s="325"/>
      <c r="AG51" s="325"/>
      <c r="AH51" s="314"/>
      <c r="AI51" s="314"/>
      <c r="AJ51" s="315"/>
      <c r="AK51" s="315"/>
      <c r="AL51" s="315"/>
    </row>
    <row r="52" spans="1:38" ht="22.2" customHeight="1" x14ac:dyDescent="0.25">
      <c r="T52" s="314"/>
      <c r="U52" s="325"/>
      <c r="V52" s="325"/>
      <c r="W52" s="325"/>
      <c r="X52" s="325"/>
      <c r="Y52" s="325"/>
      <c r="Z52" s="325"/>
      <c r="AA52" s="325"/>
      <c r="AB52" s="325"/>
      <c r="AC52" s="325"/>
      <c r="AD52" s="325"/>
      <c r="AE52" s="325"/>
      <c r="AF52" s="325"/>
      <c r="AG52" s="325"/>
      <c r="AH52" s="314"/>
      <c r="AI52" s="314"/>
      <c r="AJ52" s="315"/>
      <c r="AK52" s="315"/>
      <c r="AL52" s="315"/>
    </row>
    <row r="53" spans="1:38" ht="17.399999999999999" customHeight="1" x14ac:dyDescent="0.25">
      <c r="T53" s="314"/>
      <c r="U53" s="325"/>
      <c r="V53" s="325"/>
      <c r="W53" s="325"/>
      <c r="X53" s="325"/>
      <c r="Y53" s="325"/>
      <c r="Z53" s="325"/>
      <c r="AA53" s="325"/>
      <c r="AB53" s="325"/>
      <c r="AC53" s="325"/>
      <c r="AD53" s="325"/>
      <c r="AE53" s="325"/>
      <c r="AF53" s="325"/>
      <c r="AG53" s="325"/>
      <c r="AH53" s="314"/>
      <c r="AI53" s="314"/>
      <c r="AJ53" s="315"/>
      <c r="AK53" s="315"/>
      <c r="AL53" s="315"/>
    </row>
    <row r="54" spans="1:38" ht="17.399999999999999" customHeight="1" x14ac:dyDescent="0.25">
      <c r="T54" s="314"/>
      <c r="U54" s="325"/>
      <c r="V54" s="325"/>
      <c r="W54" s="325"/>
      <c r="X54" s="325"/>
      <c r="Y54" s="325"/>
      <c r="Z54" s="325"/>
      <c r="AA54" s="325"/>
      <c r="AB54" s="325"/>
      <c r="AC54" s="325"/>
      <c r="AD54" s="325"/>
      <c r="AE54" s="325"/>
      <c r="AF54" s="325"/>
      <c r="AG54" s="325"/>
      <c r="AH54" s="314"/>
      <c r="AI54" s="314"/>
      <c r="AJ54" s="315"/>
      <c r="AK54" s="315"/>
      <c r="AL54" s="315"/>
    </row>
    <row r="55" spans="1:38" ht="13.95" customHeight="1" x14ac:dyDescent="0.25">
      <c r="A55" s="313"/>
      <c r="B55" s="31"/>
      <c r="C55" s="31"/>
      <c r="D55" s="31"/>
      <c r="E55" s="31"/>
      <c r="F55" s="31"/>
      <c r="G55" s="31"/>
      <c r="H55" s="31"/>
      <c r="I55" s="31"/>
      <c r="J55" s="31"/>
      <c r="T55" s="314"/>
      <c r="U55" s="325"/>
      <c r="V55" s="325"/>
      <c r="W55" s="325"/>
      <c r="X55" s="325"/>
      <c r="Y55" s="325"/>
      <c r="Z55" s="325"/>
      <c r="AA55" s="325"/>
      <c r="AB55" s="325"/>
      <c r="AC55" s="325"/>
      <c r="AD55" s="325"/>
      <c r="AE55" s="325"/>
      <c r="AF55" s="325"/>
      <c r="AG55" s="325"/>
      <c r="AH55" s="314"/>
      <c r="AI55" s="314"/>
      <c r="AJ55" s="315"/>
      <c r="AK55" s="315"/>
      <c r="AL55" s="315"/>
    </row>
    <row r="56" spans="1:38" ht="13.95" customHeight="1" x14ac:dyDescent="0.25">
      <c r="A56" s="359" t="s">
        <v>263</v>
      </c>
      <c r="B56" s="31"/>
      <c r="C56" s="31"/>
      <c r="D56" s="31"/>
      <c r="E56" s="31"/>
      <c r="F56" s="31"/>
      <c r="G56" s="31"/>
      <c r="H56" s="31"/>
      <c r="I56" s="31"/>
      <c r="J56" s="31"/>
      <c r="T56" s="314"/>
      <c r="U56" s="325"/>
      <c r="V56" s="325"/>
      <c r="W56" s="325"/>
      <c r="X56" s="325"/>
      <c r="Y56" s="325"/>
      <c r="Z56" s="325"/>
      <c r="AA56" s="325"/>
      <c r="AB56" s="325"/>
      <c r="AC56" s="325"/>
      <c r="AD56" s="325"/>
      <c r="AE56" s="325"/>
      <c r="AF56" s="325"/>
      <c r="AG56" s="325"/>
      <c r="AH56" s="314"/>
      <c r="AI56" s="314"/>
      <c r="AJ56" s="315"/>
      <c r="AK56" s="315"/>
      <c r="AL56" s="315"/>
    </row>
    <row r="57" spans="1:38" ht="19.5" customHeight="1" x14ac:dyDescent="0.25">
      <c r="A57" s="359" t="s">
        <v>264</v>
      </c>
      <c r="B57" s="31"/>
      <c r="C57" s="31"/>
      <c r="D57" s="31"/>
      <c r="E57" s="31"/>
      <c r="F57" s="31"/>
      <c r="G57" s="31"/>
      <c r="H57" s="31"/>
      <c r="I57" s="31"/>
      <c r="J57" s="31"/>
      <c r="T57" s="314"/>
      <c r="U57" s="325"/>
      <c r="V57" s="325"/>
      <c r="W57" s="325"/>
      <c r="X57" s="325"/>
      <c r="Y57" s="325"/>
      <c r="Z57" s="325"/>
      <c r="AA57" s="325"/>
      <c r="AB57" s="325"/>
      <c r="AC57" s="325"/>
      <c r="AD57" s="325"/>
      <c r="AE57" s="325"/>
      <c r="AF57" s="325"/>
      <c r="AG57" s="325"/>
      <c r="AH57" s="314"/>
      <c r="AI57" s="314"/>
      <c r="AJ57" s="315"/>
      <c r="AK57" s="315"/>
      <c r="AL57" s="315"/>
    </row>
    <row r="58" spans="1:38" ht="19.5" customHeight="1" x14ac:dyDescent="0.25">
      <c r="A58" s="313"/>
      <c r="B58" s="31"/>
      <c r="C58" s="31"/>
      <c r="D58" s="31"/>
      <c r="E58" s="31"/>
      <c r="F58" s="31"/>
      <c r="G58" s="31"/>
      <c r="H58" s="31"/>
      <c r="I58" s="31"/>
      <c r="J58" s="31"/>
      <c r="T58" s="314"/>
      <c r="U58" s="325"/>
      <c r="V58" s="325"/>
      <c r="W58" s="325"/>
      <c r="X58" s="325"/>
      <c r="Y58" s="325"/>
      <c r="Z58" s="325"/>
      <c r="AA58" s="325"/>
      <c r="AB58" s="325"/>
      <c r="AC58" s="325"/>
      <c r="AD58" s="325"/>
      <c r="AE58" s="325"/>
      <c r="AF58" s="325"/>
      <c r="AG58" s="325"/>
      <c r="AH58" s="314"/>
      <c r="AI58" s="314"/>
      <c r="AJ58" s="315"/>
      <c r="AK58" s="315"/>
      <c r="AL58" s="315"/>
    </row>
    <row r="59" spans="1:38" ht="19.5" customHeight="1" x14ac:dyDescent="0.25">
      <c r="A59" s="313"/>
      <c r="B59" s="31"/>
      <c r="C59" s="31"/>
      <c r="D59" s="31"/>
      <c r="E59" s="31"/>
      <c r="F59" s="31"/>
      <c r="G59" s="31"/>
      <c r="H59" s="31"/>
      <c r="I59" s="31"/>
      <c r="J59" s="31"/>
      <c r="T59" s="314"/>
      <c r="U59" s="325"/>
      <c r="V59" s="325"/>
      <c r="W59" s="325"/>
      <c r="X59" s="325"/>
      <c r="Y59" s="325"/>
      <c r="Z59" s="325"/>
      <c r="AA59" s="325"/>
      <c r="AB59" s="325"/>
      <c r="AC59" s="325"/>
      <c r="AD59" s="325"/>
      <c r="AE59" s="325"/>
      <c r="AF59" s="325"/>
      <c r="AG59" s="325"/>
      <c r="AH59" s="314"/>
      <c r="AI59" s="314"/>
      <c r="AJ59" s="315"/>
      <c r="AK59" s="315"/>
      <c r="AL59" s="315"/>
    </row>
    <row r="60" spans="1:38" ht="19.5" customHeight="1" x14ac:dyDescent="0.25">
      <c r="A60" s="313"/>
      <c r="B60" s="31"/>
      <c r="C60" s="31"/>
      <c r="D60" s="31"/>
      <c r="E60" s="31"/>
      <c r="F60" s="31"/>
      <c r="G60" s="31"/>
      <c r="H60" s="31"/>
      <c r="I60" s="31"/>
      <c r="J60" s="31"/>
      <c r="T60" s="314"/>
      <c r="U60" s="325"/>
      <c r="V60" s="325"/>
      <c r="W60" s="325"/>
      <c r="X60" s="325"/>
      <c r="Y60" s="325"/>
      <c r="Z60" s="325"/>
      <c r="AA60" s="325"/>
      <c r="AB60" s="325"/>
      <c r="AC60" s="325"/>
      <c r="AD60" s="325"/>
      <c r="AE60" s="325"/>
      <c r="AF60" s="325"/>
      <c r="AG60" s="325"/>
      <c r="AH60" s="314"/>
      <c r="AI60" s="314"/>
      <c r="AJ60" s="315"/>
      <c r="AK60" s="315"/>
      <c r="AL60" s="315"/>
    </row>
    <row r="61" spans="1:38" ht="19.5" customHeight="1" x14ac:dyDescent="0.25">
      <c r="A61" s="313"/>
      <c r="B61" s="31"/>
      <c r="C61" s="31"/>
      <c r="D61" s="31"/>
      <c r="E61" s="31"/>
      <c r="F61" s="31"/>
      <c r="G61" s="31"/>
      <c r="H61" s="31"/>
      <c r="I61" s="31"/>
      <c r="J61" s="31"/>
      <c r="T61" s="314"/>
      <c r="U61" s="325"/>
      <c r="V61" s="325"/>
      <c r="W61" s="325"/>
      <c r="X61" s="325"/>
      <c r="Y61" s="325"/>
      <c r="Z61" s="325"/>
      <c r="AA61" s="325"/>
      <c r="AB61" s="325"/>
      <c r="AC61" s="325"/>
      <c r="AD61" s="325"/>
      <c r="AE61" s="325"/>
      <c r="AF61" s="325"/>
      <c r="AG61" s="325"/>
      <c r="AH61" s="314"/>
      <c r="AI61" s="314"/>
      <c r="AJ61" s="315"/>
      <c r="AK61" s="315"/>
      <c r="AL61" s="315"/>
    </row>
    <row r="62" spans="1:38" ht="19.5" customHeight="1" x14ac:dyDescent="0.25">
      <c r="A62" s="313"/>
      <c r="B62" s="31"/>
      <c r="C62" s="31"/>
      <c r="D62" s="31"/>
      <c r="E62" s="31"/>
      <c r="F62" s="31"/>
      <c r="G62" s="31"/>
      <c r="H62" s="31"/>
      <c r="I62" s="31"/>
      <c r="J62" s="31"/>
      <c r="T62" s="314"/>
      <c r="U62" s="325"/>
      <c r="V62" s="325"/>
      <c r="W62" s="325"/>
      <c r="X62" s="325"/>
      <c r="Y62" s="325"/>
      <c r="Z62" s="325"/>
      <c r="AA62" s="325"/>
      <c r="AB62" s="325"/>
      <c r="AC62" s="325"/>
      <c r="AD62" s="325"/>
      <c r="AE62" s="325"/>
      <c r="AF62" s="325"/>
      <c r="AG62" s="325"/>
      <c r="AH62" s="314"/>
      <c r="AI62" s="314"/>
      <c r="AJ62" s="315"/>
      <c r="AK62" s="315"/>
      <c r="AL62" s="315"/>
    </row>
    <row r="63" spans="1:38" ht="19.5" customHeight="1" x14ac:dyDescent="0.25">
      <c r="A63" s="313"/>
      <c r="B63" s="31"/>
      <c r="C63" s="31"/>
      <c r="D63" s="31"/>
      <c r="E63" s="31"/>
      <c r="F63" s="31"/>
      <c r="G63" s="31"/>
      <c r="H63" s="31"/>
      <c r="I63" s="31"/>
      <c r="J63" s="31"/>
      <c r="T63" s="314"/>
      <c r="U63" s="325"/>
      <c r="V63" s="325"/>
      <c r="W63" s="325"/>
      <c r="X63" s="325"/>
      <c r="Y63" s="325"/>
      <c r="Z63" s="325"/>
      <c r="AA63" s="325"/>
      <c r="AB63" s="325"/>
      <c r="AC63" s="325"/>
      <c r="AD63" s="325"/>
      <c r="AE63" s="325"/>
      <c r="AF63" s="325"/>
      <c r="AG63" s="325"/>
      <c r="AH63" s="314"/>
      <c r="AI63" s="314"/>
      <c r="AJ63" s="315"/>
      <c r="AK63" s="315"/>
      <c r="AL63" s="315"/>
    </row>
    <row r="64" spans="1:38" ht="19.5" customHeight="1" x14ac:dyDescent="0.25">
      <c r="A64" s="313"/>
      <c r="B64" s="31"/>
      <c r="C64" s="31"/>
      <c r="D64" s="31"/>
      <c r="E64" s="31"/>
      <c r="F64" s="31"/>
      <c r="G64" s="31"/>
      <c r="H64" s="31"/>
      <c r="I64" s="31"/>
      <c r="J64" s="31"/>
      <c r="T64" s="314"/>
      <c r="U64" s="325"/>
      <c r="V64" s="325"/>
      <c r="W64" s="325"/>
      <c r="X64" s="325"/>
      <c r="Y64" s="325"/>
      <c r="Z64" s="325"/>
      <c r="AA64" s="325"/>
      <c r="AB64" s="325"/>
      <c r="AC64" s="325"/>
      <c r="AD64" s="325"/>
      <c r="AE64" s="325"/>
      <c r="AF64" s="325"/>
      <c r="AG64" s="325"/>
      <c r="AH64" s="314"/>
      <c r="AI64" s="314"/>
      <c r="AJ64" s="315"/>
      <c r="AK64" s="315"/>
      <c r="AL64" s="315"/>
    </row>
    <row r="65" spans="1:38" ht="19.5" customHeight="1" x14ac:dyDescent="0.25">
      <c r="A65" s="313"/>
      <c r="B65" s="31"/>
      <c r="C65" s="31"/>
      <c r="D65" s="31"/>
      <c r="E65" s="31"/>
      <c r="F65" s="31"/>
      <c r="G65" s="31"/>
      <c r="H65" s="31"/>
      <c r="I65" s="31"/>
      <c r="J65" s="31"/>
      <c r="T65" s="314"/>
      <c r="U65" s="325"/>
      <c r="V65" s="325"/>
      <c r="W65" s="325"/>
      <c r="X65" s="325"/>
      <c r="Y65" s="325"/>
      <c r="Z65" s="325"/>
      <c r="AA65" s="325"/>
      <c r="AB65" s="325"/>
      <c r="AC65" s="325"/>
      <c r="AD65" s="325"/>
      <c r="AE65" s="325"/>
      <c r="AF65" s="325"/>
      <c r="AG65" s="325"/>
      <c r="AH65" s="314"/>
      <c r="AI65" s="314"/>
      <c r="AJ65" s="315"/>
      <c r="AK65" s="315"/>
      <c r="AL65" s="315"/>
    </row>
    <row r="66" spans="1:38" ht="19.5" customHeight="1" x14ac:dyDescent="0.25">
      <c r="A66" s="313"/>
      <c r="B66" s="31"/>
      <c r="C66" s="31"/>
      <c r="D66" s="31"/>
      <c r="E66" s="31"/>
      <c r="F66" s="31"/>
      <c r="G66" s="31"/>
      <c r="H66" s="31"/>
      <c r="I66" s="31"/>
      <c r="J66" s="31"/>
      <c r="T66" s="314"/>
      <c r="U66" s="325"/>
      <c r="V66" s="325"/>
      <c r="W66" s="325"/>
      <c r="X66" s="325"/>
      <c r="Y66" s="325"/>
      <c r="Z66" s="325"/>
      <c r="AA66" s="325"/>
      <c r="AB66" s="325"/>
      <c r="AC66" s="325"/>
      <c r="AD66" s="325"/>
      <c r="AE66" s="325"/>
      <c r="AF66" s="325"/>
      <c r="AG66" s="325"/>
      <c r="AH66" s="314"/>
      <c r="AI66" s="314"/>
      <c r="AJ66" s="315"/>
      <c r="AK66" s="315"/>
      <c r="AL66" s="315"/>
    </row>
    <row r="67" spans="1:38" ht="19.5" customHeight="1" x14ac:dyDescent="0.25">
      <c r="A67" s="313"/>
      <c r="B67" s="31"/>
      <c r="C67" s="31"/>
      <c r="D67" s="31"/>
      <c r="E67" s="31"/>
      <c r="F67" s="31"/>
      <c r="G67" s="31"/>
      <c r="H67" s="31"/>
      <c r="I67" s="31"/>
      <c r="J67" s="31"/>
      <c r="T67" s="314"/>
      <c r="U67" s="325"/>
      <c r="V67" s="325"/>
      <c r="W67" s="325"/>
      <c r="X67" s="325"/>
      <c r="Y67" s="325"/>
      <c r="Z67" s="325"/>
      <c r="AA67" s="325"/>
      <c r="AB67" s="325"/>
      <c r="AC67" s="325"/>
      <c r="AD67" s="325"/>
      <c r="AE67" s="325"/>
      <c r="AF67" s="325"/>
      <c r="AG67" s="325"/>
      <c r="AH67" s="314"/>
      <c r="AI67" s="314"/>
      <c r="AJ67" s="315"/>
      <c r="AK67" s="315"/>
      <c r="AL67" s="315"/>
    </row>
    <row r="68" spans="1:38" ht="19.5" customHeight="1" x14ac:dyDescent="0.25">
      <c r="A68" s="313"/>
      <c r="B68" s="31"/>
      <c r="C68" s="31"/>
      <c r="D68" s="31"/>
      <c r="E68" s="31"/>
      <c r="F68" s="31"/>
      <c r="G68" s="31"/>
      <c r="H68" s="31"/>
      <c r="I68" s="31"/>
      <c r="J68" s="31"/>
      <c r="T68" s="314"/>
      <c r="U68" s="325"/>
      <c r="V68" s="325"/>
      <c r="W68" s="325"/>
      <c r="X68" s="325"/>
      <c r="Y68" s="325"/>
      <c r="Z68" s="325"/>
      <c r="AA68" s="325"/>
      <c r="AB68" s="325"/>
      <c r="AC68" s="325"/>
      <c r="AD68" s="325"/>
      <c r="AE68" s="325"/>
      <c r="AF68" s="325"/>
      <c r="AG68" s="325"/>
      <c r="AH68" s="314"/>
      <c r="AI68" s="314"/>
      <c r="AJ68" s="315"/>
      <c r="AK68" s="315"/>
      <c r="AL68" s="315"/>
    </row>
    <row r="69" spans="1:38" ht="19.5" customHeight="1" x14ac:dyDescent="0.25">
      <c r="A69" s="313"/>
      <c r="B69" s="31"/>
      <c r="C69" s="31"/>
      <c r="D69" s="31"/>
      <c r="E69" s="31"/>
      <c r="F69" s="31"/>
      <c r="G69" s="31"/>
      <c r="H69" s="31"/>
      <c r="I69" s="31"/>
      <c r="J69" s="31"/>
      <c r="T69" s="314"/>
      <c r="U69" s="325"/>
      <c r="V69" s="325"/>
      <c r="W69" s="325"/>
      <c r="X69" s="325"/>
      <c r="Y69" s="325"/>
      <c r="Z69" s="325"/>
      <c r="AA69" s="325"/>
      <c r="AB69" s="325"/>
      <c r="AC69" s="325"/>
      <c r="AD69" s="325"/>
      <c r="AE69" s="325"/>
      <c r="AF69" s="325"/>
      <c r="AG69" s="325"/>
      <c r="AH69" s="314"/>
      <c r="AI69" s="314"/>
      <c r="AJ69" s="315"/>
      <c r="AK69" s="315"/>
      <c r="AL69" s="315"/>
    </row>
    <row r="70" spans="1:38" ht="19.5" customHeight="1" x14ac:dyDescent="0.25">
      <c r="A70" s="313"/>
      <c r="B70" s="31"/>
      <c r="C70" s="31"/>
      <c r="D70" s="31"/>
      <c r="E70" s="31"/>
      <c r="F70" s="31"/>
      <c r="G70" s="31"/>
      <c r="H70" s="31"/>
      <c r="I70" s="31"/>
      <c r="J70" s="31"/>
      <c r="T70" s="314"/>
      <c r="U70" s="325"/>
      <c r="V70" s="325"/>
      <c r="W70" s="325"/>
      <c r="X70" s="325"/>
      <c r="Y70" s="325"/>
      <c r="Z70" s="325"/>
      <c r="AA70" s="325"/>
      <c r="AB70" s="325"/>
      <c r="AC70" s="325"/>
      <c r="AD70" s="325"/>
      <c r="AE70" s="325"/>
      <c r="AF70" s="325"/>
      <c r="AG70" s="325"/>
      <c r="AH70" s="314"/>
      <c r="AI70" s="314"/>
      <c r="AJ70" s="315"/>
      <c r="AK70" s="315"/>
      <c r="AL70" s="315"/>
    </row>
    <row r="71" spans="1:38" ht="19.5" customHeight="1" x14ac:dyDescent="0.25">
      <c r="A71" s="313"/>
      <c r="B71" s="31"/>
      <c r="C71" s="31"/>
      <c r="D71" s="31"/>
      <c r="E71" s="31"/>
      <c r="F71" s="31"/>
      <c r="G71" s="31"/>
      <c r="H71" s="31"/>
      <c r="I71" s="31"/>
      <c r="J71" s="31"/>
      <c r="T71" s="314"/>
      <c r="U71" s="325"/>
      <c r="V71" s="325"/>
      <c r="W71" s="325"/>
      <c r="X71" s="325"/>
      <c r="Y71" s="325"/>
      <c r="Z71" s="325"/>
      <c r="AA71" s="325"/>
      <c r="AB71" s="325"/>
      <c r="AC71" s="325"/>
      <c r="AD71" s="325"/>
      <c r="AE71" s="325"/>
      <c r="AF71" s="325"/>
      <c r="AG71" s="325"/>
      <c r="AH71" s="314"/>
      <c r="AI71" s="314"/>
      <c r="AJ71" s="315"/>
      <c r="AK71" s="315"/>
      <c r="AL71" s="315"/>
    </row>
    <row r="72" spans="1:38" ht="19.5" customHeight="1" x14ac:dyDescent="0.25">
      <c r="A72" s="313"/>
      <c r="B72" s="31"/>
      <c r="C72" s="31"/>
      <c r="D72" s="31"/>
      <c r="E72" s="31"/>
      <c r="F72" s="31"/>
      <c r="G72" s="31"/>
      <c r="H72" s="31"/>
      <c r="I72" s="31"/>
      <c r="J72" s="31"/>
      <c r="T72" s="314"/>
      <c r="U72" s="325"/>
      <c r="V72" s="325"/>
      <c r="W72" s="325"/>
      <c r="X72" s="325"/>
      <c r="Y72" s="325"/>
      <c r="Z72" s="325"/>
      <c r="AA72" s="325"/>
      <c r="AB72" s="325"/>
      <c r="AC72" s="325"/>
      <c r="AD72" s="325"/>
      <c r="AE72" s="325"/>
      <c r="AF72" s="325"/>
      <c r="AG72" s="325"/>
      <c r="AH72" s="314"/>
      <c r="AI72" s="314"/>
      <c r="AJ72" s="315"/>
      <c r="AK72" s="315"/>
      <c r="AL72" s="315"/>
    </row>
    <row r="73" spans="1:38" ht="19.5" customHeight="1" x14ac:dyDescent="0.25">
      <c r="A73" s="313"/>
      <c r="B73" s="31"/>
      <c r="C73" s="31"/>
      <c r="D73" s="31"/>
      <c r="E73" s="31"/>
      <c r="F73" s="31"/>
      <c r="G73" s="31"/>
      <c r="H73" s="31"/>
      <c r="I73" s="31"/>
      <c r="J73" s="31"/>
      <c r="T73" s="314"/>
      <c r="U73" s="325"/>
      <c r="V73" s="325"/>
      <c r="W73" s="325"/>
      <c r="X73" s="325"/>
      <c r="Y73" s="325"/>
      <c r="Z73" s="325"/>
      <c r="AA73" s="325"/>
      <c r="AB73" s="325"/>
      <c r="AC73" s="325"/>
      <c r="AD73" s="325"/>
      <c r="AE73" s="325"/>
      <c r="AF73" s="325"/>
      <c r="AG73" s="325"/>
      <c r="AH73" s="314"/>
      <c r="AI73" s="314"/>
      <c r="AJ73" s="315"/>
      <c r="AK73" s="315"/>
      <c r="AL73" s="315"/>
    </row>
    <row r="74" spans="1:38" ht="19.5" customHeight="1" x14ac:dyDescent="0.25">
      <c r="A74" s="313"/>
      <c r="B74" s="31"/>
      <c r="C74" s="31"/>
      <c r="D74" s="31"/>
      <c r="E74" s="31"/>
      <c r="F74" s="31"/>
      <c r="G74" s="31"/>
      <c r="H74" s="31"/>
      <c r="I74" s="31"/>
      <c r="J74" s="31"/>
      <c r="T74" s="314"/>
      <c r="U74" s="325"/>
      <c r="V74" s="325"/>
      <c r="W74" s="325"/>
      <c r="X74" s="325"/>
      <c r="Y74" s="325"/>
      <c r="Z74" s="325"/>
      <c r="AA74" s="325"/>
      <c r="AB74" s="325"/>
      <c r="AC74" s="325"/>
      <c r="AD74" s="325"/>
      <c r="AE74" s="325"/>
      <c r="AF74" s="325"/>
      <c r="AG74" s="325"/>
      <c r="AH74" s="314"/>
      <c r="AI74" s="314"/>
      <c r="AJ74" s="315"/>
      <c r="AK74" s="315"/>
      <c r="AL74" s="315"/>
    </row>
    <row r="75" spans="1:38" ht="19.5" customHeight="1" x14ac:dyDescent="0.25">
      <c r="A75" s="1443"/>
      <c r="B75" s="1443"/>
      <c r="C75" s="1443"/>
      <c r="D75" s="1443"/>
      <c r="E75" s="1443"/>
      <c r="F75" s="1443"/>
      <c r="G75" s="1443"/>
      <c r="H75" s="1443"/>
      <c r="I75" s="1443"/>
      <c r="J75" s="1443"/>
      <c r="T75" s="314"/>
      <c r="U75" s="325"/>
      <c r="V75" s="325"/>
      <c r="W75" s="325"/>
      <c r="X75" s="325"/>
      <c r="Y75" s="325"/>
      <c r="Z75" s="325"/>
      <c r="AA75" s="325"/>
      <c r="AB75" s="325"/>
      <c r="AC75" s="325"/>
      <c r="AD75" s="325"/>
      <c r="AE75" s="325"/>
      <c r="AF75" s="325"/>
      <c r="AG75" s="325"/>
      <c r="AH75" s="314"/>
      <c r="AI75" s="314"/>
      <c r="AJ75" s="315"/>
      <c r="AK75" s="315"/>
      <c r="AL75" s="315"/>
    </row>
    <row r="76" spans="1:38" ht="19.5" customHeight="1" x14ac:dyDescent="0.25">
      <c r="A76" s="1443"/>
      <c r="B76" s="1443"/>
      <c r="C76" s="1443"/>
      <c r="D76" s="1443"/>
      <c r="E76" s="1443"/>
      <c r="F76" s="1443"/>
      <c r="G76" s="1443"/>
      <c r="H76" s="1443"/>
      <c r="I76" s="1443"/>
      <c r="J76" s="1443"/>
      <c r="T76" s="314"/>
      <c r="U76" s="325"/>
      <c r="V76" s="325"/>
      <c r="W76" s="325"/>
      <c r="X76" s="325"/>
      <c r="Y76" s="325"/>
      <c r="Z76" s="325"/>
      <c r="AA76" s="325"/>
      <c r="AB76" s="325"/>
      <c r="AC76" s="325"/>
      <c r="AD76" s="325"/>
      <c r="AE76" s="325"/>
      <c r="AF76" s="325"/>
      <c r="AG76" s="325"/>
      <c r="AH76" s="314"/>
      <c r="AI76" s="314"/>
      <c r="AJ76" s="315"/>
      <c r="AK76" s="315"/>
      <c r="AL76" s="315"/>
    </row>
    <row r="77" spans="1:38" ht="19.5" customHeight="1" x14ac:dyDescent="0.25">
      <c r="A77" s="1443"/>
      <c r="B77" s="1443"/>
      <c r="C77" s="1443"/>
      <c r="D77" s="1443"/>
      <c r="E77" s="1443"/>
      <c r="F77" s="1443"/>
      <c r="G77" s="1443"/>
      <c r="H77" s="1443"/>
      <c r="I77" s="1443"/>
      <c r="J77" s="1443"/>
      <c r="T77" s="314"/>
      <c r="U77" s="325"/>
      <c r="V77" s="325"/>
      <c r="W77" s="325"/>
      <c r="X77" s="325"/>
      <c r="Y77" s="325"/>
      <c r="Z77" s="325"/>
      <c r="AA77" s="325"/>
      <c r="AB77" s="325"/>
      <c r="AC77" s="325"/>
      <c r="AD77" s="325"/>
      <c r="AE77" s="325"/>
      <c r="AF77" s="325"/>
      <c r="AG77" s="325"/>
      <c r="AH77" s="314"/>
      <c r="AI77" s="314"/>
      <c r="AJ77" s="315"/>
      <c r="AK77" s="315"/>
      <c r="AL77" s="315"/>
    </row>
    <row r="78" spans="1:38" ht="19.5" customHeight="1" x14ac:dyDescent="0.25">
      <c r="A78" s="732"/>
      <c r="B78" s="732"/>
      <c r="C78" s="732"/>
      <c r="D78" s="732"/>
      <c r="E78" s="732"/>
      <c r="F78" s="732"/>
      <c r="G78" s="732"/>
      <c r="H78" s="732"/>
      <c r="I78" s="732"/>
      <c r="J78" s="732"/>
      <c r="T78" s="314"/>
      <c r="U78" s="325"/>
      <c r="V78" s="325"/>
      <c r="W78" s="325"/>
      <c r="X78" s="325"/>
      <c r="Y78" s="325"/>
      <c r="Z78" s="325"/>
      <c r="AA78" s="325"/>
      <c r="AB78" s="325"/>
      <c r="AC78" s="325"/>
      <c r="AD78" s="325"/>
      <c r="AE78" s="325"/>
      <c r="AF78" s="325"/>
      <c r="AG78" s="325"/>
      <c r="AH78" s="314"/>
      <c r="AI78" s="314"/>
      <c r="AJ78" s="315"/>
      <c r="AK78" s="315"/>
      <c r="AL78" s="315"/>
    </row>
    <row r="79" spans="1:38" ht="19.5" customHeight="1" x14ac:dyDescent="0.25">
      <c r="A79" s="732"/>
      <c r="B79" s="732"/>
      <c r="C79" s="732"/>
      <c r="D79" s="732"/>
      <c r="E79" s="732"/>
      <c r="F79" s="732"/>
      <c r="G79" s="732"/>
      <c r="H79" s="732"/>
      <c r="I79" s="732"/>
      <c r="J79" s="732"/>
      <c r="T79" s="314"/>
      <c r="U79" s="325"/>
      <c r="V79" s="325"/>
      <c r="W79" s="325"/>
      <c r="X79" s="325"/>
      <c r="Y79" s="325"/>
      <c r="Z79" s="325"/>
      <c r="AA79" s="325"/>
      <c r="AB79" s="325"/>
      <c r="AC79" s="325"/>
      <c r="AD79" s="325"/>
      <c r="AE79" s="325"/>
      <c r="AF79" s="325"/>
      <c r="AG79" s="325"/>
      <c r="AH79" s="314"/>
      <c r="AI79" s="314"/>
      <c r="AJ79" s="315"/>
      <c r="AK79" s="315"/>
      <c r="AL79" s="315"/>
    </row>
    <row r="80" spans="1:38" ht="19.5" customHeight="1" x14ac:dyDescent="0.25">
      <c r="A80" s="732"/>
      <c r="B80" s="732"/>
      <c r="C80" s="732"/>
      <c r="D80" s="732"/>
      <c r="E80" s="732"/>
      <c r="F80" s="732"/>
      <c r="G80" s="732"/>
      <c r="H80" s="732"/>
      <c r="I80" s="732"/>
      <c r="J80" s="732"/>
      <c r="T80" s="314"/>
      <c r="U80" s="325"/>
      <c r="V80" s="325"/>
      <c r="W80" s="325"/>
      <c r="X80" s="325"/>
      <c r="Y80" s="325"/>
      <c r="Z80" s="325"/>
      <c r="AA80" s="325"/>
      <c r="AB80" s="325"/>
      <c r="AC80" s="325"/>
      <c r="AD80" s="325"/>
      <c r="AE80" s="325"/>
      <c r="AF80" s="325"/>
      <c r="AG80" s="325"/>
      <c r="AH80" s="314"/>
      <c r="AI80" s="314"/>
      <c r="AJ80" s="315"/>
      <c r="AK80" s="315"/>
      <c r="AL80" s="315"/>
    </row>
    <row r="81" spans="1:38" ht="9.75" customHeight="1" x14ac:dyDescent="0.25">
      <c r="G81" s="1444"/>
      <c r="H81" s="1444"/>
      <c r="I81" s="1444"/>
      <c r="J81" s="1444"/>
      <c r="T81" s="314"/>
      <c r="U81" s="325"/>
      <c r="V81" s="325"/>
      <c r="W81" s="325"/>
      <c r="X81" s="325"/>
      <c r="Y81" s="325"/>
      <c r="Z81" s="325"/>
      <c r="AA81" s="325"/>
      <c r="AB81" s="325"/>
      <c r="AC81" s="325"/>
      <c r="AD81" s="342"/>
      <c r="AE81" s="324"/>
      <c r="AF81" s="349"/>
      <c r="AG81" s="325"/>
      <c r="AH81" s="314"/>
      <c r="AI81" s="314"/>
      <c r="AJ81" s="315"/>
      <c r="AK81" s="315"/>
      <c r="AL81" s="315"/>
    </row>
    <row r="82" spans="1:38" x14ac:dyDescent="0.25">
      <c r="A82" s="313"/>
      <c r="T82" s="314"/>
      <c r="U82" s="325"/>
      <c r="V82" s="325"/>
      <c r="W82" s="325"/>
      <c r="X82" s="325"/>
      <c r="Y82" s="325"/>
      <c r="Z82" s="325"/>
      <c r="AA82" s="325"/>
      <c r="AB82" s="325"/>
      <c r="AC82" s="325"/>
      <c r="AD82" s="342"/>
      <c r="AE82" s="324"/>
      <c r="AF82" s="349"/>
      <c r="AG82" s="325"/>
      <c r="AH82" s="314"/>
      <c r="AI82" s="314"/>
      <c r="AJ82" s="315"/>
      <c r="AK82" s="315"/>
      <c r="AL82" s="315"/>
    </row>
    <row r="83" spans="1:38" x14ac:dyDescent="0.25">
      <c r="A83" s="313"/>
      <c r="G83" s="1444"/>
      <c r="H83" s="1444"/>
      <c r="I83" s="1444"/>
      <c r="J83" s="1444"/>
      <c r="T83" s="314"/>
      <c r="U83" s="325"/>
      <c r="V83" s="325"/>
      <c r="W83" s="325"/>
      <c r="X83" s="325"/>
      <c r="Y83" s="325"/>
      <c r="Z83" s="325"/>
      <c r="AA83" s="325"/>
      <c r="AB83" s="325"/>
      <c r="AC83" s="325"/>
      <c r="AD83" s="342"/>
      <c r="AE83" s="324"/>
      <c r="AF83" s="349"/>
      <c r="AG83" s="325"/>
      <c r="AH83" s="314"/>
      <c r="AI83" s="314"/>
      <c r="AJ83" s="315"/>
      <c r="AK83" s="315"/>
      <c r="AL83" s="315"/>
    </row>
    <row r="84" spans="1:38" x14ac:dyDescent="0.25">
      <c r="T84" s="314"/>
      <c r="U84" s="325"/>
      <c r="V84" s="325"/>
      <c r="W84" s="325"/>
      <c r="X84" s="325"/>
      <c r="Y84" s="325"/>
      <c r="Z84" s="325"/>
      <c r="AA84" s="325"/>
      <c r="AB84" s="325"/>
      <c r="AC84" s="325"/>
      <c r="AD84" s="342"/>
      <c r="AE84" s="324"/>
      <c r="AF84" s="349"/>
      <c r="AG84" s="325"/>
      <c r="AH84" s="314"/>
      <c r="AI84" s="314"/>
      <c r="AJ84" s="315"/>
      <c r="AK84" s="315"/>
      <c r="AL84" s="315"/>
    </row>
    <row r="85" spans="1:38" x14ac:dyDescent="0.25">
      <c r="T85" s="314"/>
      <c r="U85" s="325"/>
      <c r="V85" s="325"/>
      <c r="W85" s="325"/>
      <c r="X85" s="325"/>
      <c r="Y85" s="325"/>
      <c r="Z85" s="325"/>
      <c r="AA85" s="325"/>
      <c r="AB85" s="325"/>
      <c r="AC85" s="325"/>
      <c r="AD85" s="342"/>
      <c r="AE85" s="324"/>
      <c r="AF85" s="349"/>
      <c r="AG85" s="325"/>
      <c r="AH85" s="314"/>
      <c r="AI85" s="314"/>
      <c r="AJ85" s="315"/>
      <c r="AK85" s="315"/>
      <c r="AL85" s="315"/>
    </row>
    <row r="86" spans="1:38" x14ac:dyDescent="0.25">
      <c r="T86" s="314"/>
      <c r="U86" s="325"/>
      <c r="V86" s="325"/>
      <c r="W86" s="325"/>
      <c r="X86" s="325"/>
      <c r="Y86" s="325"/>
      <c r="Z86" s="325"/>
      <c r="AA86" s="325"/>
      <c r="AB86" s="325"/>
      <c r="AC86" s="325"/>
      <c r="AD86" s="342"/>
      <c r="AE86" s="324"/>
      <c r="AF86" s="349"/>
      <c r="AG86" s="325"/>
      <c r="AH86" s="314"/>
      <c r="AI86" s="314"/>
      <c r="AJ86" s="315"/>
      <c r="AK86" s="315"/>
      <c r="AL86" s="315"/>
    </row>
    <row r="87" spans="1:38" x14ac:dyDescent="0.25">
      <c r="T87" s="314"/>
      <c r="U87" s="325"/>
      <c r="V87" s="325"/>
      <c r="W87" s="325"/>
      <c r="X87" s="325"/>
      <c r="Y87" s="325"/>
      <c r="Z87" s="325"/>
      <c r="AA87" s="325"/>
      <c r="AB87" s="325"/>
      <c r="AC87" s="325"/>
      <c r="AD87" s="342"/>
      <c r="AE87" s="324"/>
      <c r="AF87" s="349"/>
      <c r="AG87" s="325"/>
      <c r="AH87" s="314"/>
      <c r="AI87" s="314"/>
      <c r="AJ87" s="315"/>
      <c r="AK87" s="315"/>
      <c r="AL87" s="315"/>
    </row>
    <row r="88" spans="1:38" x14ac:dyDescent="0.25">
      <c r="N88" s="417"/>
      <c r="P88" s="417"/>
      <c r="R88" s="417"/>
      <c r="T88" s="417"/>
      <c r="U88" s="325"/>
      <c r="W88" s="325"/>
      <c r="X88" s="325"/>
      <c r="Y88" s="325"/>
      <c r="Z88" s="325"/>
      <c r="AA88" s="325"/>
      <c r="AB88" s="325"/>
      <c r="AC88" s="325"/>
      <c r="AD88" s="342"/>
      <c r="AE88" s="324"/>
      <c r="AF88" s="349"/>
      <c r="AG88" s="325"/>
      <c r="AH88" s="314"/>
      <c r="AI88" s="314"/>
      <c r="AJ88" s="315"/>
      <c r="AK88" s="315"/>
      <c r="AL88" s="315"/>
    </row>
    <row r="89" spans="1:38" x14ac:dyDescent="0.25">
      <c r="J89" s="326"/>
      <c r="K89" s="326"/>
      <c r="L89" s="326"/>
      <c r="M89" s="326"/>
      <c r="N89" s="417"/>
      <c r="O89" s="326"/>
      <c r="P89" s="417"/>
      <c r="Q89" s="326"/>
      <c r="R89" s="417"/>
      <c r="S89" s="333"/>
      <c r="T89" s="417"/>
      <c r="U89" s="333"/>
      <c r="Y89" s="325"/>
      <c r="Z89" s="325"/>
      <c r="AA89" s="325"/>
      <c r="AB89" s="325"/>
      <c r="AC89" s="325"/>
      <c r="AD89" s="342"/>
      <c r="AE89" s="324"/>
      <c r="AF89" s="349"/>
      <c r="AG89" s="325"/>
      <c r="AH89" s="314"/>
      <c r="AI89" s="314"/>
      <c r="AJ89" s="315"/>
      <c r="AK89" s="315"/>
      <c r="AL89" s="315"/>
    </row>
    <row r="90" spans="1:38" x14ac:dyDescent="0.25">
      <c r="J90" s="123"/>
      <c r="K90" s="123"/>
      <c r="L90" s="123"/>
      <c r="M90" s="388"/>
      <c r="N90" s="389"/>
      <c r="O90" s="388"/>
      <c r="P90" s="390"/>
      <c r="Q90" s="388"/>
      <c r="R90" s="357"/>
      <c r="S90" s="388"/>
      <c r="T90" s="391"/>
      <c r="U90" s="334"/>
      <c r="Y90" s="325"/>
      <c r="Z90" s="325"/>
      <c r="AA90" s="325"/>
      <c r="AB90" s="325"/>
      <c r="AC90" s="325"/>
      <c r="AD90" s="342"/>
      <c r="AE90" s="324"/>
      <c r="AF90" s="349"/>
      <c r="AG90" s="325"/>
      <c r="AH90" s="314"/>
      <c r="AI90" s="314"/>
      <c r="AJ90" s="315"/>
      <c r="AK90" s="315"/>
      <c r="AL90" s="315"/>
    </row>
    <row r="91" spans="1:38" x14ac:dyDescent="0.25">
      <c r="J91" s="123"/>
      <c r="K91" s="123"/>
      <c r="L91" s="123"/>
      <c r="M91" s="392"/>
      <c r="N91" s="389"/>
      <c r="O91" s="392"/>
      <c r="P91" s="393"/>
      <c r="Q91" s="392"/>
      <c r="R91" s="389"/>
      <c r="S91" s="392"/>
      <c r="T91" s="394"/>
      <c r="U91" s="123"/>
      <c r="Y91" s="325"/>
      <c r="Z91" s="325"/>
      <c r="AA91" s="325"/>
      <c r="AB91" s="325"/>
      <c r="AC91" s="325"/>
      <c r="AD91" s="342"/>
      <c r="AE91" s="324"/>
      <c r="AF91" s="349"/>
      <c r="AG91" s="325"/>
      <c r="AH91" s="314"/>
      <c r="AI91" s="314"/>
      <c r="AJ91" s="315"/>
      <c r="AK91" s="315"/>
      <c r="AL91" s="315"/>
    </row>
    <row r="92" spans="1:38" x14ac:dyDescent="0.25">
      <c r="J92" s="123"/>
      <c r="K92" s="123"/>
      <c r="L92" s="123"/>
      <c r="M92" s="392"/>
      <c r="N92" s="389"/>
      <c r="O92" s="392"/>
      <c r="P92" s="393"/>
      <c r="Q92" s="392"/>
      <c r="R92" s="389"/>
      <c r="S92" s="392"/>
      <c r="T92" s="394"/>
      <c r="U92" s="123"/>
      <c r="Y92" s="325"/>
      <c r="Z92" s="325"/>
      <c r="AA92" s="325"/>
      <c r="AB92" s="325"/>
      <c r="AC92" s="325"/>
      <c r="AD92" s="342"/>
      <c r="AE92" s="324"/>
      <c r="AF92" s="349"/>
      <c r="AG92" s="325"/>
      <c r="AH92" s="314"/>
      <c r="AI92" s="314"/>
      <c r="AJ92" s="315"/>
      <c r="AK92" s="315"/>
      <c r="AL92" s="315"/>
    </row>
    <row r="93" spans="1:38" x14ac:dyDescent="0.25">
      <c r="J93" s="123"/>
      <c r="K93" s="123"/>
      <c r="L93" s="123"/>
      <c r="M93" s="395"/>
      <c r="N93" s="389"/>
      <c r="O93" s="395"/>
      <c r="P93" s="393"/>
      <c r="Q93" s="395"/>
      <c r="R93" s="389"/>
      <c r="S93" s="395"/>
      <c r="T93" s="389"/>
      <c r="U93" s="335"/>
      <c r="Y93" s="325"/>
      <c r="Z93" s="325"/>
      <c r="AA93" s="325"/>
      <c r="AB93" s="325"/>
      <c r="AC93" s="325"/>
      <c r="AD93" s="342"/>
      <c r="AE93" s="324"/>
      <c r="AF93" s="349"/>
      <c r="AG93" s="325"/>
      <c r="AH93" s="314"/>
      <c r="AI93" s="314"/>
      <c r="AJ93" s="315"/>
      <c r="AK93" s="315"/>
      <c r="AL93" s="315"/>
    </row>
    <row r="94" spans="1:38" x14ac:dyDescent="0.25">
      <c r="J94" s="123"/>
      <c r="K94" s="123"/>
      <c r="L94" s="123"/>
      <c r="M94" s="395"/>
      <c r="N94" s="389"/>
      <c r="O94" s="392"/>
      <c r="P94" s="389"/>
      <c r="Q94" s="392"/>
      <c r="R94" s="389"/>
      <c r="S94" s="396"/>
      <c r="T94" s="389"/>
      <c r="U94" s="336"/>
      <c r="Y94" s="325"/>
      <c r="Z94" s="325"/>
      <c r="AA94" s="325"/>
      <c r="AB94" s="325"/>
      <c r="AC94" s="325"/>
      <c r="AD94" s="342"/>
      <c r="AE94" s="324"/>
      <c r="AF94" s="349"/>
      <c r="AG94" s="325"/>
      <c r="AH94" s="314"/>
      <c r="AI94" s="314"/>
      <c r="AJ94" s="315"/>
      <c r="AK94" s="315"/>
      <c r="AL94" s="315"/>
    </row>
    <row r="95" spans="1:38" x14ac:dyDescent="0.25">
      <c r="J95" s="123"/>
      <c r="K95" s="123"/>
      <c r="L95" s="123"/>
      <c r="M95" s="397"/>
      <c r="N95" s="389"/>
      <c r="O95" s="397"/>
      <c r="P95" s="389"/>
      <c r="Q95" s="397"/>
      <c r="R95" s="389"/>
      <c r="S95" s="397"/>
      <c r="T95" s="389"/>
      <c r="U95" s="336"/>
      <c r="Y95" s="325"/>
      <c r="Z95" s="325"/>
      <c r="AA95" s="325"/>
      <c r="AB95" s="325"/>
      <c r="AC95" s="325"/>
      <c r="AD95" s="342"/>
      <c r="AE95" s="324"/>
      <c r="AF95" s="349"/>
      <c r="AG95" s="325"/>
      <c r="AH95" s="314"/>
      <c r="AI95" s="314"/>
      <c r="AJ95" s="315"/>
      <c r="AK95" s="315"/>
      <c r="AL95" s="315"/>
    </row>
    <row r="96" spans="1:38" x14ac:dyDescent="0.25">
      <c r="J96" s="123"/>
      <c r="K96" s="123"/>
      <c r="L96" s="123"/>
      <c r="M96" s="398"/>
      <c r="N96" s="389"/>
      <c r="O96" s="392"/>
      <c r="P96" s="399"/>
      <c r="Q96" s="392"/>
      <c r="R96" s="389"/>
      <c r="S96" s="400"/>
      <c r="T96" s="399"/>
      <c r="U96" s="123"/>
      <c r="Y96" s="325"/>
      <c r="Z96" s="325"/>
      <c r="AA96" s="325"/>
      <c r="AB96" s="325"/>
      <c r="AC96" s="325"/>
      <c r="AD96" s="342"/>
      <c r="AE96" s="324"/>
      <c r="AF96" s="349"/>
      <c r="AG96" s="325"/>
      <c r="AH96" s="314"/>
      <c r="AI96" s="314"/>
      <c r="AJ96" s="315"/>
      <c r="AK96" s="315"/>
      <c r="AL96" s="315"/>
    </row>
    <row r="97" spans="10:38" x14ac:dyDescent="0.25">
      <c r="J97" s="123"/>
      <c r="K97" s="123"/>
      <c r="L97" s="123"/>
      <c r="M97" s="401"/>
      <c r="N97" s="402"/>
      <c r="O97" s="401"/>
      <c r="P97" s="402"/>
      <c r="Q97" s="401"/>
      <c r="R97" s="403"/>
      <c r="S97" s="401"/>
      <c r="T97" s="403"/>
      <c r="U97" s="337"/>
      <c r="Y97" s="325"/>
      <c r="Z97" s="325"/>
      <c r="AA97" s="325"/>
      <c r="AB97" s="325"/>
      <c r="AC97" s="325"/>
      <c r="AD97" s="342"/>
      <c r="AE97" s="324"/>
      <c r="AF97" s="349"/>
      <c r="AG97" s="325"/>
      <c r="AH97" s="314"/>
      <c r="AI97" s="314"/>
      <c r="AJ97" s="315"/>
      <c r="AK97" s="315"/>
      <c r="AL97" s="315"/>
    </row>
    <row r="98" spans="10:38" x14ac:dyDescent="0.25">
      <c r="J98" s="326"/>
      <c r="K98" s="326"/>
      <c r="L98" s="326"/>
      <c r="M98" s="326"/>
      <c r="N98" s="326"/>
      <c r="O98" s="326"/>
      <c r="P98" s="326"/>
      <c r="Q98" s="326"/>
      <c r="R98" s="326"/>
      <c r="S98" s="326"/>
      <c r="T98" s="326"/>
      <c r="U98" s="200"/>
      <c r="Y98" s="325"/>
      <c r="Z98" s="325"/>
      <c r="AA98" s="325"/>
      <c r="AB98" s="325"/>
      <c r="AC98" s="325"/>
      <c r="AD98" s="342"/>
      <c r="AE98" s="324"/>
      <c r="AF98" s="349"/>
      <c r="AG98" s="325"/>
      <c r="AH98" s="314"/>
      <c r="AI98" s="314"/>
      <c r="AJ98" s="315"/>
      <c r="AK98" s="315"/>
      <c r="AL98" s="315"/>
    </row>
    <row r="99" spans="10:38" x14ac:dyDescent="0.25">
      <c r="J99" s="123"/>
      <c r="K99" s="123"/>
      <c r="L99" s="123"/>
      <c r="M99" s="734"/>
      <c r="N99" s="390"/>
      <c r="O99" s="734"/>
      <c r="P99" s="390"/>
      <c r="Q99" s="734"/>
      <c r="R99" s="357"/>
      <c r="S99" s="734"/>
      <c r="T99" s="404"/>
      <c r="U99" s="123"/>
      <c r="Y99" s="325"/>
      <c r="Z99" s="325"/>
      <c r="AA99" s="325"/>
      <c r="AB99" s="325"/>
      <c r="AC99" s="325"/>
      <c r="AD99" s="342"/>
      <c r="AE99" s="324"/>
      <c r="AF99" s="349"/>
      <c r="AG99" s="325"/>
      <c r="AH99" s="314"/>
      <c r="AI99" s="314"/>
      <c r="AJ99" s="315"/>
      <c r="AK99" s="315"/>
      <c r="AL99" s="315"/>
    </row>
    <row r="100" spans="10:38" x14ac:dyDescent="0.25">
      <c r="J100" s="123"/>
      <c r="K100" s="123"/>
      <c r="L100" s="123"/>
      <c r="M100" s="405"/>
      <c r="N100" s="406"/>
      <c r="O100" s="405"/>
      <c r="P100" s="406"/>
      <c r="Q100" s="405"/>
      <c r="R100" s="406"/>
      <c r="S100" s="405"/>
      <c r="T100" s="406"/>
      <c r="U100" s="338"/>
      <c r="Y100" s="325"/>
      <c r="Z100" s="325"/>
      <c r="AA100" s="325"/>
      <c r="AB100" s="325"/>
      <c r="AC100" s="325"/>
      <c r="AD100" s="342"/>
      <c r="AE100" s="324"/>
      <c r="AF100" s="349"/>
      <c r="AG100" s="325"/>
      <c r="AH100" s="314"/>
      <c r="AI100" s="314"/>
      <c r="AJ100" s="315"/>
      <c r="AK100" s="315"/>
      <c r="AL100" s="315"/>
    </row>
    <row r="101" spans="10:38" x14ac:dyDescent="0.25">
      <c r="J101" s="123"/>
      <c r="K101" s="123"/>
      <c r="L101" s="123"/>
      <c r="M101" s="405"/>
      <c r="N101" s="406"/>
      <c r="O101" s="405"/>
      <c r="P101" s="406"/>
      <c r="Q101" s="405"/>
      <c r="R101" s="406"/>
      <c r="S101" s="405"/>
      <c r="T101" s="406"/>
      <c r="U101" s="338"/>
      <c r="Y101" s="325"/>
      <c r="Z101" s="325"/>
      <c r="AA101" s="325"/>
      <c r="AB101" s="325"/>
      <c r="AC101" s="325"/>
      <c r="AD101" s="342"/>
      <c r="AE101" s="324"/>
      <c r="AF101" s="349"/>
      <c r="AG101" s="325"/>
      <c r="AH101" s="314"/>
      <c r="AI101" s="314"/>
      <c r="AJ101" s="315"/>
      <c r="AK101" s="315"/>
      <c r="AL101" s="315"/>
    </row>
    <row r="102" spans="10:38" x14ac:dyDescent="0.25">
      <c r="J102" s="123"/>
      <c r="K102" s="123"/>
      <c r="L102" s="123"/>
      <c r="M102" s="405"/>
      <c r="N102" s="406"/>
      <c r="O102" s="405"/>
      <c r="P102" s="406"/>
      <c r="Q102" s="405"/>
      <c r="R102" s="406"/>
      <c r="S102" s="405"/>
      <c r="T102" s="406"/>
      <c r="U102" s="338"/>
      <c r="Y102" s="325"/>
      <c r="Z102" s="325"/>
      <c r="AA102" s="325"/>
      <c r="AB102" s="325"/>
      <c r="AC102" s="325"/>
      <c r="AD102" s="342"/>
      <c r="AE102" s="324"/>
      <c r="AF102" s="349"/>
      <c r="AG102" s="325"/>
      <c r="AH102" s="314"/>
      <c r="AI102" s="314"/>
      <c r="AJ102" s="315"/>
      <c r="AK102" s="315"/>
      <c r="AL102" s="315"/>
    </row>
    <row r="103" spans="10:38" x14ac:dyDescent="0.25">
      <c r="J103" s="123"/>
      <c r="K103" s="123"/>
      <c r="L103" s="123"/>
      <c r="M103" s="405"/>
      <c r="N103" s="406"/>
      <c r="O103" s="405"/>
      <c r="P103" s="406"/>
      <c r="Q103" s="405"/>
      <c r="R103" s="406"/>
      <c r="S103" s="405"/>
      <c r="T103" s="406"/>
      <c r="U103" s="338"/>
      <c r="Y103" s="325"/>
      <c r="Z103" s="325"/>
      <c r="AA103" s="325"/>
      <c r="AB103" s="325"/>
      <c r="AC103" s="325"/>
      <c r="AD103" s="342"/>
      <c r="AE103" s="324"/>
      <c r="AF103" s="349"/>
      <c r="AG103" s="325"/>
      <c r="AH103" s="314"/>
      <c r="AI103" s="314"/>
      <c r="AJ103" s="315"/>
      <c r="AK103" s="315"/>
      <c r="AL103" s="315"/>
    </row>
    <row r="104" spans="10:38" x14ac:dyDescent="0.25">
      <c r="J104" s="123"/>
      <c r="K104" s="123"/>
      <c r="L104" s="123"/>
      <c r="M104" s="407"/>
      <c r="N104" s="406"/>
      <c r="O104" s="407"/>
      <c r="P104" s="406"/>
      <c r="Q104" s="407"/>
      <c r="R104" s="406"/>
      <c r="S104" s="407"/>
      <c r="T104" s="406"/>
      <c r="U104" s="339"/>
      <c r="Y104" s="325"/>
      <c r="Z104" s="325"/>
      <c r="AA104" s="325"/>
      <c r="AB104" s="325"/>
      <c r="AC104" s="325"/>
      <c r="AD104" s="342"/>
      <c r="AE104" s="324"/>
      <c r="AF104" s="349"/>
      <c r="AG104" s="325"/>
      <c r="AH104" s="314"/>
      <c r="AI104" s="314"/>
      <c r="AJ104" s="315"/>
      <c r="AK104" s="315"/>
      <c r="AL104" s="315"/>
    </row>
    <row r="105" spans="10:38" x14ac:dyDescent="0.25">
      <c r="J105" s="123"/>
      <c r="K105" s="123"/>
      <c r="L105" s="123"/>
      <c r="M105" s="408"/>
      <c r="N105" s="406"/>
      <c r="O105" s="408"/>
      <c r="P105" s="406"/>
      <c r="Q105" s="408"/>
      <c r="R105" s="406"/>
      <c r="S105" s="408"/>
      <c r="T105" s="406"/>
      <c r="U105" s="339"/>
      <c r="Y105" s="325"/>
      <c r="Z105" s="325"/>
      <c r="AA105" s="325"/>
      <c r="AB105" s="325"/>
      <c r="AC105" s="325"/>
      <c r="AD105" s="342"/>
      <c r="AE105" s="324"/>
      <c r="AF105" s="349"/>
      <c r="AG105" s="325"/>
      <c r="AH105" s="314"/>
      <c r="AI105" s="314"/>
      <c r="AJ105" s="315"/>
      <c r="AK105" s="315"/>
      <c r="AL105" s="315"/>
    </row>
    <row r="106" spans="10:38" x14ac:dyDescent="0.25">
      <c r="J106" s="123"/>
      <c r="K106" s="123"/>
      <c r="L106" s="123"/>
      <c r="M106" s="407"/>
      <c r="N106" s="406"/>
      <c r="O106" s="407"/>
      <c r="P106" s="406"/>
      <c r="Q106" s="407"/>
      <c r="R106" s="406"/>
      <c r="S106" s="407"/>
      <c r="T106" s="406"/>
      <c r="U106" s="339"/>
      <c r="Y106" s="325"/>
      <c r="Z106" s="325"/>
      <c r="AA106" s="325"/>
      <c r="AB106" s="325"/>
      <c r="AC106" s="325"/>
      <c r="AD106" s="342"/>
      <c r="AE106" s="324"/>
      <c r="AF106" s="349"/>
      <c r="AG106" s="325"/>
      <c r="AH106" s="314"/>
      <c r="AI106" s="314"/>
      <c r="AJ106" s="315"/>
      <c r="AK106" s="315"/>
      <c r="AL106" s="315"/>
    </row>
    <row r="107" spans="10:38" x14ac:dyDescent="0.25">
      <c r="J107" s="123"/>
      <c r="K107" s="123"/>
      <c r="L107" s="123"/>
      <c r="M107" s="733"/>
      <c r="N107" s="399"/>
      <c r="O107" s="733"/>
      <c r="P107" s="399"/>
      <c r="Q107" s="733"/>
      <c r="R107" s="399"/>
      <c r="S107" s="733"/>
      <c r="T107" s="399"/>
      <c r="U107" s="340"/>
      <c r="Y107" s="325"/>
      <c r="Z107" s="325"/>
      <c r="AA107" s="325"/>
      <c r="AB107" s="325"/>
      <c r="AC107" s="325"/>
      <c r="AD107" s="342"/>
      <c r="AE107" s="324"/>
      <c r="AF107" s="349"/>
      <c r="AG107" s="325"/>
      <c r="AH107" s="314"/>
      <c r="AI107" s="314"/>
      <c r="AJ107" s="315"/>
      <c r="AK107" s="315"/>
      <c r="AL107" s="315"/>
    </row>
    <row r="108" spans="10:38" x14ac:dyDescent="0.25">
      <c r="J108" s="123"/>
      <c r="K108" s="123"/>
      <c r="L108" s="123"/>
      <c r="M108" s="409"/>
      <c r="N108" s="402"/>
      <c r="O108" s="409"/>
      <c r="P108" s="402"/>
      <c r="Q108" s="409"/>
      <c r="R108" s="402"/>
      <c r="S108" s="409"/>
      <c r="T108" s="402"/>
      <c r="U108" s="337"/>
      <c r="Y108" s="325"/>
      <c r="Z108" s="325"/>
      <c r="AA108" s="325"/>
      <c r="AB108" s="325"/>
      <c r="AC108" s="325"/>
      <c r="AD108" s="342"/>
      <c r="AE108" s="324"/>
      <c r="AF108" s="349"/>
      <c r="AG108" s="325"/>
      <c r="AH108" s="314"/>
      <c r="AI108" s="314"/>
      <c r="AJ108" s="315"/>
      <c r="AK108" s="315"/>
      <c r="AL108" s="315"/>
    </row>
    <row r="109" spans="10:38" x14ac:dyDescent="0.25">
      <c r="T109" s="314"/>
      <c r="U109" s="325"/>
      <c r="V109" s="325"/>
      <c r="W109" s="325"/>
      <c r="X109" s="325"/>
      <c r="Y109" s="325"/>
      <c r="Z109" s="325"/>
      <c r="AA109" s="325"/>
      <c r="AB109" s="325"/>
      <c r="AC109" s="325"/>
      <c r="AD109" s="342"/>
      <c r="AE109" s="324"/>
      <c r="AF109" s="349"/>
      <c r="AG109" s="325"/>
      <c r="AH109" s="314"/>
      <c r="AI109" s="314"/>
      <c r="AJ109" s="315"/>
      <c r="AK109" s="315"/>
      <c r="AL109" s="315"/>
    </row>
    <row r="110" spans="10:38" x14ac:dyDescent="0.25">
      <c r="T110" s="314"/>
      <c r="U110" s="325"/>
      <c r="V110" s="325"/>
      <c r="W110" s="325"/>
      <c r="X110" s="325"/>
      <c r="Y110" s="325"/>
      <c r="Z110" s="325"/>
      <c r="AA110" s="325"/>
      <c r="AB110" s="325"/>
      <c r="AC110" s="325"/>
      <c r="AD110" s="342"/>
      <c r="AE110" s="324"/>
      <c r="AF110" s="349"/>
      <c r="AG110" s="325"/>
      <c r="AH110" s="314"/>
      <c r="AI110" s="314"/>
      <c r="AJ110" s="315"/>
      <c r="AK110" s="315"/>
      <c r="AL110" s="315"/>
    </row>
    <row r="111" spans="10:38" x14ac:dyDescent="0.25">
      <c r="T111" s="314"/>
      <c r="U111" s="325"/>
      <c r="V111" s="325"/>
      <c r="W111" s="325"/>
      <c r="X111" s="325"/>
      <c r="Y111" s="325"/>
      <c r="Z111" s="325"/>
      <c r="AA111" s="325"/>
      <c r="AB111" s="325"/>
      <c r="AC111" s="325"/>
      <c r="AD111" s="342"/>
      <c r="AE111" s="324"/>
      <c r="AF111" s="349"/>
      <c r="AG111" s="325"/>
      <c r="AH111" s="314"/>
      <c r="AI111" s="314"/>
      <c r="AJ111" s="315"/>
      <c r="AK111" s="315"/>
      <c r="AL111" s="315"/>
    </row>
    <row r="112" spans="10:38" x14ac:dyDescent="0.25">
      <c r="T112" s="314"/>
      <c r="U112" s="325"/>
      <c r="V112" s="325"/>
      <c r="W112" s="325"/>
      <c r="X112" s="325"/>
      <c r="Y112" s="325"/>
      <c r="Z112" s="325"/>
      <c r="AA112" s="325"/>
      <c r="AB112" s="325"/>
      <c r="AC112" s="325"/>
      <c r="AD112" s="342"/>
      <c r="AE112" s="324"/>
      <c r="AF112" s="349"/>
      <c r="AG112" s="325"/>
      <c r="AH112" s="314"/>
      <c r="AI112" s="314"/>
      <c r="AJ112" s="315"/>
      <c r="AK112" s="315"/>
      <c r="AL112" s="315"/>
    </row>
    <row r="113" spans="8:38" x14ac:dyDescent="0.25">
      <c r="T113" s="314"/>
      <c r="U113" s="325"/>
      <c r="V113" s="325"/>
      <c r="W113" s="325"/>
      <c r="X113" s="325"/>
      <c r="Y113" s="325"/>
      <c r="Z113" s="325"/>
      <c r="AA113" s="325"/>
      <c r="AB113" s="325"/>
      <c r="AC113" s="325"/>
      <c r="AD113" s="342"/>
      <c r="AE113" s="324"/>
      <c r="AF113" s="349"/>
      <c r="AG113" s="325"/>
      <c r="AH113" s="314"/>
      <c r="AI113" s="314"/>
      <c r="AJ113" s="315"/>
      <c r="AK113" s="315"/>
      <c r="AL113" s="315"/>
    </row>
    <row r="114" spans="8:38" x14ac:dyDescent="0.25">
      <c r="T114" s="314"/>
      <c r="U114" s="325"/>
      <c r="V114" s="325"/>
      <c r="W114" s="325"/>
      <c r="X114" s="325"/>
      <c r="Y114" s="325"/>
      <c r="Z114" s="325"/>
      <c r="AA114" s="325"/>
      <c r="AB114" s="325"/>
      <c r="AC114" s="325"/>
      <c r="AD114" s="342"/>
      <c r="AE114" s="324"/>
      <c r="AF114" s="349"/>
      <c r="AG114" s="325"/>
      <c r="AH114" s="314"/>
      <c r="AI114" s="314"/>
      <c r="AJ114" s="315"/>
      <c r="AK114" s="315"/>
      <c r="AL114" s="315"/>
    </row>
    <row r="115" spans="8:38" x14ac:dyDescent="0.25">
      <c r="T115" s="314"/>
      <c r="U115" s="325"/>
      <c r="V115" s="325"/>
      <c r="W115" s="325"/>
      <c r="X115" s="325"/>
      <c r="Y115" s="325"/>
      <c r="Z115" s="325"/>
      <c r="AA115" s="325"/>
      <c r="AB115" s="325"/>
      <c r="AC115" s="325"/>
      <c r="AD115" s="342"/>
      <c r="AE115" s="324"/>
      <c r="AF115" s="349"/>
      <c r="AG115" s="325"/>
      <c r="AH115" s="314"/>
      <c r="AI115" s="314"/>
      <c r="AJ115" s="315"/>
      <c r="AK115" s="315"/>
      <c r="AL115" s="315"/>
    </row>
    <row r="116" spans="8:38" x14ac:dyDescent="0.25">
      <c r="T116" s="314"/>
      <c r="U116" s="325"/>
      <c r="V116" s="325"/>
      <c r="W116" s="325"/>
      <c r="X116" s="325"/>
      <c r="Y116" s="325"/>
      <c r="Z116" s="325"/>
      <c r="AA116" s="325"/>
      <c r="AB116" s="325"/>
      <c r="AC116" s="325"/>
      <c r="AD116" s="342"/>
      <c r="AE116" s="324"/>
      <c r="AF116" s="349"/>
      <c r="AG116" s="325"/>
      <c r="AH116" s="314"/>
      <c r="AI116" s="314"/>
      <c r="AJ116" s="315"/>
      <c r="AK116" s="315"/>
      <c r="AL116" s="315"/>
    </row>
    <row r="117" spans="8:38" x14ac:dyDescent="0.25">
      <c r="T117" s="410"/>
      <c r="U117" s="325"/>
      <c r="V117" s="325"/>
      <c r="W117" s="325"/>
      <c r="X117" s="325"/>
      <c r="Y117" s="325"/>
      <c r="Z117" s="325"/>
      <c r="AA117" s="325"/>
      <c r="AB117" s="325"/>
      <c r="AC117" s="325"/>
      <c r="AD117" s="342"/>
      <c r="AE117" s="324"/>
      <c r="AF117" s="349"/>
      <c r="AG117" s="325"/>
      <c r="AH117" s="314"/>
      <c r="AI117" s="314"/>
      <c r="AJ117" s="315"/>
      <c r="AK117" s="315"/>
      <c r="AL117" s="315"/>
    </row>
    <row r="118" spans="8:38" x14ac:dyDescent="0.25">
      <c r="T118" s="314"/>
      <c r="U118" s="325"/>
      <c r="V118" s="325"/>
      <c r="W118" s="325"/>
      <c r="X118" s="325"/>
      <c r="Y118" s="325"/>
      <c r="Z118" s="325"/>
      <c r="AA118" s="325"/>
      <c r="AB118" s="325"/>
      <c r="AC118" s="325"/>
      <c r="AD118" s="342"/>
      <c r="AE118" s="324"/>
      <c r="AF118" s="349"/>
      <c r="AG118" s="325"/>
      <c r="AH118" s="314"/>
      <c r="AI118" s="314"/>
      <c r="AJ118" s="315"/>
      <c r="AK118" s="315"/>
      <c r="AL118" s="315"/>
    </row>
    <row r="119" spans="8:38" x14ac:dyDescent="0.25">
      <c r="H119" s="411"/>
      <c r="I119" s="412"/>
      <c r="J119" s="352"/>
      <c r="K119" s="352"/>
      <c r="L119" s="352"/>
      <c r="M119" s="352"/>
      <c r="N119" s="413"/>
      <c r="O119" s="413"/>
      <c r="P119" s="413"/>
      <c r="Q119" s="413"/>
      <c r="R119" s="413"/>
      <c r="T119" s="411"/>
      <c r="U119" s="412"/>
      <c r="V119" s="352"/>
      <c r="W119" s="352"/>
      <c r="X119" s="352"/>
      <c r="Y119" s="352"/>
      <c r="Z119" s="413"/>
      <c r="AA119" s="413"/>
      <c r="AB119" s="413"/>
      <c r="AC119" s="413"/>
      <c r="AD119" s="413"/>
      <c r="AE119" s="324"/>
      <c r="AF119" s="349"/>
      <c r="AG119" s="325"/>
      <c r="AH119" s="314"/>
      <c r="AI119" s="314"/>
      <c r="AJ119" s="315"/>
      <c r="AK119" s="315"/>
      <c r="AL119" s="315"/>
    </row>
    <row r="120" spans="8:38" x14ac:dyDescent="0.25">
      <c r="H120" s="411"/>
      <c r="I120" s="353"/>
      <c r="J120" s="352"/>
      <c r="K120" s="352"/>
      <c r="L120" s="352"/>
      <c r="M120" s="352"/>
      <c r="N120" s="413"/>
      <c r="O120" s="413"/>
      <c r="P120" s="413"/>
      <c r="Q120" s="413"/>
      <c r="R120" s="413"/>
      <c r="T120" s="411"/>
      <c r="U120" s="353"/>
      <c r="V120" s="352"/>
      <c r="W120" s="352"/>
      <c r="X120" s="352"/>
      <c r="Y120" s="352"/>
      <c r="Z120" s="413"/>
      <c r="AA120" s="413"/>
      <c r="AB120" s="413"/>
      <c r="AC120" s="413"/>
      <c r="AD120" s="413"/>
      <c r="AE120" s="324"/>
      <c r="AF120" s="349"/>
      <c r="AG120" s="325"/>
      <c r="AH120" s="314"/>
      <c r="AI120" s="314"/>
      <c r="AJ120" s="315"/>
      <c r="AK120" s="315"/>
      <c r="AL120" s="315"/>
    </row>
    <row r="121" spans="8:38" x14ac:dyDescent="0.25">
      <c r="H121" s="414"/>
      <c r="I121" s="353"/>
      <c r="J121" s="355"/>
      <c r="K121" s="352"/>
      <c r="L121" s="352"/>
      <c r="M121" s="352"/>
      <c r="N121" s="413"/>
      <c r="O121" s="413"/>
      <c r="P121" s="413"/>
      <c r="Q121" s="413"/>
      <c r="R121" s="413"/>
      <c r="T121" s="414"/>
      <c r="U121" s="353"/>
      <c r="V121" s="355"/>
      <c r="W121" s="352"/>
      <c r="X121" s="352"/>
      <c r="Y121" s="352"/>
      <c r="Z121" s="413"/>
      <c r="AA121" s="413"/>
      <c r="AB121" s="413"/>
      <c r="AC121" s="413"/>
      <c r="AD121" s="413"/>
      <c r="AE121" s="324"/>
      <c r="AF121" s="349"/>
      <c r="AG121" s="325"/>
      <c r="AH121" s="314"/>
      <c r="AI121" s="314"/>
      <c r="AJ121" s="315"/>
      <c r="AK121" s="315"/>
      <c r="AL121" s="315"/>
    </row>
    <row r="122" spans="8:38" x14ac:dyDescent="0.25">
      <c r="H122" s="415"/>
      <c r="I122" s="416"/>
      <c r="J122" s="416"/>
      <c r="K122" s="352"/>
      <c r="L122" s="352"/>
      <c r="M122" s="352"/>
      <c r="N122" s="413"/>
      <c r="O122" s="413"/>
      <c r="P122" s="413"/>
      <c r="Q122" s="413"/>
      <c r="R122" s="413"/>
      <c r="T122" s="415"/>
      <c r="U122" s="416"/>
      <c r="V122" s="416"/>
      <c r="W122" s="352"/>
      <c r="X122" s="352"/>
      <c r="Y122" s="352"/>
      <c r="Z122" s="413"/>
      <c r="AA122" s="413"/>
      <c r="AB122" s="413"/>
      <c r="AC122" s="413"/>
      <c r="AD122" s="413"/>
      <c r="AE122" s="324"/>
      <c r="AF122" s="349"/>
      <c r="AG122" s="325"/>
      <c r="AH122" s="314"/>
      <c r="AI122" s="314"/>
      <c r="AJ122" s="315"/>
      <c r="AK122" s="315"/>
      <c r="AL122" s="315"/>
    </row>
    <row r="123" spans="8:38" x14ac:dyDescent="0.25">
      <c r="T123" s="314"/>
      <c r="U123" s="325"/>
      <c r="V123" s="325"/>
      <c r="W123" s="325"/>
      <c r="X123" s="325"/>
      <c r="Y123" s="325"/>
      <c r="Z123" s="325"/>
      <c r="AA123" s="325"/>
      <c r="AB123" s="325"/>
      <c r="AC123" s="325"/>
      <c r="AD123" s="342"/>
      <c r="AE123" s="324"/>
      <c r="AF123" s="349"/>
      <c r="AG123" s="325"/>
      <c r="AH123" s="314"/>
      <c r="AI123" s="314"/>
      <c r="AJ123" s="315"/>
      <c r="AK123" s="315"/>
      <c r="AL123" s="315"/>
    </row>
    <row r="124" spans="8:38" x14ac:dyDescent="0.25">
      <c r="T124" s="314"/>
      <c r="U124" s="325"/>
      <c r="V124" s="325"/>
      <c r="W124" s="325"/>
      <c r="X124" s="325"/>
      <c r="Y124" s="325"/>
      <c r="Z124" s="325"/>
      <c r="AA124" s="325"/>
      <c r="AB124" s="325"/>
      <c r="AC124" s="325"/>
      <c r="AD124" s="342"/>
      <c r="AE124" s="324"/>
      <c r="AF124" s="349"/>
      <c r="AG124" s="325"/>
      <c r="AH124" s="314"/>
      <c r="AI124" s="314"/>
      <c r="AJ124" s="315"/>
      <c r="AK124" s="315"/>
      <c r="AL124" s="315"/>
    </row>
    <row r="125" spans="8:38" x14ac:dyDescent="0.25">
      <c r="T125" s="314"/>
      <c r="U125" s="325"/>
      <c r="V125" s="325"/>
      <c r="W125" s="325"/>
      <c r="X125" s="325"/>
      <c r="Y125" s="325"/>
      <c r="Z125" s="325"/>
      <c r="AA125" s="325"/>
      <c r="AB125" s="325"/>
      <c r="AC125" s="325"/>
      <c r="AD125" s="342"/>
      <c r="AE125" s="324"/>
      <c r="AF125" s="349"/>
      <c r="AG125" s="325"/>
      <c r="AH125" s="314"/>
      <c r="AI125" s="314"/>
      <c r="AJ125" s="315"/>
      <c r="AK125" s="315"/>
      <c r="AL125" s="315"/>
    </row>
    <row r="126" spans="8:38" x14ac:dyDescent="0.25">
      <c r="T126" s="314"/>
      <c r="U126" s="325"/>
      <c r="V126" s="325"/>
      <c r="W126" s="325"/>
      <c r="X126" s="325"/>
      <c r="Y126" s="325"/>
      <c r="Z126" s="325"/>
      <c r="AA126" s="325"/>
      <c r="AB126" s="325"/>
      <c r="AC126" s="325"/>
      <c r="AD126" s="342"/>
      <c r="AE126" s="324"/>
      <c r="AF126" s="349"/>
      <c r="AG126" s="325"/>
      <c r="AH126" s="314"/>
      <c r="AI126" s="314"/>
      <c r="AJ126" s="315"/>
      <c r="AK126" s="315"/>
      <c r="AL126" s="315"/>
    </row>
    <row r="127" spans="8:38" x14ac:dyDescent="0.25">
      <c r="T127" s="314"/>
      <c r="U127" s="325"/>
      <c r="V127" s="325"/>
      <c r="W127" s="325"/>
      <c r="X127" s="325"/>
      <c r="Y127" s="325"/>
      <c r="Z127" s="325"/>
      <c r="AA127" s="325"/>
      <c r="AB127" s="325"/>
      <c r="AC127" s="325"/>
      <c r="AD127" s="342"/>
      <c r="AE127" s="324"/>
      <c r="AF127" s="349"/>
      <c r="AG127" s="325"/>
      <c r="AH127" s="314"/>
      <c r="AI127" s="314"/>
      <c r="AJ127" s="315"/>
      <c r="AK127" s="315"/>
      <c r="AL127" s="315"/>
    </row>
    <row r="128" spans="8:38" x14ac:dyDescent="0.25">
      <c r="T128" s="314"/>
      <c r="U128" s="325"/>
      <c r="V128" s="325"/>
      <c r="W128" s="325"/>
      <c r="X128" s="325"/>
      <c r="Y128" s="325"/>
      <c r="Z128" s="325"/>
      <c r="AA128" s="325"/>
      <c r="AB128" s="325"/>
      <c r="AC128" s="325"/>
      <c r="AD128" s="342"/>
      <c r="AE128" s="324"/>
      <c r="AF128" s="349"/>
      <c r="AG128" s="325"/>
      <c r="AH128" s="314"/>
      <c r="AI128" s="314"/>
      <c r="AJ128" s="315"/>
      <c r="AK128" s="315"/>
      <c r="AL128" s="315"/>
    </row>
    <row r="129" spans="20:38" x14ac:dyDescent="0.25">
      <c r="T129" s="314"/>
      <c r="U129" s="325"/>
      <c r="V129" s="325"/>
      <c r="W129" s="325"/>
      <c r="X129" s="325"/>
      <c r="Y129" s="325"/>
      <c r="Z129" s="325"/>
      <c r="AA129" s="325"/>
      <c r="AB129" s="325"/>
      <c r="AC129" s="325"/>
      <c r="AD129" s="342"/>
      <c r="AE129" s="324"/>
      <c r="AF129" s="349"/>
      <c r="AG129" s="325"/>
      <c r="AH129" s="314"/>
      <c r="AI129" s="314"/>
      <c r="AJ129" s="315"/>
      <c r="AK129" s="315"/>
      <c r="AL129" s="315"/>
    </row>
    <row r="130" spans="20:38" x14ac:dyDescent="0.25">
      <c r="T130" s="314"/>
      <c r="U130" s="325"/>
      <c r="V130" s="325"/>
      <c r="W130" s="325"/>
      <c r="X130" s="325"/>
      <c r="Y130" s="325"/>
      <c r="Z130" s="325"/>
      <c r="AA130" s="325"/>
      <c r="AB130" s="325"/>
      <c r="AC130" s="325"/>
      <c r="AD130" s="342"/>
      <c r="AE130" s="324"/>
      <c r="AF130" s="349"/>
      <c r="AG130" s="325"/>
      <c r="AH130" s="314"/>
      <c r="AI130" s="314"/>
      <c r="AJ130" s="315"/>
      <c r="AK130" s="315"/>
      <c r="AL130" s="315"/>
    </row>
    <row r="131" spans="20:38" x14ac:dyDescent="0.25">
      <c r="T131" s="314"/>
      <c r="U131" s="325"/>
      <c r="V131" s="325"/>
      <c r="W131" s="325"/>
      <c r="X131" s="325"/>
      <c r="Y131" s="325"/>
      <c r="Z131" s="325"/>
      <c r="AA131" s="325"/>
      <c r="AB131" s="325"/>
      <c r="AC131" s="325"/>
      <c r="AD131" s="342"/>
      <c r="AE131" s="324"/>
      <c r="AF131" s="349"/>
      <c r="AG131" s="325"/>
      <c r="AH131" s="314"/>
      <c r="AI131" s="314"/>
      <c r="AJ131" s="315"/>
      <c r="AK131" s="315"/>
      <c r="AL131" s="315"/>
    </row>
    <row r="132" spans="20:38" x14ac:dyDescent="0.25">
      <c r="T132" s="314"/>
      <c r="U132" s="325"/>
      <c r="V132" s="325"/>
      <c r="W132" s="325"/>
      <c r="X132" s="325"/>
      <c r="Y132" s="325"/>
      <c r="Z132" s="325"/>
      <c r="AA132" s="325"/>
      <c r="AB132" s="325"/>
      <c r="AC132" s="325"/>
      <c r="AD132" s="342"/>
      <c r="AE132" s="324"/>
      <c r="AF132" s="349"/>
      <c r="AG132" s="325"/>
      <c r="AH132" s="314"/>
      <c r="AI132" s="314"/>
      <c r="AJ132" s="315"/>
      <c r="AK132" s="315"/>
      <c r="AL132" s="315"/>
    </row>
    <row r="133" spans="20:38" x14ac:dyDescent="0.25">
      <c r="T133" s="314"/>
      <c r="U133" s="325"/>
      <c r="V133" s="325"/>
      <c r="W133" s="325"/>
      <c r="X133" s="325"/>
      <c r="Y133" s="325"/>
      <c r="Z133" s="325"/>
      <c r="AA133" s="325"/>
      <c r="AB133" s="325"/>
      <c r="AC133" s="325"/>
      <c r="AD133" s="342"/>
      <c r="AE133" s="324"/>
      <c r="AF133" s="349"/>
      <c r="AG133" s="325"/>
      <c r="AH133" s="314"/>
      <c r="AI133" s="314"/>
      <c r="AJ133" s="315"/>
      <c r="AK133" s="315"/>
      <c r="AL133" s="315"/>
    </row>
    <row r="134" spans="20:38" x14ac:dyDescent="0.25">
      <c r="T134" s="314"/>
      <c r="U134" s="325"/>
      <c r="V134" s="325"/>
      <c r="W134" s="325"/>
      <c r="X134" s="325"/>
      <c r="Y134" s="325"/>
      <c r="Z134" s="325"/>
      <c r="AA134" s="325"/>
      <c r="AB134" s="325"/>
      <c r="AC134" s="325"/>
      <c r="AD134" s="342"/>
      <c r="AE134" s="324"/>
      <c r="AF134" s="349"/>
      <c r="AG134" s="325"/>
      <c r="AH134" s="314"/>
      <c r="AI134" s="314"/>
      <c r="AJ134" s="315"/>
      <c r="AK134" s="315"/>
      <c r="AL134" s="315"/>
    </row>
    <row r="135" spans="20:38" x14ac:dyDescent="0.25">
      <c r="T135" s="314"/>
      <c r="U135" s="325"/>
      <c r="V135" s="325"/>
      <c r="W135" s="325"/>
      <c r="X135" s="325"/>
      <c r="Y135" s="325"/>
      <c r="Z135" s="325"/>
      <c r="AA135" s="325"/>
      <c r="AB135" s="325"/>
      <c r="AC135" s="325"/>
      <c r="AD135" s="342"/>
      <c r="AE135" s="324"/>
      <c r="AF135" s="349"/>
      <c r="AG135" s="325"/>
      <c r="AH135" s="314"/>
      <c r="AI135" s="314"/>
      <c r="AJ135" s="315"/>
      <c r="AK135" s="315"/>
      <c r="AL135" s="315"/>
    </row>
    <row r="136" spans="20:38" x14ac:dyDescent="0.25">
      <c r="T136" s="314"/>
      <c r="U136" s="325"/>
      <c r="V136" s="325"/>
      <c r="W136" s="325"/>
      <c r="X136" s="325"/>
      <c r="Y136" s="325"/>
      <c r="Z136" s="325"/>
      <c r="AA136" s="325"/>
      <c r="AB136" s="325"/>
      <c r="AC136" s="325"/>
      <c r="AD136" s="342"/>
      <c r="AE136" s="324"/>
      <c r="AF136" s="349"/>
      <c r="AG136" s="325"/>
      <c r="AH136" s="314"/>
      <c r="AI136" s="314"/>
      <c r="AJ136" s="315"/>
      <c r="AK136" s="315"/>
      <c r="AL136" s="315"/>
    </row>
    <row r="137" spans="20:38" x14ac:dyDescent="0.25">
      <c r="T137" s="314"/>
      <c r="U137" s="325"/>
      <c r="V137" s="325"/>
      <c r="W137" s="325"/>
      <c r="X137" s="325"/>
      <c r="Y137" s="325"/>
      <c r="Z137" s="325"/>
      <c r="AA137" s="325"/>
      <c r="AB137" s="325"/>
      <c r="AC137" s="325"/>
      <c r="AD137" s="342"/>
      <c r="AE137" s="324"/>
      <c r="AF137" s="349"/>
      <c r="AG137" s="325"/>
      <c r="AH137" s="314"/>
      <c r="AI137" s="314"/>
      <c r="AJ137" s="315"/>
      <c r="AK137" s="315"/>
      <c r="AL137" s="315"/>
    </row>
    <row r="138" spans="20:38" x14ac:dyDescent="0.25">
      <c r="T138" s="314"/>
      <c r="U138" s="325"/>
      <c r="V138" s="325"/>
      <c r="W138" s="325"/>
      <c r="X138" s="325"/>
      <c r="Y138" s="325"/>
      <c r="Z138" s="325"/>
      <c r="AA138" s="325"/>
      <c r="AB138" s="325"/>
      <c r="AC138" s="325"/>
      <c r="AD138" s="342"/>
      <c r="AE138" s="324"/>
      <c r="AF138" s="349"/>
      <c r="AG138" s="325"/>
      <c r="AH138" s="314"/>
      <c r="AI138" s="314"/>
      <c r="AJ138" s="315"/>
      <c r="AK138" s="315"/>
      <c r="AL138" s="315"/>
    </row>
    <row r="139" spans="20:38" x14ac:dyDescent="0.25">
      <c r="T139" s="314"/>
      <c r="U139" s="325"/>
      <c r="V139" s="325"/>
      <c r="W139" s="325"/>
      <c r="X139" s="325"/>
      <c r="Y139" s="325"/>
      <c r="Z139" s="325"/>
      <c r="AA139" s="325"/>
      <c r="AB139" s="325"/>
      <c r="AC139" s="325"/>
      <c r="AD139" s="342"/>
      <c r="AE139" s="324"/>
      <c r="AF139" s="349"/>
      <c r="AG139" s="325"/>
      <c r="AH139" s="314"/>
      <c r="AI139" s="314"/>
      <c r="AJ139" s="315"/>
      <c r="AK139" s="315"/>
      <c r="AL139" s="315"/>
    </row>
    <row r="140" spans="20:38" x14ac:dyDescent="0.25">
      <c r="T140" s="314"/>
      <c r="U140" s="325"/>
      <c r="V140" s="325"/>
      <c r="W140" s="325"/>
      <c r="X140" s="325"/>
      <c r="Y140" s="325"/>
      <c r="Z140" s="325"/>
      <c r="AA140" s="325"/>
      <c r="AB140" s="325"/>
      <c r="AC140" s="325"/>
      <c r="AD140" s="342"/>
      <c r="AE140" s="324"/>
      <c r="AF140" s="349"/>
      <c r="AG140" s="325"/>
      <c r="AH140" s="314"/>
      <c r="AI140" s="314"/>
      <c r="AJ140" s="315"/>
      <c r="AK140" s="315"/>
      <c r="AL140" s="315"/>
    </row>
    <row r="141" spans="20:38" x14ac:dyDescent="0.25">
      <c r="T141" s="314"/>
      <c r="U141" s="325"/>
      <c r="V141" s="325"/>
      <c r="W141" s="325"/>
      <c r="X141" s="325"/>
      <c r="Y141" s="325"/>
      <c r="Z141" s="325"/>
      <c r="AA141" s="325"/>
      <c r="AB141" s="325"/>
      <c r="AC141" s="325"/>
      <c r="AD141" s="342"/>
      <c r="AE141" s="324"/>
      <c r="AF141" s="349"/>
      <c r="AG141" s="325"/>
      <c r="AH141" s="314"/>
      <c r="AI141" s="314"/>
      <c r="AJ141" s="315"/>
      <c r="AK141" s="315"/>
      <c r="AL141" s="315"/>
    </row>
    <row r="142" spans="20:38" x14ac:dyDescent="0.25">
      <c r="T142" s="314"/>
      <c r="U142" s="325"/>
      <c r="V142" s="325"/>
      <c r="W142" s="325"/>
      <c r="X142" s="325"/>
      <c r="Y142" s="325"/>
      <c r="Z142" s="325"/>
      <c r="AA142" s="325"/>
      <c r="AB142" s="325"/>
      <c r="AC142" s="325"/>
      <c r="AD142" s="342"/>
      <c r="AE142" s="324"/>
      <c r="AF142" s="349"/>
      <c r="AG142" s="325"/>
      <c r="AH142" s="314"/>
      <c r="AI142" s="314"/>
      <c r="AJ142" s="315"/>
      <c r="AK142" s="315"/>
      <c r="AL142" s="315"/>
    </row>
    <row r="143" spans="20:38" x14ac:dyDescent="0.25">
      <c r="T143" s="314"/>
      <c r="U143" s="325"/>
      <c r="V143" s="325"/>
      <c r="W143" s="325"/>
      <c r="X143" s="325"/>
      <c r="Y143" s="325"/>
      <c r="Z143" s="325"/>
      <c r="AA143" s="325"/>
      <c r="AB143" s="325"/>
      <c r="AC143" s="325"/>
      <c r="AD143" s="342"/>
      <c r="AE143" s="324"/>
      <c r="AF143" s="349"/>
      <c r="AG143" s="325"/>
      <c r="AH143" s="314"/>
      <c r="AI143" s="314"/>
      <c r="AJ143" s="315"/>
      <c r="AK143" s="315"/>
      <c r="AL143" s="315"/>
    </row>
    <row r="144" spans="20:38" x14ac:dyDescent="0.25">
      <c r="T144" s="314"/>
      <c r="U144" s="325"/>
      <c r="V144" s="325"/>
      <c r="W144" s="325"/>
      <c r="X144" s="325"/>
      <c r="Y144" s="325"/>
      <c r="Z144" s="325"/>
      <c r="AA144" s="325"/>
      <c r="AB144" s="325"/>
      <c r="AC144" s="325"/>
      <c r="AD144" s="342"/>
      <c r="AE144" s="324"/>
      <c r="AF144" s="349"/>
      <c r="AG144" s="325"/>
      <c r="AH144" s="314"/>
      <c r="AI144" s="314"/>
      <c r="AJ144" s="315"/>
      <c r="AK144" s="315"/>
      <c r="AL144" s="315"/>
    </row>
    <row r="145" spans="20:38" x14ac:dyDescent="0.25">
      <c r="T145" s="314"/>
      <c r="U145" s="325"/>
      <c r="V145" s="325"/>
      <c r="W145" s="325"/>
      <c r="X145" s="325"/>
      <c r="Y145" s="325"/>
      <c r="Z145" s="325"/>
      <c r="AA145" s="325"/>
      <c r="AB145" s="325"/>
      <c r="AC145" s="325"/>
      <c r="AD145" s="342"/>
      <c r="AE145" s="324"/>
      <c r="AF145" s="349"/>
      <c r="AG145" s="325"/>
      <c r="AH145" s="314"/>
      <c r="AI145" s="314"/>
      <c r="AJ145" s="315"/>
      <c r="AK145" s="315"/>
      <c r="AL145" s="315"/>
    </row>
    <row r="146" spans="20:38" x14ac:dyDescent="0.25">
      <c r="T146" s="314"/>
      <c r="U146" s="325"/>
      <c r="V146" s="325"/>
      <c r="W146" s="325"/>
      <c r="X146" s="325"/>
      <c r="Y146" s="325"/>
      <c r="Z146" s="325"/>
      <c r="AA146" s="325"/>
      <c r="AB146" s="325"/>
      <c r="AC146" s="325"/>
      <c r="AD146" s="342"/>
      <c r="AE146" s="324"/>
      <c r="AF146" s="349"/>
      <c r="AG146" s="325"/>
      <c r="AH146" s="314"/>
      <c r="AI146" s="314"/>
      <c r="AJ146" s="315"/>
      <c r="AK146" s="315"/>
      <c r="AL146" s="315"/>
    </row>
    <row r="147" spans="20:38" x14ac:dyDescent="0.25">
      <c r="T147" s="314"/>
      <c r="U147" s="325"/>
      <c r="V147" s="325"/>
      <c r="W147" s="325"/>
      <c r="X147" s="325"/>
      <c r="Y147" s="325"/>
      <c r="Z147" s="325"/>
      <c r="AA147" s="325"/>
      <c r="AB147" s="325"/>
      <c r="AC147" s="325"/>
      <c r="AD147" s="342"/>
      <c r="AE147" s="324"/>
      <c r="AF147" s="349"/>
      <c r="AG147" s="325"/>
      <c r="AH147" s="314"/>
      <c r="AI147" s="314"/>
      <c r="AJ147" s="315"/>
      <c r="AK147" s="315"/>
      <c r="AL147" s="315"/>
    </row>
    <row r="148" spans="20:38" x14ac:dyDescent="0.25">
      <c r="T148" s="314"/>
      <c r="U148" s="325"/>
      <c r="V148" s="325"/>
      <c r="W148" s="325"/>
      <c r="X148" s="325"/>
      <c r="Y148" s="325"/>
      <c r="Z148" s="325"/>
      <c r="AA148" s="325"/>
      <c r="AB148" s="325"/>
      <c r="AC148" s="325"/>
      <c r="AD148" s="342"/>
      <c r="AE148" s="324"/>
      <c r="AF148" s="349"/>
      <c r="AG148" s="325"/>
      <c r="AH148" s="314"/>
      <c r="AI148" s="314"/>
      <c r="AJ148" s="315"/>
      <c r="AK148" s="315"/>
      <c r="AL148" s="315"/>
    </row>
    <row r="149" spans="20:38" x14ac:dyDescent="0.25">
      <c r="T149" s="314"/>
      <c r="U149" s="325"/>
      <c r="V149" s="325"/>
      <c r="W149" s="325"/>
      <c r="X149" s="325"/>
      <c r="Y149" s="325"/>
      <c r="Z149" s="325"/>
      <c r="AA149" s="325"/>
      <c r="AB149" s="325"/>
      <c r="AC149" s="325"/>
      <c r="AD149" s="342"/>
      <c r="AE149" s="324"/>
      <c r="AF149" s="349"/>
      <c r="AG149" s="325"/>
      <c r="AH149" s="314"/>
      <c r="AI149" s="314"/>
      <c r="AJ149" s="315"/>
      <c r="AK149" s="315"/>
      <c r="AL149" s="315"/>
    </row>
    <row r="150" spans="20:38" x14ac:dyDescent="0.25">
      <c r="T150" s="314"/>
      <c r="U150" s="325"/>
      <c r="V150" s="325"/>
      <c r="W150" s="325"/>
      <c r="X150" s="325"/>
      <c r="Y150" s="325"/>
      <c r="Z150" s="325"/>
      <c r="AA150" s="325"/>
      <c r="AB150" s="325"/>
      <c r="AC150" s="325"/>
      <c r="AD150" s="342"/>
      <c r="AE150" s="324"/>
      <c r="AF150" s="349"/>
      <c r="AG150" s="325"/>
      <c r="AH150" s="314"/>
      <c r="AI150" s="314"/>
      <c r="AJ150" s="315"/>
      <c r="AK150" s="315"/>
      <c r="AL150" s="315"/>
    </row>
    <row r="151" spans="20:38" x14ac:dyDescent="0.25">
      <c r="T151" s="314"/>
      <c r="U151" s="325"/>
      <c r="V151" s="325"/>
      <c r="W151" s="325"/>
      <c r="X151" s="325"/>
      <c r="Y151" s="325"/>
      <c r="Z151" s="325"/>
      <c r="AA151" s="325"/>
      <c r="AB151" s="325"/>
      <c r="AC151" s="325"/>
      <c r="AD151" s="342"/>
      <c r="AE151" s="324"/>
      <c r="AF151" s="349"/>
      <c r="AG151" s="325"/>
      <c r="AH151" s="314"/>
      <c r="AI151" s="314"/>
      <c r="AJ151" s="315"/>
      <c r="AK151" s="315"/>
      <c r="AL151" s="315"/>
    </row>
    <row r="152" spans="20:38" x14ac:dyDescent="0.25">
      <c r="T152" s="314"/>
      <c r="U152" s="325"/>
      <c r="V152" s="325"/>
      <c r="W152" s="325"/>
      <c r="X152" s="325"/>
      <c r="Y152" s="325"/>
      <c r="Z152" s="325"/>
      <c r="AA152" s="325"/>
      <c r="AB152" s="325"/>
      <c r="AC152" s="325"/>
      <c r="AD152" s="342"/>
      <c r="AE152" s="324"/>
      <c r="AF152" s="349"/>
      <c r="AG152" s="325"/>
      <c r="AH152" s="314"/>
      <c r="AI152" s="314"/>
      <c r="AJ152" s="315"/>
      <c r="AK152" s="315"/>
      <c r="AL152" s="315"/>
    </row>
    <row r="153" spans="20:38" x14ac:dyDescent="0.25">
      <c r="T153" s="314"/>
      <c r="U153" s="325"/>
      <c r="V153" s="325"/>
      <c r="W153" s="325"/>
      <c r="X153" s="325"/>
      <c r="Y153" s="325"/>
      <c r="Z153" s="325"/>
      <c r="AA153" s="325"/>
      <c r="AB153" s="325"/>
      <c r="AC153" s="325"/>
      <c r="AD153" s="342"/>
      <c r="AE153" s="324"/>
      <c r="AF153" s="349"/>
      <c r="AG153" s="325"/>
      <c r="AH153" s="314"/>
      <c r="AI153" s="314"/>
      <c r="AJ153" s="315"/>
      <c r="AK153" s="315"/>
      <c r="AL153" s="315"/>
    </row>
    <row r="154" spans="20:38" x14ac:dyDescent="0.25">
      <c r="T154" s="314"/>
      <c r="U154" s="325"/>
      <c r="V154" s="325"/>
      <c r="W154" s="325"/>
      <c r="X154" s="325"/>
      <c r="Y154" s="325"/>
      <c r="Z154" s="325"/>
      <c r="AA154" s="325"/>
      <c r="AB154" s="325"/>
      <c r="AC154" s="325"/>
      <c r="AD154" s="342"/>
      <c r="AE154" s="324"/>
      <c r="AF154" s="349"/>
      <c r="AG154" s="325"/>
      <c r="AH154" s="314"/>
      <c r="AI154" s="314"/>
      <c r="AJ154" s="315"/>
      <c r="AK154" s="315"/>
      <c r="AL154" s="315"/>
    </row>
    <row r="155" spans="20:38" x14ac:dyDescent="0.25">
      <c r="T155" s="314"/>
      <c r="U155" s="325"/>
      <c r="V155" s="325"/>
      <c r="W155" s="325"/>
      <c r="X155" s="325"/>
      <c r="Y155" s="325"/>
      <c r="Z155" s="325"/>
      <c r="AA155" s="325"/>
      <c r="AB155" s="325"/>
      <c r="AC155" s="325"/>
      <c r="AD155" s="342"/>
      <c r="AE155" s="324"/>
      <c r="AF155" s="349"/>
      <c r="AG155" s="325"/>
      <c r="AH155" s="314"/>
      <c r="AI155" s="314"/>
      <c r="AJ155" s="315"/>
      <c r="AK155" s="315"/>
      <c r="AL155" s="315"/>
    </row>
    <row r="156" spans="20:38" x14ac:dyDescent="0.25">
      <c r="T156" s="314"/>
      <c r="U156" s="325"/>
      <c r="V156" s="325"/>
      <c r="W156" s="325"/>
      <c r="X156" s="325"/>
      <c r="Y156" s="325"/>
      <c r="Z156" s="325"/>
      <c r="AA156" s="325"/>
      <c r="AB156" s="325"/>
      <c r="AC156" s="325"/>
      <c r="AD156" s="342"/>
      <c r="AE156" s="324"/>
      <c r="AF156" s="349"/>
      <c r="AG156" s="325"/>
      <c r="AH156" s="314"/>
      <c r="AI156" s="314"/>
      <c r="AJ156" s="315"/>
      <c r="AK156" s="315"/>
      <c r="AL156" s="315"/>
    </row>
    <row r="157" spans="20:38" x14ac:dyDescent="0.25">
      <c r="T157" s="314"/>
      <c r="U157" s="325"/>
      <c r="V157" s="325"/>
      <c r="W157" s="325"/>
      <c r="X157" s="325"/>
      <c r="Y157" s="325"/>
      <c r="Z157" s="325"/>
      <c r="AA157" s="325"/>
      <c r="AB157" s="325"/>
      <c r="AC157" s="325"/>
      <c r="AD157" s="342"/>
      <c r="AE157" s="324"/>
      <c r="AF157" s="349"/>
      <c r="AG157" s="325"/>
      <c r="AH157" s="314"/>
      <c r="AI157" s="314"/>
      <c r="AJ157" s="315"/>
      <c r="AK157" s="315"/>
      <c r="AL157" s="315"/>
    </row>
    <row r="158" spans="20:38" x14ac:dyDescent="0.25">
      <c r="T158" s="314"/>
      <c r="U158" s="325"/>
      <c r="V158" s="325"/>
      <c r="W158" s="325"/>
      <c r="X158" s="325"/>
      <c r="Y158" s="325"/>
      <c r="Z158" s="325"/>
      <c r="AA158" s="325"/>
      <c r="AB158" s="325"/>
      <c r="AC158" s="325"/>
      <c r="AD158" s="342"/>
      <c r="AE158" s="324"/>
      <c r="AF158" s="349"/>
      <c r="AG158" s="325"/>
      <c r="AH158" s="314"/>
      <c r="AI158" s="314"/>
      <c r="AJ158" s="315"/>
      <c r="AK158" s="315"/>
      <c r="AL158" s="315"/>
    </row>
    <row r="159" spans="20:38" x14ac:dyDescent="0.25">
      <c r="T159" s="314"/>
      <c r="U159" s="325"/>
      <c r="V159" s="325"/>
      <c r="W159" s="325"/>
      <c r="X159" s="325"/>
      <c r="Y159" s="325"/>
      <c r="Z159" s="325"/>
      <c r="AA159" s="325"/>
      <c r="AB159" s="325"/>
      <c r="AC159" s="325"/>
      <c r="AD159" s="342"/>
      <c r="AE159" s="324"/>
      <c r="AF159" s="349"/>
      <c r="AG159" s="325"/>
      <c r="AH159" s="314"/>
      <c r="AI159" s="314"/>
      <c r="AJ159" s="315"/>
      <c r="AK159" s="315"/>
      <c r="AL159" s="315"/>
    </row>
    <row r="160" spans="20:38" x14ac:dyDescent="0.25">
      <c r="T160" s="314"/>
      <c r="U160" s="325"/>
      <c r="V160" s="325"/>
      <c r="W160" s="325"/>
      <c r="X160" s="325"/>
      <c r="Y160" s="325"/>
      <c r="Z160" s="325"/>
      <c r="AA160" s="325"/>
      <c r="AB160" s="325"/>
      <c r="AC160" s="325"/>
      <c r="AD160" s="342"/>
      <c r="AE160" s="324"/>
      <c r="AF160" s="349"/>
      <c r="AG160" s="325"/>
      <c r="AH160" s="314"/>
      <c r="AI160" s="314"/>
      <c r="AJ160" s="315"/>
      <c r="AK160" s="315"/>
      <c r="AL160" s="315"/>
    </row>
    <row r="161" spans="20:38" x14ac:dyDescent="0.25">
      <c r="T161" s="314"/>
      <c r="U161" s="325"/>
      <c r="V161" s="325"/>
      <c r="W161" s="325"/>
      <c r="X161" s="325"/>
      <c r="Y161" s="325"/>
      <c r="Z161" s="325"/>
      <c r="AA161" s="325"/>
      <c r="AB161" s="325"/>
      <c r="AC161" s="325"/>
      <c r="AD161" s="342"/>
      <c r="AE161" s="324"/>
      <c r="AF161" s="349"/>
      <c r="AG161" s="325"/>
      <c r="AH161" s="314"/>
      <c r="AI161" s="314"/>
      <c r="AJ161" s="315"/>
      <c r="AK161" s="315"/>
      <c r="AL161" s="315"/>
    </row>
    <row r="162" spans="20:38" x14ac:dyDescent="0.25">
      <c r="T162" s="314"/>
      <c r="U162" s="325"/>
      <c r="V162" s="325"/>
      <c r="W162" s="325"/>
      <c r="X162" s="325"/>
      <c r="Y162" s="325"/>
      <c r="Z162" s="325"/>
      <c r="AA162" s="325"/>
      <c r="AB162" s="325"/>
      <c r="AC162" s="325"/>
      <c r="AD162" s="342"/>
      <c r="AE162" s="324"/>
      <c r="AF162" s="349"/>
      <c r="AG162" s="325"/>
      <c r="AH162" s="314"/>
      <c r="AI162" s="314"/>
      <c r="AJ162" s="315"/>
      <c r="AK162" s="315"/>
      <c r="AL162" s="315"/>
    </row>
    <row r="163" spans="20:38" x14ac:dyDescent="0.25">
      <c r="T163" s="314"/>
      <c r="U163" s="325"/>
      <c r="V163" s="325"/>
      <c r="W163" s="325"/>
      <c r="X163" s="325"/>
      <c r="Y163" s="325"/>
      <c r="Z163" s="325"/>
      <c r="AA163" s="325"/>
      <c r="AB163" s="325"/>
      <c r="AC163" s="325"/>
      <c r="AD163" s="342"/>
      <c r="AE163" s="324"/>
      <c r="AF163" s="349"/>
      <c r="AG163" s="325"/>
      <c r="AH163" s="314"/>
      <c r="AI163" s="314"/>
      <c r="AJ163" s="315"/>
      <c r="AK163" s="315"/>
      <c r="AL163" s="315"/>
    </row>
    <row r="164" spans="20:38" x14ac:dyDescent="0.25">
      <c r="T164" s="314"/>
      <c r="U164" s="325"/>
      <c r="V164" s="325"/>
      <c r="W164" s="325"/>
      <c r="X164" s="325"/>
      <c r="Y164" s="325"/>
      <c r="Z164" s="325"/>
      <c r="AA164" s="325"/>
      <c r="AB164" s="325"/>
      <c r="AC164" s="325"/>
      <c r="AD164" s="342"/>
      <c r="AE164" s="324"/>
      <c r="AF164" s="349"/>
      <c r="AG164" s="325"/>
      <c r="AH164" s="314"/>
      <c r="AI164" s="314"/>
      <c r="AJ164" s="315"/>
      <c r="AK164" s="315"/>
      <c r="AL164" s="315"/>
    </row>
    <row r="165" spans="20:38" x14ac:dyDescent="0.25">
      <c r="T165" s="314"/>
      <c r="U165" s="325"/>
      <c r="V165" s="325"/>
      <c r="W165" s="325"/>
      <c r="X165" s="325"/>
      <c r="Y165" s="325"/>
      <c r="Z165" s="325"/>
      <c r="AA165" s="325"/>
      <c r="AB165" s="325"/>
      <c r="AC165" s="325"/>
      <c r="AD165" s="342"/>
      <c r="AE165" s="324"/>
      <c r="AF165" s="349"/>
      <c r="AG165" s="325"/>
      <c r="AH165" s="314"/>
      <c r="AI165" s="314"/>
      <c r="AJ165" s="315"/>
      <c r="AK165" s="315"/>
      <c r="AL165" s="315"/>
    </row>
    <row r="166" spans="20:38" x14ac:dyDescent="0.25">
      <c r="T166" s="314"/>
      <c r="U166" s="325"/>
      <c r="V166" s="325"/>
      <c r="W166" s="325"/>
      <c r="X166" s="325"/>
      <c r="Y166" s="325"/>
      <c r="Z166" s="325"/>
      <c r="AA166" s="325"/>
      <c r="AB166" s="325"/>
      <c r="AC166" s="325"/>
      <c r="AD166" s="342"/>
      <c r="AE166" s="324"/>
      <c r="AF166" s="349"/>
      <c r="AG166" s="325"/>
      <c r="AH166" s="314"/>
      <c r="AI166" s="314"/>
      <c r="AJ166" s="315"/>
      <c r="AK166" s="315"/>
      <c r="AL166" s="315"/>
    </row>
    <row r="167" spans="20:38" x14ac:dyDescent="0.25">
      <c r="T167" s="314"/>
      <c r="U167" s="325"/>
      <c r="V167" s="325"/>
      <c r="W167" s="325"/>
      <c r="X167" s="325"/>
      <c r="Y167" s="325"/>
      <c r="Z167" s="325"/>
      <c r="AA167" s="325"/>
      <c r="AB167" s="325"/>
      <c r="AC167" s="325"/>
      <c r="AD167" s="342"/>
      <c r="AE167" s="324"/>
      <c r="AF167" s="349"/>
      <c r="AG167" s="325"/>
      <c r="AH167" s="314"/>
      <c r="AI167" s="314"/>
      <c r="AJ167" s="315"/>
      <c r="AK167" s="315"/>
      <c r="AL167" s="315"/>
    </row>
    <row r="168" spans="20:38" x14ac:dyDescent="0.25">
      <c r="T168" s="314"/>
      <c r="U168" s="325"/>
      <c r="V168" s="325"/>
      <c r="W168" s="325"/>
      <c r="X168" s="325"/>
      <c r="Y168" s="325"/>
      <c r="Z168" s="325"/>
      <c r="AA168" s="325"/>
      <c r="AB168" s="325"/>
      <c r="AC168" s="325"/>
      <c r="AD168" s="342"/>
      <c r="AE168" s="324"/>
      <c r="AF168" s="349"/>
      <c r="AG168" s="325"/>
      <c r="AH168" s="314"/>
      <c r="AI168" s="314"/>
      <c r="AJ168" s="315"/>
      <c r="AK168" s="315"/>
      <c r="AL168" s="315"/>
    </row>
    <row r="169" spans="20:38" x14ac:dyDescent="0.25">
      <c r="T169" s="314"/>
      <c r="U169" s="325"/>
      <c r="V169" s="325"/>
      <c r="W169" s="325"/>
      <c r="X169" s="325"/>
      <c r="Y169" s="325"/>
      <c r="Z169" s="325"/>
      <c r="AA169" s="325"/>
      <c r="AB169" s="325"/>
      <c r="AC169" s="325"/>
      <c r="AD169" s="342"/>
      <c r="AE169" s="324"/>
      <c r="AF169" s="349"/>
      <c r="AG169" s="325"/>
      <c r="AH169" s="314"/>
      <c r="AI169" s="314"/>
      <c r="AJ169" s="315"/>
      <c r="AK169" s="315"/>
      <c r="AL169" s="315"/>
    </row>
    <row r="170" spans="20:38" x14ac:dyDescent="0.25">
      <c r="T170" s="314"/>
      <c r="U170" s="325"/>
      <c r="V170" s="325"/>
      <c r="W170" s="325"/>
      <c r="X170" s="325"/>
      <c r="Y170" s="325"/>
      <c r="Z170" s="325"/>
      <c r="AA170" s="325"/>
      <c r="AB170" s="325"/>
      <c r="AC170" s="325"/>
      <c r="AD170" s="342"/>
      <c r="AE170" s="324"/>
      <c r="AF170" s="349"/>
      <c r="AG170" s="325"/>
      <c r="AH170" s="314"/>
      <c r="AI170" s="314"/>
      <c r="AJ170" s="315"/>
      <c r="AK170" s="315"/>
      <c r="AL170" s="315"/>
    </row>
    <row r="171" spans="20:38" x14ac:dyDescent="0.25">
      <c r="T171" s="314"/>
      <c r="U171" s="325"/>
      <c r="V171" s="325"/>
      <c r="W171" s="325"/>
      <c r="X171" s="325"/>
      <c r="Y171" s="325"/>
      <c r="Z171" s="325"/>
      <c r="AA171" s="325"/>
      <c r="AB171" s="325"/>
      <c r="AC171" s="325"/>
      <c r="AD171" s="342"/>
      <c r="AE171" s="324"/>
      <c r="AF171" s="349"/>
      <c r="AG171" s="325"/>
      <c r="AH171" s="314"/>
      <c r="AI171" s="314"/>
      <c r="AJ171" s="315"/>
      <c r="AK171" s="315"/>
      <c r="AL171" s="315"/>
    </row>
    <row r="172" spans="20:38" x14ac:dyDescent="0.25">
      <c r="T172" s="314"/>
      <c r="U172" s="325"/>
      <c r="V172" s="325"/>
      <c r="W172" s="325"/>
      <c r="X172" s="325"/>
      <c r="Y172" s="325"/>
      <c r="Z172" s="325"/>
      <c r="AA172" s="325"/>
      <c r="AB172" s="325"/>
      <c r="AC172" s="325"/>
      <c r="AD172" s="342"/>
      <c r="AE172" s="324"/>
      <c r="AF172" s="349"/>
      <c r="AG172" s="325"/>
      <c r="AH172" s="314"/>
      <c r="AI172" s="314"/>
      <c r="AJ172" s="315"/>
      <c r="AK172" s="315"/>
      <c r="AL172" s="315"/>
    </row>
    <row r="173" spans="20:38" x14ac:dyDescent="0.25">
      <c r="T173" s="314"/>
      <c r="U173" s="325"/>
      <c r="V173" s="325"/>
      <c r="W173" s="325"/>
      <c r="X173" s="325"/>
      <c r="Y173" s="325"/>
      <c r="Z173" s="325"/>
      <c r="AA173" s="325"/>
      <c r="AB173" s="325"/>
      <c r="AC173" s="325"/>
      <c r="AD173" s="342"/>
      <c r="AE173" s="324"/>
      <c r="AF173" s="349"/>
      <c r="AG173" s="325"/>
      <c r="AH173" s="314"/>
      <c r="AI173" s="314"/>
      <c r="AJ173" s="315"/>
      <c r="AK173" s="315"/>
      <c r="AL173" s="315"/>
    </row>
    <row r="174" spans="20:38" x14ac:dyDescent="0.25">
      <c r="T174" s="314"/>
      <c r="U174" s="325"/>
      <c r="V174" s="325"/>
      <c r="W174" s="325"/>
      <c r="X174" s="325"/>
      <c r="Y174" s="325"/>
      <c r="Z174" s="325"/>
      <c r="AA174" s="325"/>
      <c r="AB174" s="325"/>
      <c r="AC174" s="325"/>
      <c r="AD174" s="342"/>
      <c r="AE174" s="324"/>
      <c r="AF174" s="349"/>
      <c r="AG174" s="325"/>
      <c r="AH174" s="314"/>
      <c r="AI174" s="314"/>
      <c r="AJ174" s="315"/>
      <c r="AK174" s="315"/>
      <c r="AL174" s="315"/>
    </row>
    <row r="175" spans="20:38" x14ac:dyDescent="0.25">
      <c r="T175" s="314"/>
      <c r="U175" s="325"/>
      <c r="V175" s="325"/>
      <c r="W175" s="325"/>
      <c r="X175" s="325"/>
      <c r="Y175" s="325"/>
      <c r="Z175" s="325"/>
      <c r="AA175" s="325"/>
      <c r="AB175" s="325"/>
      <c r="AC175" s="325"/>
      <c r="AD175" s="342"/>
      <c r="AE175" s="324"/>
      <c r="AF175" s="349"/>
      <c r="AG175" s="325"/>
      <c r="AH175" s="314"/>
      <c r="AI175" s="314"/>
      <c r="AJ175" s="315"/>
      <c r="AK175" s="315"/>
      <c r="AL175" s="315"/>
    </row>
    <row r="176" spans="20:38" x14ac:dyDescent="0.25">
      <c r="T176" s="314"/>
      <c r="U176" s="325"/>
      <c r="V176" s="325"/>
      <c r="W176" s="325"/>
      <c r="X176" s="325"/>
      <c r="Y176" s="325"/>
      <c r="Z176" s="325"/>
      <c r="AA176" s="325"/>
      <c r="AB176" s="325"/>
      <c r="AC176" s="325"/>
      <c r="AD176" s="342"/>
      <c r="AE176" s="324"/>
      <c r="AF176" s="349"/>
      <c r="AG176" s="325"/>
      <c r="AH176" s="314"/>
      <c r="AI176" s="314"/>
      <c r="AJ176" s="315"/>
      <c r="AK176" s="315"/>
      <c r="AL176" s="315"/>
    </row>
    <row r="177" spans="20:38" x14ac:dyDescent="0.25">
      <c r="T177" s="314"/>
      <c r="U177" s="325"/>
      <c r="V177" s="325"/>
      <c r="W177" s="325"/>
      <c r="X177" s="325"/>
      <c r="Y177" s="325"/>
      <c r="Z177" s="325"/>
      <c r="AA177" s="325"/>
      <c r="AB177" s="325"/>
      <c r="AC177" s="325"/>
      <c r="AD177" s="342"/>
      <c r="AE177" s="324"/>
      <c r="AF177" s="349"/>
      <c r="AG177" s="325"/>
      <c r="AH177" s="314"/>
      <c r="AI177" s="314"/>
      <c r="AJ177" s="315"/>
      <c r="AK177" s="315"/>
      <c r="AL177" s="315"/>
    </row>
    <row r="178" spans="20:38" x14ac:dyDescent="0.25">
      <c r="T178" s="314"/>
      <c r="U178" s="325"/>
      <c r="V178" s="325"/>
      <c r="W178" s="325"/>
      <c r="X178" s="325"/>
      <c r="Y178" s="325"/>
      <c r="Z178" s="325"/>
      <c r="AA178" s="325"/>
      <c r="AB178" s="325"/>
      <c r="AC178" s="325"/>
      <c r="AD178" s="342"/>
      <c r="AE178" s="324"/>
      <c r="AF178" s="349"/>
      <c r="AG178" s="325"/>
      <c r="AH178" s="314"/>
      <c r="AI178" s="314"/>
      <c r="AJ178" s="315"/>
      <c r="AK178" s="315"/>
      <c r="AL178" s="315"/>
    </row>
    <row r="179" spans="20:38" x14ac:dyDescent="0.25">
      <c r="T179" s="314"/>
      <c r="U179" s="325"/>
      <c r="V179" s="325"/>
      <c r="W179" s="325"/>
      <c r="X179" s="325"/>
      <c r="Y179" s="325"/>
      <c r="Z179" s="325"/>
      <c r="AA179" s="325"/>
      <c r="AB179" s="325"/>
      <c r="AC179" s="325"/>
      <c r="AD179" s="342"/>
      <c r="AE179" s="324"/>
      <c r="AF179" s="349"/>
      <c r="AG179" s="325"/>
      <c r="AH179" s="314"/>
      <c r="AI179" s="314"/>
      <c r="AJ179" s="315"/>
      <c r="AK179" s="315"/>
      <c r="AL179" s="315"/>
    </row>
    <row r="180" spans="20:38" x14ac:dyDescent="0.25">
      <c r="T180" s="314"/>
      <c r="U180" s="325"/>
      <c r="V180" s="325"/>
      <c r="W180" s="325"/>
      <c r="X180" s="325"/>
      <c r="Y180" s="325"/>
      <c r="Z180" s="325"/>
      <c r="AA180" s="325"/>
      <c r="AB180" s="325"/>
      <c r="AC180" s="325"/>
      <c r="AD180" s="342"/>
      <c r="AE180" s="324"/>
      <c r="AF180" s="349"/>
      <c r="AG180" s="325"/>
      <c r="AH180" s="314"/>
      <c r="AI180" s="314"/>
      <c r="AJ180" s="315"/>
      <c r="AK180" s="315"/>
      <c r="AL180" s="315"/>
    </row>
    <row r="181" spans="20:38" x14ac:dyDescent="0.25">
      <c r="T181" s="314"/>
      <c r="U181" s="325"/>
      <c r="V181" s="325"/>
      <c r="W181" s="325"/>
      <c r="X181" s="325"/>
      <c r="Y181" s="325"/>
      <c r="Z181" s="325"/>
      <c r="AA181" s="325"/>
      <c r="AB181" s="325"/>
      <c r="AC181" s="325"/>
      <c r="AD181" s="325"/>
      <c r="AE181" s="325"/>
      <c r="AF181" s="325"/>
      <c r="AG181" s="325"/>
      <c r="AH181" s="314"/>
      <c r="AI181" s="314"/>
      <c r="AJ181" s="315"/>
      <c r="AK181" s="315"/>
      <c r="AL181" s="315"/>
    </row>
    <row r="182" spans="20:38" x14ac:dyDescent="0.25">
      <c r="T182" s="314"/>
      <c r="U182" s="325"/>
      <c r="V182" s="325"/>
      <c r="W182" s="325"/>
      <c r="X182" s="325"/>
      <c r="Y182" s="325"/>
      <c r="Z182" s="325"/>
      <c r="AA182" s="325"/>
      <c r="AB182" s="325"/>
      <c r="AC182" s="325"/>
      <c r="AD182" s="325"/>
      <c r="AE182" s="325"/>
      <c r="AF182" s="325"/>
      <c r="AG182" s="324"/>
      <c r="AH182" s="314"/>
      <c r="AI182" s="314"/>
      <c r="AJ182" s="315"/>
      <c r="AK182" s="315"/>
      <c r="AL182" s="315"/>
    </row>
    <row r="183" spans="20:38" x14ac:dyDescent="0.25">
      <c r="T183" s="314"/>
      <c r="U183" s="325"/>
      <c r="V183" s="325"/>
      <c r="W183" s="325"/>
      <c r="X183" s="325"/>
      <c r="Y183" s="325"/>
      <c r="Z183" s="325"/>
      <c r="AA183" s="325"/>
      <c r="AB183" s="325"/>
      <c r="AC183" s="325"/>
      <c r="AD183" s="325"/>
      <c r="AE183" s="325"/>
      <c r="AF183" s="325"/>
      <c r="AG183" s="324"/>
      <c r="AH183" s="314"/>
      <c r="AI183" s="314"/>
      <c r="AJ183" s="315"/>
      <c r="AK183" s="315"/>
      <c r="AL183" s="315"/>
    </row>
    <row r="184" spans="20:38" x14ac:dyDescent="0.25">
      <c r="T184" s="314"/>
      <c r="U184" s="325"/>
      <c r="V184" s="325"/>
      <c r="W184" s="325"/>
      <c r="X184" s="325"/>
      <c r="Y184" s="325"/>
      <c r="Z184" s="325"/>
      <c r="AA184" s="325"/>
      <c r="AB184" s="325"/>
      <c r="AC184" s="325"/>
      <c r="AD184" s="325"/>
      <c r="AE184" s="325"/>
      <c r="AF184" s="325"/>
      <c r="AG184" s="325"/>
      <c r="AH184" s="314"/>
      <c r="AI184" s="314"/>
      <c r="AJ184" s="315"/>
      <c r="AK184" s="315"/>
      <c r="AL184" s="315"/>
    </row>
    <row r="185" spans="20:38" x14ac:dyDescent="0.25">
      <c r="T185" s="314"/>
      <c r="U185" s="314"/>
      <c r="V185" s="314"/>
      <c r="W185" s="314"/>
      <c r="X185" s="314"/>
      <c r="Y185" s="314"/>
      <c r="Z185" s="314"/>
      <c r="AA185" s="314"/>
      <c r="AB185" s="314"/>
      <c r="AC185" s="314"/>
      <c r="AD185" s="314"/>
      <c r="AE185" s="314"/>
      <c r="AF185" s="314"/>
      <c r="AG185" s="314"/>
      <c r="AH185" s="314"/>
      <c r="AI185" s="314"/>
      <c r="AJ185" s="315"/>
      <c r="AK185" s="315"/>
      <c r="AL185" s="315"/>
    </row>
    <row r="186" spans="20:38" x14ac:dyDescent="0.25">
      <c r="T186" s="314"/>
      <c r="U186" s="314"/>
      <c r="V186" s="314"/>
      <c r="W186" s="314"/>
      <c r="X186" s="314"/>
      <c r="Y186" s="314"/>
      <c r="Z186" s="314"/>
      <c r="AA186" s="314"/>
      <c r="AB186" s="314"/>
      <c r="AC186" s="314"/>
      <c r="AD186" s="314"/>
      <c r="AE186" s="314"/>
      <c r="AF186" s="314"/>
      <c r="AG186" s="314"/>
      <c r="AH186" s="314"/>
      <c r="AI186" s="314"/>
      <c r="AJ186" s="315"/>
      <c r="AK186" s="315"/>
      <c r="AL186" s="315"/>
    </row>
    <row r="187" spans="20:38" x14ac:dyDescent="0.25">
      <c r="T187" s="314"/>
      <c r="U187" s="314"/>
      <c r="V187" s="314"/>
      <c r="W187" s="314"/>
      <c r="X187" s="314"/>
      <c r="Y187" s="314"/>
      <c r="Z187" s="314"/>
      <c r="AA187" s="314"/>
      <c r="AB187" s="314"/>
      <c r="AC187" s="314"/>
      <c r="AD187" s="314"/>
      <c r="AE187" s="314"/>
      <c r="AF187" s="314"/>
      <c r="AG187" s="314"/>
      <c r="AH187" s="314"/>
      <c r="AI187" s="314"/>
      <c r="AJ187" s="315"/>
      <c r="AK187" s="315"/>
      <c r="AL187" s="315"/>
    </row>
    <row r="188" spans="20:38" x14ac:dyDescent="0.25">
      <c r="T188" s="314"/>
      <c r="U188" s="314"/>
      <c r="V188" s="314"/>
      <c r="W188" s="314"/>
      <c r="X188" s="314"/>
      <c r="Y188" s="314"/>
      <c r="Z188" s="314"/>
      <c r="AA188" s="314"/>
      <c r="AB188" s="314"/>
      <c r="AC188" s="314"/>
      <c r="AD188" s="314"/>
      <c r="AE188" s="314"/>
      <c r="AF188" s="314"/>
      <c r="AG188" s="314"/>
      <c r="AH188" s="314"/>
      <c r="AI188" s="314"/>
      <c r="AJ188" s="315"/>
      <c r="AK188" s="315"/>
      <c r="AL188" s="315"/>
    </row>
    <row r="189" spans="20:38" x14ac:dyDescent="0.25">
      <c r="T189" s="314"/>
      <c r="U189" s="314"/>
      <c r="V189" s="314"/>
      <c r="W189" s="314"/>
      <c r="X189" s="314"/>
      <c r="Y189" s="314"/>
      <c r="Z189" s="314"/>
      <c r="AA189" s="314"/>
      <c r="AB189" s="314"/>
      <c r="AC189" s="314"/>
      <c r="AD189" s="314"/>
      <c r="AE189" s="314"/>
      <c r="AF189" s="314"/>
      <c r="AG189" s="314"/>
      <c r="AH189" s="314"/>
      <c r="AI189" s="314"/>
      <c r="AJ189" s="315"/>
      <c r="AK189" s="315"/>
      <c r="AL189" s="315"/>
    </row>
    <row r="190" spans="20:38" x14ac:dyDescent="0.25">
      <c r="T190" s="314"/>
      <c r="U190" s="314"/>
      <c r="V190" s="314"/>
      <c r="W190" s="314"/>
      <c r="X190" s="314"/>
      <c r="Y190" s="314"/>
      <c r="Z190" s="314"/>
      <c r="AA190" s="314"/>
      <c r="AB190" s="314"/>
      <c r="AC190" s="314"/>
      <c r="AD190" s="314"/>
      <c r="AE190" s="314"/>
      <c r="AF190" s="314"/>
      <c r="AG190" s="314"/>
      <c r="AH190" s="314"/>
      <c r="AI190" s="314"/>
      <c r="AJ190" s="315"/>
      <c r="AK190" s="315"/>
      <c r="AL190" s="315"/>
    </row>
    <row r="191" spans="20:38" x14ac:dyDescent="0.25">
      <c r="T191" s="314"/>
      <c r="U191" s="314"/>
      <c r="V191" s="314"/>
      <c r="W191" s="314"/>
      <c r="X191" s="314"/>
      <c r="Y191" s="314"/>
      <c r="Z191" s="314"/>
      <c r="AA191" s="314"/>
      <c r="AB191" s="314"/>
      <c r="AC191" s="314"/>
      <c r="AD191" s="314"/>
      <c r="AE191" s="314"/>
      <c r="AF191" s="314"/>
      <c r="AG191" s="314"/>
      <c r="AH191" s="314"/>
      <c r="AI191" s="314"/>
      <c r="AJ191" s="315"/>
      <c r="AK191" s="315"/>
      <c r="AL191" s="315"/>
    </row>
  </sheetData>
  <protectedRanges>
    <protectedRange sqref="C17" name="Rango3_3_1_1_1_1_1_1_1_1"/>
    <protectedRange sqref="C14" name="Rango3_3_1_1_1_1_1_1_1_1_2"/>
    <protectedRange sqref="C10:C13" name="Rango3_3_1_1_1_1_1_2_1"/>
  </protectedRanges>
  <mergeCells count="29">
    <mergeCell ref="B37:H37"/>
    <mergeCell ref="N19:N20"/>
    <mergeCell ref="O19:O20"/>
    <mergeCell ref="A7:J7"/>
    <mergeCell ref="A8:J8"/>
    <mergeCell ref="A15:J15"/>
    <mergeCell ref="A16:J16"/>
    <mergeCell ref="A18:J18"/>
    <mergeCell ref="A23:J23"/>
    <mergeCell ref="A33:J33"/>
    <mergeCell ref="A36:J36"/>
    <mergeCell ref="B34:H34"/>
    <mergeCell ref="N44:P44"/>
    <mergeCell ref="H45:J45"/>
    <mergeCell ref="N45:P45"/>
    <mergeCell ref="H46:J46"/>
    <mergeCell ref="N46:P46"/>
    <mergeCell ref="N47:P47"/>
    <mergeCell ref="G83:J83"/>
    <mergeCell ref="H48:J48"/>
    <mergeCell ref="N48:P48"/>
    <mergeCell ref="H49:J49"/>
    <mergeCell ref="N49:P49"/>
    <mergeCell ref="A40:J40"/>
    <mergeCell ref="A41:J42"/>
    <mergeCell ref="A75:J75"/>
    <mergeCell ref="A76:J77"/>
    <mergeCell ref="G81:J81"/>
    <mergeCell ref="H47:J47"/>
  </mergeCells>
  <printOptions horizontalCentered="1"/>
  <pageMargins left="0" right="0" top="0.78740157480314965" bottom="0" header="0.11811023622047245" footer="0"/>
  <pageSetup paperSize="9" scale="90" orientation="portrait" r:id="rId1"/>
  <headerFooter scaleWithDoc="0">
    <oddHeader>&amp;C&amp;G</oddHead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2"/>
  <dimension ref="A1:Z68"/>
  <sheetViews>
    <sheetView showGridLines="0" topLeftCell="A13" zoomScaleNormal="100" zoomScaleSheetLayoutView="100" workbookViewId="0">
      <selection activeCell="A58" sqref="A58"/>
    </sheetView>
  </sheetViews>
  <sheetFormatPr baseColWidth="10" defaultColWidth="10.33203125" defaultRowHeight="13.8" x14ac:dyDescent="0.25"/>
  <cols>
    <col min="1" max="1" width="16.33203125" style="1" customWidth="1"/>
    <col min="2" max="2" width="2" style="1" customWidth="1"/>
    <col min="3" max="3" width="10.6640625" style="1" customWidth="1"/>
    <col min="4" max="4" width="9.33203125" style="1" customWidth="1"/>
    <col min="5" max="5" width="2.6640625" style="1" customWidth="1"/>
    <col min="6" max="9" width="9.6640625" style="1" customWidth="1"/>
    <col min="10" max="10" width="1.5546875" style="1" customWidth="1"/>
    <col min="11" max="11" width="13.5546875" style="1" customWidth="1"/>
    <col min="12" max="12" width="6.44140625" style="1" customWidth="1"/>
    <col min="13" max="13" width="8" style="1" customWidth="1"/>
    <col min="14" max="14" width="15.6640625" style="1" customWidth="1"/>
    <col min="15" max="15" width="11" style="1" customWidth="1"/>
    <col min="16" max="19" width="9.6640625" style="1" customWidth="1"/>
    <col min="20" max="22" width="5.6640625" style="1" customWidth="1"/>
    <col min="23" max="23" width="10.5546875" style="1" customWidth="1"/>
    <col min="24" max="24" width="17" style="1" customWidth="1"/>
    <col min="25" max="26" width="10.5546875" style="1" customWidth="1"/>
    <col min="27" max="16384" width="10.33203125" style="1"/>
  </cols>
  <sheetData>
    <row r="1" spans="1:26" ht="15.75" customHeight="1" thickTop="1" x14ac:dyDescent="0.25">
      <c r="A1" s="9"/>
      <c r="B1" s="10"/>
      <c r="C1" s="10"/>
      <c r="D1" s="11"/>
      <c r="E1" s="11"/>
      <c r="F1" s="11"/>
      <c r="G1" s="11"/>
      <c r="H1" s="11"/>
      <c r="I1" s="12"/>
      <c r="J1" s="12"/>
      <c r="K1" s="13"/>
      <c r="N1" s="195"/>
      <c r="O1" s="195"/>
      <c r="P1" s="195"/>
      <c r="Q1" s="195"/>
      <c r="R1" s="195"/>
      <c r="S1" s="195"/>
      <c r="T1" s="195"/>
      <c r="U1" s="195"/>
      <c r="V1" s="195"/>
    </row>
    <row r="2" spans="1:26" ht="15.75" customHeight="1" x14ac:dyDescent="0.25">
      <c r="A2" s="14"/>
      <c r="B2" s="6"/>
      <c r="C2" s="6"/>
      <c r="D2" s="7"/>
      <c r="E2" s="7"/>
      <c r="F2" s="7"/>
      <c r="G2" s="7"/>
      <c r="H2" s="7"/>
      <c r="K2" s="15"/>
      <c r="N2" s="762" t="s">
        <v>265</v>
      </c>
      <c r="O2" s="763" t="s">
        <v>266</v>
      </c>
      <c r="P2" s="25"/>
      <c r="Q2" s="25"/>
      <c r="R2" s="25"/>
      <c r="S2" s="25"/>
      <c r="T2" s="25"/>
      <c r="U2" s="25"/>
      <c r="V2" s="25"/>
      <c r="W2" s="37"/>
      <c r="X2" s="764" t="s">
        <v>267</v>
      </c>
      <c r="Y2" s="37"/>
      <c r="Z2" s="37"/>
    </row>
    <row r="3" spans="1:26" ht="15.75" customHeight="1" x14ac:dyDescent="0.25">
      <c r="A3" s="14"/>
      <c r="B3" s="6"/>
      <c r="C3" s="6"/>
      <c r="D3" s="7"/>
      <c r="E3" s="7"/>
      <c r="F3" s="7"/>
      <c r="G3" s="7"/>
      <c r="H3" s="7"/>
      <c r="K3" s="15"/>
      <c r="N3" s="762" t="s">
        <v>268</v>
      </c>
      <c r="O3" s="763" t="s">
        <v>63</v>
      </c>
      <c r="P3" s="25"/>
      <c r="Q3" s="25"/>
      <c r="R3" s="25"/>
      <c r="S3" s="25"/>
      <c r="T3" s="25"/>
      <c r="U3" s="25"/>
      <c r="V3" s="25"/>
      <c r="W3" s="37"/>
      <c r="X3" s="765" t="s">
        <v>63</v>
      </c>
      <c r="Z3" s="37"/>
    </row>
    <row r="4" spans="1:26" ht="15.75" customHeight="1" x14ac:dyDescent="0.25">
      <c r="A4" s="14"/>
      <c r="B4" s="6"/>
      <c r="C4" s="6"/>
      <c r="D4" s="7"/>
      <c r="E4" s="7"/>
      <c r="F4" s="7"/>
      <c r="G4" s="7"/>
      <c r="H4" s="7"/>
      <c r="K4" s="15"/>
      <c r="N4" s="762" t="s">
        <v>265</v>
      </c>
      <c r="O4" s="763" t="s">
        <v>269</v>
      </c>
      <c r="P4" s="25"/>
      <c r="Q4" s="25"/>
      <c r="R4" s="25"/>
      <c r="S4" s="25"/>
      <c r="T4" s="25"/>
      <c r="U4" s="25"/>
      <c r="V4" s="25"/>
      <c r="W4" s="37"/>
      <c r="X4" s="766" t="s">
        <v>266</v>
      </c>
      <c r="Z4" s="37"/>
    </row>
    <row r="5" spans="1:26" ht="15.75" customHeight="1" thickBot="1" x14ac:dyDescent="0.3">
      <c r="A5" s="16"/>
      <c r="B5" s="8"/>
      <c r="C5" s="8"/>
      <c r="D5" s="8"/>
      <c r="E5" s="8"/>
      <c r="F5" s="8"/>
      <c r="G5" s="8"/>
      <c r="H5" s="8"/>
      <c r="I5" s="8"/>
      <c r="J5" s="8"/>
      <c r="K5" s="17"/>
      <c r="N5" s="25"/>
      <c r="O5" s="25"/>
      <c r="P5" s="25"/>
      <c r="Q5" s="25"/>
      <c r="R5" s="25"/>
      <c r="S5" s="25"/>
      <c r="T5" s="25"/>
      <c r="U5" s="25"/>
      <c r="V5" s="25"/>
      <c r="W5" s="37"/>
      <c r="X5" s="765" t="s">
        <v>270</v>
      </c>
      <c r="Z5" s="37"/>
    </row>
    <row r="6" spans="1:26" ht="10.199999999999999" customHeight="1" thickTop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N6" s="767" t="s">
        <v>271</v>
      </c>
      <c r="O6" s="308">
        <f>SUM(P18:P27)</f>
        <v>8182</v>
      </c>
      <c r="P6" s="768">
        <f>O6</f>
        <v>8182</v>
      </c>
      <c r="Q6" s="25"/>
      <c r="R6" s="25"/>
      <c r="S6" s="25"/>
      <c r="T6" s="25"/>
      <c r="U6" s="25"/>
      <c r="V6" s="25"/>
      <c r="W6" s="37"/>
      <c r="X6" s="766" t="s">
        <v>269</v>
      </c>
      <c r="Y6" s="37"/>
      <c r="Z6" s="37"/>
    </row>
    <row r="7" spans="1:26" ht="15.9" customHeight="1" x14ac:dyDescent="0.25">
      <c r="A7" s="1487" t="s">
        <v>0</v>
      </c>
      <c r="B7" s="1487"/>
      <c r="C7" s="1487"/>
      <c r="D7" s="1487"/>
      <c r="E7" s="1487"/>
      <c r="F7" s="1487"/>
      <c r="G7" s="1487"/>
      <c r="H7" s="1487"/>
      <c r="I7" s="1487"/>
      <c r="J7" s="1487"/>
      <c r="K7" s="1487"/>
      <c r="N7" s="309" t="s">
        <v>272</v>
      </c>
      <c r="O7" s="211">
        <v>10189</v>
      </c>
      <c r="P7" s="212">
        <f>O7/(1+T13/100)</f>
        <v>9686.9963869272451</v>
      </c>
      <c r="Q7" s="25"/>
      <c r="R7" s="25"/>
      <c r="S7" s="25"/>
      <c r="T7" s="25"/>
      <c r="U7" s="25"/>
      <c r="V7" s="25"/>
      <c r="W7" s="37"/>
      <c r="X7" s="186" t="s">
        <v>273</v>
      </c>
      <c r="Y7" s="37"/>
      <c r="Z7" s="37"/>
    </row>
    <row r="8" spans="1:26" ht="15.9" customHeight="1" x14ac:dyDescent="0.25">
      <c r="A8" s="1488">
        <f>+K12</f>
        <v>1</v>
      </c>
      <c r="B8" s="1488"/>
      <c r="C8" s="1488"/>
      <c r="D8" s="1488"/>
      <c r="E8" s="1488"/>
      <c r="F8" s="1488"/>
      <c r="G8" s="1488"/>
      <c r="H8" s="1488"/>
      <c r="I8" s="1488"/>
      <c r="J8" s="1488"/>
      <c r="K8" s="1488"/>
      <c r="N8" s="769" t="s">
        <v>274</v>
      </c>
      <c r="O8" s="310"/>
      <c r="P8" s="770">
        <f>SUM(P6:P7)</f>
        <v>17868.996386927247</v>
      </c>
      <c r="Q8" s="25"/>
      <c r="R8" s="25"/>
      <c r="S8" s="25"/>
      <c r="T8" s="25"/>
      <c r="U8" s="25"/>
      <c r="V8" s="25"/>
      <c r="W8" s="37"/>
      <c r="X8" s="765" t="s">
        <v>275</v>
      </c>
      <c r="Y8" s="37"/>
      <c r="Z8" s="37"/>
    </row>
    <row r="9" spans="1:26" ht="10.199999999999999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N9" s="25"/>
      <c r="O9" s="25"/>
      <c r="P9" s="25"/>
      <c r="Q9" s="25"/>
      <c r="R9" s="25"/>
      <c r="S9" s="25"/>
      <c r="T9" s="25"/>
      <c r="U9" s="25"/>
      <c r="V9" s="25"/>
      <c r="W9" s="37"/>
      <c r="X9" s="37"/>
      <c r="Y9" s="37"/>
      <c r="Z9" s="37"/>
    </row>
    <row r="10" spans="1:26" ht="15.9" customHeight="1" x14ac:dyDescent="0.25">
      <c r="A10" s="21" t="s">
        <v>276</v>
      </c>
      <c r="B10" s="22" t="s">
        <v>2</v>
      </c>
      <c r="C10" s="1481" t="s">
        <v>277</v>
      </c>
      <c r="D10" s="1481"/>
      <c r="E10" s="1481"/>
      <c r="F10" s="1481"/>
      <c r="G10" s="1481"/>
      <c r="H10" s="1481"/>
      <c r="I10" s="23" t="s">
        <v>3</v>
      </c>
      <c r="J10" s="24" t="s">
        <v>2</v>
      </c>
      <c r="K10" s="243" t="s">
        <v>278</v>
      </c>
      <c r="L10" s="3"/>
      <c r="M10" s="3"/>
      <c r="N10" s="213" t="s">
        <v>279</v>
      </c>
      <c r="O10" s="214"/>
      <c r="P10" s="215"/>
      <c r="Q10" s="215"/>
      <c r="R10" s="216"/>
      <c r="S10" s="217" t="s">
        <v>280</v>
      </c>
      <c r="T10" s="218"/>
      <c r="U10" s="219"/>
      <c r="V10" s="220"/>
      <c r="W10" s="37"/>
      <c r="X10" s="42">
        <f>Q13</f>
        <v>578.9</v>
      </c>
      <c r="Y10" s="43">
        <f>SUM(P18:P27)</f>
        <v>8182</v>
      </c>
      <c r="Z10" s="37"/>
    </row>
    <row r="11" spans="1:26" ht="15.9" customHeight="1" x14ac:dyDescent="0.25">
      <c r="A11" s="21" t="s">
        <v>281</v>
      </c>
      <c r="B11" s="22" t="s">
        <v>2</v>
      </c>
      <c r="C11" s="1481" t="s">
        <v>282</v>
      </c>
      <c r="D11" s="1481"/>
      <c r="E11" s="1481"/>
      <c r="F11" s="1481"/>
      <c r="G11" s="1481"/>
      <c r="H11" s="1481"/>
      <c r="I11" s="26" t="s">
        <v>6</v>
      </c>
      <c r="J11" s="22" t="s">
        <v>2</v>
      </c>
      <c r="K11" s="25" t="s">
        <v>283</v>
      </c>
      <c r="L11" s="3"/>
      <c r="M11" s="3"/>
      <c r="N11" s="771" t="s">
        <v>284</v>
      </c>
      <c r="O11" s="221"/>
      <c r="P11" s="25"/>
      <c r="Q11" s="25"/>
      <c r="R11" s="222"/>
      <c r="S11" s="309" t="s">
        <v>285</v>
      </c>
      <c r="T11" s="211">
        <v>608.9</v>
      </c>
      <c r="U11" s="25"/>
      <c r="V11" s="222"/>
      <c r="W11" s="37"/>
      <c r="X11" s="42">
        <f>Q13-P36</f>
        <v>435.2</v>
      </c>
      <c r="Y11" s="37"/>
      <c r="Z11" s="37"/>
    </row>
    <row r="12" spans="1:26" ht="15.9" customHeight="1" x14ac:dyDescent="0.25">
      <c r="A12" s="21" t="s">
        <v>286</v>
      </c>
      <c r="B12" s="22" t="s">
        <v>2</v>
      </c>
      <c r="C12" s="1481" t="s">
        <v>287</v>
      </c>
      <c r="D12" s="1481"/>
      <c r="E12" s="1481"/>
      <c r="F12" s="1481"/>
      <c r="G12" s="1481"/>
      <c r="H12" s="1481"/>
      <c r="I12" s="26" t="s">
        <v>288</v>
      </c>
      <c r="J12" s="22" t="s">
        <v>2</v>
      </c>
      <c r="K12" s="241">
        <v>1</v>
      </c>
      <c r="L12" s="3"/>
      <c r="M12" s="3"/>
      <c r="N12" s="309" t="s">
        <v>289</v>
      </c>
      <c r="O12" s="221"/>
      <c r="P12" s="25"/>
      <c r="Q12" s="223">
        <f>IF(O2="Global",T12,IF(O2="Fraccionada",P8))</f>
        <v>17868.996386927247</v>
      </c>
      <c r="R12" s="224"/>
      <c r="S12" s="309" t="s">
        <v>290</v>
      </c>
      <c r="T12" s="211">
        <v>578.9</v>
      </c>
      <c r="U12" s="225"/>
      <c r="V12" s="226"/>
      <c r="W12" s="37"/>
      <c r="X12" s="42">
        <f>Q12-Y10</f>
        <v>9686.9963869272469</v>
      </c>
      <c r="Y12" s="37"/>
      <c r="Z12" s="37"/>
    </row>
    <row r="13" spans="1:26" ht="10.199999999999999" customHeight="1" x14ac:dyDescent="0.25">
      <c r="A13" s="21"/>
      <c r="B13" s="22"/>
      <c r="C13" s="736"/>
      <c r="D13" s="736"/>
      <c r="E13" s="736"/>
      <c r="F13" s="736"/>
      <c r="G13" s="736"/>
      <c r="H13" s="736"/>
      <c r="I13" s="26"/>
      <c r="J13" s="22"/>
      <c r="K13" s="27"/>
      <c r="L13" s="3"/>
      <c r="M13" s="3"/>
      <c r="N13" s="309" t="s">
        <v>291</v>
      </c>
      <c r="O13" s="25"/>
      <c r="P13" s="25"/>
      <c r="Q13" s="223">
        <f>IF(O2="Global","--",IF(O2="Fraccionada",T12))</f>
        <v>578.9</v>
      </c>
      <c r="R13" s="227"/>
      <c r="S13" s="309" t="s">
        <v>292</v>
      </c>
      <c r="T13" s="228">
        <f>((T11-T12)/T12)*100</f>
        <v>5.1822421834513737</v>
      </c>
      <c r="U13" s="225"/>
      <c r="V13" s="222"/>
      <c r="W13" s="37"/>
      <c r="X13" s="42">
        <f>+X12*X11/X10</f>
        <v>7282.3990803087536</v>
      </c>
      <c r="Y13" s="37"/>
      <c r="Z13" s="37"/>
    </row>
    <row r="14" spans="1:26" ht="19.95" customHeight="1" x14ac:dyDescent="0.25">
      <c r="A14" s="1451" t="s">
        <v>293</v>
      </c>
      <c r="B14" s="1452"/>
      <c r="C14" s="1452"/>
      <c r="D14" s="1452"/>
      <c r="E14" s="1452"/>
      <c r="F14" s="1452"/>
      <c r="G14" s="1452"/>
      <c r="H14" s="1452"/>
      <c r="I14" s="1452"/>
      <c r="J14" s="1452"/>
      <c r="K14" s="1453"/>
      <c r="L14" s="3"/>
      <c r="M14" s="3"/>
      <c r="N14" s="769" t="s">
        <v>294</v>
      </c>
      <c r="O14" s="310"/>
      <c r="P14" s="310"/>
      <c r="Q14" s="772">
        <f>IF(O2="Fraccionada",(X13+Y10),IF(O2="Global",SUM(P18:P35)))</f>
        <v>15464.399080308754</v>
      </c>
      <c r="R14" s="229"/>
      <c r="S14" s="769"/>
      <c r="T14" s="310"/>
      <c r="U14" s="310"/>
      <c r="V14" s="230"/>
      <c r="W14" s="37"/>
      <c r="X14" s="42"/>
      <c r="Y14" s="37"/>
      <c r="Z14" s="37"/>
    </row>
    <row r="15" spans="1:26" ht="19.95" customHeight="1" x14ac:dyDescent="0.25">
      <c r="A15" s="1454" t="s">
        <v>295</v>
      </c>
      <c r="B15" s="1455"/>
      <c r="C15" s="1455"/>
      <c r="D15" s="1455"/>
      <c r="E15" s="1455"/>
      <c r="F15" s="1455"/>
      <c r="G15" s="1455"/>
      <c r="H15" s="1455"/>
      <c r="I15" s="1455"/>
      <c r="J15" s="1455"/>
      <c r="K15" s="1456"/>
      <c r="L15" s="3"/>
      <c r="M15" s="3"/>
      <c r="N15" s="25"/>
      <c r="O15" s="25"/>
      <c r="P15" s="25"/>
      <c r="Q15" s="25"/>
      <c r="R15" s="25"/>
      <c r="S15" s="25"/>
      <c r="T15" s="25"/>
      <c r="U15" s="25"/>
      <c r="V15" s="25"/>
      <c r="W15" s="37"/>
      <c r="X15" s="37"/>
      <c r="Y15" s="37"/>
      <c r="Z15" s="37"/>
    </row>
    <row r="16" spans="1:26" ht="10.199999999999999" customHeight="1" x14ac:dyDescent="0.25">
      <c r="A16" s="38"/>
      <c r="B16" s="34"/>
      <c r="C16" s="35"/>
      <c r="D16" s="35"/>
      <c r="E16" s="35"/>
      <c r="F16" s="35"/>
      <c r="G16" s="35"/>
      <c r="H16" s="35"/>
      <c r="I16" s="36"/>
      <c r="J16" s="34"/>
      <c r="K16" s="39"/>
      <c r="L16" s="3"/>
      <c r="M16" s="3"/>
      <c r="N16" s="773" t="s">
        <v>296</v>
      </c>
      <c r="O16" s="774"/>
      <c r="P16" s="231" t="s">
        <v>297</v>
      </c>
      <c r="Q16" s="231" t="s">
        <v>298</v>
      </c>
      <c r="R16" s="231" t="s">
        <v>298</v>
      </c>
      <c r="S16" s="232" t="s">
        <v>299</v>
      </c>
      <c r="T16" s="1461" t="s">
        <v>300</v>
      </c>
      <c r="U16" s="1462"/>
      <c r="V16" s="1463"/>
      <c r="W16" s="37"/>
      <c r="X16" s="37"/>
      <c r="Y16" s="37"/>
      <c r="Z16" s="37"/>
    </row>
    <row r="17" spans="1:26" ht="15.9" customHeight="1" x14ac:dyDescent="0.25">
      <c r="A17" s="1478" t="s">
        <v>13</v>
      </c>
      <c r="B17" s="1479"/>
      <c r="C17" s="1479"/>
      <c r="D17" s="1479"/>
      <c r="E17" s="1479"/>
      <c r="F17" s="1479"/>
      <c r="G17" s="1479"/>
      <c r="H17" s="1479"/>
      <c r="I17" s="1479"/>
      <c r="J17" s="1479"/>
      <c r="K17" s="1480"/>
      <c r="M17" s="3"/>
      <c r="N17" s="775" t="s">
        <v>230</v>
      </c>
      <c r="O17" s="775" t="s">
        <v>301</v>
      </c>
      <c r="P17" s="775" t="s">
        <v>302</v>
      </c>
      <c r="Q17" s="775" t="s">
        <v>303</v>
      </c>
      <c r="R17" s="775" t="s">
        <v>304</v>
      </c>
      <c r="S17" s="776" t="s">
        <v>305</v>
      </c>
      <c r="T17" s="1458" t="s">
        <v>306</v>
      </c>
      <c r="U17" s="1459"/>
      <c r="V17" s="1460"/>
      <c r="W17" s="37"/>
      <c r="X17" s="37"/>
      <c r="Y17" s="37"/>
      <c r="Z17" s="37"/>
    </row>
    <row r="18" spans="1:26" ht="15.9" customHeight="1" x14ac:dyDescent="0.25">
      <c r="A18" s="133" t="s">
        <v>307</v>
      </c>
      <c r="B18" s="32" t="s">
        <v>2</v>
      </c>
      <c r="C18" s="25" t="s">
        <v>308</v>
      </c>
      <c r="D18" s="32"/>
      <c r="E18" s="28"/>
      <c r="F18" s="25"/>
      <c r="G18" s="25"/>
      <c r="H18" s="28"/>
      <c r="I18" s="33" t="s">
        <v>309</v>
      </c>
      <c r="J18" s="29" t="s">
        <v>2</v>
      </c>
      <c r="K18" s="187"/>
      <c r="M18" s="3"/>
      <c r="N18" s="777" t="s">
        <v>310</v>
      </c>
      <c r="O18" s="777">
        <v>76.2</v>
      </c>
      <c r="P18" s="307">
        <v>0</v>
      </c>
      <c r="Q18" s="778">
        <f t="shared" ref="Q18:Q27" si="0">P18/$Q$12*100</f>
        <v>0</v>
      </c>
      <c r="R18" s="233">
        <f>Q18</f>
        <v>0</v>
      </c>
      <c r="S18" s="779">
        <f t="shared" ref="S18:S36" si="1">100-R18</f>
        <v>100</v>
      </c>
      <c r="T18" s="299"/>
      <c r="U18" s="780"/>
      <c r="V18" s="300"/>
      <c r="W18" s="37"/>
      <c r="X18" s="37"/>
      <c r="Y18" s="37"/>
      <c r="Z18" s="37"/>
    </row>
    <row r="19" spans="1:26" ht="15.9" customHeight="1" x14ac:dyDescent="0.25">
      <c r="A19" s="133" t="s">
        <v>311</v>
      </c>
      <c r="B19" s="32" t="s">
        <v>2</v>
      </c>
      <c r="C19" s="25" t="s">
        <v>17</v>
      </c>
      <c r="D19" s="32"/>
      <c r="E19" s="28"/>
      <c r="F19" s="25"/>
      <c r="G19" s="25"/>
      <c r="H19" s="28"/>
      <c r="I19" s="33" t="s">
        <v>312</v>
      </c>
      <c r="J19" s="29" t="s">
        <v>2</v>
      </c>
      <c r="K19" s="40">
        <v>43831</v>
      </c>
      <c r="M19" s="3"/>
      <c r="N19" s="777" t="s">
        <v>313</v>
      </c>
      <c r="O19" s="777">
        <v>63.5</v>
      </c>
      <c r="P19" s="307">
        <v>0</v>
      </c>
      <c r="Q19" s="778">
        <f t="shared" si="0"/>
        <v>0</v>
      </c>
      <c r="R19" s="233">
        <f>+R18+Q19</f>
        <v>0</v>
      </c>
      <c r="S19" s="779">
        <f t="shared" si="1"/>
        <v>100</v>
      </c>
      <c r="T19" s="301"/>
      <c r="U19" s="781"/>
      <c r="V19" s="302"/>
      <c r="W19" s="44"/>
      <c r="X19" s="44"/>
      <c r="Y19" s="44"/>
      <c r="Z19" s="37"/>
    </row>
    <row r="20" spans="1:26" ht="15.9" customHeight="1" x14ac:dyDescent="0.25">
      <c r="A20" s="133" t="s">
        <v>314</v>
      </c>
      <c r="B20" s="32" t="s">
        <v>2</v>
      </c>
      <c r="C20" s="25" t="s">
        <v>315</v>
      </c>
      <c r="D20" s="32"/>
      <c r="E20" s="28"/>
      <c r="F20" s="25"/>
      <c r="G20" s="25"/>
      <c r="H20" s="28"/>
      <c r="I20" s="33" t="s">
        <v>316</v>
      </c>
      <c r="J20" s="29" t="s">
        <v>2</v>
      </c>
      <c r="K20" s="40">
        <v>43844</v>
      </c>
      <c r="M20" s="3"/>
      <c r="N20" s="777" t="s">
        <v>317</v>
      </c>
      <c r="O20" s="777">
        <v>50.6</v>
      </c>
      <c r="P20" s="307">
        <v>583</v>
      </c>
      <c r="Q20" s="778">
        <f t="shared" si="0"/>
        <v>3.2626342709796288</v>
      </c>
      <c r="R20" s="233">
        <f t="shared" ref="R20:R36" si="2">+R19+Q20</f>
        <v>3.2626342709796288</v>
      </c>
      <c r="S20" s="779">
        <f t="shared" si="1"/>
        <v>96.737365729020368</v>
      </c>
      <c r="T20" s="299"/>
      <c r="U20" s="782">
        <v>100</v>
      </c>
      <c r="V20" s="300"/>
      <c r="W20" s="37"/>
      <c r="X20" s="37"/>
      <c r="Y20" s="37"/>
      <c r="Z20" s="37"/>
    </row>
    <row r="21" spans="1:26" ht="10.199999999999999" customHeight="1" x14ac:dyDescent="0.25">
      <c r="A21" s="783"/>
      <c r="B21" s="784"/>
      <c r="C21" s="784"/>
      <c r="D21" s="784"/>
      <c r="E21" s="784"/>
      <c r="F21" s="784"/>
      <c r="G21" s="784"/>
      <c r="H21" s="784"/>
      <c r="I21" s="784"/>
      <c r="J21" s="784"/>
      <c r="K21" s="41"/>
      <c r="M21" s="3"/>
      <c r="N21" s="777" t="s">
        <v>318</v>
      </c>
      <c r="O21" s="777">
        <v>38.1</v>
      </c>
      <c r="P21" s="307">
        <v>1146</v>
      </c>
      <c r="Q21" s="778">
        <f t="shared" si="0"/>
        <v>6.4133428379805402</v>
      </c>
      <c r="R21" s="233">
        <f t="shared" si="2"/>
        <v>9.6759771089601685</v>
      </c>
      <c r="S21" s="779">
        <f t="shared" si="1"/>
        <v>90.324022891039832</v>
      </c>
      <c r="T21" s="303"/>
      <c r="U21" s="782">
        <v>100</v>
      </c>
      <c r="V21" s="304"/>
      <c r="W21" s="37"/>
      <c r="X21" s="37"/>
      <c r="Y21" s="37"/>
      <c r="Z21" s="37"/>
    </row>
    <row r="22" spans="1:26" ht="10.199999999999999" customHeight="1" x14ac:dyDescent="0.25">
      <c r="A22" s="188"/>
      <c r="B22" s="196"/>
      <c r="C22" s="196"/>
      <c r="D22" s="196"/>
      <c r="E22" s="196"/>
      <c r="F22" s="196"/>
      <c r="G22" s="196"/>
      <c r="H22" s="196"/>
      <c r="I22" s="189"/>
      <c r="J22" s="189"/>
      <c r="K22" s="190"/>
      <c r="L22" s="3"/>
      <c r="M22" s="19"/>
      <c r="N22" s="777" t="s">
        <v>319</v>
      </c>
      <c r="O22" s="777">
        <v>25.4</v>
      </c>
      <c r="P22" s="307">
        <v>974</v>
      </c>
      <c r="Q22" s="778">
        <f t="shared" si="0"/>
        <v>5.4507817837635653</v>
      </c>
      <c r="R22" s="233">
        <f t="shared" si="2"/>
        <v>15.126758892723734</v>
      </c>
      <c r="S22" s="779">
        <f t="shared" si="1"/>
        <v>84.873241107276272</v>
      </c>
      <c r="T22" s="303">
        <v>90</v>
      </c>
      <c r="U22" s="782"/>
      <c r="V22" s="304">
        <v>100</v>
      </c>
      <c r="W22" s="44"/>
      <c r="X22" s="44"/>
      <c r="Y22" s="44"/>
      <c r="Z22" s="37"/>
    </row>
    <row r="23" spans="1:26" ht="13.2" customHeight="1" x14ac:dyDescent="0.25">
      <c r="A23" s="1491" t="s">
        <v>230</v>
      </c>
      <c r="B23" s="1492"/>
      <c r="C23" s="1493"/>
      <c r="D23" s="1466" t="s">
        <v>320</v>
      </c>
      <c r="E23" s="197"/>
      <c r="F23" s="1494" t="s">
        <v>321</v>
      </c>
      <c r="G23" s="1495"/>
      <c r="H23" s="1496"/>
      <c r="I23" s="1471" t="s">
        <v>317</v>
      </c>
      <c r="J23" s="191"/>
      <c r="K23" s="192"/>
      <c r="L23" s="3"/>
      <c r="M23" s="52"/>
      <c r="N23" s="777" t="s">
        <v>322</v>
      </c>
      <c r="O23" s="777">
        <v>19.05</v>
      </c>
      <c r="P23" s="307">
        <v>2040</v>
      </c>
      <c r="Q23" s="778">
        <f t="shared" si="0"/>
        <v>11.416421805829232</v>
      </c>
      <c r="R23" s="233">
        <f t="shared" si="2"/>
        <v>26.543180698552966</v>
      </c>
      <c r="S23" s="779">
        <f t="shared" si="1"/>
        <v>73.456819301447041</v>
      </c>
      <c r="T23" s="303">
        <v>65</v>
      </c>
      <c r="U23" s="782"/>
      <c r="V23" s="304">
        <v>100</v>
      </c>
      <c r="W23" s="44"/>
      <c r="X23" s="44"/>
      <c r="Y23" s="45"/>
      <c r="Z23" s="37"/>
    </row>
    <row r="24" spans="1:26" ht="13.2" customHeight="1" x14ac:dyDescent="0.25">
      <c r="A24" s="785" t="s">
        <v>323</v>
      </c>
      <c r="B24" s="1490" t="s">
        <v>301</v>
      </c>
      <c r="C24" s="1490"/>
      <c r="D24" s="1467"/>
      <c r="E24" s="197"/>
      <c r="F24" s="1497"/>
      <c r="G24" s="1498"/>
      <c r="H24" s="1499"/>
      <c r="I24" s="1500"/>
      <c r="J24" s="191"/>
      <c r="K24" s="192"/>
      <c r="L24" s="3"/>
      <c r="M24" s="20"/>
      <c r="N24" s="777" t="s">
        <v>324</v>
      </c>
      <c r="O24" s="777">
        <v>12.7</v>
      </c>
      <c r="P24" s="307">
        <v>1277</v>
      </c>
      <c r="Q24" s="778">
        <f t="shared" si="0"/>
        <v>7.1464561990411433</v>
      </c>
      <c r="R24" s="233">
        <f t="shared" si="2"/>
        <v>33.689636897594113</v>
      </c>
      <c r="S24" s="779">
        <f t="shared" si="1"/>
        <v>66.310363102405887</v>
      </c>
      <c r="T24" s="303"/>
      <c r="U24" s="782"/>
      <c r="V24" s="304"/>
      <c r="W24" s="44"/>
      <c r="X24" s="44"/>
      <c r="Y24" s="44"/>
      <c r="Z24" s="37"/>
    </row>
    <row r="25" spans="1:26" ht="13.2" customHeight="1" x14ac:dyDescent="0.25">
      <c r="A25" s="786" t="s">
        <v>310</v>
      </c>
      <c r="B25" s="1489">
        <v>76.2</v>
      </c>
      <c r="C25" s="1489"/>
      <c r="D25" s="787">
        <f>+S18</f>
        <v>100</v>
      </c>
      <c r="E25" s="197"/>
      <c r="F25" s="197"/>
      <c r="G25" s="197"/>
      <c r="H25" s="197"/>
      <c r="I25" s="197"/>
      <c r="J25" s="193"/>
      <c r="K25" s="194"/>
      <c r="L25" s="4"/>
      <c r="M25" s="20"/>
      <c r="N25" s="777" t="s">
        <v>325</v>
      </c>
      <c r="O25" s="777">
        <v>9.5250000000000004</v>
      </c>
      <c r="P25" s="307">
        <v>652</v>
      </c>
      <c r="Q25" s="778">
        <f t="shared" si="0"/>
        <v>3.6487779497062056</v>
      </c>
      <c r="R25" s="233">
        <f t="shared" si="2"/>
        <v>37.338414847300321</v>
      </c>
      <c r="S25" s="779">
        <f t="shared" si="1"/>
        <v>62.661585152699679</v>
      </c>
      <c r="T25" s="303">
        <v>45</v>
      </c>
      <c r="U25" s="782"/>
      <c r="V25" s="304">
        <v>80</v>
      </c>
      <c r="W25" s="44"/>
      <c r="X25" s="44"/>
      <c r="Y25" s="44"/>
      <c r="Z25" s="37"/>
    </row>
    <row r="26" spans="1:26" ht="13.2" customHeight="1" x14ac:dyDescent="0.25">
      <c r="A26" s="198" t="s">
        <v>317</v>
      </c>
      <c r="B26" s="1465">
        <v>50.6</v>
      </c>
      <c r="C26" s="1465"/>
      <c r="D26" s="199">
        <f>+S20</f>
        <v>96.737365729020368</v>
      </c>
      <c r="E26" s="197"/>
      <c r="F26" s="1491" t="s">
        <v>326</v>
      </c>
      <c r="G26" s="1492"/>
      <c r="H26" s="1492"/>
      <c r="I26" s="1493"/>
      <c r="J26" s="200"/>
      <c r="K26" s="201"/>
      <c r="L26" s="3"/>
      <c r="M26" s="3"/>
      <c r="N26" s="777" t="s">
        <v>327</v>
      </c>
      <c r="O26" s="777">
        <v>6.35</v>
      </c>
      <c r="P26" s="307">
        <v>877</v>
      </c>
      <c r="Q26" s="778">
        <f t="shared" si="0"/>
        <v>4.9079421194667825</v>
      </c>
      <c r="R26" s="233">
        <f t="shared" si="2"/>
        <v>42.246356966767102</v>
      </c>
      <c r="S26" s="779">
        <f t="shared" si="1"/>
        <v>57.753643033232898</v>
      </c>
      <c r="T26" s="303"/>
      <c r="U26" s="782"/>
      <c r="V26" s="304"/>
      <c r="W26" s="44"/>
      <c r="X26" s="44"/>
      <c r="Y26" s="46"/>
      <c r="Z26" s="37"/>
    </row>
    <row r="27" spans="1:26" ht="13.2" customHeight="1" x14ac:dyDescent="0.25">
      <c r="A27" s="202" t="s">
        <v>318</v>
      </c>
      <c r="B27" s="1465">
        <v>38.1</v>
      </c>
      <c r="C27" s="1465"/>
      <c r="D27" s="199">
        <f>+S21</f>
        <v>90.324022891039832</v>
      </c>
      <c r="E27" s="197"/>
      <c r="F27" s="1501"/>
      <c r="G27" s="1502"/>
      <c r="H27" s="1502"/>
      <c r="I27" s="1503"/>
      <c r="J27" s="200"/>
      <c r="K27" s="201"/>
      <c r="L27" s="3"/>
      <c r="M27" s="3"/>
      <c r="N27" s="777" t="s">
        <v>328</v>
      </c>
      <c r="O27" s="777">
        <v>4.76</v>
      </c>
      <c r="P27" s="307">
        <v>633</v>
      </c>
      <c r="Q27" s="778">
        <f t="shared" si="0"/>
        <v>3.542448530926424</v>
      </c>
      <c r="R27" s="233">
        <f t="shared" si="2"/>
        <v>45.788805497693524</v>
      </c>
      <c r="S27" s="779">
        <f t="shared" si="1"/>
        <v>54.211194502306476</v>
      </c>
      <c r="T27" s="303">
        <v>30</v>
      </c>
      <c r="U27" s="782"/>
      <c r="V27" s="304">
        <v>65</v>
      </c>
      <c r="W27" s="44"/>
      <c r="X27" s="44"/>
      <c r="Y27" s="47"/>
      <c r="Z27" s="37"/>
    </row>
    <row r="28" spans="1:26" ht="13.2" customHeight="1" x14ac:dyDescent="0.25">
      <c r="A28" s="198" t="s">
        <v>319</v>
      </c>
      <c r="B28" s="1465">
        <v>25.4</v>
      </c>
      <c r="C28" s="1465"/>
      <c r="D28" s="199">
        <f>+S22</f>
        <v>84.873241107276272</v>
      </c>
      <c r="E28" s="197"/>
      <c r="F28" s="1474" t="s">
        <v>329</v>
      </c>
      <c r="G28" s="1476">
        <f>R27</f>
        <v>45.788805497693524</v>
      </c>
      <c r="H28" s="788" t="s">
        <v>330</v>
      </c>
      <c r="I28" s="789">
        <f>SUM(Q18:Q23)</f>
        <v>26.543180698552966</v>
      </c>
      <c r="J28" s="200"/>
      <c r="K28" s="201"/>
      <c r="L28" s="3"/>
      <c r="M28" s="3"/>
      <c r="N28" s="777">
        <v>8</v>
      </c>
      <c r="O28" s="777">
        <v>2.36</v>
      </c>
      <c r="P28" s="307">
        <v>55.3</v>
      </c>
      <c r="Q28" s="778">
        <f t="shared" ref="Q28:Q36" si="3">IF($O$2="Fraccionada",P28*$S$27/Q$13,IF($O$2="Global",P28/$Q$12*100))</f>
        <v>5.1785784349240771</v>
      </c>
      <c r="R28" s="233">
        <f t="shared" si="2"/>
        <v>50.967383932617601</v>
      </c>
      <c r="S28" s="779">
        <f t="shared" si="1"/>
        <v>49.032616067382399</v>
      </c>
      <c r="T28" s="303"/>
      <c r="U28" s="782"/>
      <c r="V28" s="304"/>
      <c r="W28" s="37"/>
      <c r="X28" s="37"/>
      <c r="Y28" s="37"/>
      <c r="Z28" s="37"/>
    </row>
    <row r="29" spans="1:26" ht="13.2" customHeight="1" x14ac:dyDescent="0.25">
      <c r="A29" s="198" t="s">
        <v>322</v>
      </c>
      <c r="B29" s="1465">
        <v>19.05</v>
      </c>
      <c r="C29" s="1465"/>
      <c r="D29" s="199">
        <f>+S23</f>
        <v>73.456819301447041</v>
      </c>
      <c r="E29" s="197"/>
      <c r="F29" s="1475"/>
      <c r="G29" s="1477"/>
      <c r="H29" s="203" t="s">
        <v>331</v>
      </c>
      <c r="I29" s="204">
        <f>SUM(Q24:Q27)</f>
        <v>19.245624799140558</v>
      </c>
      <c r="J29" s="200"/>
      <c r="K29" s="201"/>
      <c r="L29" s="3"/>
      <c r="M29" s="3"/>
      <c r="N29" s="777">
        <v>10</v>
      </c>
      <c r="O29" s="777">
        <v>2</v>
      </c>
      <c r="P29" s="307">
        <v>17.899999999999999</v>
      </c>
      <c r="Q29" s="778">
        <f t="shared" si="3"/>
        <v>1.6762487158253341</v>
      </c>
      <c r="R29" s="233">
        <f t="shared" si="2"/>
        <v>52.643632648442932</v>
      </c>
      <c r="S29" s="779">
        <f t="shared" si="1"/>
        <v>47.356367351557068</v>
      </c>
      <c r="T29" s="303">
        <v>22</v>
      </c>
      <c r="U29" s="782"/>
      <c r="V29" s="304">
        <v>52</v>
      </c>
      <c r="W29" s="37"/>
      <c r="X29" s="37"/>
      <c r="Y29" s="37"/>
      <c r="Z29" s="37"/>
    </row>
    <row r="30" spans="1:26" ht="13.2" customHeight="1" x14ac:dyDescent="0.25">
      <c r="A30" s="198" t="s">
        <v>325</v>
      </c>
      <c r="B30" s="1465">
        <v>9.5250000000000004</v>
      </c>
      <c r="C30" s="1465"/>
      <c r="D30" s="199">
        <f>+S25</f>
        <v>62.661585152699679</v>
      </c>
      <c r="E30" s="197"/>
      <c r="F30" s="1482" t="s">
        <v>332</v>
      </c>
      <c r="G30" s="1484">
        <f>100-(G28+G33)</f>
        <v>40.754382185876274</v>
      </c>
      <c r="H30" s="203" t="s">
        <v>330</v>
      </c>
      <c r="I30" s="204">
        <f>SUM(Q28:Q29)</f>
        <v>6.8548271507494114</v>
      </c>
      <c r="J30" s="200"/>
      <c r="K30" s="201"/>
      <c r="L30" s="3"/>
      <c r="M30" s="3"/>
      <c r="N30" s="777">
        <v>16</v>
      </c>
      <c r="O30" s="777">
        <v>1.19</v>
      </c>
      <c r="P30" s="307">
        <v>74.8</v>
      </c>
      <c r="Q30" s="778">
        <f t="shared" si="3"/>
        <v>7.0046594381974856</v>
      </c>
      <c r="R30" s="233">
        <f t="shared" si="2"/>
        <v>59.648292086640417</v>
      </c>
      <c r="S30" s="779">
        <f t="shared" si="1"/>
        <v>40.351707913359583</v>
      </c>
      <c r="T30" s="303"/>
      <c r="U30" s="782"/>
      <c r="V30" s="304"/>
      <c r="W30" s="48"/>
      <c r="X30" s="48"/>
      <c r="Y30" s="49"/>
      <c r="Z30" s="37"/>
    </row>
    <row r="31" spans="1:26" ht="13.2" customHeight="1" x14ac:dyDescent="0.25">
      <c r="A31" s="198" t="s">
        <v>328</v>
      </c>
      <c r="B31" s="1465">
        <v>4.76</v>
      </c>
      <c r="C31" s="1465"/>
      <c r="D31" s="199">
        <f>+S27</f>
        <v>54.211194502306476</v>
      </c>
      <c r="E31" s="197"/>
      <c r="F31" s="1483"/>
      <c r="G31" s="1485"/>
      <c r="H31" s="203" t="s">
        <v>333</v>
      </c>
      <c r="I31" s="204">
        <f>SUM(Q30:Q32)</f>
        <v>20.180536215662542</v>
      </c>
      <c r="J31" s="200"/>
      <c r="K31" s="201"/>
      <c r="L31" s="3"/>
      <c r="M31" s="3"/>
      <c r="N31" s="777">
        <v>30</v>
      </c>
      <c r="O31" s="777">
        <v>0.6</v>
      </c>
      <c r="P31" s="307">
        <v>95.5</v>
      </c>
      <c r="Q31" s="778">
        <f t="shared" si="3"/>
        <v>8.9431146570569506</v>
      </c>
      <c r="R31" s="233">
        <f t="shared" si="2"/>
        <v>68.591406743697362</v>
      </c>
      <c r="S31" s="779">
        <f t="shared" si="1"/>
        <v>31.408593256302638</v>
      </c>
      <c r="T31" s="303"/>
      <c r="U31" s="782"/>
      <c r="V31" s="304"/>
      <c r="W31" s="37"/>
      <c r="X31" s="37"/>
      <c r="Y31" s="37"/>
      <c r="Z31" s="42">
        <f>SUM(P18:P26)</f>
        <v>7549</v>
      </c>
    </row>
    <row r="32" spans="1:26" ht="13.2" customHeight="1" x14ac:dyDescent="0.25">
      <c r="A32" s="198">
        <v>8</v>
      </c>
      <c r="B32" s="1465">
        <v>2.36</v>
      </c>
      <c r="C32" s="1465"/>
      <c r="D32" s="199">
        <f>+S28</f>
        <v>49.032616067382399</v>
      </c>
      <c r="E32" s="197"/>
      <c r="F32" s="1475"/>
      <c r="G32" s="1477"/>
      <c r="H32" s="203" t="s">
        <v>331</v>
      </c>
      <c r="I32" s="204">
        <f>SUM(Q33:Q35)</f>
        <v>13.719018819464328</v>
      </c>
      <c r="J32" s="200"/>
      <c r="K32" s="201"/>
      <c r="L32" s="3"/>
      <c r="M32" s="3"/>
      <c r="N32" s="777">
        <v>40</v>
      </c>
      <c r="O32" s="777">
        <v>0.42</v>
      </c>
      <c r="P32" s="307">
        <v>45.2</v>
      </c>
      <c r="Q32" s="778">
        <f t="shared" si="3"/>
        <v>4.2327621204081067</v>
      </c>
      <c r="R32" s="233">
        <f t="shared" si="2"/>
        <v>72.824168864105474</v>
      </c>
      <c r="S32" s="779">
        <f t="shared" si="1"/>
        <v>27.175831135894526</v>
      </c>
      <c r="T32" s="305">
        <v>15</v>
      </c>
      <c r="U32" s="790"/>
      <c r="V32" s="306">
        <v>35</v>
      </c>
      <c r="W32" s="37"/>
      <c r="X32" s="37"/>
      <c r="Y32" s="37"/>
      <c r="Z32" s="42">
        <f>SUM(P27:P35)</f>
        <v>1068.2</v>
      </c>
    </row>
    <row r="33" spans="1:26" ht="13.2" customHeight="1" x14ac:dyDescent="0.25">
      <c r="A33" s="198">
        <v>16</v>
      </c>
      <c r="B33" s="1465">
        <v>1.19</v>
      </c>
      <c r="C33" s="1465"/>
      <c r="D33" s="199">
        <f t="shared" ref="D33:D38" si="4">+S30</f>
        <v>40.351707913359583</v>
      </c>
      <c r="E33" s="197"/>
      <c r="F33" s="240" t="s">
        <v>334</v>
      </c>
      <c r="G33" s="205">
        <f>S35</f>
        <v>13.456812316430202</v>
      </c>
      <c r="H33" s="206"/>
      <c r="I33" s="207">
        <f>Q36</f>
        <v>13.456812316430195</v>
      </c>
      <c r="J33" s="200"/>
      <c r="K33" s="201"/>
      <c r="L33" s="3"/>
      <c r="M33" s="3"/>
      <c r="N33" s="777">
        <v>50</v>
      </c>
      <c r="O33" s="777">
        <v>0.3</v>
      </c>
      <c r="P33" s="307">
        <v>36.200000000000003</v>
      </c>
      <c r="Q33" s="778">
        <f t="shared" si="3"/>
        <v>3.3899555035126872</v>
      </c>
      <c r="R33" s="233">
        <f t="shared" si="2"/>
        <v>76.214124367618155</v>
      </c>
      <c r="S33" s="779">
        <f t="shared" si="1"/>
        <v>23.785875632381845</v>
      </c>
      <c r="T33" s="303"/>
      <c r="U33" s="782"/>
      <c r="V33" s="304"/>
      <c r="W33" s="37"/>
      <c r="X33" s="37"/>
      <c r="Y33" s="50"/>
      <c r="Z33" s="37"/>
    </row>
    <row r="34" spans="1:26" ht="13.2" customHeight="1" x14ac:dyDescent="0.25">
      <c r="A34" s="198">
        <v>30</v>
      </c>
      <c r="B34" s="1465">
        <v>0.6</v>
      </c>
      <c r="C34" s="1465"/>
      <c r="D34" s="199">
        <f t="shared" si="4"/>
        <v>31.408593256302638</v>
      </c>
      <c r="E34" s="197"/>
      <c r="F34" s="197"/>
      <c r="G34" s="197"/>
      <c r="H34" s="197"/>
      <c r="I34" s="197"/>
      <c r="J34" s="200"/>
      <c r="K34" s="201"/>
      <c r="L34" s="3"/>
      <c r="M34" s="3"/>
      <c r="N34" s="777">
        <v>100</v>
      </c>
      <c r="O34" s="777">
        <v>0.14899999999999999</v>
      </c>
      <c r="P34" s="307">
        <v>63.7</v>
      </c>
      <c r="Q34" s="778">
        <f t="shared" si="3"/>
        <v>5.9651979440264693</v>
      </c>
      <c r="R34" s="233">
        <f t="shared" si="2"/>
        <v>82.179322311644626</v>
      </c>
      <c r="S34" s="779">
        <f t="shared" si="1"/>
        <v>17.820677688355374</v>
      </c>
      <c r="T34" s="303"/>
      <c r="U34" s="782"/>
      <c r="V34" s="304"/>
      <c r="W34" s="37"/>
      <c r="X34" s="37"/>
      <c r="Y34" s="42"/>
      <c r="Z34" s="37"/>
    </row>
    <row r="35" spans="1:26" ht="13.2" customHeight="1" x14ac:dyDescent="0.25">
      <c r="A35" s="198">
        <v>40</v>
      </c>
      <c r="B35" s="1465">
        <v>0.42</v>
      </c>
      <c r="C35" s="1465"/>
      <c r="D35" s="199">
        <f t="shared" si="4"/>
        <v>27.175831135894526</v>
      </c>
      <c r="E35" s="197"/>
      <c r="F35" s="1468" t="str">
        <f>IF(O3="No","","Clasificacion SUCS")</f>
        <v/>
      </c>
      <c r="G35" s="1468"/>
      <c r="H35" s="1471" t="str">
        <f>IF(O3="No","",'Sucs '!G4)</f>
        <v/>
      </c>
      <c r="I35" s="1471"/>
      <c r="J35" s="200"/>
      <c r="K35" s="201"/>
      <c r="L35" s="3"/>
      <c r="M35" s="3"/>
      <c r="N35" s="777">
        <v>200</v>
      </c>
      <c r="O35" s="777">
        <v>7.3999999999999996E-2</v>
      </c>
      <c r="P35" s="307">
        <v>46.6</v>
      </c>
      <c r="Q35" s="778">
        <f t="shared" si="3"/>
        <v>4.3638653719251721</v>
      </c>
      <c r="R35" s="233">
        <f t="shared" si="2"/>
        <v>86.543187683569798</v>
      </c>
      <c r="S35" s="779">
        <f t="shared" si="1"/>
        <v>13.456812316430202</v>
      </c>
      <c r="T35" s="305">
        <v>5</v>
      </c>
      <c r="U35" s="790"/>
      <c r="V35" s="306">
        <v>20</v>
      </c>
      <c r="W35" s="37"/>
      <c r="X35" s="37"/>
      <c r="Y35" s="42"/>
      <c r="Z35" s="43"/>
    </row>
    <row r="36" spans="1:26" ht="13.2" customHeight="1" x14ac:dyDescent="0.25">
      <c r="A36" s="198">
        <v>50</v>
      </c>
      <c r="B36" s="1465">
        <v>0.3</v>
      </c>
      <c r="C36" s="1465"/>
      <c r="D36" s="199">
        <f t="shared" si="4"/>
        <v>23.785875632381845</v>
      </c>
      <c r="E36" s="197"/>
      <c r="F36" s="1469"/>
      <c r="G36" s="1469"/>
      <c r="H36" s="1472"/>
      <c r="I36" s="1472"/>
      <c r="J36" s="200"/>
      <c r="K36" s="201"/>
      <c r="L36" s="3"/>
      <c r="M36" s="3"/>
      <c r="N36" s="791" t="s">
        <v>335</v>
      </c>
      <c r="O36" s="791">
        <v>0.01</v>
      </c>
      <c r="P36" s="791">
        <f>IF(O2="Fraccionada",(Q13-(SUM(P28:P35))),IF(O2="Global",(Q12-Q14)))</f>
        <v>143.69999999999999</v>
      </c>
      <c r="Q36" s="778">
        <f t="shared" si="3"/>
        <v>13.456812316430195</v>
      </c>
      <c r="R36" s="233">
        <f t="shared" si="2"/>
        <v>100</v>
      </c>
      <c r="S36" s="779">
        <f t="shared" si="1"/>
        <v>0</v>
      </c>
      <c r="T36" s="299"/>
      <c r="U36" s="792"/>
      <c r="V36" s="300"/>
      <c r="W36" s="37"/>
      <c r="X36" s="37"/>
      <c r="Y36" s="42"/>
      <c r="Z36" s="37"/>
    </row>
    <row r="37" spans="1:26" ht="13.2" customHeight="1" x14ac:dyDescent="0.25">
      <c r="A37" s="198">
        <v>100</v>
      </c>
      <c r="B37" s="1465">
        <v>0.14899999999999999</v>
      </c>
      <c r="C37" s="1465"/>
      <c r="D37" s="199">
        <f t="shared" si="4"/>
        <v>17.820677688355374</v>
      </c>
      <c r="E37" s="197"/>
      <c r="F37" s="1469" t="str">
        <f>IF(O3="No","","Clasificacion AASHTO")</f>
        <v/>
      </c>
      <c r="G37" s="1469"/>
      <c r="H37" s="1472" t="str">
        <f>IF(O3="No","",Aashto!J26)</f>
        <v/>
      </c>
      <c r="I37" s="1472"/>
      <c r="J37" s="200"/>
      <c r="K37" s="201"/>
      <c r="L37" s="3"/>
      <c r="M37" s="3"/>
      <c r="N37" s="25"/>
      <c r="O37" s="25"/>
      <c r="P37" s="25"/>
      <c r="Q37" s="228"/>
      <c r="R37" s="228"/>
      <c r="S37" s="234">
        <f>MAX(S18:S36)</f>
        <v>100</v>
      </c>
      <c r="T37" s="25"/>
      <c r="U37" s="25"/>
      <c r="V37" s="25"/>
      <c r="W37" s="37"/>
      <c r="X37" s="37"/>
      <c r="Y37" s="42"/>
      <c r="Z37" s="43"/>
    </row>
    <row r="38" spans="1:26" ht="13.2" customHeight="1" x14ac:dyDescent="0.25">
      <c r="A38" s="208">
        <v>200</v>
      </c>
      <c r="B38" s="1464">
        <v>7.3999999999999996E-2</v>
      </c>
      <c r="C38" s="1464"/>
      <c r="D38" s="209">
        <f t="shared" si="4"/>
        <v>13.456812316430202</v>
      </c>
      <c r="E38" s="197"/>
      <c r="F38" s="1470"/>
      <c r="G38" s="1470"/>
      <c r="H38" s="1473"/>
      <c r="I38" s="1473"/>
      <c r="J38" s="200"/>
      <c r="K38" s="201"/>
      <c r="L38" s="3"/>
      <c r="M38" s="3"/>
      <c r="N38" s="793" t="s">
        <v>336</v>
      </c>
      <c r="O38" s="793" t="s">
        <v>337</v>
      </c>
      <c r="P38" s="793" t="s">
        <v>338</v>
      </c>
      <c r="Q38" s="25"/>
      <c r="R38" s="25"/>
      <c r="S38" s="25"/>
      <c r="T38" s="25"/>
      <c r="U38" s="25"/>
      <c r="V38" s="25"/>
      <c r="W38" s="37"/>
      <c r="X38" s="37"/>
      <c r="Y38" s="42"/>
      <c r="Z38" s="37"/>
    </row>
    <row r="39" spans="1:26" ht="12.6" customHeight="1" x14ac:dyDescent="0.25">
      <c r="A39" s="794"/>
      <c r="B39" s="197"/>
      <c r="C39" s="197"/>
      <c r="D39" s="197"/>
      <c r="E39" s="197"/>
      <c r="F39" s="197"/>
      <c r="G39" s="200"/>
      <c r="H39" s="200"/>
      <c r="I39" s="200"/>
      <c r="J39" s="200"/>
      <c r="K39" s="201"/>
      <c r="L39" s="3"/>
      <c r="M39" s="3"/>
      <c r="N39" s="795" t="str">
        <f t="shared" ref="N39:N56" si="5">IF(AND(S18=60,S19=60),((O18+O19)/2),IF(AND(S18&gt;=60,S19&lt;=60),FORECAST(60,O18:O19,S18:S19),""))</f>
        <v/>
      </c>
      <c r="O39" s="796" t="str">
        <f t="shared" ref="O39:O56" si="6">IF(AND(S18=30,S19=30),((O18+O19)/2),IF(AND(S18&gt;=30,S19&lt;=30),FORECAST(30,O18:O19,S18:S19),""))</f>
        <v/>
      </c>
      <c r="P39" s="796" t="str">
        <f t="shared" ref="P39:P56" si="7">IF(AND(S18=10,S19=10),((O18+O19)/2),IF(AND(S18&gt;=10,S19&lt;=10),FORECAST(10,O18:O19,S18:S19),""))</f>
        <v/>
      </c>
      <c r="Q39" s="25"/>
      <c r="R39" s="25"/>
      <c r="S39" s="228"/>
      <c r="T39" s="24"/>
      <c r="U39" s="25"/>
      <c r="V39" s="25"/>
      <c r="W39" s="37"/>
      <c r="X39" s="37"/>
      <c r="Y39" s="51"/>
      <c r="Z39" s="37"/>
    </row>
    <row r="40" spans="1:26" ht="13.2" customHeight="1" x14ac:dyDescent="0.25">
      <c r="A40" s="794"/>
      <c r="B40" s="197"/>
      <c r="C40" s="197"/>
      <c r="D40" s="197"/>
      <c r="E40" s="197"/>
      <c r="F40" s="197"/>
      <c r="G40" s="200"/>
      <c r="H40" s="200"/>
      <c r="I40" s="200"/>
      <c r="J40" s="200"/>
      <c r="K40" s="201"/>
      <c r="L40" s="3"/>
      <c r="M40" s="3"/>
      <c r="N40" s="795" t="str">
        <f t="shared" si="5"/>
        <v/>
      </c>
      <c r="O40" s="796" t="str">
        <f t="shared" si="6"/>
        <v/>
      </c>
      <c r="P40" s="796" t="str">
        <f t="shared" si="7"/>
        <v/>
      </c>
      <c r="Q40" s="25"/>
      <c r="R40" s="25"/>
      <c r="S40" s="25"/>
      <c r="T40" s="24"/>
      <c r="U40" s="228"/>
      <c r="V40" s="25"/>
      <c r="W40" s="37"/>
      <c r="X40" s="37"/>
      <c r="Y40" s="51"/>
      <c r="Z40" s="37"/>
    </row>
    <row r="41" spans="1:26" ht="13.2" customHeight="1" x14ac:dyDescent="0.25">
      <c r="A41" s="794"/>
      <c r="B41" s="197"/>
      <c r="C41" s="197"/>
      <c r="D41" s="197"/>
      <c r="E41" s="197"/>
      <c r="F41" s="197"/>
      <c r="G41" s="200"/>
      <c r="H41" s="200"/>
      <c r="I41" s="200"/>
      <c r="J41" s="200"/>
      <c r="K41" s="201"/>
      <c r="L41" s="3"/>
      <c r="M41" s="3"/>
      <c r="N41" s="795" t="str">
        <f t="shared" si="5"/>
        <v/>
      </c>
      <c r="O41" s="796" t="str">
        <f t="shared" si="6"/>
        <v/>
      </c>
      <c r="P41" s="796" t="str">
        <f t="shared" si="7"/>
        <v/>
      </c>
      <c r="Q41" s="25"/>
      <c r="R41" s="25"/>
      <c r="S41" s="25"/>
      <c r="T41" s="24"/>
      <c r="U41" s="228"/>
      <c r="V41" s="25"/>
      <c r="W41" s="37"/>
      <c r="X41" s="37"/>
      <c r="Y41" s="37"/>
      <c r="Z41" s="37"/>
    </row>
    <row r="42" spans="1:26" ht="13.2" customHeight="1" x14ac:dyDescent="0.25">
      <c r="A42" s="794"/>
      <c r="B42" s="197"/>
      <c r="C42" s="197"/>
      <c r="D42" s="197"/>
      <c r="E42" s="197"/>
      <c r="F42" s="197"/>
      <c r="G42" s="200"/>
      <c r="H42" s="200"/>
      <c r="I42" s="200"/>
      <c r="J42" s="200"/>
      <c r="K42" s="201"/>
      <c r="L42" s="3"/>
      <c r="M42" s="3"/>
      <c r="N42" s="795" t="str">
        <f t="shared" si="5"/>
        <v/>
      </c>
      <c r="O42" s="796" t="str">
        <f t="shared" si="6"/>
        <v/>
      </c>
      <c r="P42" s="796" t="str">
        <f t="shared" si="7"/>
        <v/>
      </c>
      <c r="Q42" s="25"/>
      <c r="R42" s="25"/>
      <c r="S42" s="25"/>
      <c r="T42" s="24"/>
      <c r="U42" s="228"/>
      <c r="V42" s="25"/>
      <c r="W42" s="37"/>
      <c r="X42" s="37"/>
      <c r="Y42" s="37"/>
      <c r="Z42" s="37"/>
    </row>
    <row r="43" spans="1:26" ht="13.2" customHeight="1" x14ac:dyDescent="0.25">
      <c r="A43" s="794"/>
      <c r="B43" s="197"/>
      <c r="C43" s="197"/>
      <c r="D43" s="197"/>
      <c r="E43" s="197"/>
      <c r="F43" s="197"/>
      <c r="G43" s="200"/>
      <c r="H43" s="200"/>
      <c r="I43" s="200"/>
      <c r="J43" s="200"/>
      <c r="K43" s="201"/>
      <c r="L43" s="3"/>
      <c r="M43" s="3"/>
      <c r="N43" s="795" t="str">
        <f t="shared" si="5"/>
        <v/>
      </c>
      <c r="O43" s="796" t="str">
        <f t="shared" si="6"/>
        <v/>
      </c>
      <c r="P43" s="796" t="str">
        <f t="shared" si="7"/>
        <v/>
      </c>
      <c r="Q43" s="25"/>
      <c r="R43" s="25"/>
      <c r="S43" s="25"/>
      <c r="T43" s="24"/>
      <c r="U43" s="228"/>
      <c r="V43" s="25"/>
      <c r="W43" s="37"/>
      <c r="X43" s="37"/>
      <c r="Y43" s="37"/>
      <c r="Z43" s="37"/>
    </row>
    <row r="44" spans="1:26" ht="13.2" customHeight="1" x14ac:dyDescent="0.25">
      <c r="A44" s="794"/>
      <c r="B44" s="197"/>
      <c r="C44" s="197"/>
      <c r="D44" s="197"/>
      <c r="E44" s="197"/>
      <c r="F44" s="197"/>
      <c r="G44" s="200"/>
      <c r="H44" s="200"/>
      <c r="I44" s="200"/>
      <c r="J44" s="200"/>
      <c r="K44" s="201"/>
      <c r="L44" s="3"/>
      <c r="M44" s="3"/>
      <c r="N44" s="795" t="str">
        <f t="shared" si="5"/>
        <v/>
      </c>
      <c r="O44" s="796" t="str">
        <f t="shared" si="6"/>
        <v/>
      </c>
      <c r="P44" s="796" t="str">
        <f t="shared" si="7"/>
        <v/>
      </c>
      <c r="Q44" s="25"/>
      <c r="R44" s="25"/>
      <c r="S44" s="25"/>
      <c r="T44" s="24"/>
      <c r="U44" s="228"/>
      <c r="V44" s="25"/>
      <c r="W44" s="37"/>
      <c r="X44" s="37"/>
      <c r="Y44" s="37"/>
      <c r="Z44" s="37"/>
    </row>
    <row r="45" spans="1:26" ht="13.2" customHeight="1" x14ac:dyDescent="0.25">
      <c r="A45" s="794"/>
      <c r="B45" s="197"/>
      <c r="C45" s="197"/>
      <c r="D45" s="197"/>
      <c r="E45" s="197"/>
      <c r="F45" s="197"/>
      <c r="G45" s="200"/>
      <c r="H45" s="200"/>
      <c r="I45" s="200"/>
      <c r="J45" s="200"/>
      <c r="K45" s="201"/>
      <c r="L45" s="3"/>
      <c r="M45" s="3"/>
      <c r="N45" s="795" t="str">
        <f t="shared" si="5"/>
        <v/>
      </c>
      <c r="O45" s="796" t="str">
        <f t="shared" si="6"/>
        <v/>
      </c>
      <c r="P45" s="796" t="str">
        <f t="shared" si="7"/>
        <v/>
      </c>
      <c r="Q45" s="25"/>
      <c r="R45" s="25"/>
      <c r="S45" s="25"/>
      <c r="T45" s="24"/>
      <c r="U45" s="228"/>
      <c r="V45" s="25"/>
      <c r="W45" s="37"/>
      <c r="X45" s="37"/>
      <c r="Y45" s="37"/>
      <c r="Z45" s="37"/>
    </row>
    <row r="46" spans="1:26" ht="13.2" customHeight="1" x14ac:dyDescent="0.25">
      <c r="A46" s="794"/>
      <c r="B46" s="197"/>
      <c r="C46" s="197"/>
      <c r="D46" s="197"/>
      <c r="E46" s="197"/>
      <c r="F46" s="197"/>
      <c r="G46" s="200"/>
      <c r="H46" s="200"/>
      <c r="I46" s="200"/>
      <c r="J46" s="200"/>
      <c r="K46" s="201"/>
      <c r="L46" s="3"/>
      <c r="M46" s="3"/>
      <c r="N46" s="795">
        <f t="shared" si="5"/>
        <v>7.8031922332980628</v>
      </c>
      <c r="O46" s="796" t="str">
        <f t="shared" si="6"/>
        <v/>
      </c>
      <c r="P46" s="796" t="str">
        <f t="shared" si="7"/>
        <v/>
      </c>
      <c r="Q46" s="25"/>
      <c r="R46" s="25"/>
      <c r="S46" s="25"/>
      <c r="T46" s="24"/>
      <c r="U46" s="228"/>
      <c r="V46" s="25"/>
      <c r="W46" s="37"/>
      <c r="X46" s="37"/>
      <c r="Y46" s="37"/>
      <c r="Z46" s="37"/>
    </row>
    <row r="47" spans="1:26" ht="13.2" customHeight="1" x14ac:dyDescent="0.25">
      <c r="A47" s="794"/>
      <c r="B47" s="197"/>
      <c r="C47" s="197"/>
      <c r="D47" s="197"/>
      <c r="E47" s="197"/>
      <c r="F47" s="197"/>
      <c r="G47" s="200"/>
      <c r="H47" s="200"/>
      <c r="I47" s="200"/>
      <c r="J47" s="200"/>
      <c r="K47" s="201"/>
      <c r="L47" s="3"/>
      <c r="M47" s="3"/>
      <c r="N47" s="795" t="str">
        <f t="shared" si="5"/>
        <v/>
      </c>
      <c r="O47" s="796" t="str">
        <f t="shared" si="6"/>
        <v/>
      </c>
      <c r="P47" s="796" t="str">
        <f t="shared" si="7"/>
        <v/>
      </c>
      <c r="Q47" s="25"/>
      <c r="R47" s="25"/>
      <c r="S47" s="25"/>
      <c r="T47" s="24"/>
      <c r="U47" s="228"/>
      <c r="V47" s="25"/>
      <c r="W47" s="37"/>
      <c r="X47" s="37"/>
      <c r="Y47" s="37"/>
      <c r="Z47" s="37"/>
    </row>
    <row r="48" spans="1:26" ht="13.2" customHeight="1" x14ac:dyDescent="0.25">
      <c r="A48" s="794"/>
      <c r="B48" s="197"/>
      <c r="C48" s="197"/>
      <c r="D48" s="197"/>
      <c r="E48" s="197"/>
      <c r="F48" s="197"/>
      <c r="G48" s="200"/>
      <c r="H48" s="200"/>
      <c r="I48" s="200"/>
      <c r="J48" s="200"/>
      <c r="K48" s="201"/>
      <c r="L48" s="3"/>
      <c r="M48" s="3"/>
      <c r="N48" s="795" t="str">
        <f t="shared" si="5"/>
        <v/>
      </c>
      <c r="O48" s="796" t="str">
        <f t="shared" si="6"/>
        <v/>
      </c>
      <c r="P48" s="796" t="str">
        <f t="shared" si="7"/>
        <v/>
      </c>
      <c r="Q48" s="25"/>
      <c r="R48" s="25"/>
      <c r="S48" s="25"/>
      <c r="T48" s="24"/>
      <c r="U48" s="228"/>
      <c r="V48" s="25"/>
      <c r="W48" s="37"/>
      <c r="X48" s="37"/>
      <c r="Y48" s="37"/>
      <c r="Z48" s="37"/>
    </row>
    <row r="49" spans="1:26" ht="13.2" customHeight="1" x14ac:dyDescent="0.25">
      <c r="A49" s="794"/>
      <c r="B49" s="197"/>
      <c r="C49" s="197"/>
      <c r="D49" s="197"/>
      <c r="E49" s="197"/>
      <c r="F49" s="197"/>
      <c r="G49" s="200"/>
      <c r="H49" s="200"/>
      <c r="I49" s="200"/>
      <c r="J49" s="200"/>
      <c r="K49" s="201"/>
      <c r="L49" s="3"/>
      <c r="M49" s="3"/>
      <c r="N49" s="795" t="str">
        <f t="shared" si="5"/>
        <v/>
      </c>
      <c r="O49" s="796" t="str">
        <f t="shared" si="6"/>
        <v/>
      </c>
      <c r="P49" s="796" t="str">
        <f t="shared" si="7"/>
        <v/>
      </c>
      <c r="Q49" s="25"/>
      <c r="R49" s="25"/>
      <c r="S49" s="25"/>
      <c r="T49" s="24"/>
      <c r="U49" s="228"/>
      <c r="V49" s="25"/>
      <c r="W49" s="37"/>
      <c r="X49" s="37"/>
      <c r="Y49" s="37"/>
      <c r="Z49" s="37"/>
    </row>
    <row r="50" spans="1:26" ht="13.2" customHeight="1" x14ac:dyDescent="0.25">
      <c r="A50" s="794"/>
      <c r="B50" s="197"/>
      <c r="C50" s="197"/>
      <c r="D50" s="197"/>
      <c r="E50" s="197"/>
      <c r="F50" s="197"/>
      <c r="G50" s="200"/>
      <c r="H50" s="200"/>
      <c r="I50" s="200"/>
      <c r="J50" s="200"/>
      <c r="K50" s="201"/>
      <c r="L50" s="3"/>
      <c r="M50" s="3"/>
      <c r="N50" s="795" t="str">
        <f t="shared" si="5"/>
        <v/>
      </c>
      <c r="O50" s="796" t="str">
        <f t="shared" si="6"/>
        <v/>
      </c>
      <c r="P50" s="796" t="str">
        <f t="shared" si="7"/>
        <v/>
      </c>
      <c r="Q50" s="25"/>
      <c r="R50" s="25"/>
      <c r="S50" s="25"/>
      <c r="T50" s="24"/>
      <c r="U50" s="228"/>
      <c r="V50" s="25"/>
      <c r="W50" s="37"/>
      <c r="X50" s="37"/>
      <c r="Y50" s="37"/>
      <c r="Z50" s="37"/>
    </row>
    <row r="51" spans="1:26" ht="13.2" customHeight="1" x14ac:dyDescent="0.25">
      <c r="A51" s="794"/>
      <c r="B51" s="197"/>
      <c r="C51" s="197"/>
      <c r="D51" s="197"/>
      <c r="E51" s="197"/>
      <c r="F51" s="197"/>
      <c r="G51" s="200"/>
      <c r="H51" s="200"/>
      <c r="I51" s="200"/>
      <c r="J51" s="200"/>
      <c r="K51" s="201"/>
      <c r="L51" s="3"/>
      <c r="M51" s="3"/>
      <c r="N51" s="795" t="str">
        <f t="shared" si="5"/>
        <v/>
      </c>
      <c r="O51" s="796" t="str">
        <f t="shared" si="6"/>
        <v/>
      </c>
      <c r="P51" s="796" t="str">
        <f t="shared" si="7"/>
        <v/>
      </c>
      <c r="Q51" s="25"/>
      <c r="R51" s="25"/>
      <c r="S51" s="25"/>
      <c r="T51" s="24"/>
      <c r="U51" s="228"/>
      <c r="V51" s="25"/>
      <c r="W51" s="37"/>
      <c r="X51" s="37"/>
      <c r="Y51" s="37"/>
      <c r="Z51" s="37"/>
    </row>
    <row r="52" spans="1:26" ht="13.2" customHeight="1" x14ac:dyDescent="0.25">
      <c r="A52" s="794"/>
      <c r="B52" s="197"/>
      <c r="C52" s="197"/>
      <c r="D52" s="197"/>
      <c r="E52" s="197"/>
      <c r="F52" s="197"/>
      <c r="G52" s="200"/>
      <c r="H52" s="200"/>
      <c r="I52" s="200"/>
      <c r="J52" s="200"/>
      <c r="K52" s="201"/>
      <c r="L52" s="3"/>
      <c r="M52" s="3"/>
      <c r="N52" s="795" t="str">
        <f t="shared" si="5"/>
        <v/>
      </c>
      <c r="O52" s="796">
        <f t="shared" si="6"/>
        <v>0.54009897581723099</v>
      </c>
      <c r="P52" s="796" t="str">
        <f t="shared" si="7"/>
        <v/>
      </c>
      <c r="Q52" s="25"/>
      <c r="R52" s="25"/>
      <c r="S52" s="25"/>
      <c r="T52" s="24"/>
      <c r="U52" s="228"/>
      <c r="V52" s="25"/>
      <c r="W52" s="37"/>
      <c r="X52" s="37"/>
      <c r="Y52" s="37"/>
      <c r="Z52" s="37"/>
    </row>
    <row r="53" spans="1:26" ht="13.2" customHeight="1" x14ac:dyDescent="0.25">
      <c r="A53" s="794"/>
      <c r="B53" s="197"/>
      <c r="C53" s="197"/>
      <c r="D53" s="197"/>
      <c r="E53" s="197"/>
      <c r="F53" s="197"/>
      <c r="G53" s="200"/>
      <c r="H53" s="200"/>
      <c r="I53" s="200"/>
      <c r="J53" s="200"/>
      <c r="K53" s="201"/>
      <c r="L53" s="3"/>
      <c r="M53" s="3"/>
      <c r="N53" s="795" t="str">
        <f t="shared" si="5"/>
        <v/>
      </c>
      <c r="O53" s="796" t="str">
        <f t="shared" si="6"/>
        <v/>
      </c>
      <c r="P53" s="796" t="str">
        <f t="shared" si="7"/>
        <v/>
      </c>
      <c r="Q53" s="25"/>
      <c r="R53" s="25"/>
      <c r="S53" s="25"/>
      <c r="T53" s="24"/>
      <c r="U53" s="228"/>
      <c r="V53" s="25"/>
      <c r="W53" s="37"/>
      <c r="X53" s="37"/>
      <c r="Y53" s="37"/>
      <c r="Z53" s="37"/>
    </row>
    <row r="54" spans="1:26" ht="13.2" customHeight="1" x14ac:dyDescent="0.25">
      <c r="A54" s="794"/>
      <c r="B54" s="197"/>
      <c r="C54" s="197"/>
      <c r="D54" s="197"/>
      <c r="E54" s="197"/>
      <c r="F54" s="197"/>
      <c r="G54" s="200"/>
      <c r="H54" s="200"/>
      <c r="I54" s="200"/>
      <c r="J54" s="200"/>
      <c r="K54" s="201"/>
      <c r="L54" s="3"/>
      <c r="M54" s="3"/>
      <c r="N54" s="795" t="str">
        <f t="shared" si="5"/>
        <v/>
      </c>
      <c r="O54" s="796" t="str">
        <f t="shared" si="6"/>
        <v/>
      </c>
      <c r="P54" s="796" t="str">
        <f t="shared" si="7"/>
        <v/>
      </c>
      <c r="Q54" s="25"/>
      <c r="R54" s="25"/>
      <c r="S54" s="25"/>
      <c r="T54" s="24"/>
      <c r="U54" s="228"/>
      <c r="V54" s="25"/>
      <c r="W54" s="37"/>
      <c r="X54" s="37"/>
      <c r="Y54" s="37"/>
      <c r="Z54" s="37"/>
    </row>
    <row r="55" spans="1:26" ht="13.2" customHeight="1" x14ac:dyDescent="0.25">
      <c r="A55" s="794"/>
      <c r="B55" s="200"/>
      <c r="C55" s="200"/>
      <c r="D55" s="200"/>
      <c r="E55" s="200"/>
      <c r="F55" s="200"/>
      <c r="G55" s="200"/>
      <c r="H55" s="200"/>
      <c r="I55" s="200"/>
      <c r="J55" s="200"/>
      <c r="K55" s="201"/>
      <c r="L55" s="3"/>
      <c r="M55" s="3"/>
      <c r="N55" s="795" t="str">
        <f t="shared" si="5"/>
        <v/>
      </c>
      <c r="O55" s="796" t="str">
        <f t="shared" si="6"/>
        <v/>
      </c>
      <c r="P55" s="796" t="str">
        <f t="shared" si="7"/>
        <v/>
      </c>
      <c r="Q55" s="25"/>
      <c r="R55" s="25"/>
      <c r="S55" s="25"/>
      <c r="T55" s="24"/>
      <c r="U55" s="228"/>
      <c r="V55" s="25"/>
      <c r="W55" s="37"/>
      <c r="X55" s="37"/>
      <c r="Y55" s="37"/>
      <c r="Z55" s="37"/>
    </row>
    <row r="56" spans="1:26" ht="13.2" customHeight="1" x14ac:dyDescent="0.25">
      <c r="A56" s="797"/>
      <c r="B56" s="798"/>
      <c r="C56" s="798"/>
      <c r="D56" s="798"/>
      <c r="E56" s="798"/>
      <c r="F56" s="798"/>
      <c r="G56" s="798"/>
      <c r="H56" s="798"/>
      <c r="I56" s="798"/>
      <c r="J56" s="798"/>
      <c r="K56" s="210"/>
      <c r="L56" s="3"/>
      <c r="M56" s="3"/>
      <c r="N56" s="795" t="str">
        <f t="shared" si="5"/>
        <v/>
      </c>
      <c r="O56" s="796" t="str">
        <f t="shared" si="6"/>
        <v/>
      </c>
      <c r="P56" s="796">
        <f t="shared" si="7"/>
        <v>5.7559554592181296E-2</v>
      </c>
      <c r="Q56" s="25"/>
      <c r="R56" s="25"/>
      <c r="S56" s="25"/>
      <c r="T56" s="24"/>
      <c r="U56" s="228"/>
      <c r="V56" s="25"/>
      <c r="W56" s="37"/>
      <c r="X56" s="37"/>
      <c r="Y56" s="37"/>
      <c r="Z56" s="37"/>
    </row>
    <row r="57" spans="1:26" ht="15.9" customHeight="1" x14ac:dyDescent="0.25">
      <c r="A57" s="30" t="s">
        <v>339</v>
      </c>
      <c r="B57" s="31"/>
      <c r="C57" s="31"/>
      <c r="D57" s="31"/>
      <c r="E57" s="31"/>
      <c r="F57" s="31"/>
      <c r="G57" s="31"/>
      <c r="H57" s="2"/>
      <c r="I57" s="2"/>
      <c r="J57" s="2"/>
      <c r="K57" s="2"/>
      <c r="L57" s="3"/>
      <c r="M57" s="3"/>
      <c r="N57" s="793" t="s">
        <v>340</v>
      </c>
      <c r="O57" s="793"/>
      <c r="P57" s="793"/>
      <c r="Q57" s="25"/>
      <c r="R57" s="25"/>
      <c r="S57" s="25"/>
      <c r="T57" s="24"/>
      <c r="U57" s="228"/>
      <c r="V57" s="25"/>
      <c r="W57" s="37"/>
      <c r="X57" s="37"/>
      <c r="Y57" s="37"/>
      <c r="Z57" s="37"/>
    </row>
    <row r="58" spans="1:26" ht="15.9" customHeight="1" x14ac:dyDescent="0.25">
      <c r="A58" s="311" t="s">
        <v>341</v>
      </c>
      <c r="B58" s="31"/>
      <c r="C58" s="31"/>
      <c r="D58" s="31"/>
      <c r="E58" s="31"/>
      <c r="F58" s="31"/>
      <c r="G58" s="31"/>
      <c r="H58" s="2"/>
      <c r="I58" s="2"/>
      <c r="J58" s="2"/>
      <c r="K58" s="2"/>
      <c r="L58" s="3"/>
      <c r="M58" s="3"/>
      <c r="N58" s="799" t="s">
        <v>336</v>
      </c>
      <c r="O58" s="799" t="s">
        <v>337</v>
      </c>
      <c r="P58" s="799" t="s">
        <v>338</v>
      </c>
      <c r="Q58" s="25"/>
      <c r="R58" s="25"/>
      <c r="S58" s="25"/>
      <c r="T58" s="24"/>
      <c r="U58" s="228"/>
      <c r="V58" s="25"/>
      <c r="W58" s="37"/>
      <c r="X58" s="37"/>
      <c r="Y58" s="37"/>
      <c r="Z58" s="37"/>
    </row>
    <row r="59" spans="1:26" ht="15.9" customHeight="1" x14ac:dyDescent="0.25">
      <c r="A59" s="312"/>
      <c r="B59" s="31"/>
      <c r="C59" s="31"/>
      <c r="D59" s="31"/>
      <c r="E59" s="31"/>
      <c r="F59" s="31"/>
      <c r="G59" s="31"/>
      <c r="H59" s="2"/>
      <c r="I59" s="2"/>
      <c r="J59" s="2"/>
      <c r="K59" s="2"/>
      <c r="L59" s="3"/>
      <c r="M59" s="3"/>
      <c r="N59" s="800">
        <f>AVERAGE(N39:N56)</f>
        <v>7.8031922332980628</v>
      </c>
      <c r="O59" s="800">
        <f>AVERAGE(O39:O56)</f>
        <v>0.54009897581723099</v>
      </c>
      <c r="P59" s="800">
        <f>AVERAGE(P39:P56)</f>
        <v>5.7559554592181296E-2</v>
      </c>
      <c r="Q59" s="25"/>
      <c r="R59" s="25"/>
      <c r="S59" s="25"/>
      <c r="T59" s="25"/>
      <c r="U59" s="25"/>
      <c r="V59" s="25"/>
      <c r="W59" s="37"/>
      <c r="X59" s="37"/>
      <c r="Y59" s="37"/>
      <c r="Z59" s="37"/>
    </row>
    <row r="60" spans="1:26" ht="15.9" customHeight="1" x14ac:dyDescent="0.25">
      <c r="A60" s="313" t="s">
        <v>263</v>
      </c>
      <c r="B60" s="28"/>
      <c r="C60" s="28"/>
      <c r="D60" s="31"/>
      <c r="E60" s="31"/>
      <c r="F60" s="31"/>
      <c r="G60" s="31"/>
      <c r="H60" s="2"/>
      <c r="I60" s="2"/>
      <c r="J60" s="2"/>
      <c r="K60" s="2"/>
      <c r="L60" s="3"/>
      <c r="M60" s="3"/>
      <c r="N60" s="235" t="s">
        <v>342</v>
      </c>
      <c r="O60" s="236"/>
      <c r="P60" s="237">
        <f>N59/P59</f>
        <v>135.56727963906141</v>
      </c>
      <c r="Q60" s="195"/>
      <c r="R60" s="195"/>
      <c r="S60" s="195"/>
      <c r="T60" s="195"/>
      <c r="U60" s="195"/>
      <c r="V60" s="195"/>
      <c r="W60" s="37"/>
      <c r="X60" s="37"/>
      <c r="Y60" s="37"/>
      <c r="Z60" s="37"/>
    </row>
    <row r="61" spans="1:26" ht="15.9" customHeight="1" x14ac:dyDescent="0.25">
      <c r="A61" s="313" t="s">
        <v>343</v>
      </c>
      <c r="B61" s="31"/>
      <c r="C61" s="31"/>
      <c r="D61" s="31"/>
      <c r="E61" s="31"/>
      <c r="F61" s="31"/>
      <c r="G61" s="31"/>
      <c r="H61" s="2"/>
      <c r="I61" s="2"/>
      <c r="J61" s="2"/>
      <c r="K61" s="2"/>
      <c r="L61" s="3"/>
      <c r="M61" s="3"/>
      <c r="N61" s="801" t="s">
        <v>344</v>
      </c>
      <c r="O61" s="238"/>
      <c r="P61" s="239">
        <f>((O59)^2/(P59*N59))</f>
        <v>0.64946683219708234</v>
      </c>
      <c r="Q61" s="25"/>
      <c r="R61" s="25"/>
      <c r="S61" s="25"/>
      <c r="T61" s="25"/>
      <c r="U61" s="25"/>
      <c r="V61" s="25"/>
      <c r="W61" s="37"/>
      <c r="X61" s="37"/>
      <c r="Y61" s="37"/>
      <c r="Z61" s="37"/>
    </row>
    <row r="62" spans="1:26" ht="15.9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3"/>
      <c r="M62" s="3"/>
      <c r="W62" s="37"/>
      <c r="X62" s="37"/>
      <c r="Y62" s="37"/>
      <c r="Z62" s="37"/>
    </row>
    <row r="63" spans="1:26" ht="15.9" customHeight="1" x14ac:dyDescent="0.25">
      <c r="W63" s="37"/>
      <c r="X63" s="37"/>
      <c r="Y63" s="37"/>
      <c r="Z63" s="37"/>
    </row>
    <row r="64" spans="1:26" ht="30.75" customHeight="1" x14ac:dyDescent="0.25">
      <c r="A64" s="1486" t="s">
        <v>345</v>
      </c>
      <c r="B64" s="1486"/>
      <c r="C64" s="1486"/>
      <c r="D64" s="1486"/>
      <c r="E64" s="1486"/>
      <c r="F64" s="1486"/>
      <c r="G64" s="1486"/>
      <c r="H64" s="1486"/>
      <c r="I64" s="1486"/>
      <c r="J64" s="1486"/>
      <c r="K64" s="1486"/>
      <c r="W64" s="37"/>
      <c r="X64" s="37"/>
      <c r="Y64" s="37"/>
      <c r="Z64" s="37"/>
    </row>
    <row r="65" spans="23:26" ht="15.9" customHeight="1" x14ac:dyDescent="0.25">
      <c r="W65" s="37"/>
      <c r="X65" s="37"/>
      <c r="Y65" s="37"/>
      <c r="Z65" s="37"/>
    </row>
    <row r="66" spans="23:26" ht="15.9" customHeight="1" x14ac:dyDescent="0.25">
      <c r="W66" s="37"/>
      <c r="X66" s="37"/>
      <c r="Y66" s="37"/>
      <c r="Z66" s="37"/>
    </row>
    <row r="67" spans="23:26" x14ac:dyDescent="0.25">
      <c r="W67" s="37"/>
      <c r="X67" s="37"/>
      <c r="Y67" s="37"/>
      <c r="Z67" s="37"/>
    </row>
    <row r="68" spans="23:26" x14ac:dyDescent="0.25">
      <c r="W68" s="37"/>
      <c r="X68" s="37"/>
      <c r="Y68" s="37"/>
      <c r="Z68" s="37"/>
    </row>
  </sheetData>
  <protectedRanges>
    <protectedRange sqref="C11:C13 C16" name="Rango3_3_1_1_1_1_1_1_1_1"/>
    <protectedRange sqref="C10" name="Rango3_3_1_1_1_1_1_2_1"/>
  </protectedRanges>
  <mergeCells count="39">
    <mergeCell ref="F30:F32"/>
    <mergeCell ref="G30:G32"/>
    <mergeCell ref="A64:K64"/>
    <mergeCell ref="A15:K15"/>
    <mergeCell ref="A7:K7"/>
    <mergeCell ref="A8:K8"/>
    <mergeCell ref="B25:C25"/>
    <mergeCell ref="B24:C24"/>
    <mergeCell ref="A23:C23"/>
    <mergeCell ref="B26:C26"/>
    <mergeCell ref="B27:C27"/>
    <mergeCell ref="B28:C28"/>
    <mergeCell ref="B29:C29"/>
    <mergeCell ref="F23:H24"/>
    <mergeCell ref="I23:I24"/>
    <mergeCell ref="F26:I27"/>
    <mergeCell ref="F28:F29"/>
    <mergeCell ref="G28:G29"/>
    <mergeCell ref="A14:K14"/>
    <mergeCell ref="A17:K17"/>
    <mergeCell ref="C10:H10"/>
    <mergeCell ref="C11:H11"/>
    <mergeCell ref="C12:H12"/>
    <mergeCell ref="T17:V17"/>
    <mergeCell ref="T16:V16"/>
    <mergeCell ref="B38:C38"/>
    <mergeCell ref="B30:C30"/>
    <mergeCell ref="B31:C31"/>
    <mergeCell ref="B32:C32"/>
    <mergeCell ref="B33:C33"/>
    <mergeCell ref="B34:C34"/>
    <mergeCell ref="B35:C35"/>
    <mergeCell ref="B36:C36"/>
    <mergeCell ref="B37:C37"/>
    <mergeCell ref="D23:D24"/>
    <mergeCell ref="F35:G36"/>
    <mergeCell ref="F37:G38"/>
    <mergeCell ref="H35:I36"/>
    <mergeCell ref="H37:I38"/>
  </mergeCells>
  <dataValidations disablePrompts="1" count="3">
    <dataValidation type="list" allowBlank="1" showInputMessage="1" showErrorMessage="1" sqref="O2" xr:uid="{00000000-0002-0000-0600-000000000000}">
      <formula1>$X$4:$X$5</formula1>
    </dataValidation>
    <dataValidation type="list" allowBlank="1" showInputMessage="1" showErrorMessage="1" sqref="O3" xr:uid="{00000000-0002-0000-0600-000001000000}">
      <formula1>$X$2:$X$3</formula1>
    </dataValidation>
    <dataValidation type="list" allowBlank="1" showInputMessage="1" showErrorMessage="1" sqref="O4" xr:uid="{00000000-0002-0000-0600-000002000000}">
      <formula1>$X$6:$X$8</formula1>
    </dataValidation>
  </dataValidations>
  <printOptions horizontalCentered="1" verticalCentered="1"/>
  <pageMargins left="0.78740157480314965" right="0.78740157480314965" top="0.78740157480314965" bottom="0.39370078740157483" header="0" footer="0"/>
  <pageSetup paperSize="9" scale="8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52"/>
  <sheetViews>
    <sheetView showGridLines="0" topLeftCell="A4" zoomScaleNormal="100" zoomScaleSheetLayoutView="100" workbookViewId="0">
      <selection activeCell="N57" sqref="N57"/>
    </sheetView>
  </sheetViews>
  <sheetFormatPr baseColWidth="10" defaultColWidth="10.33203125" defaultRowHeight="13.8" x14ac:dyDescent="0.25"/>
  <cols>
    <col min="1" max="1" width="16.33203125" style="109" customWidth="1"/>
    <col min="2" max="2" width="2" style="109" customWidth="1"/>
    <col min="3" max="3" width="11.44140625" style="109" customWidth="1"/>
    <col min="4" max="8" width="9.33203125" style="109" customWidth="1"/>
    <col min="9" max="9" width="8.88671875" style="109" customWidth="1"/>
    <col min="10" max="10" width="1.5546875" style="109" customWidth="1"/>
    <col min="11" max="11" width="13.5546875" style="109" customWidth="1"/>
    <col min="12" max="12" width="6.44140625" style="109" customWidth="1"/>
    <col min="13" max="13" width="8" style="109" customWidth="1"/>
    <col min="14" max="14" width="12.6640625" style="109" customWidth="1"/>
    <col min="15" max="15" width="10.88671875" style="109" customWidth="1"/>
    <col min="16" max="22" width="10.6640625" style="109" customWidth="1"/>
    <col min="23" max="16384" width="10.33203125" style="109"/>
  </cols>
  <sheetData>
    <row r="1" spans="1:19" ht="15.75" customHeight="1" thickTop="1" x14ac:dyDescent="0.25">
      <c r="A1" s="104"/>
      <c r="B1" s="105"/>
      <c r="C1" s="105"/>
      <c r="D1" s="106"/>
      <c r="E1" s="106"/>
      <c r="F1" s="106"/>
      <c r="G1" s="106"/>
      <c r="H1" s="106"/>
      <c r="I1" s="107"/>
      <c r="J1" s="107"/>
      <c r="K1" s="108"/>
    </row>
    <row r="2" spans="1:19" ht="15.75" customHeight="1" x14ac:dyDescent="0.25">
      <c r="A2" s="110"/>
      <c r="B2" s="111"/>
      <c r="C2" s="111"/>
      <c r="D2" s="112"/>
      <c r="E2" s="112"/>
      <c r="F2" s="112"/>
      <c r="G2" s="112"/>
      <c r="H2" s="112"/>
      <c r="K2" s="113"/>
      <c r="P2" s="114"/>
    </row>
    <row r="3" spans="1:19" ht="15.75" customHeight="1" x14ac:dyDescent="0.25">
      <c r="A3" s="110"/>
      <c r="B3" s="111"/>
      <c r="C3" s="111"/>
      <c r="D3" s="112"/>
      <c r="E3" s="112"/>
      <c r="F3" s="112"/>
      <c r="G3" s="112"/>
      <c r="H3" s="112"/>
      <c r="K3" s="113"/>
    </row>
    <row r="4" spans="1:19" ht="15.75" customHeight="1" x14ac:dyDescent="0.25">
      <c r="A4" s="110"/>
      <c r="B4" s="111"/>
      <c r="C4" s="111"/>
      <c r="D4" s="112"/>
      <c r="E4" s="112"/>
      <c r="F4" s="112"/>
      <c r="G4" s="112"/>
      <c r="H4" s="112"/>
      <c r="K4" s="113"/>
    </row>
    <row r="5" spans="1:19" ht="15.75" customHeight="1" thickBot="1" x14ac:dyDescent="0.3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7"/>
    </row>
    <row r="6" spans="1:19" ht="15.9" customHeight="1" thickTop="1" x14ac:dyDescent="0.25">
      <c r="A6" s="118"/>
      <c r="B6" s="118"/>
      <c r="C6" s="118"/>
      <c r="D6" s="118"/>
      <c r="E6" s="118"/>
      <c r="F6" s="118"/>
      <c r="G6" s="118"/>
      <c r="H6" s="118"/>
      <c r="I6" s="118"/>
      <c r="J6" s="118"/>
      <c r="K6" s="118"/>
    </row>
    <row r="7" spans="1:19" ht="15.9" customHeight="1" x14ac:dyDescent="0.25">
      <c r="A7" s="118"/>
      <c r="B7" s="118"/>
      <c r="C7" s="118"/>
      <c r="D7" s="118"/>
      <c r="E7" s="118"/>
      <c r="F7" s="118"/>
      <c r="G7" s="118"/>
      <c r="H7" s="118"/>
      <c r="I7" s="118"/>
      <c r="J7" s="118"/>
      <c r="K7" s="118"/>
    </row>
    <row r="8" spans="1:19" ht="15.9" customHeight="1" x14ac:dyDescent="0.25">
      <c r="A8" s="1505" t="s">
        <v>0</v>
      </c>
      <c r="B8" s="1505"/>
      <c r="C8" s="1505"/>
      <c r="D8" s="1505"/>
      <c r="E8" s="1505"/>
      <c r="F8" s="1505"/>
      <c r="G8" s="1505"/>
      <c r="H8" s="1505"/>
      <c r="I8" s="1505"/>
      <c r="J8" s="1505"/>
      <c r="K8" s="1505"/>
    </row>
    <row r="9" spans="1:19" ht="15.9" customHeight="1" x14ac:dyDescent="0.25">
      <c r="A9" s="1506">
        <f>+K13</f>
        <v>10</v>
      </c>
      <c r="B9" s="1506"/>
      <c r="C9" s="1506"/>
      <c r="D9" s="1506"/>
      <c r="E9" s="1506"/>
      <c r="F9" s="1506"/>
      <c r="G9" s="1506"/>
      <c r="H9" s="1506"/>
      <c r="I9" s="1506"/>
      <c r="J9" s="1506"/>
      <c r="K9" s="1506"/>
      <c r="O9" s="119"/>
    </row>
    <row r="10" spans="1:19" ht="15.9" customHeight="1" x14ac:dyDescent="0.25">
      <c r="A10" s="120"/>
      <c r="B10" s="120"/>
      <c r="C10" s="120"/>
      <c r="D10" s="120"/>
      <c r="E10" s="120"/>
      <c r="F10" s="120"/>
      <c r="G10" s="120"/>
      <c r="H10" s="120"/>
      <c r="I10" s="120"/>
      <c r="J10" s="120"/>
      <c r="K10" s="120"/>
    </row>
    <row r="11" spans="1:19" ht="15.9" customHeight="1" x14ac:dyDescent="0.25">
      <c r="A11" s="21" t="s">
        <v>276</v>
      </c>
      <c r="B11" s="22" t="s">
        <v>2</v>
      </c>
      <c r="C11" s="1507" t="s">
        <v>277</v>
      </c>
      <c r="D11" s="1507"/>
      <c r="E11" s="1507"/>
      <c r="F11" s="1507"/>
      <c r="G11" s="1507"/>
      <c r="H11" s="1507"/>
      <c r="I11" s="121" t="s">
        <v>3</v>
      </c>
      <c r="J11" s="122" t="s">
        <v>2</v>
      </c>
      <c r="K11" s="123" t="s">
        <v>346</v>
      </c>
      <c r="L11" s="124"/>
      <c r="M11" s="124"/>
      <c r="O11" s="125"/>
    </row>
    <row r="12" spans="1:19" ht="15.9" customHeight="1" x14ac:dyDescent="0.25">
      <c r="A12" s="21" t="s">
        <v>281</v>
      </c>
      <c r="B12" s="22" t="s">
        <v>2</v>
      </c>
      <c r="C12" s="1507" t="s">
        <v>282</v>
      </c>
      <c r="D12" s="1507"/>
      <c r="E12" s="1507"/>
      <c r="F12" s="1507"/>
      <c r="G12" s="1507"/>
      <c r="H12" s="1507"/>
      <c r="I12" s="26" t="s">
        <v>6</v>
      </c>
      <c r="J12" s="22" t="s">
        <v>2</v>
      </c>
      <c r="K12" s="126" t="s">
        <v>283</v>
      </c>
      <c r="L12" s="124"/>
      <c r="M12" s="124"/>
      <c r="P12" s="127"/>
      <c r="Q12" s="127"/>
      <c r="R12" s="128"/>
      <c r="S12" s="129"/>
    </row>
    <row r="13" spans="1:19" ht="15.9" customHeight="1" x14ac:dyDescent="0.25">
      <c r="A13" s="21" t="s">
        <v>286</v>
      </c>
      <c r="B13" s="22" t="s">
        <v>2</v>
      </c>
      <c r="C13" s="1507" t="s">
        <v>287</v>
      </c>
      <c r="D13" s="1507"/>
      <c r="E13" s="1507"/>
      <c r="F13" s="1507"/>
      <c r="G13" s="1507"/>
      <c r="H13" s="1507"/>
      <c r="I13" s="26" t="s">
        <v>288</v>
      </c>
      <c r="J13" s="22" t="s">
        <v>2</v>
      </c>
      <c r="K13" s="242">
        <v>10</v>
      </c>
      <c r="L13" s="124"/>
      <c r="M13" s="124"/>
      <c r="P13" s="127"/>
      <c r="Q13" s="127"/>
      <c r="R13" s="1504"/>
      <c r="S13" s="1504"/>
    </row>
    <row r="14" spans="1:19" ht="15.9" customHeight="1" x14ac:dyDescent="0.25">
      <c r="A14" s="21"/>
      <c r="B14" s="22"/>
      <c r="C14" s="738"/>
      <c r="D14" s="738"/>
      <c r="E14" s="738"/>
      <c r="F14" s="738"/>
      <c r="G14" s="738"/>
      <c r="H14" s="738"/>
      <c r="I14" s="26"/>
      <c r="J14" s="22"/>
      <c r="K14" s="130"/>
      <c r="L14" s="124"/>
      <c r="M14" s="124"/>
      <c r="P14" s="127"/>
      <c r="Q14" s="127"/>
      <c r="R14" s="737"/>
      <c r="S14" s="737"/>
    </row>
    <row r="15" spans="1:19" ht="30" customHeight="1" x14ac:dyDescent="0.25">
      <c r="A15" s="1508" t="s">
        <v>347</v>
      </c>
      <c r="B15" s="1509"/>
      <c r="C15" s="1509"/>
      <c r="D15" s="1509"/>
      <c r="E15" s="1509"/>
      <c r="F15" s="1509"/>
      <c r="G15" s="1509"/>
      <c r="H15" s="1509"/>
      <c r="I15" s="1509"/>
      <c r="J15" s="1509"/>
      <c r="K15" s="1510"/>
      <c r="L15" s="124"/>
      <c r="M15" s="124"/>
      <c r="P15" s="127"/>
      <c r="Q15" s="127"/>
      <c r="R15" s="737"/>
      <c r="S15" s="737"/>
    </row>
    <row r="16" spans="1:19" ht="18" customHeight="1" x14ac:dyDescent="0.25">
      <c r="A16" s="1511" t="s">
        <v>348</v>
      </c>
      <c r="B16" s="1512"/>
      <c r="C16" s="1512"/>
      <c r="D16" s="1512"/>
      <c r="E16" s="1512"/>
      <c r="F16" s="1512"/>
      <c r="G16" s="1512"/>
      <c r="H16" s="1512"/>
      <c r="I16" s="1512"/>
      <c r="J16" s="1512"/>
      <c r="K16" s="1513"/>
      <c r="L16" s="124"/>
      <c r="M16" s="124"/>
      <c r="P16" s="127"/>
      <c r="Q16" s="127"/>
      <c r="R16" s="737"/>
      <c r="S16" s="737"/>
    </row>
    <row r="17" spans="1:21" ht="11.25" customHeight="1" x14ac:dyDescent="0.25">
      <c r="A17" s="38"/>
      <c r="B17" s="34"/>
      <c r="C17" s="131"/>
      <c r="D17" s="131"/>
      <c r="E17" s="131"/>
      <c r="F17" s="131"/>
      <c r="G17" s="131"/>
      <c r="H17" s="131"/>
      <c r="I17" s="36"/>
      <c r="J17" s="34"/>
      <c r="K17" s="802"/>
      <c r="L17" s="124"/>
      <c r="M17" s="124"/>
      <c r="P17" s="127"/>
      <c r="Q17" s="127"/>
      <c r="R17" s="737"/>
      <c r="S17" s="737"/>
    </row>
    <row r="18" spans="1:21" ht="15.9" customHeight="1" x14ac:dyDescent="0.25">
      <c r="A18" s="1478" t="s">
        <v>13</v>
      </c>
      <c r="B18" s="1479"/>
      <c r="C18" s="1479"/>
      <c r="D18" s="1479"/>
      <c r="E18" s="1479"/>
      <c r="F18" s="1479"/>
      <c r="G18" s="1479"/>
      <c r="H18" s="1479"/>
      <c r="I18" s="1479"/>
      <c r="J18" s="1479"/>
      <c r="K18" s="1480"/>
      <c r="M18" s="124"/>
      <c r="P18" s="127"/>
      <c r="Q18" s="127"/>
      <c r="R18" s="132"/>
      <c r="S18" s="132"/>
    </row>
    <row r="19" spans="1:21" ht="15.9" customHeight="1" x14ac:dyDescent="0.25">
      <c r="A19" s="133" t="s">
        <v>307</v>
      </c>
      <c r="B19" s="32" t="s">
        <v>2</v>
      </c>
      <c r="C19" s="126" t="s">
        <v>308</v>
      </c>
      <c r="D19" s="32"/>
      <c r="E19" s="134"/>
      <c r="F19" s="126"/>
      <c r="G19" s="126"/>
      <c r="H19" s="134"/>
      <c r="I19" s="33" t="s">
        <v>309</v>
      </c>
      <c r="J19" s="135" t="s">
        <v>2</v>
      </c>
      <c r="K19" s="136"/>
      <c r="M19" s="124"/>
      <c r="P19" s="127"/>
      <c r="Q19" s="127"/>
      <c r="R19" s="132"/>
      <c r="S19" s="132"/>
    </row>
    <row r="20" spans="1:21" ht="15.9" customHeight="1" x14ac:dyDescent="0.25">
      <c r="A20" s="133" t="s">
        <v>311</v>
      </c>
      <c r="B20" s="32" t="s">
        <v>2</v>
      </c>
      <c r="C20" s="126" t="s">
        <v>17</v>
      </c>
      <c r="D20" s="32"/>
      <c r="E20" s="134"/>
      <c r="F20" s="126"/>
      <c r="G20" s="126"/>
      <c r="H20" s="134"/>
      <c r="I20" s="33" t="s">
        <v>312</v>
      </c>
      <c r="J20" s="135" t="s">
        <v>2</v>
      </c>
      <c r="K20" s="137">
        <v>43831</v>
      </c>
      <c r="M20" s="124"/>
      <c r="P20" s="127"/>
      <c r="Q20" s="127"/>
      <c r="R20" s="132"/>
      <c r="S20" s="132"/>
      <c r="U20" s="803" t="s">
        <v>349</v>
      </c>
    </row>
    <row r="21" spans="1:21" ht="15.9" customHeight="1" x14ac:dyDescent="0.25">
      <c r="A21" s="133" t="s">
        <v>314</v>
      </c>
      <c r="B21" s="32" t="s">
        <v>2</v>
      </c>
      <c r="C21" s="126" t="s">
        <v>315</v>
      </c>
      <c r="D21" s="32"/>
      <c r="E21" s="134"/>
      <c r="F21" s="126"/>
      <c r="G21" s="126"/>
      <c r="H21" s="134"/>
      <c r="I21" s="33" t="s">
        <v>316</v>
      </c>
      <c r="J21" s="135" t="s">
        <v>2</v>
      </c>
      <c r="K21" s="137">
        <v>43844</v>
      </c>
      <c r="M21" s="124"/>
      <c r="P21" s="127"/>
      <c r="Q21" s="127"/>
      <c r="R21" s="132"/>
      <c r="S21" s="132"/>
      <c r="U21" s="803" t="s">
        <v>350</v>
      </c>
    </row>
    <row r="22" spans="1:21" ht="12" customHeight="1" x14ac:dyDescent="0.25">
      <c r="A22" s="804"/>
      <c r="B22" s="247"/>
      <c r="C22" s="247"/>
      <c r="D22" s="247"/>
      <c r="E22" s="247"/>
      <c r="F22" s="247"/>
      <c r="G22" s="247"/>
      <c r="H22" s="247"/>
      <c r="I22" s="247"/>
      <c r="J22" s="247"/>
      <c r="K22" s="138"/>
      <c r="M22" s="124"/>
    </row>
    <row r="23" spans="1:21" ht="18.75" customHeight="1" x14ac:dyDescent="0.25">
      <c r="A23" s="805"/>
      <c r="I23" s="1514"/>
      <c r="J23" s="1514"/>
      <c r="K23" s="806"/>
      <c r="L23" s="124"/>
      <c r="M23" s="139"/>
      <c r="Q23" s="140"/>
    </row>
    <row r="24" spans="1:21" ht="18.75" customHeight="1" x14ac:dyDescent="0.25">
      <c r="A24" s="141"/>
      <c r="D24" s="1515" t="s">
        <v>351</v>
      </c>
      <c r="E24" s="1516"/>
      <c r="F24" s="1516"/>
      <c r="G24" s="1517" t="s">
        <v>352</v>
      </c>
      <c r="H24" s="1518"/>
      <c r="I24" s="1519"/>
      <c r="J24" s="1519"/>
      <c r="K24" s="142"/>
      <c r="L24" s="124"/>
      <c r="M24" s="143"/>
      <c r="O24" s="1520" t="s">
        <v>351</v>
      </c>
      <c r="P24" s="1521"/>
      <c r="Q24" s="807" t="s">
        <v>350</v>
      </c>
      <c r="R24" s="1520" t="s">
        <v>352</v>
      </c>
      <c r="S24" s="1522"/>
      <c r="T24" s="807" t="s">
        <v>350</v>
      </c>
    </row>
    <row r="25" spans="1:21" ht="18.75" customHeight="1" x14ac:dyDescent="0.25">
      <c r="A25" s="141"/>
      <c r="B25" s="1523" t="s">
        <v>353</v>
      </c>
      <c r="C25" s="1524"/>
      <c r="D25" s="808" t="str">
        <f>IF($Q$24="NO","",O25)</f>
        <v/>
      </c>
      <c r="E25" s="808" t="str">
        <f>IF($Q$24="NO","",P25)</f>
        <v/>
      </c>
      <c r="F25" s="144" t="str">
        <f>IF($Q$24="NO","",Q25)</f>
        <v/>
      </c>
      <c r="G25" s="145" t="str">
        <f>IF($T$24="NO","",R25)</f>
        <v/>
      </c>
      <c r="H25" s="808" t="str">
        <f>IF($T$24="NO","",S25)</f>
        <v/>
      </c>
      <c r="I25" s="1519"/>
      <c r="J25" s="1519"/>
      <c r="K25" s="142"/>
      <c r="L25" s="124"/>
      <c r="M25" s="143"/>
      <c r="N25" s="146" t="s">
        <v>353</v>
      </c>
      <c r="O25" s="808">
        <v>1</v>
      </c>
      <c r="P25" s="808">
        <v>2</v>
      </c>
      <c r="Q25" s="144">
        <v>3</v>
      </c>
      <c r="R25" s="809">
        <v>1</v>
      </c>
      <c r="S25" s="809">
        <v>2</v>
      </c>
    </row>
    <row r="26" spans="1:21" ht="18.75" customHeight="1" x14ac:dyDescent="0.25">
      <c r="A26" s="141"/>
      <c r="B26" s="147" t="s">
        <v>30</v>
      </c>
      <c r="C26" s="148"/>
      <c r="D26" s="810" t="str">
        <f>IF($Q$24="NO","",O26)</f>
        <v/>
      </c>
      <c r="E26" s="810" t="str">
        <f t="shared" ref="E26:F33" si="0">IF($Q$24="NO","",P26)</f>
        <v/>
      </c>
      <c r="F26" s="149" t="str">
        <f t="shared" si="0"/>
        <v/>
      </c>
      <c r="G26" s="150" t="str">
        <f>IF($T$24="NO","",R26)</f>
        <v/>
      </c>
      <c r="H26" s="810" t="str">
        <f>IF($T$24="NO","",S26)</f>
        <v/>
      </c>
      <c r="I26" s="1525"/>
      <c r="J26" s="1525"/>
      <c r="K26" s="151"/>
      <c r="L26" s="152"/>
      <c r="M26" s="143"/>
      <c r="N26" s="147" t="s">
        <v>30</v>
      </c>
      <c r="O26" s="811">
        <v>5</v>
      </c>
      <c r="P26" s="811">
        <v>3</v>
      </c>
      <c r="Q26" s="153">
        <v>4</v>
      </c>
      <c r="R26" s="812">
        <v>11</v>
      </c>
      <c r="S26" s="812">
        <v>10</v>
      </c>
    </row>
    <row r="27" spans="1:21" ht="18.75" customHeight="1" x14ac:dyDescent="0.25">
      <c r="A27" s="141"/>
      <c r="B27" s="147" t="s">
        <v>354</v>
      </c>
      <c r="C27" s="148"/>
      <c r="D27" s="810" t="str">
        <f t="shared" ref="D27:D33" si="1">IF($Q$24="NO","",O27)</f>
        <v/>
      </c>
      <c r="E27" s="810" t="str">
        <f t="shared" si="0"/>
        <v/>
      </c>
      <c r="F27" s="149" t="str">
        <f t="shared" si="0"/>
        <v/>
      </c>
      <c r="G27" s="154"/>
      <c r="H27" s="155"/>
      <c r="I27" s="156"/>
      <c r="J27" s="156"/>
      <c r="K27" s="157"/>
      <c r="L27" s="124"/>
      <c r="M27" s="124"/>
      <c r="N27" s="147" t="s">
        <v>354</v>
      </c>
      <c r="O27" s="813">
        <v>34</v>
      </c>
      <c r="P27" s="813">
        <v>23</v>
      </c>
      <c r="Q27" s="811">
        <v>14</v>
      </c>
      <c r="R27" s="158"/>
      <c r="S27" s="159"/>
    </row>
    <row r="28" spans="1:21" ht="18.75" customHeight="1" x14ac:dyDescent="0.25">
      <c r="A28" s="141"/>
      <c r="B28" s="147" t="s">
        <v>355</v>
      </c>
      <c r="C28" s="148"/>
      <c r="D28" s="810" t="str">
        <f t="shared" si="1"/>
        <v/>
      </c>
      <c r="E28" s="810" t="str">
        <f t="shared" si="0"/>
        <v/>
      </c>
      <c r="F28" s="149" t="str">
        <f t="shared" si="0"/>
        <v/>
      </c>
      <c r="G28" s="150" t="str">
        <f>IF($T$24="NO","",R28)</f>
        <v/>
      </c>
      <c r="H28" s="810" t="str">
        <f>IF($T$24="NO","",S28)</f>
        <v/>
      </c>
      <c r="I28" s="156"/>
      <c r="J28" s="156"/>
      <c r="K28" s="157"/>
      <c r="L28" s="124"/>
      <c r="M28" s="124"/>
      <c r="N28" s="147" t="s">
        <v>355</v>
      </c>
      <c r="O28" s="814">
        <v>45.75</v>
      </c>
      <c r="P28" s="814">
        <v>43.9</v>
      </c>
      <c r="Q28" s="160">
        <v>43.66</v>
      </c>
      <c r="R28" s="815">
        <v>23.05</v>
      </c>
      <c r="S28" s="815">
        <v>18.07</v>
      </c>
    </row>
    <row r="29" spans="1:21" ht="18.75" customHeight="1" x14ac:dyDescent="0.25">
      <c r="A29" s="141"/>
      <c r="B29" s="147" t="s">
        <v>356</v>
      </c>
      <c r="C29" s="148"/>
      <c r="D29" s="810" t="str">
        <f t="shared" si="1"/>
        <v/>
      </c>
      <c r="E29" s="810" t="str">
        <f t="shared" si="0"/>
        <v/>
      </c>
      <c r="F29" s="149" t="str">
        <f t="shared" si="0"/>
        <v/>
      </c>
      <c r="G29" s="150" t="str">
        <f t="shared" ref="G29:H32" si="2">IF($T$24="NO","",R29)</f>
        <v/>
      </c>
      <c r="H29" s="810" t="str">
        <f t="shared" si="2"/>
        <v/>
      </c>
      <c r="I29" s="156"/>
      <c r="J29" s="156"/>
      <c r="K29" s="157"/>
      <c r="L29" s="124"/>
      <c r="M29" s="124"/>
      <c r="N29" s="147" t="s">
        <v>356</v>
      </c>
      <c r="O29" s="814">
        <v>41.37</v>
      </c>
      <c r="P29" s="814">
        <v>40.03</v>
      </c>
      <c r="Q29" s="160">
        <v>38.78</v>
      </c>
      <c r="R29" s="815">
        <v>22.63</v>
      </c>
      <c r="S29" s="815">
        <v>17.48</v>
      </c>
    </row>
    <row r="30" spans="1:21" ht="18.75" customHeight="1" x14ac:dyDescent="0.25">
      <c r="A30" s="141"/>
      <c r="B30" s="147" t="s">
        <v>357</v>
      </c>
      <c r="C30" s="148"/>
      <c r="D30" s="810" t="str">
        <f t="shared" si="1"/>
        <v/>
      </c>
      <c r="E30" s="810" t="str">
        <f t="shared" si="0"/>
        <v/>
      </c>
      <c r="F30" s="149" t="str">
        <f t="shared" si="0"/>
        <v/>
      </c>
      <c r="G30" s="150" t="str">
        <f t="shared" si="2"/>
        <v/>
      </c>
      <c r="H30" s="810" t="str">
        <f t="shared" si="2"/>
        <v/>
      </c>
      <c r="I30" s="156"/>
      <c r="J30" s="156"/>
      <c r="K30" s="157"/>
      <c r="L30" s="124"/>
      <c r="M30" s="124"/>
      <c r="N30" s="147" t="s">
        <v>357</v>
      </c>
      <c r="O30" s="814">
        <v>22.74</v>
      </c>
      <c r="P30" s="814">
        <v>24.18</v>
      </c>
      <c r="Q30" s="160">
        <v>19.97</v>
      </c>
      <c r="R30" s="815">
        <v>19.309999999999999</v>
      </c>
      <c r="S30" s="815">
        <v>13.01</v>
      </c>
    </row>
    <row r="31" spans="1:21" ht="18.75" customHeight="1" x14ac:dyDescent="0.25">
      <c r="A31" s="141"/>
      <c r="B31" s="147" t="s">
        <v>358</v>
      </c>
      <c r="C31" s="148"/>
      <c r="D31" s="810" t="str">
        <f t="shared" si="1"/>
        <v/>
      </c>
      <c r="E31" s="810" t="str">
        <f t="shared" si="0"/>
        <v/>
      </c>
      <c r="F31" s="149" t="str">
        <f t="shared" si="0"/>
        <v/>
      </c>
      <c r="G31" s="150" t="str">
        <f t="shared" si="2"/>
        <v/>
      </c>
      <c r="H31" s="810" t="str">
        <f t="shared" si="2"/>
        <v/>
      </c>
      <c r="I31" s="156"/>
      <c r="J31" s="156"/>
      <c r="K31" s="157"/>
      <c r="L31" s="124"/>
      <c r="M31" s="124"/>
      <c r="N31" s="147" t="s">
        <v>358</v>
      </c>
      <c r="O31" s="816">
        <f t="shared" ref="O31:Q32" si="3">+O28-O29</f>
        <v>4.3800000000000026</v>
      </c>
      <c r="P31" s="816">
        <f t="shared" si="3"/>
        <v>3.8699999999999974</v>
      </c>
      <c r="Q31" s="161">
        <f t="shared" si="3"/>
        <v>4.8799999999999955</v>
      </c>
      <c r="R31" s="817">
        <f>+R28-R29</f>
        <v>0.42000000000000171</v>
      </c>
      <c r="S31" s="817">
        <f>+S28-S29</f>
        <v>0.58999999999999986</v>
      </c>
    </row>
    <row r="32" spans="1:21" ht="18.75" customHeight="1" x14ac:dyDescent="0.25">
      <c r="A32" s="141"/>
      <c r="B32" s="147" t="s">
        <v>359</v>
      </c>
      <c r="C32" s="148"/>
      <c r="D32" s="810" t="str">
        <f t="shared" si="1"/>
        <v/>
      </c>
      <c r="E32" s="810" t="str">
        <f t="shared" si="0"/>
        <v/>
      </c>
      <c r="F32" s="149" t="str">
        <f t="shared" si="0"/>
        <v/>
      </c>
      <c r="G32" s="150" t="str">
        <f t="shared" si="2"/>
        <v/>
      </c>
      <c r="H32" s="810" t="str">
        <f t="shared" si="2"/>
        <v/>
      </c>
      <c r="I32" s="156"/>
      <c r="J32" s="156"/>
      <c r="K32" s="157"/>
      <c r="L32" s="124"/>
      <c r="M32" s="124"/>
      <c r="N32" s="147" t="s">
        <v>359</v>
      </c>
      <c r="O32" s="816">
        <f t="shared" si="3"/>
        <v>18.63</v>
      </c>
      <c r="P32" s="816">
        <f t="shared" si="3"/>
        <v>15.850000000000001</v>
      </c>
      <c r="Q32" s="161">
        <f t="shared" si="3"/>
        <v>18.810000000000002</v>
      </c>
      <c r="R32" s="817">
        <f>+R29-R30</f>
        <v>3.3200000000000003</v>
      </c>
      <c r="S32" s="817">
        <f>+S29-S30</f>
        <v>4.4700000000000006</v>
      </c>
    </row>
    <row r="33" spans="1:19" ht="18.75" customHeight="1" x14ac:dyDescent="0.25">
      <c r="A33" s="141"/>
      <c r="B33" s="147" t="s">
        <v>360</v>
      </c>
      <c r="C33" s="148"/>
      <c r="D33" s="818" t="str">
        <f t="shared" si="1"/>
        <v/>
      </c>
      <c r="E33" s="818" t="str">
        <f t="shared" si="0"/>
        <v/>
      </c>
      <c r="F33" s="162" t="str">
        <f t="shared" si="0"/>
        <v/>
      </c>
      <c r="G33" s="163" t="str">
        <f>IF($T$24="NO","",R33)</f>
        <v/>
      </c>
      <c r="H33" s="818" t="str">
        <f>IF($T$24="NO","",S33)</f>
        <v/>
      </c>
      <c r="I33" s="156"/>
      <c r="J33" s="156"/>
      <c r="K33" s="157"/>
      <c r="L33" s="124"/>
      <c r="M33" s="124"/>
      <c r="N33" s="147" t="s">
        <v>360</v>
      </c>
      <c r="O33" s="816">
        <f>+O31/O32*100</f>
        <v>23.510466988727874</v>
      </c>
      <c r="P33" s="816">
        <f>+P31/P32*100</f>
        <v>24.416403785488942</v>
      </c>
      <c r="Q33" s="161">
        <f>+Q31/Q32*100</f>
        <v>25.943646996278545</v>
      </c>
      <c r="R33" s="817">
        <f>+R31/R32*100</f>
        <v>12.650602409638603</v>
      </c>
      <c r="S33" s="817">
        <f>+S31/S32*100</f>
        <v>13.199105145413863</v>
      </c>
    </row>
    <row r="34" spans="1:19" ht="18.75" customHeight="1" x14ac:dyDescent="0.25">
      <c r="A34" s="164"/>
      <c r="G34" s="156"/>
      <c r="H34" s="156"/>
      <c r="I34" s="156"/>
      <c r="J34" s="156"/>
      <c r="K34" s="157"/>
      <c r="L34" s="124"/>
      <c r="M34" s="124"/>
      <c r="P34" s="165"/>
      <c r="Q34" s="165"/>
      <c r="R34" s="165"/>
      <c r="S34" s="165"/>
    </row>
    <row r="35" spans="1:19" ht="18.75" customHeight="1" x14ac:dyDescent="0.25">
      <c r="A35" s="141"/>
      <c r="D35" s="156"/>
      <c r="E35" s="156"/>
      <c r="F35" s="156"/>
      <c r="G35" s="819" t="s">
        <v>361</v>
      </c>
      <c r="H35" s="820" t="str">
        <f>+IF(Q24="NO","NP",O40)</f>
        <v>NP</v>
      </c>
      <c r="I35" s="166"/>
      <c r="J35" s="156"/>
      <c r="K35" s="157"/>
      <c r="L35" s="124"/>
      <c r="M35" s="124"/>
      <c r="N35" s="821" t="s">
        <v>362</v>
      </c>
      <c r="O35" s="821" t="s">
        <v>363</v>
      </c>
      <c r="P35" s="167"/>
      <c r="Q35" s="168"/>
      <c r="R35" s="165"/>
      <c r="S35" s="165"/>
    </row>
    <row r="36" spans="1:19" ht="18.75" customHeight="1" x14ac:dyDescent="0.25">
      <c r="A36" s="141"/>
      <c r="B36" s="169"/>
      <c r="C36" s="170"/>
      <c r="D36" s="170"/>
      <c r="E36" s="170"/>
      <c r="F36" s="170"/>
      <c r="G36" s="170"/>
      <c r="H36" s="139"/>
      <c r="I36" s="156"/>
      <c r="J36" s="156"/>
      <c r="K36" s="157"/>
      <c r="L36" s="124"/>
      <c r="M36" s="124"/>
      <c r="N36" s="171" t="str">
        <f>+D27</f>
        <v/>
      </c>
      <c r="O36" s="172" t="str">
        <f>+D33</f>
        <v/>
      </c>
      <c r="P36" s="167"/>
      <c r="Q36" s="173"/>
      <c r="R36" s="165"/>
      <c r="S36" s="165"/>
    </row>
    <row r="37" spans="1:19" ht="18.75" customHeight="1" x14ac:dyDescent="0.25">
      <c r="A37" s="141"/>
      <c r="B37" s="174"/>
      <c r="C37" s="170"/>
      <c r="D37" s="170"/>
      <c r="E37" s="170"/>
      <c r="F37" s="170"/>
      <c r="I37" s="156"/>
      <c r="J37" s="156"/>
      <c r="K37" s="157"/>
      <c r="L37" s="124"/>
      <c r="M37" s="124"/>
      <c r="N37" s="171" t="str">
        <f>+E27</f>
        <v/>
      </c>
      <c r="O37" s="172" t="str">
        <f>+E33</f>
        <v/>
      </c>
      <c r="P37" s="167"/>
      <c r="Q37" s="173"/>
      <c r="R37" s="165"/>
      <c r="S37" s="165"/>
    </row>
    <row r="38" spans="1:19" ht="18.75" customHeight="1" x14ac:dyDescent="0.25">
      <c r="A38" s="175"/>
      <c r="B38" s="174"/>
      <c r="C38" s="170"/>
      <c r="D38" s="170"/>
      <c r="E38" s="170"/>
      <c r="F38" s="170"/>
      <c r="G38" s="819" t="s">
        <v>364</v>
      </c>
      <c r="H38" s="820" t="str">
        <f>+IF(T24="NO","NP",O42)</f>
        <v>NP</v>
      </c>
      <c r="I38" s="156"/>
      <c r="J38" s="156"/>
      <c r="K38" s="157"/>
      <c r="L38" s="124"/>
      <c r="M38" s="124"/>
      <c r="N38" s="176" t="str">
        <f>+F27</f>
        <v/>
      </c>
      <c r="O38" s="177" t="str">
        <f>+F33</f>
        <v/>
      </c>
      <c r="P38" s="167"/>
      <c r="Q38" s="178"/>
      <c r="R38" s="179"/>
      <c r="S38" s="179"/>
    </row>
    <row r="39" spans="1:19" ht="18.75" customHeight="1" x14ac:dyDescent="0.25">
      <c r="A39" s="175"/>
      <c r="B39" s="174"/>
      <c r="C39" s="170"/>
      <c r="D39" s="169"/>
      <c r="E39" s="170"/>
      <c r="F39" s="170"/>
      <c r="I39" s="156"/>
      <c r="J39" s="156"/>
      <c r="K39" s="157"/>
      <c r="L39" s="124"/>
      <c r="M39" s="124"/>
      <c r="N39" s="821">
        <v>25</v>
      </c>
      <c r="O39" s="821">
        <v>0</v>
      </c>
      <c r="P39" s="167"/>
      <c r="Q39" s="178"/>
      <c r="R39" s="179"/>
      <c r="S39" s="179"/>
    </row>
    <row r="40" spans="1:19" ht="18.75" customHeight="1" x14ac:dyDescent="0.25">
      <c r="A40" s="180"/>
      <c r="B40" s="134"/>
      <c r="C40" s="134"/>
      <c r="D40" s="134"/>
      <c r="E40" s="134"/>
      <c r="F40" s="134"/>
      <c r="G40" s="170"/>
      <c r="H40" s="156"/>
      <c r="I40" s="156"/>
      <c r="J40" s="156"/>
      <c r="K40" s="157"/>
      <c r="L40" s="124"/>
      <c r="M40" s="124"/>
      <c r="N40" s="171">
        <v>25</v>
      </c>
      <c r="O40" s="172" t="e">
        <f>P41</f>
        <v>#VALUE!</v>
      </c>
      <c r="P40" s="822" t="e">
        <f>+D33/(1.419-0.3*LOG10(D27))</f>
        <v>#VALUE!</v>
      </c>
      <c r="Q40" s="822" t="e">
        <f>+F33/(1.419-0.3*LOG10(F27))</f>
        <v>#VALUE!</v>
      </c>
      <c r="R40" s="179"/>
      <c r="S40" s="179"/>
    </row>
    <row r="41" spans="1:19" ht="18.75" customHeight="1" x14ac:dyDescent="0.25">
      <c r="A41" s="180"/>
      <c r="B41" s="170"/>
      <c r="C41" s="170"/>
      <c r="D41" s="170"/>
      <c r="E41" s="170"/>
      <c r="F41" s="170"/>
      <c r="G41" s="819" t="s">
        <v>365</v>
      </c>
      <c r="H41" s="820" t="str">
        <f>IF(T24="NO","NP",H35-H38)</f>
        <v>NP</v>
      </c>
      <c r="I41" s="156"/>
      <c r="J41" s="156"/>
      <c r="K41" s="157"/>
      <c r="L41" s="124"/>
      <c r="M41" s="124"/>
      <c r="N41" s="176">
        <v>10</v>
      </c>
      <c r="O41" s="177" t="e">
        <f>+O40</f>
        <v>#VALUE!</v>
      </c>
      <c r="P41" s="822" t="e">
        <f>+AVERAGE(P40:Q40)</f>
        <v>#VALUE!</v>
      </c>
      <c r="Q41" s="822"/>
    </row>
    <row r="42" spans="1:19" ht="18.75" customHeight="1" x14ac:dyDescent="0.25">
      <c r="A42" s="823"/>
      <c r="B42" s="824"/>
      <c r="C42" s="824"/>
      <c r="D42" s="824"/>
      <c r="E42" s="824"/>
      <c r="F42" s="824"/>
      <c r="G42" s="824"/>
      <c r="H42" s="825"/>
      <c r="I42" s="825"/>
      <c r="J42" s="825"/>
      <c r="K42" s="181"/>
      <c r="L42" s="124"/>
      <c r="M42" s="124"/>
      <c r="N42" s="819" t="s">
        <v>364</v>
      </c>
      <c r="O42" s="177">
        <f>AVERAGE(R33:S33)</f>
        <v>12.924853777526234</v>
      </c>
      <c r="P42" s="165"/>
      <c r="Q42" s="182"/>
    </row>
    <row r="43" spans="1:19" ht="15.9" customHeight="1" x14ac:dyDescent="0.25">
      <c r="A43" s="169" t="s">
        <v>339</v>
      </c>
      <c r="B43" s="170"/>
      <c r="C43" s="170"/>
      <c r="D43" s="170"/>
      <c r="E43" s="170"/>
      <c r="F43" s="170"/>
      <c r="G43" s="170"/>
      <c r="H43" s="156"/>
      <c r="I43" s="156"/>
      <c r="J43" s="156"/>
      <c r="K43" s="156"/>
      <c r="L43" s="124"/>
      <c r="M43" s="124"/>
    </row>
    <row r="44" spans="1:19" ht="15.9" customHeight="1" x14ac:dyDescent="0.25">
      <c r="A44" s="183" t="s">
        <v>341</v>
      </c>
      <c r="B44" s="170"/>
      <c r="C44" s="170"/>
      <c r="D44" s="170"/>
      <c r="E44" s="170"/>
      <c r="F44" s="170"/>
      <c r="G44" s="170"/>
      <c r="H44" s="156"/>
      <c r="I44" s="156"/>
      <c r="J44" s="156"/>
      <c r="K44" s="156"/>
      <c r="L44" s="124"/>
      <c r="M44" s="124"/>
    </row>
    <row r="45" spans="1:19" ht="15.9" customHeight="1" x14ac:dyDescent="0.25">
      <c r="A45" s="184"/>
      <c r="B45" s="170"/>
      <c r="C45" s="170"/>
      <c r="D45" s="170"/>
      <c r="E45" s="170"/>
      <c r="F45" s="170"/>
      <c r="G45" s="170"/>
      <c r="H45" s="156"/>
      <c r="I45" s="156"/>
      <c r="J45" s="156"/>
      <c r="K45" s="156"/>
      <c r="L45" s="124"/>
      <c r="M45" s="124"/>
    </row>
    <row r="46" spans="1:19" ht="15.9" customHeight="1" x14ac:dyDescent="0.25">
      <c r="A46" s="185" t="s">
        <v>263</v>
      </c>
      <c r="B46" s="134"/>
      <c r="C46" s="134"/>
      <c r="D46" s="170"/>
      <c r="E46" s="170"/>
      <c r="F46" s="170"/>
      <c r="G46" s="170"/>
      <c r="H46" s="156"/>
      <c r="I46" s="156"/>
      <c r="J46" s="156"/>
      <c r="K46" s="156"/>
      <c r="L46" s="124"/>
      <c r="M46" s="124"/>
    </row>
    <row r="47" spans="1:19" ht="15.9" customHeight="1" x14ac:dyDescent="0.25">
      <c r="A47" s="185" t="s">
        <v>343</v>
      </c>
      <c r="B47" s="170"/>
      <c r="C47" s="170"/>
      <c r="D47" s="170"/>
      <c r="E47" s="170"/>
      <c r="F47" s="170"/>
      <c r="G47" s="170"/>
      <c r="H47" s="156"/>
      <c r="I47" s="156"/>
      <c r="J47" s="156"/>
      <c r="K47" s="156"/>
      <c r="L47" s="124"/>
      <c r="M47" s="124"/>
    </row>
    <row r="48" spans="1:19" ht="15.9" customHeight="1" x14ac:dyDescent="0.25">
      <c r="A48" s="156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24"/>
      <c r="M48" s="124"/>
    </row>
    <row r="49" spans="1:11" ht="15.9" customHeight="1" x14ac:dyDescent="0.25"/>
    <row r="50" spans="1:11" ht="30.75" customHeight="1" x14ac:dyDescent="0.25">
      <c r="A50" s="1486" t="s">
        <v>345</v>
      </c>
      <c r="B50" s="1486"/>
      <c r="C50" s="1486"/>
      <c r="D50" s="1486"/>
      <c r="E50" s="1486"/>
      <c r="F50" s="1486"/>
      <c r="G50" s="1486"/>
      <c r="H50" s="1486"/>
      <c r="I50" s="1486"/>
      <c r="J50" s="1486"/>
      <c r="K50" s="1486"/>
    </row>
    <row r="51" spans="1:11" ht="15.9" customHeight="1" x14ac:dyDescent="0.25"/>
    <row r="52" spans="1:11" ht="15.9" customHeight="1" x14ac:dyDescent="0.25"/>
  </sheetData>
  <protectedRanges>
    <protectedRange sqref="C12:C14 C17" name="Rango3_3_1_1_1_1_1_1_1_1"/>
    <protectedRange sqref="C11" name="Rango3_3_1_1_1_1_1_2_1"/>
  </protectedRanges>
  <mergeCells count="19">
    <mergeCell ref="O24:P24"/>
    <mergeCell ref="R24:S24"/>
    <mergeCell ref="B25:C25"/>
    <mergeCell ref="I25:J25"/>
    <mergeCell ref="I26:J26"/>
    <mergeCell ref="A50:K50"/>
    <mergeCell ref="A15:K15"/>
    <mergeCell ref="A16:K16"/>
    <mergeCell ref="A18:K18"/>
    <mergeCell ref="I23:J23"/>
    <mergeCell ref="D24:F24"/>
    <mergeCell ref="G24:H24"/>
    <mergeCell ref="I24:J24"/>
    <mergeCell ref="R13:S13"/>
    <mergeCell ref="A8:K8"/>
    <mergeCell ref="A9:K9"/>
    <mergeCell ref="C11:H11"/>
    <mergeCell ref="C12:H12"/>
    <mergeCell ref="C13:H13"/>
  </mergeCells>
  <dataValidations count="1">
    <dataValidation type="list" allowBlank="1" showInputMessage="1" showErrorMessage="1" sqref="Q24 T24" xr:uid="{00000000-0002-0000-0700-000000000000}">
      <formula1>$U$20:$U$21</formula1>
    </dataValidation>
  </dataValidations>
  <printOptions horizontalCentered="1" verticalCentered="1"/>
  <pageMargins left="0.78740157480314965" right="0.78740157480314965" top="0.78740157480314965" bottom="0.39370078740157483" header="0" footer="0"/>
  <pageSetup paperSize="9" scale="8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56"/>
  <sheetViews>
    <sheetView showGridLines="0" topLeftCell="A7" zoomScaleNormal="100" zoomScaleSheetLayoutView="100" workbookViewId="0">
      <selection activeCell="O17" sqref="O17"/>
    </sheetView>
  </sheetViews>
  <sheetFormatPr baseColWidth="10" defaultColWidth="10.33203125" defaultRowHeight="13.8" x14ac:dyDescent="0.25"/>
  <cols>
    <col min="1" max="1" width="15.6640625" style="109" customWidth="1"/>
    <col min="2" max="2" width="2" style="109" customWidth="1"/>
    <col min="3" max="5" width="10.6640625" style="109" customWidth="1"/>
    <col min="6" max="7" width="13.6640625" style="109" customWidth="1"/>
    <col min="8" max="8" width="7.6640625" style="109" customWidth="1"/>
    <col min="9" max="9" width="1.5546875" style="109" customWidth="1"/>
    <col min="10" max="10" width="13.5546875" style="109" customWidth="1"/>
    <col min="11" max="11" width="6.44140625" style="109" customWidth="1"/>
    <col min="12" max="12" width="4.109375" style="109" customWidth="1"/>
    <col min="13" max="13" width="8" style="109" customWidth="1"/>
    <col min="14" max="14" width="10.33203125" style="109"/>
    <col min="15" max="15" width="18.33203125" style="109" customWidth="1"/>
    <col min="16" max="16384" width="10.33203125" style="109"/>
  </cols>
  <sheetData>
    <row r="1" spans="1:17" ht="15.75" customHeight="1" thickTop="1" x14ac:dyDescent="0.25">
      <c r="A1" s="104"/>
      <c r="B1" s="105"/>
      <c r="C1" s="105"/>
      <c r="D1" s="106"/>
      <c r="E1" s="106"/>
      <c r="F1" s="106"/>
      <c r="G1" s="106"/>
      <c r="H1" s="107"/>
      <c r="I1" s="107"/>
      <c r="J1" s="108"/>
    </row>
    <row r="2" spans="1:17" ht="15.75" customHeight="1" x14ac:dyDescent="0.25">
      <c r="A2" s="110"/>
      <c r="B2" s="111"/>
      <c r="C2" s="111"/>
      <c r="D2" s="112"/>
      <c r="E2" s="112"/>
      <c r="F2" s="112"/>
      <c r="G2" s="112"/>
      <c r="J2" s="113"/>
    </row>
    <row r="3" spans="1:17" ht="15.75" customHeight="1" x14ac:dyDescent="0.25">
      <c r="A3" s="110"/>
      <c r="B3" s="111"/>
      <c r="C3" s="111"/>
      <c r="D3" s="112"/>
      <c r="E3" s="112"/>
      <c r="F3" s="112"/>
      <c r="G3" s="112"/>
      <c r="J3" s="113"/>
    </row>
    <row r="4" spans="1:17" ht="15.75" customHeight="1" x14ac:dyDescent="0.25">
      <c r="A4" s="110"/>
      <c r="B4" s="111"/>
      <c r="C4" s="111"/>
      <c r="D4" s="112"/>
      <c r="E4" s="112"/>
      <c r="F4" s="112"/>
      <c r="G4" s="112"/>
      <c r="J4" s="113"/>
    </row>
    <row r="5" spans="1:17" ht="15.75" customHeight="1" thickBot="1" x14ac:dyDescent="0.3">
      <c r="A5" s="115"/>
      <c r="B5" s="116"/>
      <c r="C5" s="116"/>
      <c r="D5" s="116"/>
      <c r="E5" s="116"/>
      <c r="F5" s="116"/>
      <c r="G5" s="116"/>
      <c r="H5" s="116"/>
      <c r="I5" s="116"/>
      <c r="J5" s="117"/>
    </row>
    <row r="6" spans="1:17" ht="15.9" customHeight="1" thickTop="1" x14ac:dyDescent="0.25">
      <c r="A6" s="118"/>
      <c r="B6" s="118"/>
      <c r="C6" s="118"/>
      <c r="D6" s="118"/>
      <c r="E6" s="118"/>
      <c r="F6" s="118"/>
      <c r="G6" s="118"/>
      <c r="H6" s="118"/>
      <c r="I6" s="118"/>
      <c r="J6" s="118"/>
    </row>
    <row r="7" spans="1:17" ht="15.9" customHeight="1" x14ac:dyDescent="0.25">
      <c r="A7" s="118"/>
      <c r="B7" s="118"/>
      <c r="C7" s="118"/>
      <c r="D7" s="118"/>
      <c r="E7" s="118"/>
      <c r="F7" s="118"/>
      <c r="G7" s="118"/>
      <c r="H7" s="118"/>
      <c r="I7" s="118"/>
      <c r="J7" s="118"/>
    </row>
    <row r="8" spans="1:17" ht="15.9" customHeight="1" x14ac:dyDescent="0.25">
      <c r="A8" s="1505" t="s">
        <v>0</v>
      </c>
      <c r="B8" s="1505"/>
      <c r="C8" s="1505"/>
      <c r="D8" s="1505"/>
      <c r="E8" s="1505"/>
      <c r="F8" s="1505"/>
      <c r="G8" s="1505"/>
      <c r="H8" s="1505"/>
      <c r="I8" s="1505"/>
      <c r="J8" s="1505"/>
    </row>
    <row r="9" spans="1:17" ht="15.9" customHeight="1" x14ac:dyDescent="0.25">
      <c r="A9" s="1530">
        <f>J13</f>
        <v>1</v>
      </c>
      <c r="B9" s="1530"/>
      <c r="C9" s="1530"/>
      <c r="D9" s="1530"/>
      <c r="E9" s="1530"/>
      <c r="F9" s="1530"/>
      <c r="G9" s="1530"/>
      <c r="H9" s="1530"/>
      <c r="I9" s="1530"/>
      <c r="J9" s="1530"/>
      <c r="O9" s="119"/>
    </row>
    <row r="10" spans="1:17" ht="15.9" customHeight="1" x14ac:dyDescent="0.25">
      <c r="A10" s="120"/>
      <c r="B10" s="120"/>
      <c r="C10" s="120"/>
      <c r="D10" s="120"/>
      <c r="E10" s="120"/>
      <c r="F10" s="120"/>
      <c r="G10" s="120"/>
      <c r="H10" s="120"/>
      <c r="I10" s="120"/>
      <c r="J10" s="120"/>
    </row>
    <row r="11" spans="1:17" ht="15.9" customHeight="1" x14ac:dyDescent="0.25">
      <c r="A11" s="21" t="s">
        <v>276</v>
      </c>
      <c r="B11" s="22" t="s">
        <v>2</v>
      </c>
      <c r="C11" s="1507" t="s">
        <v>277</v>
      </c>
      <c r="D11" s="1507"/>
      <c r="E11" s="1507"/>
      <c r="F11" s="1507"/>
      <c r="G11" s="1507"/>
      <c r="H11" s="121" t="s">
        <v>3</v>
      </c>
      <c r="I11" s="122" t="s">
        <v>2</v>
      </c>
      <c r="J11" s="126" t="s">
        <v>366</v>
      </c>
      <c r="K11" s="124"/>
      <c r="L11" s="124"/>
      <c r="M11" s="124"/>
      <c r="O11" s="125"/>
    </row>
    <row r="12" spans="1:17" ht="15.9" customHeight="1" x14ac:dyDescent="0.25">
      <c r="A12" s="21" t="s">
        <v>281</v>
      </c>
      <c r="B12" s="22" t="s">
        <v>2</v>
      </c>
      <c r="C12" s="1507" t="s">
        <v>282</v>
      </c>
      <c r="D12" s="1507"/>
      <c r="E12" s="1507"/>
      <c r="F12" s="1507"/>
      <c r="G12" s="1507"/>
      <c r="H12" s="26" t="s">
        <v>6</v>
      </c>
      <c r="I12" s="22" t="s">
        <v>2</v>
      </c>
      <c r="J12" s="244">
        <v>15</v>
      </c>
      <c r="K12" s="124"/>
      <c r="L12" s="124"/>
      <c r="M12" s="124"/>
      <c r="O12" s="245"/>
      <c r="P12" s="128"/>
      <c r="Q12" s="129"/>
    </row>
    <row r="13" spans="1:17" ht="15.9" customHeight="1" x14ac:dyDescent="0.25">
      <c r="A13" s="21" t="s">
        <v>286</v>
      </c>
      <c r="B13" s="22" t="s">
        <v>2</v>
      </c>
      <c r="C13" s="1507" t="s">
        <v>287</v>
      </c>
      <c r="D13" s="1507"/>
      <c r="E13" s="1507"/>
      <c r="F13" s="1507"/>
      <c r="G13" s="1507"/>
      <c r="H13" s="26" t="s">
        <v>288</v>
      </c>
      <c r="I13" s="22" t="s">
        <v>2</v>
      </c>
      <c r="J13" s="246">
        <v>1</v>
      </c>
      <c r="K13" s="124"/>
      <c r="L13" s="124"/>
      <c r="M13" s="124"/>
      <c r="P13" s="1504"/>
      <c r="Q13" s="1504"/>
    </row>
    <row r="14" spans="1:17" ht="15.9" customHeight="1" x14ac:dyDescent="0.25">
      <c r="A14" s="21"/>
      <c r="B14" s="22"/>
      <c r="C14" s="738"/>
      <c r="D14" s="738"/>
      <c r="E14" s="738"/>
      <c r="F14" s="738"/>
      <c r="G14" s="738"/>
      <c r="H14" s="26"/>
      <c r="I14" s="22"/>
      <c r="J14" s="130"/>
      <c r="K14" s="124"/>
      <c r="L14" s="124"/>
      <c r="M14" s="124"/>
      <c r="P14" s="737"/>
      <c r="Q14" s="737"/>
    </row>
    <row r="15" spans="1:17" ht="34.950000000000003" customHeight="1" x14ac:dyDescent="0.25">
      <c r="A15" s="1508" t="s">
        <v>367</v>
      </c>
      <c r="B15" s="1509"/>
      <c r="C15" s="1509"/>
      <c r="D15" s="1509"/>
      <c r="E15" s="1509"/>
      <c r="F15" s="1509"/>
      <c r="G15" s="1509"/>
      <c r="H15" s="1509"/>
      <c r="I15" s="1509"/>
      <c r="J15" s="1510"/>
      <c r="K15" s="124"/>
      <c r="L15" s="124"/>
    </row>
    <row r="16" spans="1:17" ht="18" customHeight="1" x14ac:dyDescent="0.25">
      <c r="A16" s="1511" t="s">
        <v>368</v>
      </c>
      <c r="B16" s="1512"/>
      <c r="C16" s="1512"/>
      <c r="D16" s="1512"/>
      <c r="E16" s="1512"/>
      <c r="F16" s="1512"/>
      <c r="G16" s="1512"/>
      <c r="H16" s="1512"/>
      <c r="I16" s="1512"/>
      <c r="J16" s="1513"/>
      <c r="K16" s="124"/>
      <c r="L16" s="124"/>
    </row>
    <row r="17" spans="1:18" ht="11.25" customHeight="1" x14ac:dyDescent="0.25">
      <c r="A17" s="38"/>
      <c r="B17" s="34"/>
      <c r="C17" s="131"/>
      <c r="D17" s="131"/>
      <c r="E17" s="131"/>
      <c r="F17" s="131"/>
      <c r="G17" s="131"/>
      <c r="H17" s="36"/>
      <c r="I17" s="34"/>
      <c r="J17" s="802"/>
      <c r="K17" s="124"/>
      <c r="L17" s="124"/>
    </row>
    <row r="18" spans="1:18" ht="15.9" customHeight="1" x14ac:dyDescent="0.25">
      <c r="A18" s="1478" t="s">
        <v>13</v>
      </c>
      <c r="B18" s="1479"/>
      <c r="C18" s="1479"/>
      <c r="D18" s="1479"/>
      <c r="E18" s="1479"/>
      <c r="F18" s="1479"/>
      <c r="G18" s="1479"/>
      <c r="H18" s="1479"/>
      <c r="I18" s="1479"/>
      <c r="J18" s="1480"/>
      <c r="L18" s="124"/>
    </row>
    <row r="19" spans="1:18" ht="15.9" customHeight="1" x14ac:dyDescent="0.25">
      <c r="A19" s="133" t="s">
        <v>307</v>
      </c>
      <c r="B19" s="32" t="s">
        <v>2</v>
      </c>
      <c r="C19" s="126" t="s">
        <v>308</v>
      </c>
      <c r="D19" s="32"/>
      <c r="E19" s="134"/>
      <c r="F19" s="126"/>
      <c r="G19" s="134"/>
      <c r="H19" s="33" t="s">
        <v>309</v>
      </c>
      <c r="I19" s="135" t="s">
        <v>2</v>
      </c>
      <c r="J19" s="136"/>
      <c r="L19" s="124"/>
    </row>
    <row r="20" spans="1:18" ht="15.9" customHeight="1" x14ac:dyDescent="0.25">
      <c r="A20" s="133" t="s">
        <v>311</v>
      </c>
      <c r="B20" s="32" t="s">
        <v>2</v>
      </c>
      <c r="C20" s="126" t="s">
        <v>17</v>
      </c>
      <c r="D20" s="32"/>
      <c r="E20" s="134"/>
      <c r="F20" s="126"/>
      <c r="G20" s="134"/>
      <c r="H20" s="33" t="s">
        <v>312</v>
      </c>
      <c r="I20" s="135" t="s">
        <v>2</v>
      </c>
      <c r="J20" s="137">
        <v>43831</v>
      </c>
      <c r="L20" s="124"/>
    </row>
    <row r="21" spans="1:18" ht="15.9" customHeight="1" x14ac:dyDescent="0.25">
      <c r="A21" s="133" t="s">
        <v>314</v>
      </c>
      <c r="B21" s="32" t="s">
        <v>2</v>
      </c>
      <c r="C21" s="126" t="s">
        <v>315</v>
      </c>
      <c r="D21" s="32"/>
      <c r="E21" s="134"/>
      <c r="F21" s="126"/>
      <c r="G21" s="134"/>
      <c r="H21" s="33" t="s">
        <v>316</v>
      </c>
      <c r="I21" s="135" t="s">
        <v>2</v>
      </c>
      <c r="J21" s="137">
        <v>43844</v>
      </c>
      <c r="L21" s="124"/>
    </row>
    <row r="22" spans="1:18" ht="12" customHeight="1" x14ac:dyDescent="0.25">
      <c r="A22" s="804"/>
      <c r="B22" s="247"/>
      <c r="C22" s="247"/>
      <c r="D22" s="247"/>
      <c r="E22" s="247"/>
      <c r="F22" s="247"/>
      <c r="G22" s="247"/>
      <c r="H22" s="247"/>
      <c r="I22" s="247"/>
      <c r="J22" s="138"/>
      <c r="L22" s="124"/>
      <c r="M22" s="124"/>
      <c r="P22" s="132"/>
      <c r="Q22" s="132"/>
    </row>
    <row r="23" spans="1:18" ht="19.2" customHeight="1" x14ac:dyDescent="0.25">
      <c r="A23" s="826"/>
      <c r="B23" s="248"/>
      <c r="C23" s="248"/>
      <c r="D23" s="248"/>
      <c r="E23" s="248"/>
      <c r="F23" s="248"/>
      <c r="G23" s="248"/>
      <c r="H23" s="248"/>
      <c r="I23" s="248"/>
      <c r="J23" s="827"/>
      <c r="K23" s="249"/>
      <c r="L23" s="249"/>
      <c r="M23" s="249"/>
      <c r="N23" s="249"/>
      <c r="O23" s="249"/>
      <c r="P23" s="250"/>
      <c r="Q23" s="250"/>
      <c r="R23" s="249"/>
    </row>
    <row r="24" spans="1:18" ht="19.2" customHeight="1" x14ac:dyDescent="0.25">
      <c r="A24" s="251"/>
      <c r="B24" s="249"/>
      <c r="C24" s="1526" t="s">
        <v>84</v>
      </c>
      <c r="D24" s="1527"/>
      <c r="E24" s="1527"/>
      <c r="F24" s="1528"/>
      <c r="G24" s="249"/>
      <c r="H24" s="249"/>
      <c r="I24" s="249"/>
      <c r="J24" s="252"/>
      <c r="K24" s="249"/>
      <c r="L24" s="249"/>
      <c r="M24" s="253" t="s">
        <v>369</v>
      </c>
      <c r="N24" s="254" t="s">
        <v>370</v>
      </c>
      <c r="O24" s="255"/>
      <c r="P24" s="256"/>
      <c r="Q24" s="257"/>
      <c r="R24" s="258">
        <v>935.9</v>
      </c>
    </row>
    <row r="25" spans="1:18" ht="19.2" customHeight="1" x14ac:dyDescent="0.25">
      <c r="A25" s="251"/>
      <c r="B25" s="173"/>
      <c r="C25" s="254" t="s">
        <v>370</v>
      </c>
      <c r="D25" s="255"/>
      <c r="E25" s="256"/>
      <c r="F25" s="259">
        <f>+R24</f>
        <v>935.9</v>
      </c>
      <c r="G25" s="260"/>
      <c r="H25" s="261"/>
      <c r="I25" s="262"/>
      <c r="J25" s="263"/>
      <c r="K25" s="249"/>
      <c r="L25" s="249"/>
      <c r="M25" s="264" t="s">
        <v>371</v>
      </c>
      <c r="N25" s="265" t="s">
        <v>372</v>
      </c>
      <c r="O25" s="266"/>
      <c r="P25" s="267"/>
      <c r="Q25" s="268"/>
      <c r="R25" s="269">
        <v>606.5</v>
      </c>
    </row>
    <row r="26" spans="1:18" ht="19.2" customHeight="1" x14ac:dyDescent="0.25">
      <c r="A26" s="251"/>
      <c r="B26" s="173"/>
      <c r="C26" s="265" t="s">
        <v>372</v>
      </c>
      <c r="D26" s="266"/>
      <c r="E26" s="267"/>
      <c r="F26" s="270">
        <f>+R25</f>
        <v>606.5</v>
      </c>
      <c r="G26" s="249"/>
      <c r="H26" s="249"/>
      <c r="I26" s="271"/>
      <c r="J26" s="252"/>
      <c r="K26" s="272"/>
      <c r="L26" s="249"/>
      <c r="M26" s="264" t="s">
        <v>373</v>
      </c>
      <c r="N26" s="265" t="s">
        <v>374</v>
      </c>
      <c r="O26" s="266"/>
      <c r="P26" s="267"/>
      <c r="Q26" s="268"/>
      <c r="R26" s="269">
        <v>928.2</v>
      </c>
    </row>
    <row r="27" spans="1:18" ht="19.2" customHeight="1" x14ac:dyDescent="0.25">
      <c r="A27" s="251"/>
      <c r="B27" s="173"/>
      <c r="C27" s="265" t="s">
        <v>374</v>
      </c>
      <c r="D27" s="266"/>
      <c r="E27" s="267"/>
      <c r="F27" s="270">
        <f>+R26</f>
        <v>928.2</v>
      </c>
      <c r="G27" s="141"/>
      <c r="H27" s="260"/>
      <c r="I27" s="260"/>
      <c r="J27" s="273"/>
      <c r="K27" s="249"/>
      <c r="L27" s="249"/>
      <c r="M27" s="264" t="s">
        <v>375</v>
      </c>
      <c r="N27" s="265" t="s">
        <v>376</v>
      </c>
      <c r="O27" s="266"/>
      <c r="P27" s="267"/>
      <c r="Q27" s="268"/>
      <c r="R27" s="274">
        <f>R26/(R24-R25)</f>
        <v>2.8178506375227692</v>
      </c>
    </row>
    <row r="28" spans="1:18" ht="12" customHeight="1" x14ac:dyDescent="0.25">
      <c r="A28" s="251"/>
      <c r="B28" s="173"/>
      <c r="C28" s="1529"/>
      <c r="D28" s="1529"/>
      <c r="E28" s="1529"/>
      <c r="F28" s="1529"/>
      <c r="G28" s="247"/>
      <c r="H28" s="260"/>
      <c r="I28" s="260"/>
      <c r="J28" s="273"/>
      <c r="K28" s="249"/>
      <c r="L28" s="249"/>
      <c r="M28" s="264" t="s">
        <v>377</v>
      </c>
      <c r="N28" s="265" t="s">
        <v>378</v>
      </c>
      <c r="O28" s="266"/>
      <c r="P28" s="267"/>
      <c r="Q28" s="268"/>
      <c r="R28" s="274">
        <f>R24/(R24-R25)</f>
        <v>2.8412264723740135</v>
      </c>
    </row>
    <row r="29" spans="1:18" ht="19.2" customHeight="1" x14ac:dyDescent="0.25">
      <c r="A29" s="251"/>
      <c r="B29" s="173"/>
      <c r="C29" s="1526" t="s">
        <v>379</v>
      </c>
      <c r="D29" s="1527"/>
      <c r="E29" s="1527"/>
      <c r="F29" s="1528"/>
      <c r="G29" s="275" t="s">
        <v>380</v>
      </c>
      <c r="H29" s="276"/>
      <c r="I29" s="260"/>
      <c r="J29" s="273"/>
      <c r="K29" s="249"/>
      <c r="L29" s="249"/>
      <c r="M29" s="264" t="s">
        <v>381</v>
      </c>
      <c r="N29" s="265" t="s">
        <v>382</v>
      </c>
      <c r="O29" s="266"/>
      <c r="P29" s="267"/>
      <c r="Q29" s="268"/>
      <c r="R29" s="274">
        <f>R26/(R26-R25)</f>
        <v>2.885296860428971</v>
      </c>
    </row>
    <row r="30" spans="1:18" ht="19.2" customHeight="1" x14ac:dyDescent="0.25">
      <c r="A30" s="251"/>
      <c r="B30" s="167"/>
      <c r="C30" s="277" t="s">
        <v>383</v>
      </c>
      <c r="D30" s="278"/>
      <c r="E30" s="279"/>
      <c r="F30" s="280">
        <f>F27/(F25-F26)</f>
        <v>2.8178506375227692</v>
      </c>
      <c r="G30" s="281">
        <f>F30*997.5</f>
        <v>2810.8060109289622</v>
      </c>
      <c r="H30" s="282"/>
      <c r="I30" s="283"/>
      <c r="J30" s="252"/>
      <c r="K30" s="249"/>
      <c r="L30" s="249"/>
      <c r="M30" s="284" t="s">
        <v>384</v>
      </c>
      <c r="N30" s="285" t="s">
        <v>385</v>
      </c>
      <c r="O30" s="286"/>
      <c r="P30" s="287"/>
      <c r="Q30" s="288"/>
      <c r="R30" s="289">
        <f>((R24-R26)/R26*100)</f>
        <v>0.82956259426846912</v>
      </c>
    </row>
    <row r="31" spans="1:18" ht="19.2" customHeight="1" x14ac:dyDescent="0.25">
      <c r="A31" s="251"/>
      <c r="B31" s="167"/>
      <c r="C31" s="265" t="s">
        <v>386</v>
      </c>
      <c r="D31" s="266"/>
      <c r="E31" s="267"/>
      <c r="F31" s="274">
        <f>F25/(F25-F26)</f>
        <v>2.8412264723740135</v>
      </c>
      <c r="G31" s="290">
        <f>F31*997.5</f>
        <v>2834.1234061930786</v>
      </c>
      <c r="H31" s="282"/>
      <c r="I31" s="283"/>
      <c r="J31" s="252"/>
      <c r="K31" s="249"/>
      <c r="L31" s="249"/>
    </row>
    <row r="32" spans="1:18" ht="19.2" customHeight="1" x14ac:dyDescent="0.25">
      <c r="A32" s="251"/>
      <c r="B32" s="167"/>
      <c r="C32" s="265" t="s">
        <v>387</v>
      </c>
      <c r="D32" s="266"/>
      <c r="E32" s="267"/>
      <c r="F32" s="274">
        <f>F27/(F27-F26)</f>
        <v>2.885296860428971</v>
      </c>
      <c r="G32" s="281">
        <f>F32*997.5</f>
        <v>2878.0836182778985</v>
      </c>
      <c r="H32" s="282"/>
      <c r="I32" s="283"/>
      <c r="J32" s="252"/>
      <c r="K32" s="249"/>
      <c r="L32" s="249"/>
    </row>
    <row r="33" spans="1:18" ht="19.2" customHeight="1" x14ac:dyDescent="0.25">
      <c r="A33" s="251"/>
      <c r="B33" s="167"/>
      <c r="C33" s="285" t="s">
        <v>388</v>
      </c>
      <c r="D33" s="286"/>
      <c r="E33" s="287"/>
      <c r="F33" s="291">
        <f>((F25-F27)/F27*100)</f>
        <v>0.82956259426846912</v>
      </c>
      <c r="G33" s="291">
        <f>+F33</f>
        <v>0.82956259426846912</v>
      </c>
      <c r="H33" s="292"/>
      <c r="I33" s="283"/>
      <c r="J33" s="252"/>
      <c r="K33" s="249"/>
      <c r="L33" s="249"/>
    </row>
    <row r="34" spans="1:18" ht="19.2" customHeight="1" x14ac:dyDescent="0.25">
      <c r="A34" s="828"/>
      <c r="B34" s="293"/>
      <c r="C34" s="293"/>
      <c r="D34" s="293"/>
      <c r="E34" s="293"/>
      <c r="F34" s="294"/>
      <c r="G34" s="294"/>
      <c r="H34" s="294"/>
      <c r="I34" s="294"/>
      <c r="J34" s="829"/>
      <c r="K34" s="295"/>
      <c r="L34" s="295"/>
      <c r="M34" s="295"/>
      <c r="N34" s="295"/>
      <c r="O34" s="295"/>
      <c r="P34" s="295"/>
      <c r="Q34" s="295"/>
      <c r="R34" s="295"/>
    </row>
    <row r="35" spans="1:18" ht="15.9" customHeight="1" x14ac:dyDescent="0.25">
      <c r="A35" s="295"/>
      <c r="B35" s="295"/>
      <c r="C35" s="295"/>
      <c r="D35" s="296"/>
      <c r="E35" s="296"/>
      <c r="F35" s="296"/>
      <c r="G35" s="296"/>
      <c r="H35" s="296"/>
      <c r="I35" s="296"/>
      <c r="J35" s="296"/>
      <c r="K35" s="295"/>
      <c r="L35" s="295"/>
      <c r="M35" s="295"/>
      <c r="N35" s="295"/>
      <c r="O35" s="295"/>
      <c r="P35" s="295"/>
      <c r="Q35" s="295"/>
      <c r="R35" s="295"/>
    </row>
    <row r="36" spans="1:18" ht="15.9" customHeight="1" x14ac:dyDescent="0.25">
      <c r="A36" s="169" t="s">
        <v>339</v>
      </c>
      <c r="B36" s="169"/>
      <c r="C36" s="170"/>
      <c r="D36" s="170"/>
      <c r="E36" s="170"/>
      <c r="F36" s="170"/>
      <c r="G36" s="156"/>
      <c r="H36" s="156"/>
      <c r="I36" s="156"/>
      <c r="J36" s="156"/>
      <c r="K36" s="124"/>
      <c r="L36" s="124"/>
      <c r="M36" s="124"/>
    </row>
    <row r="37" spans="1:18" ht="15.9" customHeight="1" x14ac:dyDescent="0.25">
      <c r="A37" s="297" t="s">
        <v>341</v>
      </c>
      <c r="B37" s="174"/>
      <c r="C37" s="170"/>
      <c r="D37" s="170"/>
      <c r="E37" s="170"/>
      <c r="F37" s="170"/>
      <c r="G37" s="156"/>
      <c r="H37" s="156"/>
      <c r="I37" s="156"/>
      <c r="J37" s="156"/>
      <c r="K37" s="124"/>
      <c r="L37" s="124"/>
      <c r="M37" s="124"/>
    </row>
    <row r="38" spans="1:18" ht="15.9" customHeight="1" x14ac:dyDescent="0.25">
      <c r="A38" s="297"/>
      <c r="B38" s="174"/>
      <c r="C38" s="170"/>
      <c r="D38" s="170"/>
      <c r="E38" s="170"/>
      <c r="F38" s="170"/>
      <c r="G38" s="156"/>
      <c r="H38" s="156"/>
      <c r="I38" s="156"/>
      <c r="J38" s="156"/>
      <c r="K38" s="124"/>
      <c r="L38" s="124"/>
      <c r="M38" s="124"/>
    </row>
    <row r="39" spans="1:18" ht="15.9" customHeight="1" x14ac:dyDescent="0.25">
      <c r="A39" s="297"/>
      <c r="B39" s="174"/>
      <c r="C39" s="170"/>
      <c r="D39" s="169"/>
      <c r="E39" s="170"/>
      <c r="F39" s="170"/>
      <c r="G39" s="156"/>
      <c r="H39" s="156"/>
      <c r="I39" s="156"/>
      <c r="J39" s="156"/>
      <c r="K39" s="124"/>
      <c r="L39" s="124"/>
      <c r="M39" s="124"/>
    </row>
    <row r="40" spans="1:18" ht="15.9" customHeight="1" x14ac:dyDescent="0.25">
      <c r="A40" s="184"/>
      <c r="B40" s="134"/>
      <c r="C40" s="134"/>
      <c r="D40" s="134"/>
      <c r="E40" s="134"/>
      <c r="F40" s="170"/>
      <c r="G40" s="156"/>
      <c r="H40" s="156"/>
      <c r="I40" s="156"/>
      <c r="J40" s="156"/>
      <c r="K40" s="124"/>
      <c r="L40" s="124"/>
      <c r="M40" s="124"/>
    </row>
    <row r="41" spans="1:18" ht="15.9" customHeight="1" x14ac:dyDescent="0.25">
      <c r="A41" s="184"/>
      <c r="B41" s="170"/>
      <c r="C41" s="170"/>
      <c r="D41" s="170"/>
      <c r="E41" s="170"/>
      <c r="F41" s="170"/>
      <c r="G41" s="156"/>
      <c r="H41" s="156"/>
      <c r="I41" s="156"/>
      <c r="J41" s="156"/>
      <c r="K41" s="124"/>
      <c r="L41" s="124"/>
      <c r="M41" s="124"/>
    </row>
    <row r="42" spans="1:18" ht="15.9" customHeight="1" x14ac:dyDescent="0.25">
      <c r="A42" s="184"/>
      <c r="B42" s="170"/>
      <c r="C42" s="170"/>
      <c r="D42" s="170"/>
      <c r="E42" s="170"/>
      <c r="F42" s="170"/>
      <c r="G42" s="156"/>
      <c r="H42" s="156"/>
      <c r="I42" s="156"/>
      <c r="J42" s="156"/>
      <c r="K42" s="124"/>
      <c r="L42" s="124"/>
      <c r="M42" s="124"/>
    </row>
    <row r="43" spans="1:18" ht="15.9" customHeight="1" x14ac:dyDescent="0.25">
      <c r="A43" s="184"/>
      <c r="B43" s="170"/>
      <c r="C43" s="170"/>
      <c r="D43" s="170"/>
      <c r="E43" s="170"/>
      <c r="F43" s="170"/>
      <c r="G43" s="156"/>
      <c r="H43" s="156"/>
      <c r="I43" s="156"/>
      <c r="J43" s="156"/>
      <c r="K43" s="124"/>
      <c r="L43" s="124"/>
      <c r="M43" s="124"/>
    </row>
    <row r="44" spans="1:18" ht="15.9" customHeight="1" x14ac:dyDescent="0.25">
      <c r="A44" s="184"/>
      <c r="B44" s="170"/>
      <c r="C44" s="170"/>
      <c r="D44" s="170"/>
      <c r="E44" s="170"/>
      <c r="F44" s="170"/>
      <c r="G44" s="156"/>
      <c r="H44" s="156"/>
      <c r="I44" s="156"/>
      <c r="J44" s="156"/>
      <c r="K44" s="124"/>
      <c r="L44" s="124"/>
      <c r="M44" s="124"/>
    </row>
    <row r="45" spans="1:18" ht="15.9" customHeight="1" x14ac:dyDescent="0.25">
      <c r="A45" s="184"/>
      <c r="B45" s="170"/>
      <c r="C45" s="170"/>
      <c r="D45" s="170"/>
      <c r="E45" s="170"/>
      <c r="F45" s="170"/>
      <c r="G45" s="156"/>
      <c r="H45" s="156"/>
      <c r="I45" s="156"/>
      <c r="J45" s="156"/>
      <c r="K45" s="124"/>
      <c r="L45" s="124"/>
      <c r="M45" s="124"/>
    </row>
    <row r="46" spans="1:18" ht="15.9" customHeight="1" x14ac:dyDescent="0.25">
      <c r="A46" s="184"/>
      <c r="B46" s="170"/>
      <c r="C46" s="170"/>
      <c r="D46" s="170"/>
      <c r="E46" s="170"/>
      <c r="F46" s="170"/>
      <c r="G46" s="156"/>
      <c r="H46" s="156"/>
      <c r="I46" s="156"/>
      <c r="J46" s="156"/>
      <c r="K46" s="124"/>
      <c r="L46" s="124"/>
      <c r="M46" s="124"/>
    </row>
    <row r="47" spans="1:18" ht="15.9" customHeight="1" x14ac:dyDescent="0.25">
      <c r="A47" s="184"/>
      <c r="B47" s="170"/>
      <c r="C47" s="170"/>
      <c r="D47" s="170"/>
      <c r="E47" s="170"/>
      <c r="F47" s="170"/>
      <c r="G47" s="156"/>
      <c r="H47" s="156"/>
      <c r="I47" s="156"/>
      <c r="J47" s="156"/>
      <c r="K47" s="124"/>
      <c r="L47" s="124"/>
      <c r="M47" s="124"/>
    </row>
    <row r="48" spans="1:18" ht="15.9" customHeight="1" x14ac:dyDescent="0.25">
      <c r="A48" s="295"/>
      <c r="B48" s="134"/>
      <c r="C48" s="134"/>
      <c r="D48" s="170"/>
      <c r="E48" s="170"/>
      <c r="F48" s="170"/>
      <c r="G48" s="156"/>
      <c r="H48" s="156"/>
      <c r="I48" s="156"/>
      <c r="J48" s="156"/>
      <c r="K48" s="124"/>
      <c r="L48" s="124"/>
      <c r="M48" s="124"/>
    </row>
    <row r="49" spans="1:13" ht="15.9" customHeight="1" x14ac:dyDescent="0.25">
      <c r="A49" s="295"/>
      <c r="B49" s="134"/>
      <c r="C49" s="134"/>
      <c r="D49" s="170"/>
      <c r="E49" s="170"/>
      <c r="F49" s="170"/>
      <c r="G49" s="156"/>
      <c r="H49" s="156"/>
      <c r="I49" s="156"/>
      <c r="J49" s="156"/>
      <c r="K49" s="124"/>
      <c r="L49" s="124"/>
      <c r="M49" s="124"/>
    </row>
    <row r="50" spans="1:13" ht="15.9" customHeight="1" x14ac:dyDescent="0.25">
      <c r="A50" s="298" t="s">
        <v>263</v>
      </c>
      <c r="B50" s="170"/>
      <c r="C50" s="170"/>
      <c r="D50" s="170"/>
      <c r="E50" s="170"/>
      <c r="F50" s="170"/>
      <c r="G50" s="156"/>
      <c r="H50" s="156"/>
      <c r="I50" s="156"/>
      <c r="J50" s="156"/>
      <c r="K50" s="124"/>
      <c r="L50" s="124"/>
      <c r="M50" s="124"/>
    </row>
    <row r="51" spans="1:13" ht="15.9" customHeight="1" x14ac:dyDescent="0.25">
      <c r="A51" s="298" t="s">
        <v>343</v>
      </c>
      <c r="B51" s="170"/>
      <c r="C51" s="170"/>
      <c r="D51" s="170"/>
      <c r="E51" s="170"/>
      <c r="F51" s="170"/>
      <c r="G51" s="156"/>
      <c r="H51" s="156"/>
      <c r="I51" s="156"/>
      <c r="J51" s="156"/>
      <c r="K51" s="124"/>
      <c r="L51" s="124"/>
      <c r="M51" s="124"/>
    </row>
    <row r="52" spans="1:13" ht="15.9" customHeight="1" x14ac:dyDescent="0.25">
      <c r="A52" s="156"/>
      <c r="B52" s="156"/>
      <c r="C52" s="156"/>
      <c r="D52" s="156"/>
      <c r="E52" s="156"/>
      <c r="F52" s="156"/>
      <c r="G52" s="156"/>
      <c r="H52" s="156"/>
      <c r="I52" s="156"/>
      <c r="J52" s="156"/>
      <c r="K52" s="124"/>
      <c r="L52" s="124"/>
      <c r="M52" s="124"/>
    </row>
    <row r="53" spans="1:13" ht="15.9" customHeight="1" x14ac:dyDescent="0.25"/>
    <row r="54" spans="1:13" ht="30.75" customHeight="1" x14ac:dyDescent="0.25">
      <c r="A54" s="1486" t="s">
        <v>345</v>
      </c>
      <c r="B54" s="1486"/>
      <c r="C54" s="1486"/>
      <c r="D54" s="1486"/>
      <c r="E54" s="1486"/>
      <c r="F54" s="1486"/>
      <c r="G54" s="1486"/>
      <c r="H54" s="1486"/>
      <c r="I54" s="1486"/>
      <c r="J54" s="1486"/>
    </row>
    <row r="55" spans="1:13" ht="15.9" customHeight="1" x14ac:dyDescent="0.25"/>
    <row r="56" spans="1:13" ht="15.9" customHeight="1" x14ac:dyDescent="0.25"/>
  </sheetData>
  <protectedRanges>
    <protectedRange sqref="C12:C14 C17" name="Rango3_3_1_1_1_1_1_1_1_1"/>
    <protectedRange sqref="C11" name="Rango3_3_1_1_1_1_1_2_1"/>
  </protectedRanges>
  <mergeCells count="13">
    <mergeCell ref="P13:Q13"/>
    <mergeCell ref="A8:J8"/>
    <mergeCell ref="A9:J9"/>
    <mergeCell ref="C11:G11"/>
    <mergeCell ref="C12:G12"/>
    <mergeCell ref="C13:G13"/>
    <mergeCell ref="A54:J54"/>
    <mergeCell ref="A15:J15"/>
    <mergeCell ref="A16:J16"/>
    <mergeCell ref="A18:J18"/>
    <mergeCell ref="C24:F24"/>
    <mergeCell ref="C28:F28"/>
    <mergeCell ref="C29:F29"/>
  </mergeCells>
  <printOptions horizontalCentered="1" verticalCentered="1"/>
  <pageMargins left="0.78740157480314965" right="0.78740157480314965" top="0.78740157480314965" bottom="0.39370078740157483" header="0" footer="0"/>
  <pageSetup paperSize="9" scale="8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40"/>
  <sheetViews>
    <sheetView zoomScale="75" workbookViewId="0">
      <selection activeCell="O17" sqref="O17"/>
    </sheetView>
  </sheetViews>
  <sheetFormatPr baseColWidth="10" defaultColWidth="11.44140625" defaultRowHeight="13.2" x14ac:dyDescent="0.25"/>
  <cols>
    <col min="1" max="1" width="6.109375" style="77" customWidth="1"/>
    <col min="2" max="2" width="10.44140625" style="77" customWidth="1"/>
    <col min="3" max="3" width="18.109375" style="77" bestFit="1" customWidth="1"/>
    <col min="4" max="5" width="11.44140625" style="77"/>
    <col min="6" max="6" width="32.88671875" style="77" customWidth="1"/>
    <col min="7" max="7" width="16.88671875" style="77" customWidth="1"/>
    <col min="8" max="8" width="15.5546875" style="77" customWidth="1"/>
    <col min="9" max="15" width="11.44140625" style="77"/>
    <col min="16" max="16" width="20.5546875" style="77" customWidth="1"/>
    <col min="17" max="17" width="13.44140625" style="77" customWidth="1"/>
    <col min="18" max="16384" width="11.44140625" style="77"/>
  </cols>
  <sheetData>
    <row r="1" spans="1:17" x14ac:dyDescent="0.25">
      <c r="A1" s="82" t="s">
        <v>389</v>
      </c>
      <c r="B1" s="1531" t="s">
        <v>390</v>
      </c>
      <c r="C1" s="1531"/>
      <c r="D1" s="1531"/>
      <c r="E1" s="1531"/>
      <c r="F1" s="1531"/>
      <c r="G1" s="1531"/>
      <c r="H1" s="1531"/>
      <c r="I1" s="82"/>
    </row>
    <row r="2" spans="1:17" x14ac:dyDescent="0.25">
      <c r="A2" s="82"/>
      <c r="B2" s="739"/>
      <c r="C2" s="739"/>
      <c r="D2" s="739"/>
      <c r="E2" s="739"/>
      <c r="F2" s="739"/>
      <c r="G2" s="739"/>
      <c r="H2" s="739"/>
      <c r="I2" s="82"/>
      <c r="L2" s="83" t="str">
        <f>+A.Granul!O4</f>
        <v>Inorganico</v>
      </c>
    </row>
    <row r="3" spans="1:17" x14ac:dyDescent="0.25">
      <c r="A3" s="82"/>
      <c r="B3" s="84" t="s">
        <v>391</v>
      </c>
      <c r="C3" s="85">
        <f>+A.Granul!S35</f>
        <v>13.456812316430202</v>
      </c>
      <c r="D3" s="84" t="s">
        <v>392</v>
      </c>
      <c r="E3" s="85">
        <f>+A.Granul!P60</f>
        <v>135.56727963906141</v>
      </c>
      <c r="F3" s="82"/>
      <c r="G3" s="82"/>
      <c r="H3" s="739"/>
      <c r="I3" s="82"/>
      <c r="K3" s="83" t="s">
        <v>393</v>
      </c>
      <c r="L3" s="83">
        <f>+IF(N_10="NP",0,N_10)</f>
        <v>0</v>
      </c>
    </row>
    <row r="4" spans="1:17" ht="15.6" x14ac:dyDescent="0.3">
      <c r="A4" s="82"/>
      <c r="B4" s="84" t="s">
        <v>394</v>
      </c>
      <c r="C4" s="85">
        <f>+A.Granul!S27</f>
        <v>54.211194502306476</v>
      </c>
      <c r="D4" s="84" t="s">
        <v>395</v>
      </c>
      <c r="E4" s="85">
        <f>+A.Granul!P61</f>
        <v>0.64946683219708234</v>
      </c>
      <c r="F4" s="86" t="s">
        <v>396</v>
      </c>
      <c r="G4" s="87" t="str">
        <f>+Q9</f>
        <v>GM</v>
      </c>
      <c r="H4" s="88"/>
      <c r="I4" s="82"/>
      <c r="K4" s="83" t="s">
        <v>397</v>
      </c>
      <c r="L4" s="83">
        <f>+IF(C6="NP",0,C6)</f>
        <v>0</v>
      </c>
    </row>
    <row r="5" spans="1:17" x14ac:dyDescent="0.25">
      <c r="A5" s="82"/>
      <c r="B5" s="84" t="s">
        <v>398</v>
      </c>
      <c r="C5" s="85" t="str">
        <f>+'LL-LP'!H35</f>
        <v>NP</v>
      </c>
      <c r="D5" s="739"/>
      <c r="E5" s="739"/>
      <c r="F5" s="84"/>
      <c r="G5" s="739"/>
      <c r="H5" s="739"/>
      <c r="I5" s="82"/>
      <c r="K5" s="83" t="s">
        <v>399</v>
      </c>
      <c r="L5" s="89">
        <f>IF(OR(E3="----",E3=""),0,E3)</f>
        <v>135.56727963906141</v>
      </c>
    </row>
    <row r="6" spans="1:17" x14ac:dyDescent="0.25">
      <c r="A6" s="82"/>
      <c r="B6" s="84" t="s">
        <v>400</v>
      </c>
      <c r="C6" s="85" t="str">
        <f>+'LL-LP'!H41</f>
        <v>NP</v>
      </c>
      <c r="D6" s="739"/>
      <c r="E6" s="739"/>
      <c r="F6" s="84"/>
      <c r="G6" s="739"/>
      <c r="H6" s="739"/>
      <c r="I6" s="82"/>
      <c r="K6" s="89" t="s">
        <v>401</v>
      </c>
      <c r="L6" s="89">
        <f>IF(OR(E4="----",E4=""),0,E4)</f>
        <v>0.64946683219708234</v>
      </c>
    </row>
    <row r="7" spans="1:17" x14ac:dyDescent="0.25">
      <c r="A7" s="82"/>
      <c r="B7" s="82"/>
      <c r="C7" s="739"/>
      <c r="D7" s="82"/>
      <c r="E7" s="82"/>
      <c r="F7" s="82"/>
      <c r="G7" s="82"/>
      <c r="H7" s="82"/>
      <c r="I7" s="82"/>
    </row>
    <row r="8" spans="1:17" ht="44.25" customHeight="1" x14ac:dyDescent="0.25">
      <c r="A8" s="82"/>
      <c r="B8" s="1532" t="s">
        <v>402</v>
      </c>
      <c r="C8" s="1532"/>
      <c r="D8" s="1532"/>
      <c r="E8" s="830" t="s">
        <v>403</v>
      </c>
      <c r="F8" s="831" t="s">
        <v>404</v>
      </c>
      <c r="G8" s="1533" t="s">
        <v>405</v>
      </c>
      <c r="H8" s="1533"/>
      <c r="I8" s="82"/>
      <c r="L8" s="90" t="s">
        <v>406</v>
      </c>
      <c r="M8" s="1534" t="s">
        <v>407</v>
      </c>
      <c r="N8" s="1534"/>
      <c r="O8" s="91" t="s">
        <v>408</v>
      </c>
      <c r="P8" s="90" t="s">
        <v>409</v>
      </c>
      <c r="Q8" s="92" t="s">
        <v>410</v>
      </c>
    </row>
    <row r="9" spans="1:17" ht="36.75" customHeight="1" x14ac:dyDescent="0.25">
      <c r="A9" s="82"/>
      <c r="B9" s="1535" t="s">
        <v>411</v>
      </c>
      <c r="C9" s="1537" t="s">
        <v>412</v>
      </c>
      <c r="D9" s="1539" t="s">
        <v>413</v>
      </c>
      <c r="E9" s="832" t="s">
        <v>414</v>
      </c>
      <c r="F9" s="833" t="s">
        <v>415</v>
      </c>
      <c r="G9" s="1540" t="s">
        <v>416</v>
      </c>
      <c r="H9" s="1541"/>
      <c r="I9" s="82"/>
      <c r="L9" s="77" t="str">
        <f>IF(AND(N_200&lt;50,(100-N_40)&gt;=0.5*(100-N_200),N_200&lt;5,CU&gt;=4,CC&gt;=1,CC&lt;=3),"GW","")</f>
        <v/>
      </c>
      <c r="M9" s="77" t="str">
        <f>IF(AND(N_200&lt;50,(100-N_40)&gt;=0.5*(100-N_200),N_200&gt;=5,CU&gt;=4,CC&gt;=1,CC&lt;=3,N_200&lt;12,IP&gt;=7,IP&gt;=0.73*(Ll-20)),"GW-GC","")</f>
        <v/>
      </c>
      <c r="N9" s="77" t="str">
        <f>IF(AND(N_200&lt;50,(100-N_40)&gt;=0.5*(100-N_200),N_200&gt;=5,CU&gt;=4,CC&gt;=1,CC&lt;=3,N_200&lt;12,OR(IP&lt;4,IP&lt;0.73*(Ll-20))),"GW-GM","")</f>
        <v/>
      </c>
      <c r="O9" s="77" t="str">
        <f>IF(AND(N_200&lt;50,(100-N_40)&gt;=0.5*(100-N_200),N_200&gt;=5,CU&gt;=4,CC&gt;=1,CC&lt;=3,N_200&lt;12,IP&gt;=4,IP&lt;7,IP&lt;0.9*(Ll-8),IP&gt;=0.73*(Ll-20)),"GW-GC-GM","")</f>
        <v/>
      </c>
      <c r="P9" s="77" t="str">
        <f>+L9&amp;M9&amp;N9&amp;O9</f>
        <v/>
      </c>
      <c r="Q9" s="77" t="str">
        <f>+P9&amp;P10&amp;P11&amp;P12&amp;P13&amp;P14&amp;P15&amp;P16&amp;P17&amp;P18&amp;P19&amp;P20&amp;P21&amp;P22&amp;P23&amp;P24</f>
        <v>GM</v>
      </c>
    </row>
    <row r="10" spans="1:17" ht="36.75" customHeight="1" x14ac:dyDescent="0.25">
      <c r="A10" s="82"/>
      <c r="B10" s="1535"/>
      <c r="C10" s="1537"/>
      <c r="D10" s="1539"/>
      <c r="E10" s="834" t="s">
        <v>417</v>
      </c>
      <c r="F10" s="835" t="s">
        <v>418</v>
      </c>
      <c r="G10" s="1542" t="s">
        <v>419</v>
      </c>
      <c r="H10" s="1543"/>
      <c r="I10" s="82"/>
      <c r="L10" s="77" t="str">
        <f>IF(AND(N_200&lt;50,(100-N_40)&gt;=0.5*(100-N_200),N_200&lt;5,OR(CU&lt;4,CC&lt;1,CC&gt;3)),"GP","")</f>
        <v/>
      </c>
      <c r="M10" s="77" t="str">
        <f>IF(AND(N_200&lt;50,(100-N_40)&gt;=0.5*(100-N_200),N_200&gt;=5,OR(CU&lt;4,CC&lt;1,CC&gt;3),N_200&lt;12,IP&gt;=7,IP&gt;=0.73*(Ll-20)),"GP-GC","")</f>
        <v/>
      </c>
      <c r="N10" s="77" t="str">
        <f>IF(AND(N_200&lt;50,(100-N_40)&gt;=0.5*(100-N_200),N_200&gt;=5,OR(CU&lt;4,CC&lt;1,CC&gt;3),N_200&lt;12,OR(IP&lt;4,IP&lt;0.73*(Ll-20))),"GP-GM","")</f>
        <v/>
      </c>
      <c r="O10" s="77" t="str">
        <f>IF(AND(N_200&lt;50,(100-N_40)&gt;=0.5*(100-N_200),N_200&gt;=5,OR(CU&lt;4,CC&lt;1,CC&gt;3),N_200&lt;12,IP&gt;=4,IP&lt;7,IP&lt;0.9*(Ll-8),IP&gt;=0.73*(Ll-20)),"GP-GC-GM","")</f>
        <v/>
      </c>
      <c r="P10" s="77" t="str">
        <f t="shared" ref="P10:P23" si="0">+L10&amp;M10&amp;N10&amp;O10</f>
        <v/>
      </c>
    </row>
    <row r="11" spans="1:17" ht="43.5" customHeight="1" x14ac:dyDescent="0.25">
      <c r="A11" s="82"/>
      <c r="B11" s="1535"/>
      <c r="C11" s="1537"/>
      <c r="D11" s="1539" t="s">
        <v>420</v>
      </c>
      <c r="E11" s="834" t="s">
        <v>421</v>
      </c>
      <c r="F11" s="836" t="s">
        <v>422</v>
      </c>
      <c r="G11" s="837" t="s">
        <v>423</v>
      </c>
      <c r="H11" s="1544" t="s">
        <v>424</v>
      </c>
      <c r="I11" s="82"/>
      <c r="L11" s="77" t="str">
        <f>IF(AND(N_200&lt;50,(100-N_40)&gt;=0.5*(100-N_200),N_200&gt;=12,OR(IP&lt;4,IP&lt;0.73*(Ll-20))),"GM","")</f>
        <v>GM</v>
      </c>
      <c r="M11" s="77" t="str">
        <f>IF(AND(N_200&lt;50,(100-N_40)&gt;=0.5*(100-N_200),N_200&gt;=12,IP&gt;=4,IP&lt;7,IP&gt;=0.73*(Ll-20)),"GC-GM","")</f>
        <v/>
      </c>
      <c r="P11" s="77" t="str">
        <f t="shared" si="0"/>
        <v>GM</v>
      </c>
    </row>
    <row r="12" spans="1:17" ht="43.5" customHeight="1" x14ac:dyDescent="0.25">
      <c r="A12" s="82"/>
      <c r="B12" s="1535"/>
      <c r="C12" s="1538"/>
      <c r="D12" s="1539"/>
      <c r="E12" s="93" t="s">
        <v>425</v>
      </c>
      <c r="F12" s="835" t="s">
        <v>426</v>
      </c>
      <c r="G12" s="837" t="s">
        <v>427</v>
      </c>
      <c r="H12" s="1545"/>
      <c r="I12" s="82"/>
      <c r="L12" s="77" t="str">
        <f>IF(AND(N_200&lt;50,(100-N_40)&gt;=0.5*(100-N_200),N_200&gt;=12,IP&gt;=7,IP&gt;=0.73*(Ll-20)),"GC","")</f>
        <v/>
      </c>
      <c r="P12" s="77" t="str">
        <f t="shared" si="0"/>
        <v/>
      </c>
    </row>
    <row r="13" spans="1:17" ht="36" customHeight="1" x14ac:dyDescent="0.25">
      <c r="A13" s="82"/>
      <c r="B13" s="1535"/>
      <c r="C13" s="1537" t="s">
        <v>428</v>
      </c>
      <c r="D13" s="1539" t="s">
        <v>429</v>
      </c>
      <c r="E13" s="838" t="s">
        <v>430</v>
      </c>
      <c r="F13" s="839" t="s">
        <v>431</v>
      </c>
      <c r="G13" s="1546" t="s">
        <v>432</v>
      </c>
      <c r="H13" s="1547"/>
      <c r="I13" s="82"/>
      <c r="L13" s="77" t="str">
        <f>IF(AND(N_200&lt;50,(100-N_40)&lt;0.5*(100-N_200),N_200&lt;5,CU&gt;=6,CC&gt;=1,CC&lt;=3),"SW","")</f>
        <v/>
      </c>
      <c r="M13" s="77" t="str">
        <f>IF(AND(N_200&lt;50,(100-N_40)&lt;0.5*(100-N_200),N_200&gt;=5,CU&gt;=6,CC&gt;=1,CC&lt;=3,N_200&lt;12,IP&gt;=7,IP&gt;=0.73*(Ll-20)),"SW-SC","")</f>
        <v/>
      </c>
      <c r="N13" s="77" t="str">
        <f>IF(AND(N_200&lt;50,(100-N_40)&lt;0.5*(100-N_200),N_200&gt;=5,CU&gt;=6,CC&gt;=1,CC&lt;=3,N_200&lt;12,OR(IP&lt;4,IP&lt;0.73*(Ll-20))),"SW-SM","")</f>
        <v/>
      </c>
      <c r="O13" s="77" t="str">
        <f>IF(AND(N_200&lt;50,(100-N_40)&lt;0.5*(100-N_200),N_200&gt;=5,CU&gt;=6,CC&gt;=1,CC&lt;=3,N_200&lt;12,IP&gt;=4,IP&lt;7,IP&lt;0.9*(Ll-8),IP&gt;=0.73*(Ll-20)),"SW-SC-SM","")</f>
        <v/>
      </c>
      <c r="P13" s="77" t="str">
        <f t="shared" si="0"/>
        <v/>
      </c>
    </row>
    <row r="14" spans="1:17" ht="40.5" customHeight="1" x14ac:dyDescent="0.25">
      <c r="A14" s="82"/>
      <c r="B14" s="1535"/>
      <c r="C14" s="1537"/>
      <c r="D14" s="1539"/>
      <c r="E14" s="838" t="s">
        <v>433</v>
      </c>
      <c r="F14" s="839" t="s">
        <v>434</v>
      </c>
      <c r="G14" s="1546" t="s">
        <v>435</v>
      </c>
      <c r="H14" s="1547"/>
      <c r="I14" s="82"/>
      <c r="L14" s="77" t="str">
        <f>IF(AND(N_200&lt;50,(100-N_40)&lt;0.5*(100-N_200),N_200&lt;5,OR(CU&lt;6,CC&lt;1,CC&gt;3)),"SP","")</f>
        <v/>
      </c>
      <c r="M14" s="77" t="str">
        <f>IF(AND(N_200&lt;50,(100-N_40)&lt;0.5*(100-N_200),N_200&gt;=5,OR(CU&lt;6,CC&lt;1,CC&gt;3),N_200&lt;12,IP&gt;=7,IP&gt;=0.73*(Ll-20)),"SP-SC","")</f>
        <v/>
      </c>
      <c r="N14" s="77" t="str">
        <f>IF(AND(N_200&lt;50,(100-N_40)&lt;0.5*(100-N_200),N_200&gt;=5,OR(CU&lt;6,CC&lt;1,CC&gt;3),N_200&lt;12,OR(IP&lt;4,IP&lt;0.73*(Ll-20))),"SP-SM","")</f>
        <v/>
      </c>
      <c r="O14" s="77" t="str">
        <f>IF(AND(N_200&lt;50,(100-N_40)&lt;0.5*(100-N_200),N_200&gt;=5,OR(CU&lt;6,CC&lt;1,CC&gt;3),N_200&lt;12,IP&gt;=4,IP&lt;7,IP&lt;0.9*(Ll-8),IP&gt;=0.73*(Ll-20)),"SP-SC-SM","")</f>
        <v/>
      </c>
      <c r="P14" s="77" t="str">
        <f t="shared" si="0"/>
        <v/>
      </c>
    </row>
    <row r="15" spans="1:17" ht="42" customHeight="1" x14ac:dyDescent="0.25">
      <c r="A15" s="82"/>
      <c r="B15" s="1535"/>
      <c r="C15" s="1537"/>
      <c r="D15" s="1539" t="s">
        <v>436</v>
      </c>
      <c r="E15" s="838" t="s">
        <v>437</v>
      </c>
      <c r="F15" s="840" t="s">
        <v>438</v>
      </c>
      <c r="G15" s="841" t="s">
        <v>439</v>
      </c>
      <c r="H15" s="1548" t="s">
        <v>440</v>
      </c>
      <c r="I15" s="82"/>
      <c r="L15" s="77" t="str">
        <f>IF(AND(N_200&lt;50,(100-N_40)&lt;0.5*(100-N_200),N_200&gt;=12,OR(IP&lt;4,IP&lt;0.73*(Ll-20))),"SM","")</f>
        <v/>
      </c>
      <c r="M15" s="77" t="str">
        <f>IF(AND(N_200&lt;50,(100-N_40)&lt;0.5*(100-N_200),N_200&gt;=12,IP&gt;=4,IP&lt;7,IP&gt;=0.73*(Ll-20)),"SC-SM","")</f>
        <v/>
      </c>
      <c r="P15" s="77" t="str">
        <f t="shared" si="0"/>
        <v/>
      </c>
    </row>
    <row r="16" spans="1:17" ht="38.25" customHeight="1" x14ac:dyDescent="0.25">
      <c r="A16" s="82"/>
      <c r="B16" s="1536"/>
      <c r="C16" s="1537"/>
      <c r="D16" s="1539"/>
      <c r="E16" s="94" t="s">
        <v>441</v>
      </c>
      <c r="F16" s="840" t="s">
        <v>442</v>
      </c>
      <c r="G16" s="839" t="s">
        <v>443</v>
      </c>
      <c r="H16" s="1549"/>
      <c r="I16" s="82"/>
      <c r="L16" s="77" t="str">
        <f>IF(AND(N_200&lt;50,(100-N_40)&lt;0.5*(100-N_200),N_200&gt;=12,IP&gt;=7,IP&gt;=0.73*(Ll-20)),"SC","")</f>
        <v/>
      </c>
      <c r="P16" s="77" t="str">
        <f t="shared" si="0"/>
        <v/>
      </c>
    </row>
    <row r="17" spans="1:16" ht="48" customHeight="1" x14ac:dyDescent="0.25">
      <c r="A17" s="82"/>
      <c r="B17" s="1550" t="s">
        <v>444</v>
      </c>
      <c r="C17" s="1553" t="s">
        <v>445</v>
      </c>
      <c r="D17" s="1554"/>
      <c r="E17" s="842" t="s">
        <v>446</v>
      </c>
      <c r="F17" s="843" t="s">
        <v>447</v>
      </c>
      <c r="G17" s="1559" t="s">
        <v>448</v>
      </c>
      <c r="H17" s="1560"/>
      <c r="I17" s="82"/>
      <c r="L17" s="77" t="str">
        <f>IF(AND(OR(L2="Inorganico"),N_200&gt;=50,Ll&lt;50,OR(IP&lt;4,AND(IP&lt;0.73*(Ll-20)))),"ML","")</f>
        <v/>
      </c>
      <c r="P17" s="77" t="str">
        <f t="shared" si="0"/>
        <v/>
      </c>
    </row>
    <row r="18" spans="1:16" ht="50.25" customHeight="1" x14ac:dyDescent="0.25">
      <c r="A18" s="82"/>
      <c r="B18" s="1551"/>
      <c r="C18" s="1555"/>
      <c r="D18" s="1556"/>
      <c r="E18" s="842" t="s">
        <v>449</v>
      </c>
      <c r="F18" s="843" t="s">
        <v>450</v>
      </c>
      <c r="G18" s="1561"/>
      <c r="H18" s="1562"/>
      <c r="I18" s="82"/>
      <c r="L18" s="77" t="str">
        <f>IF(AND(OR(L2="Inorganico"),N_200&gt;=50,Ll&lt;50,IP&gt;=7,IP&gt;=0.73*(Ll-20)),"CL","")</f>
        <v/>
      </c>
      <c r="P18" s="77" t="str">
        <f t="shared" si="0"/>
        <v/>
      </c>
    </row>
    <row r="19" spans="1:16" ht="24" customHeight="1" x14ac:dyDescent="0.25">
      <c r="A19" s="82"/>
      <c r="B19" s="1551"/>
      <c r="C19" s="1557"/>
      <c r="D19" s="1558"/>
      <c r="E19" s="842" t="s">
        <v>451</v>
      </c>
      <c r="F19" s="95" t="s">
        <v>452</v>
      </c>
      <c r="G19" s="96"/>
      <c r="H19" s="96"/>
      <c r="I19" s="82"/>
      <c r="L19" s="77" t="str">
        <f>IF(AND(L2="Organico",N_200&gt;=50,Ll&lt;50,IP&lt;0.73*(Ll-20)),"OL","")</f>
        <v/>
      </c>
      <c r="P19" s="77" t="str">
        <f t="shared" si="0"/>
        <v/>
      </c>
    </row>
    <row r="20" spans="1:16" ht="39" customHeight="1" x14ac:dyDescent="0.25">
      <c r="A20" s="82"/>
      <c r="B20" s="1551"/>
      <c r="C20" s="1555" t="s">
        <v>453</v>
      </c>
      <c r="D20" s="1563"/>
      <c r="E20" s="844" t="s">
        <v>454</v>
      </c>
      <c r="F20" s="97" t="s">
        <v>455</v>
      </c>
      <c r="G20" s="82"/>
      <c r="H20" s="82"/>
      <c r="I20" s="82"/>
      <c r="L20" s="77" t="str">
        <f>IF(AND(OR(L2="Inorganico"),N_200&gt;=50,Ll&gt;=50,IP&gt;0,IP&lt;0.73*(Ll-20)),"MH","")</f>
        <v/>
      </c>
      <c r="P20" s="77" t="str">
        <f t="shared" si="0"/>
        <v/>
      </c>
    </row>
    <row r="21" spans="1:16" ht="24" customHeight="1" x14ac:dyDescent="0.25">
      <c r="A21" s="82"/>
      <c r="B21" s="1551"/>
      <c r="C21" s="1555"/>
      <c r="D21" s="1563"/>
      <c r="E21" s="844" t="s">
        <v>141</v>
      </c>
      <c r="F21" s="97" t="s">
        <v>456</v>
      </c>
      <c r="G21" s="82"/>
      <c r="H21" s="82"/>
      <c r="I21" s="82"/>
      <c r="L21" s="77" t="str">
        <f>IF(AND(OR(L2="Inorganico"),N_200&gt;=50,Ll&gt;=50,IP&gt;=0.73*(Ll-20)),"CH","")</f>
        <v/>
      </c>
      <c r="P21" s="77" t="str">
        <f t="shared" si="0"/>
        <v/>
      </c>
    </row>
    <row r="22" spans="1:16" ht="24" customHeight="1" x14ac:dyDescent="0.25">
      <c r="A22" s="82"/>
      <c r="B22" s="1551"/>
      <c r="C22" s="1557"/>
      <c r="D22" s="1564"/>
      <c r="E22" s="98" t="s">
        <v>457</v>
      </c>
      <c r="F22" s="97" t="s">
        <v>458</v>
      </c>
      <c r="G22" s="82"/>
      <c r="H22" s="82"/>
      <c r="I22" s="82"/>
      <c r="L22" s="77" t="str">
        <f>IF(AND(L2="Organico",N_200&gt;=50,Ll&gt;=50,IP&lt;0.73*(Ll-20)),"OH","")</f>
        <v/>
      </c>
      <c r="P22" s="77" t="str">
        <f t="shared" si="0"/>
        <v/>
      </c>
    </row>
    <row r="23" spans="1:16" ht="39" customHeight="1" x14ac:dyDescent="0.25">
      <c r="A23" s="82"/>
      <c r="B23" s="1551"/>
      <c r="C23" s="1553" t="s">
        <v>459</v>
      </c>
      <c r="D23" s="1554"/>
      <c r="E23" s="845" t="s">
        <v>460</v>
      </c>
      <c r="F23" s="846" t="s">
        <v>461</v>
      </c>
      <c r="G23" s="82"/>
      <c r="H23" s="82"/>
      <c r="I23" s="82"/>
      <c r="L23" s="77" t="str">
        <f>IF(AND(OR(L2="Inorganico"),N_200&gt;=50,IP&gt;=0.73*(Ll-20),IP&gt;=4,IP&lt;7,IP&lt;0.9*(Ll-8)),"CL-ML","")</f>
        <v/>
      </c>
      <c r="P23" s="77" t="str">
        <f t="shared" si="0"/>
        <v/>
      </c>
    </row>
    <row r="24" spans="1:16" x14ac:dyDescent="0.25">
      <c r="A24" s="82"/>
      <c r="B24" s="1552"/>
      <c r="C24" s="847"/>
      <c r="D24" s="848"/>
      <c r="E24" s="849"/>
      <c r="F24" s="850"/>
      <c r="G24" s="82"/>
      <c r="H24" s="82"/>
      <c r="I24" s="82"/>
      <c r="L24" s="77" t="str">
        <f>IF(AND(L2="Turba"),"Pt","")</f>
        <v/>
      </c>
      <c r="P24" s="77" t="str">
        <f>+L24&amp;M24&amp;N24&amp;O24</f>
        <v/>
      </c>
    </row>
    <row r="25" spans="1:16" x14ac:dyDescent="0.25">
      <c r="A25" s="82"/>
      <c r="B25" s="99"/>
      <c r="C25" s="99"/>
      <c r="D25" s="99"/>
      <c r="E25" s="100"/>
      <c r="F25" s="101"/>
      <c r="G25" s="82"/>
      <c r="H25" s="82"/>
      <c r="I25" s="82"/>
    </row>
    <row r="26" spans="1:16" x14ac:dyDescent="0.25">
      <c r="A26" s="82"/>
      <c r="B26" s="99"/>
      <c r="C26" s="99"/>
      <c r="D26" s="99"/>
      <c r="E26" s="102"/>
      <c r="F26" s="101"/>
      <c r="G26" s="82"/>
      <c r="H26" s="82"/>
      <c r="I26" s="82"/>
    </row>
    <row r="27" spans="1:16" x14ac:dyDescent="0.25">
      <c r="A27" s="82"/>
      <c r="B27" s="82"/>
      <c r="C27" s="82"/>
      <c r="D27" s="82"/>
      <c r="E27" s="102"/>
      <c r="F27" s="101"/>
      <c r="G27" s="82"/>
      <c r="H27" s="82"/>
      <c r="I27" s="82"/>
    </row>
    <row r="28" spans="1:16" x14ac:dyDescent="0.25">
      <c r="A28" s="82"/>
      <c r="B28" s="82"/>
      <c r="C28" s="82"/>
      <c r="D28" s="82"/>
      <c r="E28" s="102"/>
      <c r="F28" s="101"/>
      <c r="G28" s="82"/>
      <c r="H28" s="82"/>
      <c r="I28" s="82"/>
    </row>
    <row r="29" spans="1:16" x14ac:dyDescent="0.25">
      <c r="A29" s="82"/>
      <c r="B29" s="82"/>
      <c r="C29" s="82"/>
      <c r="D29" s="82"/>
      <c r="E29" s="102"/>
      <c r="F29" s="101"/>
      <c r="G29" s="82"/>
      <c r="H29" s="82"/>
      <c r="I29" s="82"/>
    </row>
    <row r="30" spans="1:16" x14ac:dyDescent="0.25">
      <c r="F30" s="103"/>
    </row>
    <row r="31" spans="1:16" x14ac:dyDescent="0.25">
      <c r="F31" s="103"/>
    </row>
    <row r="32" spans="1:16" x14ac:dyDescent="0.25">
      <c r="F32" s="103"/>
    </row>
    <row r="33" spans="6:6" x14ac:dyDescent="0.25">
      <c r="F33" s="103"/>
    </row>
    <row r="34" spans="6:6" x14ac:dyDescent="0.25">
      <c r="F34" s="103"/>
    </row>
    <row r="35" spans="6:6" x14ac:dyDescent="0.25">
      <c r="F35" s="103"/>
    </row>
    <row r="36" spans="6:6" x14ac:dyDescent="0.25">
      <c r="F36" s="103"/>
    </row>
    <row r="37" spans="6:6" x14ac:dyDescent="0.25">
      <c r="F37" s="103"/>
    </row>
    <row r="38" spans="6:6" x14ac:dyDescent="0.25">
      <c r="F38" s="103"/>
    </row>
    <row r="39" spans="6:6" x14ac:dyDescent="0.25">
      <c r="F39" s="103"/>
    </row>
    <row r="40" spans="6:6" x14ac:dyDescent="0.25">
      <c r="F40" s="103"/>
    </row>
  </sheetData>
  <mergeCells count="22">
    <mergeCell ref="H15:H16"/>
    <mergeCell ref="B17:B24"/>
    <mergeCell ref="C17:D19"/>
    <mergeCell ref="G17:H18"/>
    <mergeCell ref="C20:D22"/>
    <mergeCell ref="C23:D23"/>
    <mergeCell ref="B1:H1"/>
    <mergeCell ref="B8:D8"/>
    <mergeCell ref="G8:H8"/>
    <mergeCell ref="M8:N8"/>
    <mergeCell ref="B9:B16"/>
    <mergeCell ref="C9:C12"/>
    <mergeCell ref="D9:D10"/>
    <mergeCell ref="G9:H9"/>
    <mergeCell ref="G10:H10"/>
    <mergeCell ref="D11:D12"/>
    <mergeCell ref="H11:H12"/>
    <mergeCell ref="C13:C16"/>
    <mergeCell ref="D13:D14"/>
    <mergeCell ref="G13:H13"/>
    <mergeCell ref="G14:H14"/>
    <mergeCell ref="D15:D16"/>
  </mergeCells>
  <pageMargins left="0.75" right="0.75" top="1" bottom="1" header="0" footer="0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42"/>
  <sheetViews>
    <sheetView workbookViewId="0">
      <selection activeCell="T8" sqref="T8"/>
    </sheetView>
  </sheetViews>
  <sheetFormatPr baseColWidth="10" defaultColWidth="11.5546875" defaultRowHeight="13.2" x14ac:dyDescent="0.25"/>
  <cols>
    <col min="1" max="1" width="6.109375" style="77" customWidth="1"/>
    <col min="2" max="2" width="18.88671875" style="77" customWidth="1"/>
    <col min="3" max="3" width="6.44140625" style="77" customWidth="1"/>
    <col min="4" max="15" width="7.88671875" style="77" customWidth="1"/>
    <col min="16" max="17" width="11.5546875" style="54"/>
    <col min="18" max="16384" width="11.5546875" style="77"/>
  </cols>
  <sheetData>
    <row r="1" spans="1:16" x14ac:dyDescent="0.25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</row>
    <row r="2" spans="1:16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6"/>
    </row>
    <row r="3" spans="1:16" x14ac:dyDescent="0.25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6"/>
    </row>
    <row r="4" spans="1:16" ht="33" customHeight="1" thickBot="1" x14ac:dyDescent="0.3">
      <c r="A4" s="53"/>
      <c r="B4" s="1571" t="s">
        <v>462</v>
      </c>
      <c r="C4" s="1572"/>
      <c r="D4" s="1573" t="s">
        <v>463</v>
      </c>
      <c r="E4" s="1573"/>
      <c r="F4" s="1573"/>
      <c r="G4" s="1573"/>
      <c r="H4" s="1573"/>
      <c r="I4" s="1573"/>
      <c r="J4" s="1573"/>
      <c r="K4" s="1574" t="s">
        <v>464</v>
      </c>
      <c r="L4" s="1575"/>
      <c r="M4" s="1575"/>
      <c r="N4" s="1575"/>
      <c r="O4" s="1576"/>
    </row>
    <row r="5" spans="1:16" x14ac:dyDescent="0.25">
      <c r="A5" s="53"/>
      <c r="B5" s="1577" t="s">
        <v>465</v>
      </c>
      <c r="C5" s="1578"/>
      <c r="D5" s="1581" t="s">
        <v>466</v>
      </c>
      <c r="E5" s="1582"/>
      <c r="F5" s="1583" t="s">
        <v>467</v>
      </c>
      <c r="G5" s="1581" t="s">
        <v>468</v>
      </c>
      <c r="H5" s="1585"/>
      <c r="I5" s="1585"/>
      <c r="J5" s="1582"/>
      <c r="K5" s="1586" t="s">
        <v>469</v>
      </c>
      <c r="L5" s="1588" t="s">
        <v>470</v>
      </c>
      <c r="M5" s="1590" t="s">
        <v>471</v>
      </c>
      <c r="N5" s="1592" t="s">
        <v>472</v>
      </c>
      <c r="O5" s="1593"/>
    </row>
    <row r="6" spans="1:16" x14ac:dyDescent="0.25">
      <c r="A6" s="53"/>
      <c r="B6" s="1579"/>
      <c r="C6" s="1580"/>
      <c r="D6" s="851" t="s">
        <v>473</v>
      </c>
      <c r="E6" s="852" t="s">
        <v>474</v>
      </c>
      <c r="F6" s="1584"/>
      <c r="G6" s="851" t="s">
        <v>475</v>
      </c>
      <c r="H6" s="853" t="s">
        <v>476</v>
      </c>
      <c r="I6" s="854" t="s">
        <v>477</v>
      </c>
      <c r="J6" s="852" t="s">
        <v>478</v>
      </c>
      <c r="K6" s="1587"/>
      <c r="L6" s="1589"/>
      <c r="M6" s="1591"/>
      <c r="N6" s="855" t="s">
        <v>479</v>
      </c>
      <c r="O6" s="856" t="s">
        <v>480</v>
      </c>
    </row>
    <row r="7" spans="1:16" x14ac:dyDescent="0.25">
      <c r="A7" s="53"/>
      <c r="B7" s="57"/>
      <c r="C7" s="857"/>
      <c r="D7" s="58"/>
      <c r="E7" s="858"/>
      <c r="F7" s="59"/>
      <c r="G7" s="58"/>
      <c r="H7" s="859"/>
      <c r="I7" s="59"/>
      <c r="J7" s="858"/>
      <c r="K7" s="60"/>
      <c r="L7" s="61"/>
      <c r="M7" s="62"/>
      <c r="N7" s="60"/>
      <c r="O7" s="860"/>
    </row>
    <row r="8" spans="1:16" x14ac:dyDescent="0.25">
      <c r="A8" s="53"/>
      <c r="B8" s="63" t="s">
        <v>481</v>
      </c>
      <c r="C8" s="857"/>
      <c r="D8" s="58"/>
      <c r="E8" s="858"/>
      <c r="F8" s="59"/>
      <c r="G8" s="58"/>
      <c r="H8" s="859"/>
      <c r="I8" s="59"/>
      <c r="J8" s="858"/>
      <c r="K8" s="60"/>
      <c r="L8" s="61"/>
      <c r="M8" s="62"/>
      <c r="N8" s="60"/>
      <c r="O8" s="860"/>
    </row>
    <row r="9" spans="1:16" x14ac:dyDescent="0.25">
      <c r="A9" s="53"/>
      <c r="B9" s="63" t="s">
        <v>482</v>
      </c>
      <c r="C9" s="857"/>
      <c r="D9" s="58"/>
      <c r="E9" s="858"/>
      <c r="F9" s="59"/>
      <c r="G9" s="58"/>
      <c r="H9" s="859"/>
      <c r="I9" s="59"/>
      <c r="J9" s="858"/>
      <c r="K9" s="60"/>
      <c r="L9" s="61"/>
      <c r="M9" s="62"/>
      <c r="N9" s="60"/>
      <c r="O9" s="860"/>
    </row>
    <row r="10" spans="1:16" x14ac:dyDescent="0.25">
      <c r="A10" s="53"/>
      <c r="B10" s="64"/>
      <c r="C10" s="857"/>
      <c r="D10" s="58"/>
      <c r="E10" s="858"/>
      <c r="F10" s="59"/>
      <c r="G10" s="58"/>
      <c r="H10" s="859"/>
      <c r="I10" s="59"/>
      <c r="J10" s="858"/>
      <c r="K10" s="60"/>
      <c r="L10" s="61"/>
      <c r="M10" s="62"/>
      <c r="N10" s="60"/>
      <c r="O10" s="860"/>
    </row>
    <row r="11" spans="1:16" x14ac:dyDescent="0.25">
      <c r="A11" s="53"/>
      <c r="B11" s="65" t="s">
        <v>483</v>
      </c>
      <c r="C11" s="861">
        <f>+A.Granul!S29</f>
        <v>47.356367351557068</v>
      </c>
      <c r="D11" s="58" t="s">
        <v>484</v>
      </c>
      <c r="E11" s="858"/>
      <c r="F11" s="59"/>
      <c r="G11" s="58"/>
      <c r="H11" s="859"/>
      <c r="I11" s="59"/>
      <c r="J11" s="858"/>
      <c r="K11" s="60"/>
      <c r="L11" s="61"/>
      <c r="M11" s="62"/>
      <c r="N11" s="60"/>
      <c r="O11" s="860"/>
    </row>
    <row r="12" spans="1:16" x14ac:dyDescent="0.25">
      <c r="A12" s="53"/>
      <c r="B12" s="65" t="s">
        <v>485</v>
      </c>
      <c r="C12" s="861">
        <f>+A.Granul!S32</f>
        <v>27.175831135894526</v>
      </c>
      <c r="D12" s="58" t="s">
        <v>486</v>
      </c>
      <c r="E12" s="858" t="s">
        <v>484</v>
      </c>
      <c r="F12" s="59" t="s">
        <v>487</v>
      </c>
      <c r="G12" s="58"/>
      <c r="H12" s="859"/>
      <c r="I12" s="59"/>
      <c r="J12" s="858"/>
      <c r="K12" s="60"/>
      <c r="L12" s="61"/>
      <c r="M12" s="62"/>
      <c r="N12" s="60"/>
      <c r="O12" s="860"/>
    </row>
    <row r="13" spans="1:16" x14ac:dyDescent="0.25">
      <c r="A13" s="53"/>
      <c r="B13" s="65" t="s">
        <v>488</v>
      </c>
      <c r="C13" s="861">
        <f>+A.Granul!S35</f>
        <v>13.456812316430202</v>
      </c>
      <c r="D13" s="58" t="s">
        <v>489</v>
      </c>
      <c r="E13" s="858" t="s">
        <v>490</v>
      </c>
      <c r="F13" s="59" t="s">
        <v>491</v>
      </c>
      <c r="G13" s="58" t="s">
        <v>492</v>
      </c>
      <c r="H13" s="859" t="s">
        <v>492</v>
      </c>
      <c r="I13" s="59" t="s">
        <v>492</v>
      </c>
      <c r="J13" s="858" t="s">
        <v>492</v>
      </c>
      <c r="K13" s="60" t="s">
        <v>493</v>
      </c>
      <c r="L13" s="61" t="s">
        <v>493</v>
      </c>
      <c r="M13" s="62" t="s">
        <v>493</v>
      </c>
      <c r="N13" s="60" t="s">
        <v>493</v>
      </c>
      <c r="O13" s="860" t="s">
        <v>493</v>
      </c>
    </row>
    <row r="14" spans="1:16" x14ac:dyDescent="0.25">
      <c r="A14" s="53"/>
      <c r="B14" s="862"/>
      <c r="C14" s="863"/>
      <c r="D14" s="864"/>
      <c r="E14" s="865"/>
      <c r="F14" s="866"/>
      <c r="G14" s="864"/>
      <c r="H14" s="867"/>
      <c r="I14" s="866"/>
      <c r="J14" s="865"/>
      <c r="K14" s="868"/>
      <c r="L14" s="869"/>
      <c r="M14" s="870"/>
      <c r="N14" s="868"/>
      <c r="O14" s="871"/>
    </row>
    <row r="15" spans="1:16" x14ac:dyDescent="0.25">
      <c r="A15" s="53"/>
      <c r="B15" s="66"/>
      <c r="C15" s="872"/>
      <c r="D15" s="67"/>
      <c r="E15" s="873"/>
      <c r="F15" s="68"/>
      <c r="G15" s="67"/>
      <c r="H15" s="874"/>
      <c r="I15" s="68"/>
      <c r="J15" s="873"/>
      <c r="K15" s="69"/>
      <c r="L15" s="70"/>
      <c r="M15" s="71"/>
      <c r="N15" s="69"/>
      <c r="O15" s="875"/>
    </row>
    <row r="16" spans="1:16" x14ac:dyDescent="0.25">
      <c r="A16" s="53"/>
      <c r="B16" s="72" t="s">
        <v>494</v>
      </c>
      <c r="C16" s="876"/>
      <c r="D16" s="67"/>
      <c r="E16" s="873"/>
      <c r="F16" s="68"/>
      <c r="G16" s="67"/>
      <c r="H16" s="874"/>
      <c r="I16" s="68"/>
      <c r="J16" s="873"/>
      <c r="K16" s="69"/>
      <c r="L16" s="70"/>
      <c r="M16" s="71"/>
      <c r="N16" s="69"/>
      <c r="O16" s="875"/>
    </row>
    <row r="17" spans="1:15" x14ac:dyDescent="0.25">
      <c r="A17" s="53"/>
      <c r="B17" s="72" t="s">
        <v>495</v>
      </c>
      <c r="C17" s="876"/>
      <c r="D17" s="67"/>
      <c r="E17" s="873"/>
      <c r="F17" s="68"/>
      <c r="G17" s="67"/>
      <c r="H17" s="874"/>
      <c r="I17" s="68"/>
      <c r="J17" s="873"/>
      <c r="K17" s="69"/>
      <c r="L17" s="70"/>
      <c r="M17" s="71"/>
      <c r="N17" s="69"/>
      <c r="O17" s="875"/>
    </row>
    <row r="18" spans="1:15" x14ac:dyDescent="0.25">
      <c r="A18" s="53"/>
      <c r="B18" s="72" t="s">
        <v>496</v>
      </c>
      <c r="C18" s="876"/>
      <c r="D18" s="67"/>
      <c r="E18" s="873"/>
      <c r="F18" s="68"/>
      <c r="G18" s="67"/>
      <c r="H18" s="874"/>
      <c r="I18" s="68"/>
      <c r="J18" s="873"/>
      <c r="K18" s="69"/>
      <c r="L18" s="70"/>
      <c r="M18" s="71"/>
      <c r="N18" s="69"/>
      <c r="O18" s="875"/>
    </row>
    <row r="19" spans="1:15" x14ac:dyDescent="0.25">
      <c r="A19" s="53"/>
      <c r="B19" s="73"/>
      <c r="C19" s="876"/>
      <c r="D19" s="67"/>
      <c r="E19" s="873"/>
      <c r="F19" s="68"/>
      <c r="G19" s="67"/>
      <c r="H19" s="874"/>
      <c r="I19" s="68"/>
      <c r="J19" s="873"/>
      <c r="K19" s="69"/>
      <c r="L19" s="70"/>
      <c r="M19" s="71"/>
      <c r="N19" s="69"/>
      <c r="O19" s="875"/>
    </row>
    <row r="20" spans="1:15" x14ac:dyDescent="0.25">
      <c r="A20" s="53"/>
      <c r="B20" s="74" t="s">
        <v>497</v>
      </c>
      <c r="C20" s="876" t="str">
        <f>+'LL-LP'!H35</f>
        <v>NP</v>
      </c>
      <c r="D20" s="67"/>
      <c r="E20" s="873"/>
      <c r="F20" s="68"/>
      <c r="G20" s="67" t="s">
        <v>498</v>
      </c>
      <c r="H20" s="874" t="s">
        <v>499</v>
      </c>
      <c r="I20" s="68" t="s">
        <v>498</v>
      </c>
      <c r="J20" s="873" t="s">
        <v>499</v>
      </c>
      <c r="K20" s="69" t="s">
        <v>498</v>
      </c>
      <c r="L20" s="70" t="s">
        <v>499</v>
      </c>
      <c r="M20" s="71" t="s">
        <v>498</v>
      </c>
      <c r="N20" s="69" t="s">
        <v>499</v>
      </c>
      <c r="O20" s="875" t="s">
        <v>499</v>
      </c>
    </row>
    <row r="21" spans="1:15" x14ac:dyDescent="0.25">
      <c r="A21" s="53"/>
      <c r="B21" s="74" t="s">
        <v>500</v>
      </c>
      <c r="C21" s="876" t="str">
        <f>+'LL-LP'!H41</f>
        <v>NP</v>
      </c>
      <c r="D21" s="67" t="s">
        <v>501</v>
      </c>
      <c r="E21" s="873" t="s">
        <v>501</v>
      </c>
      <c r="F21" s="68" t="s">
        <v>502</v>
      </c>
      <c r="G21" s="67" t="s">
        <v>491</v>
      </c>
      <c r="H21" s="874" t="s">
        <v>491</v>
      </c>
      <c r="I21" s="68" t="s">
        <v>503</v>
      </c>
      <c r="J21" s="873" t="s">
        <v>503</v>
      </c>
      <c r="K21" s="69" t="s">
        <v>491</v>
      </c>
      <c r="L21" s="70" t="s">
        <v>491</v>
      </c>
      <c r="M21" s="71" t="s">
        <v>503</v>
      </c>
      <c r="N21" s="69" t="s">
        <v>504</v>
      </c>
      <c r="O21" s="875" t="s">
        <v>504</v>
      </c>
    </row>
    <row r="22" spans="1:15" x14ac:dyDescent="0.25">
      <c r="A22" s="53"/>
      <c r="B22" s="877"/>
      <c r="C22" s="878" t="s">
        <v>150</v>
      </c>
      <c r="D22" s="879"/>
      <c r="E22" s="880"/>
      <c r="F22" s="881"/>
      <c r="G22" s="879"/>
      <c r="H22" s="882"/>
      <c r="I22" s="881"/>
      <c r="J22" s="880"/>
      <c r="K22" s="883"/>
      <c r="L22" s="884"/>
      <c r="M22" s="885"/>
      <c r="N22" s="883"/>
      <c r="O22" s="886"/>
    </row>
    <row r="23" spans="1:15" ht="13.8" thickBot="1" x14ac:dyDescent="0.3">
      <c r="A23" s="53"/>
      <c r="B23" s="887" t="s">
        <v>505</v>
      </c>
      <c r="C23" s="888">
        <f>+D38</f>
        <v>0</v>
      </c>
      <c r="D23" s="1565">
        <v>0</v>
      </c>
      <c r="E23" s="1566"/>
      <c r="F23" s="889">
        <v>0</v>
      </c>
      <c r="G23" s="1565">
        <v>0</v>
      </c>
      <c r="H23" s="1567"/>
      <c r="I23" s="1568" t="s">
        <v>506</v>
      </c>
      <c r="J23" s="1566"/>
      <c r="K23" s="890" t="s">
        <v>507</v>
      </c>
      <c r="L23" s="891" t="s">
        <v>508</v>
      </c>
      <c r="M23" s="892" t="s">
        <v>509</v>
      </c>
      <c r="N23" s="890" t="s">
        <v>510</v>
      </c>
      <c r="O23" s="893" t="s">
        <v>510</v>
      </c>
    </row>
    <row r="24" spans="1:15" ht="13.8" thickTop="1" x14ac:dyDescent="0.25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</row>
    <row r="25" spans="1:15" x14ac:dyDescent="0.2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</row>
    <row r="26" spans="1:15" ht="17.399999999999999" x14ac:dyDescent="0.3">
      <c r="A26" s="53"/>
      <c r="B26" s="53"/>
      <c r="C26" s="53"/>
      <c r="D26" s="53"/>
      <c r="E26" s="75" t="s">
        <v>511</v>
      </c>
      <c r="F26" s="55"/>
      <c r="G26" s="76"/>
      <c r="H26" s="55"/>
      <c r="I26" s="55"/>
      <c r="J26" s="1569" t="str">
        <f>+D31&amp;" "&amp;F38</f>
        <v>A-1-a (0)</v>
      </c>
      <c r="K26" s="1570"/>
      <c r="L26" s="53"/>
      <c r="M26" s="53"/>
      <c r="N26" s="53"/>
      <c r="O26" s="53"/>
    </row>
    <row r="27" spans="1:15" ht="16.2" customHeight="1" x14ac:dyDescent="0.25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</row>
    <row r="28" spans="1:15" ht="16.2" hidden="1" customHeight="1" x14ac:dyDescent="0.25"/>
    <row r="29" spans="1:15" ht="16.2" hidden="1" customHeight="1" x14ac:dyDescent="0.25">
      <c r="D29" s="77" t="str">
        <f>IF(AND(C11&lt;=50,C12&lt;=30,C13&lt;=15,OR(C21&lt;=6,C21="NP"),C23&lt;=0),D6,"--")</f>
        <v>A-1-a</v>
      </c>
      <c r="E29" s="77" t="str">
        <f>IF(AND(C12&lt;=50,C13&lt;=25,OR(C21&lt;=6,C21="NP"),C23&lt;=0),E6,"--")</f>
        <v>A-1-b</v>
      </c>
      <c r="F29" s="77" t="str">
        <f>IF(AND(C12&gt;50,C13&lt;=10,OR(C20="N.P.",C20="NP",C20=0),OR(C21="N.P.",C21="NP",C21=0),C23&lt;=0),F5,"--")</f>
        <v>--</v>
      </c>
      <c r="G29" s="77" t="str">
        <f>IF(AND(C13&lt;=35,OR(C20&lt;=40,C20="NP"),OR(C21&lt;=10,C21="NP"),C23&lt;=0),G6,"--")</f>
        <v>A-2-4</v>
      </c>
      <c r="H29" s="77" t="str">
        <f>IF(AND(C13&lt;=35,C20&gt;40,C20&lt;&gt;"NP",C21&lt;=10,C21&lt;&gt;"NP",C23&lt;=0),H6,"--")</f>
        <v>--</v>
      </c>
      <c r="I29" s="77" t="str">
        <f>IF(AND(C13&lt;=35,C20&lt;=40,C20&lt;&gt;"NP",C23&lt;=4,C21&gt;10,C21&lt;&gt;"NP"),I6,"--")</f>
        <v>--</v>
      </c>
      <c r="J29" s="77" t="str">
        <f>IF(AND(C13&lt;=35,C20&gt;40,C20&lt;&gt;"NP",C21&gt;10,C23&lt;=4,C21&lt;&gt;"NP"),J6,"--")</f>
        <v>--</v>
      </c>
      <c r="K29" s="77" t="str">
        <f>IF(AND(C13&gt;35,OR(C20&lt;=40,C20="NP"),OR(C21&lt;=10,C21="NP"),C23&lt;=8),K5,"--")</f>
        <v>--</v>
      </c>
      <c r="L29" s="77" t="str">
        <f>IF(AND(C13&gt;35,C20&gt;40,C20&lt;&gt;"NP",C21&lt;=10,C21&lt;&gt;"NP",C23&lt;=12),L5,"--")</f>
        <v>--</v>
      </c>
      <c r="M29" s="77" t="str">
        <f>IF(AND(C13&gt;35,C20&lt;=40,C21&gt;10,C23&lt;=16,C21&lt;&gt;"NP"),M5,"--")</f>
        <v>--</v>
      </c>
      <c r="N29" s="77" t="str">
        <f>IF(AND(C13&gt;35,C20&lt;&gt;"NP",C20&gt;40,C21&lt;&gt;"NP",C21&gt;10,C23&lt;=20),IF(C20-C21&gt;30,N6,"--"),"--")</f>
        <v>--</v>
      </c>
      <c r="O29" s="77" t="str">
        <f>IF(AND(C13&gt;35,C20&gt;40,C20&lt;&gt;"NP",C21&gt;10,C21&lt;&gt;"NP",C23&lt;=20),IF(C20-C21&lt;=30,O6,"--"),"--")</f>
        <v>--</v>
      </c>
    </row>
    <row r="30" spans="1:15" ht="16.2" hidden="1" customHeight="1" x14ac:dyDescent="0.25">
      <c r="D30" s="77" t="str">
        <f>IF(D29&lt;&gt;"--",D29,"")</f>
        <v>A-1-a</v>
      </c>
      <c r="E30" s="77" t="str">
        <f>IF(AND(D29="--",E29&lt;&gt;"--"),E29,"")</f>
        <v/>
      </c>
      <c r="F30" s="77" t="str">
        <f>IF(AND(D29="--",E29="--",F29&lt;&gt;"--"),F29,"")</f>
        <v/>
      </c>
      <c r="G30" s="77" t="str">
        <f>IF(AND(D29="--",E29="--",F29="--",G29&lt;&gt;"--"),G29,"")</f>
        <v/>
      </c>
      <c r="H30" s="77" t="str">
        <f>IF(AND(D29="--",E29="--",F29="--",G29="--",H29&lt;&gt;"--"),H29,"")</f>
        <v/>
      </c>
      <c r="I30" s="77" t="str">
        <f>IF(AND(D29="--",E29="--",F29="--",G29="--",H29="--",I29&lt;&gt;"--"),I29,"")</f>
        <v/>
      </c>
      <c r="J30" s="77" t="str">
        <f>IF(AND(D29="--",E29="--",F29="--",G29="--",H29="--",I29="--",J29&lt;&gt;"--"),J29,"")</f>
        <v/>
      </c>
      <c r="K30" s="77" t="str">
        <f>IF(K29&lt;&gt;"--",K29,"")</f>
        <v/>
      </c>
      <c r="L30" s="77" t="str">
        <f>IF(AND(K29="--",L29&lt;&gt;"--"),L29,"")</f>
        <v/>
      </c>
      <c r="M30" s="77" t="str">
        <f>IF(AND(K29="--",L29="--",M29&lt;&gt;"--"),M29,"")</f>
        <v/>
      </c>
      <c r="N30" s="77" t="str">
        <f>IF(AND(K29="--",L29="--",M29="--",N29&lt;&gt;"--"),N29,"")</f>
        <v/>
      </c>
      <c r="O30" s="77" t="str">
        <f>IF(AND(K29="--",L29="--",M29="--",N29="--",O29&lt;&gt;"--"),O29,"")</f>
        <v/>
      </c>
    </row>
    <row r="31" spans="1:15" ht="16.2" hidden="1" customHeight="1" x14ac:dyDescent="0.25">
      <c r="D31" s="77" t="str">
        <f>+D30&amp;E30&amp;F30&amp;G30&amp;H30&amp;I30&amp;J30&amp;K30&amp;L30&amp;M30&amp;N30&amp;O30</f>
        <v>A-1-a</v>
      </c>
    </row>
    <row r="32" spans="1:15" ht="16.2" hidden="1" customHeight="1" x14ac:dyDescent="0.25"/>
    <row r="33" spans="1:15" ht="16.2" hidden="1" customHeight="1" x14ac:dyDescent="0.25">
      <c r="C33" s="77" t="s">
        <v>369</v>
      </c>
      <c r="D33" s="78">
        <f>+IF(C13&gt;75,40,IF(C13&lt;35,1,IF(C13&lt;40,40-C13,C13-40)))</f>
        <v>1</v>
      </c>
    </row>
    <row r="34" spans="1:15" ht="16.2" hidden="1" customHeight="1" x14ac:dyDescent="0.25">
      <c r="C34" s="77" t="s">
        <v>371</v>
      </c>
      <c r="D34" s="78">
        <f>+IF(C13&gt;55,40,IF(C13&lt;15,1,C13-15))</f>
        <v>1</v>
      </c>
    </row>
    <row r="35" spans="1:15" ht="16.2" hidden="1" customHeight="1" x14ac:dyDescent="0.25">
      <c r="C35" s="79" t="s">
        <v>373</v>
      </c>
      <c r="D35" s="78">
        <f>+IF(C20="NP",1,IF(C20&gt;60,20,IF(C20&lt;40,1,C20-40)))</f>
        <v>1</v>
      </c>
    </row>
    <row r="36" spans="1:15" ht="16.2" hidden="1" customHeight="1" x14ac:dyDescent="0.25">
      <c r="C36" s="77" t="s">
        <v>375</v>
      </c>
      <c r="D36" s="78">
        <f>+IF(C21="NP",1,IF(C21&gt;30,20,IF(C21&lt;10,1,C21-10)))</f>
        <v>1</v>
      </c>
    </row>
    <row r="37" spans="1:15" ht="16.2" hidden="1" customHeight="1" x14ac:dyDescent="0.25"/>
    <row r="38" spans="1:15" ht="16.2" hidden="1" customHeight="1" x14ac:dyDescent="0.25">
      <c r="C38" s="80">
        <f>0.2*D33+0.005*D33*D35+0.01*D34*D36</f>
        <v>0.21500000000000002</v>
      </c>
      <c r="D38" s="81">
        <f>ROUND(C38,0)</f>
        <v>0</v>
      </c>
      <c r="F38" s="77" t="str">
        <f>+"("&amp;D38&amp;")"</f>
        <v>(0)</v>
      </c>
    </row>
    <row r="39" spans="1:15" ht="16.2" hidden="1" customHeight="1" x14ac:dyDescent="0.25"/>
    <row r="40" spans="1:15" ht="16.2" hidden="1" customHeight="1" x14ac:dyDescent="0.25"/>
    <row r="41" spans="1:15" ht="16.2" customHeight="1" x14ac:dyDescent="0.25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</row>
    <row r="42" spans="1:15" ht="15" customHeight="1" x14ac:dyDescent="0.25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</row>
  </sheetData>
  <mergeCells count="15">
    <mergeCell ref="D23:E23"/>
    <mergeCell ref="G23:H23"/>
    <mergeCell ref="I23:J23"/>
    <mergeCell ref="J26:K26"/>
    <mergeCell ref="B4:C4"/>
    <mergeCell ref="D4:J4"/>
    <mergeCell ref="K4:O4"/>
    <mergeCell ref="B5:C6"/>
    <mergeCell ref="D5:E5"/>
    <mergeCell ref="F5:F6"/>
    <mergeCell ref="G5:J5"/>
    <mergeCell ref="K5:K6"/>
    <mergeCell ref="L5:L6"/>
    <mergeCell ref="M5:M6"/>
    <mergeCell ref="N5:O5"/>
  </mergeCells>
  <printOptions horizontalCentered="1"/>
  <pageMargins left="0.39370078740157483" right="0.39370078740157483" top="0.98425196850393704" bottom="0.39370078740157483" header="0" footer="0"/>
  <pageSetup paperSize="9" scale="110"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3"/>
  <dimension ref="A2:M9"/>
  <sheetViews>
    <sheetView workbookViewId="0">
      <selection activeCell="D26" sqref="D26"/>
    </sheetView>
  </sheetViews>
  <sheetFormatPr baseColWidth="10" defaultColWidth="11.44140625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1594" t="s">
        <v>512</v>
      </c>
      <c r="B2" s="1594"/>
      <c r="C2" s="894" t="s">
        <v>513</v>
      </c>
      <c r="D2" s="895" t="s">
        <v>514</v>
      </c>
      <c r="E2" s="895" t="s">
        <v>515</v>
      </c>
      <c r="F2" s="895" t="s">
        <v>516</v>
      </c>
      <c r="G2" s="895" t="s">
        <v>517</v>
      </c>
      <c r="H2" s="895" t="s">
        <v>518</v>
      </c>
      <c r="I2" s="895" t="s">
        <v>519</v>
      </c>
      <c r="J2" s="895" t="s">
        <v>520</v>
      </c>
      <c r="K2" s="895" t="s">
        <v>521</v>
      </c>
      <c r="L2" s="895" t="s">
        <v>522</v>
      </c>
      <c r="M2" s="895" t="s">
        <v>523</v>
      </c>
    </row>
    <row r="3" spans="1:13" ht="18.75" customHeight="1" x14ac:dyDescent="0.25">
      <c r="A3" s="896">
        <v>4400</v>
      </c>
      <c r="B3" s="897">
        <f>+A3+1</f>
        <v>4401</v>
      </c>
      <c r="C3" s="898" t="str">
        <f t="shared" ref="C3:C8" si="0">A3&amp;"-"&amp;B3</f>
        <v>4400-4401</v>
      </c>
      <c r="D3" s="896" t="s">
        <v>524</v>
      </c>
      <c r="E3" s="896">
        <v>350</v>
      </c>
      <c r="F3" s="899">
        <v>42347</v>
      </c>
      <c r="G3" s="897">
        <v>7</v>
      </c>
      <c r="H3" s="900">
        <v>15.05</v>
      </c>
      <c r="I3" s="896">
        <v>49900</v>
      </c>
      <c r="J3" s="901">
        <f t="shared" ref="J3:J8" si="1">H3*H3*PI()/4</f>
        <v>177.89464750493056</v>
      </c>
      <c r="K3" s="902">
        <f t="shared" ref="K3:K8" si="2">I3/J3</f>
        <v>280.50309944607505</v>
      </c>
      <c r="L3" s="903">
        <f t="shared" ref="L3:L8" si="3">+K3/E3</f>
        <v>0.80143742698878584</v>
      </c>
      <c r="M3" s="904" t="s">
        <v>377</v>
      </c>
    </row>
    <row r="4" spans="1:13" ht="18.75" customHeight="1" x14ac:dyDescent="0.25">
      <c r="A4" s="897"/>
      <c r="B4" s="897"/>
      <c r="C4" s="905" t="str">
        <f t="shared" si="0"/>
        <v>-</v>
      </c>
      <c r="D4" s="897"/>
      <c r="E4" s="896">
        <v>350</v>
      </c>
      <c r="F4" s="897"/>
      <c r="G4" s="897">
        <v>7</v>
      </c>
      <c r="H4" s="900">
        <v>15.06</v>
      </c>
      <c r="I4" s="896">
        <v>50310</v>
      </c>
      <c r="J4" s="901">
        <f t="shared" si="1"/>
        <v>178.1311308919295</v>
      </c>
      <c r="K4" s="902">
        <f t="shared" si="2"/>
        <v>282.43238421094742</v>
      </c>
      <c r="L4" s="903">
        <f t="shared" si="3"/>
        <v>0.80694966917413546</v>
      </c>
      <c r="M4" s="904" t="s">
        <v>381</v>
      </c>
    </row>
    <row r="5" spans="1:13" ht="18.75" customHeight="1" x14ac:dyDescent="0.25">
      <c r="A5" s="897">
        <f>+B3+1</f>
        <v>4402</v>
      </c>
      <c r="B5" s="897">
        <f>+A5+1</f>
        <v>4403</v>
      </c>
      <c r="C5" s="905" t="str">
        <f t="shared" si="0"/>
        <v>4402-4403</v>
      </c>
      <c r="D5" s="897"/>
      <c r="E5" s="896">
        <v>350</v>
      </c>
      <c r="F5" s="897"/>
      <c r="G5" s="897">
        <v>14</v>
      </c>
      <c r="H5" s="900">
        <v>15.04</v>
      </c>
      <c r="I5" s="896">
        <v>56450</v>
      </c>
      <c r="J5" s="901">
        <f t="shared" si="1"/>
        <v>177.65832119756422</v>
      </c>
      <c r="K5" s="902">
        <f t="shared" si="2"/>
        <v>317.74475644867209</v>
      </c>
      <c r="L5" s="903">
        <f t="shared" si="3"/>
        <v>0.9078421612819203</v>
      </c>
      <c r="M5" s="904" t="s">
        <v>381</v>
      </c>
    </row>
    <row r="6" spans="1:13" ht="18.75" customHeight="1" x14ac:dyDescent="0.25">
      <c r="A6" s="897"/>
      <c r="B6" s="897"/>
      <c r="C6" s="905" t="str">
        <f t="shared" si="0"/>
        <v>-</v>
      </c>
      <c r="D6" s="897"/>
      <c r="E6" s="896">
        <v>350</v>
      </c>
      <c r="F6" s="897"/>
      <c r="G6" s="897">
        <v>14</v>
      </c>
      <c r="H6" s="900">
        <v>15</v>
      </c>
      <c r="I6" s="896">
        <v>59630</v>
      </c>
      <c r="J6" s="901">
        <f t="shared" si="1"/>
        <v>176.71458676442586</v>
      </c>
      <c r="K6" s="902">
        <f t="shared" si="2"/>
        <v>337.43677356692336</v>
      </c>
      <c r="L6" s="903">
        <f t="shared" si="3"/>
        <v>0.96410506733406676</v>
      </c>
      <c r="M6" s="904" t="s">
        <v>381</v>
      </c>
    </row>
    <row r="7" spans="1:13" ht="18.75" customHeight="1" x14ac:dyDescent="0.25">
      <c r="A7" s="897">
        <f>+B5+1</f>
        <v>4404</v>
      </c>
      <c r="B7" s="897">
        <f>+A7+1</f>
        <v>4405</v>
      </c>
      <c r="C7" s="905" t="str">
        <f t="shared" si="0"/>
        <v>4404-4405</v>
      </c>
      <c r="D7" s="897"/>
      <c r="E7" s="896">
        <v>350</v>
      </c>
      <c r="F7" s="897"/>
      <c r="G7" s="897">
        <v>28</v>
      </c>
      <c r="H7" s="900">
        <v>15.11</v>
      </c>
      <c r="I7" s="896">
        <v>65310</v>
      </c>
      <c r="J7" s="901">
        <f t="shared" si="1"/>
        <v>179.31590402141455</v>
      </c>
      <c r="K7" s="902">
        <f t="shared" si="2"/>
        <v>364.21755424549764</v>
      </c>
      <c r="L7" s="903">
        <f t="shared" si="3"/>
        <v>1.0406215835585646</v>
      </c>
      <c r="M7" s="904" t="s">
        <v>381</v>
      </c>
    </row>
    <row r="8" spans="1:13" ht="18.75" customHeight="1" x14ac:dyDescent="0.25">
      <c r="A8" s="897"/>
      <c r="B8" s="897"/>
      <c r="C8" s="905" t="str">
        <f t="shared" si="0"/>
        <v>-</v>
      </c>
      <c r="D8" s="897"/>
      <c r="E8" s="896">
        <v>350</v>
      </c>
      <c r="F8" s="897"/>
      <c r="G8" s="897">
        <v>28</v>
      </c>
      <c r="H8" s="900">
        <v>15.05</v>
      </c>
      <c r="I8" s="896">
        <v>64730</v>
      </c>
      <c r="J8" s="901">
        <f t="shared" si="1"/>
        <v>177.89464750493056</v>
      </c>
      <c r="K8" s="902">
        <f t="shared" si="2"/>
        <v>363.86704663616104</v>
      </c>
      <c r="L8" s="903">
        <f t="shared" si="3"/>
        <v>1.0396201332461743</v>
      </c>
      <c r="M8" s="904" t="s">
        <v>377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16</vt:i4>
      </vt:variant>
    </vt:vector>
  </HeadingPairs>
  <TitlesOfParts>
    <vt:vector size="29" baseType="lpstr">
      <vt:lpstr>formato</vt:lpstr>
      <vt:lpstr>Proctor</vt:lpstr>
      <vt:lpstr>DATOS</vt:lpstr>
      <vt:lpstr>Incertidumbre</vt:lpstr>
      <vt:lpstr>Balanza</vt:lpstr>
      <vt:lpstr>precision</vt:lpstr>
      <vt:lpstr>Correccion</vt:lpstr>
      <vt:lpstr>A.Granul</vt:lpstr>
      <vt:lpstr>LL-LP</vt:lpstr>
      <vt:lpstr>GR-Esp</vt:lpstr>
      <vt:lpstr>Sucs </vt:lpstr>
      <vt:lpstr>Aashto</vt:lpstr>
      <vt:lpstr>Hoja1</vt:lpstr>
      <vt:lpstr>A.Granul!Área_de_impresión</vt:lpstr>
      <vt:lpstr>Aashto!Área_de_impresión</vt:lpstr>
      <vt:lpstr>Correccion!Área_de_impresión</vt:lpstr>
      <vt:lpstr>DATOS!Área_de_impresión</vt:lpstr>
      <vt:lpstr>'GR-Esp'!Área_de_impresión</vt:lpstr>
      <vt:lpstr>'LL-LP'!Área_de_impresión</vt:lpstr>
      <vt:lpstr>Proctor!Área_de_impresión</vt:lpstr>
      <vt:lpstr>'Sucs '!CC</vt:lpstr>
      <vt:lpstr>'Sucs '!CU</vt:lpstr>
      <vt:lpstr>'Sucs '!IP</vt:lpstr>
      <vt:lpstr>'Sucs '!Ll</vt:lpstr>
      <vt:lpstr>'Sucs '!N_10</vt:lpstr>
      <vt:lpstr>'Sucs '!N_200</vt:lpstr>
      <vt:lpstr>'Sucs '!N_40</vt:lpstr>
      <vt:lpstr>DATOS!Títulos_a_imprimir</vt:lpstr>
      <vt:lpstr>Proctor!Títulos_a_imprimir</vt:lpstr>
    </vt:vector>
  </TitlesOfParts>
  <Company>Odebrecht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revision/>
  <cp:lastPrinted>2026-01-02T16:22:58Z</cp:lastPrinted>
  <dcterms:created xsi:type="dcterms:W3CDTF">1999-11-07T15:11:55Z</dcterms:created>
  <dcterms:modified xsi:type="dcterms:W3CDTF">2026-06-12T22:45:44Z</dcterms:modified>
  <cp:contentStatus/>
</cp:coreProperties>
</file>