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informes\Informes agregado\CARAS\"/>
    </mc:Choice>
  </mc:AlternateContent>
  <xr:revisionPtr revIDLastSave="0" documentId="13_ncr:1_{6735CA2A-E7C1-4F26-A400-37BC3DBE8C10}" xr6:coauthVersionLast="47" xr6:coauthVersionMax="47" xr10:uidLastSave="{00000000-0000-0000-0000-000000000000}"/>
  <bookViews>
    <workbookView xWindow="-108" yWindow="-108" windowWidth="23256" windowHeight="12456" tabRatio="723" xr2:uid="{00000000-000D-0000-FFFF-FFFF00000000}"/>
  </bookViews>
  <sheets>
    <sheet name="FORMATO" sheetId="96" r:id="rId1"/>
    <sheet name="caras fracturadas" sheetId="91" r:id="rId2"/>
    <sheet name="Datos" sheetId="95" r:id="rId3"/>
    <sheet name="incertidumbre" sheetId="92" r:id="rId4"/>
    <sheet name="balanza" sheetId="93" r:id="rId5"/>
    <sheet name="precision" sheetId="94" r:id="rId6"/>
  </sheets>
  <externalReferences>
    <externalReference r:id="rId7"/>
    <externalReference r:id="rId8"/>
    <externalReference r:id="rId9"/>
    <externalReference r:id="rId10"/>
  </externalReferences>
  <definedNames>
    <definedName name="_CC2">[1]Sucs!$L$6</definedName>
    <definedName name="_xlnm.Print_Area" localSheetId="1">'caras fracturadas'!$A$1:$K$56</definedName>
    <definedName name="_xlnm.Print_Area" localSheetId="2">Datos!#REF!</definedName>
    <definedName name="_xlnm.Print_Area" localSheetId="0">FORMATO!$B$1:$H$51</definedName>
    <definedName name="CC" localSheetId="0">[2]Sucs!$L$6</definedName>
    <definedName name="CC">[3]Sucs!$L$6</definedName>
    <definedName name="CM">[4]BGA!$H$9</definedName>
    <definedName name="CU" localSheetId="0">[2]Sucs!$L$5</definedName>
    <definedName name="CU">[3]Sucs!$L$5</definedName>
    <definedName name="IP" localSheetId="0">[2]Sucs!$L$4</definedName>
    <definedName name="IP">[3]Sucs!$L$4</definedName>
    <definedName name="Ll" localSheetId="0">[2]Sucs!$L$3</definedName>
    <definedName name="Ll">[3]Sucs!$L$3</definedName>
    <definedName name="MORA">[4]BGA!$H$13</definedName>
    <definedName name="N_10" localSheetId="0">[2]Sucs!$C$5</definedName>
    <definedName name="N_10">[3]Sucs!$C$5</definedName>
    <definedName name="N_200" localSheetId="0">[2]Sucs!$C$3</definedName>
    <definedName name="N_200">[3]Sucs!$C$3</definedName>
    <definedName name="N_40" localSheetId="0">[2]Sucs!$C$4</definedName>
    <definedName name="N_40">[3]Sucs!$C$4</definedName>
    <definedName name="TABLA" localSheetId="2">#REF!</definedName>
    <definedName name="TABLA" localSheetId="0">#REF!</definedName>
    <definedName name="TABL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5" i="92" l="1"/>
  <c r="C53" i="92"/>
  <c r="E5" i="95" l="1"/>
  <c r="H32" i="95"/>
  <c r="H31" i="95"/>
  <c r="F32" i="95"/>
  <c r="F31" i="95"/>
  <c r="H26" i="95"/>
  <c r="H25" i="95"/>
  <c r="F26" i="95"/>
  <c r="F25" i="95"/>
  <c r="F19" i="95"/>
  <c r="F20" i="95"/>
  <c r="F18" i="95"/>
  <c r="F17" i="95"/>
  <c r="F15" i="95"/>
  <c r="F14" i="95"/>
  <c r="F9" i="95"/>
  <c r="H4" i="95"/>
  <c r="K17" i="91"/>
  <c r="K16" i="91"/>
  <c r="K15" i="91"/>
  <c r="K8" i="91"/>
  <c r="K7" i="91"/>
  <c r="K6" i="91"/>
  <c r="E16" i="91"/>
  <c r="E17" i="91"/>
  <c r="E15" i="91"/>
  <c r="C6" i="91"/>
  <c r="C7" i="91"/>
  <c r="C8" i="91"/>
  <c r="C5" i="91"/>
  <c r="J20" i="93" l="1"/>
  <c r="I20" i="93"/>
  <c r="K25" i="95" l="1"/>
  <c r="K26" i="95"/>
  <c r="L23" i="95"/>
  <c r="K10" i="95"/>
  <c r="J10" i="95"/>
  <c r="F16" i="95" s="1"/>
  <c r="H30" i="95" l="1"/>
  <c r="F30" i="95"/>
  <c r="K31" i="95" l="1"/>
  <c r="K33" i="95"/>
  <c r="K32" i="95"/>
  <c r="K30" i="95"/>
  <c r="I57" i="92"/>
  <c r="I25" i="92"/>
  <c r="J59" i="92"/>
  <c r="F30" i="93"/>
  <c r="F29" i="93"/>
  <c r="F28" i="93"/>
  <c r="F27" i="93"/>
  <c r="C81" i="92"/>
  <c r="D83" i="92" s="1"/>
  <c r="F83" i="92" s="1"/>
  <c r="C77" i="92"/>
  <c r="D79" i="92" s="1"/>
  <c r="F79" i="92" s="1"/>
  <c r="C72" i="92"/>
  <c r="D74" i="92" s="1"/>
  <c r="F74" i="92" s="1"/>
  <c r="C68" i="92"/>
  <c r="D84" i="92"/>
  <c r="F84" i="92" s="1"/>
  <c r="D80" i="92"/>
  <c r="F80" i="92" s="1"/>
  <c r="D75" i="92"/>
  <c r="F75" i="92" s="1"/>
  <c r="D71" i="92"/>
  <c r="F71" i="92" s="1"/>
  <c r="D66" i="92"/>
  <c r="F66" i="92" s="1"/>
  <c r="J65" i="92"/>
  <c r="J64" i="92"/>
  <c r="J63" i="92"/>
  <c r="C63" i="92"/>
  <c r="D65" i="92" s="1"/>
  <c r="F65" i="92" s="1"/>
  <c r="J62" i="92"/>
  <c r="D62" i="92"/>
  <c r="F62" i="92" s="1"/>
  <c r="J61" i="92"/>
  <c r="J60" i="92"/>
  <c r="J32" i="92"/>
  <c r="J31" i="92"/>
  <c r="J30" i="92"/>
  <c r="J29" i="92"/>
  <c r="J28" i="92"/>
  <c r="J27" i="92"/>
  <c r="D30" i="93"/>
  <c r="C49" i="92"/>
  <c r="D51" i="92" s="1"/>
  <c r="D29" i="93"/>
  <c r="D28" i="93"/>
  <c r="C40" i="92"/>
  <c r="D42" i="92" s="1"/>
  <c r="D27" i="93"/>
  <c r="D26" i="93"/>
  <c r="C45" i="92"/>
  <c r="D47" i="92" s="1"/>
  <c r="C36" i="92"/>
  <c r="D38" i="92" s="1"/>
  <c r="C31" i="92"/>
  <c r="D33" i="92" s="1"/>
  <c r="D52" i="92"/>
  <c r="D48" i="92"/>
  <c r="D43" i="92"/>
  <c r="D39" i="92"/>
  <c r="D34" i="92"/>
  <c r="D30" i="92"/>
  <c r="F85" i="92" l="1"/>
  <c r="D70" i="92"/>
  <c r="F70" i="92" s="1"/>
  <c r="F34" i="92"/>
  <c r="F33" i="92"/>
  <c r="F30" i="92"/>
  <c r="F52" i="92"/>
  <c r="F51" i="92"/>
  <c r="F48" i="92"/>
  <c r="F47" i="92"/>
  <c r="H85" i="92" l="1"/>
  <c r="L65" i="92" l="1"/>
  <c r="D5" i="95" l="1"/>
  <c r="G31" i="95" s="1"/>
  <c r="C5" i="95"/>
  <c r="G18" i="95" l="1"/>
  <c r="G32" i="95"/>
  <c r="G33" i="95" s="1"/>
  <c r="I32" i="95"/>
  <c r="G25" i="95"/>
  <c r="G26" i="95"/>
  <c r="G20" i="95"/>
  <c r="I25" i="95"/>
  <c r="I31" i="95"/>
  <c r="I26" i="95"/>
  <c r="G19" i="95"/>
  <c r="C59" i="92" s="1"/>
  <c r="G77" i="92" l="1"/>
  <c r="G72" i="92"/>
  <c r="G81" i="92"/>
  <c r="C58" i="92"/>
  <c r="G68" i="92"/>
  <c r="G59" i="92"/>
  <c r="G63" i="92"/>
  <c r="I33" i="95"/>
  <c r="G27" i="95"/>
  <c r="D61" i="92"/>
  <c r="F61" i="92" s="1"/>
  <c r="I32" i="91"/>
  <c r="D25" i="93"/>
  <c r="C27" i="92"/>
  <c r="I33" i="91"/>
  <c r="G21" i="95"/>
  <c r="H20" i="95" s="1"/>
  <c r="I27" i="95"/>
  <c r="I27" i="91"/>
  <c r="I23" i="91"/>
  <c r="I22" i="91"/>
  <c r="G45" i="92" l="1"/>
  <c r="C26" i="92"/>
  <c r="G27" i="92"/>
  <c r="G31" i="92"/>
  <c r="G36" i="92"/>
  <c r="G49" i="92"/>
  <c r="G40" i="92"/>
  <c r="D29" i="92"/>
  <c r="F29" i="92" s="1"/>
  <c r="H19" i="95"/>
  <c r="G35" i="95" s="1"/>
  <c r="I31" i="91"/>
  <c r="I35" i="95" l="1"/>
  <c r="I38" i="91" s="1"/>
  <c r="H21" i="95"/>
  <c r="I37" i="91"/>
  <c r="H20" i="93"/>
  <c r="G20" i="93"/>
  <c r="F20" i="93"/>
  <c r="E20" i="93"/>
  <c r="D20" i="93"/>
  <c r="J21" i="93"/>
  <c r="F43" i="92"/>
  <c r="J33" i="92"/>
  <c r="F42" i="92"/>
  <c r="F39" i="92"/>
  <c r="F21" i="93" l="1"/>
  <c r="I21" i="93"/>
  <c r="F38" i="92"/>
  <c r="G21" i="93"/>
  <c r="D21" i="93"/>
  <c r="H21" i="93"/>
  <c r="E21" i="93"/>
  <c r="F53" i="92" l="1"/>
  <c r="H53" i="92" s="1"/>
  <c r="L33" i="92" s="1"/>
  <c r="E26" i="93"/>
  <c r="D64" i="92" s="1"/>
  <c r="F64" i="92" s="1"/>
  <c r="F63" i="92" s="1"/>
  <c r="H63" i="92" s="1"/>
  <c r="L60" i="92" s="1"/>
  <c r="E29" i="93"/>
  <c r="D46" i="92" s="1"/>
  <c r="F46" i="92" s="1"/>
  <c r="F45" i="92" s="1"/>
  <c r="H45" i="92" s="1"/>
  <c r="L31" i="92" s="1"/>
  <c r="G29" i="93"/>
  <c r="D78" i="92" s="1"/>
  <c r="F78" i="92" s="1"/>
  <c r="F77" i="92" s="1"/>
  <c r="H77" i="92" s="1"/>
  <c r="L63" i="92" s="1"/>
  <c r="G30" i="93"/>
  <c r="D82" i="92" s="1"/>
  <c r="F82" i="92" s="1"/>
  <c r="F81" i="92" s="1"/>
  <c r="H81" i="92" s="1"/>
  <c r="L64" i="92" s="1"/>
  <c r="E25" i="93"/>
  <c r="D60" i="92" s="1"/>
  <c r="F60" i="92" s="1"/>
  <c r="F59" i="92" s="1"/>
  <c r="H59" i="92" s="1"/>
  <c r="G28" i="93"/>
  <c r="D73" i="92" s="1"/>
  <c r="F73" i="92" s="1"/>
  <c r="F72" i="92" s="1"/>
  <c r="H72" i="92" s="1"/>
  <c r="L62" i="92" s="1"/>
  <c r="G27" i="93"/>
  <c r="D69" i="92" s="1"/>
  <c r="F69" i="92" s="1"/>
  <c r="F68" i="92" s="1"/>
  <c r="H68" i="92" s="1"/>
  <c r="L61" i="92" s="1"/>
  <c r="E28" i="93"/>
  <c r="D41" i="92" s="1"/>
  <c r="F41" i="92" s="1"/>
  <c r="F40" i="92" s="1"/>
  <c r="H40" i="92" s="1"/>
  <c r="L30" i="92" s="1"/>
  <c r="E27" i="93"/>
  <c r="D37" i="92" s="1"/>
  <c r="F37" i="92" s="1"/>
  <c r="F36" i="92" s="1"/>
  <c r="H36" i="92" s="1"/>
  <c r="L29" i="92" s="1"/>
  <c r="E30" i="93"/>
  <c r="D50" i="92" s="1"/>
  <c r="F50" i="92" s="1"/>
  <c r="F49" i="92" s="1"/>
  <c r="H49" i="92" s="1"/>
  <c r="L32" i="92" s="1"/>
  <c r="D32" i="92" l="1"/>
  <c r="F32" i="92" s="1"/>
  <c r="F31" i="92" s="1"/>
  <c r="H31" i="92" s="1"/>
  <c r="L28" i="92" s="1"/>
  <c r="D28" i="92"/>
  <c r="F28" i="92" s="1"/>
  <c r="F27" i="92" s="1"/>
  <c r="H27" i="92" s="1"/>
  <c r="L27" i="92" s="1"/>
  <c r="H86" i="92"/>
  <c r="H87" i="92" s="1"/>
  <c r="L59" i="92"/>
  <c r="H54" i="92" l="1"/>
  <c r="H55" i="92" s="1"/>
  <c r="L66" i="92"/>
  <c r="M66" i="92" s="1"/>
  <c r="L34" i="92"/>
  <c r="M65" i="92" l="1"/>
  <c r="M63" i="92"/>
  <c r="M60" i="92"/>
  <c r="M62" i="92"/>
  <c r="M64" i="92"/>
  <c r="M61" i="92"/>
  <c r="M59" i="92"/>
  <c r="M33" i="92"/>
  <c r="M28" i="92"/>
  <c r="M32" i="92"/>
  <c r="M30" i="92"/>
  <c r="M31" i="92"/>
  <c r="M29" i="92"/>
  <c r="M27" i="92"/>
  <c r="M34" i="92"/>
</calcChain>
</file>

<file path=xl/sharedStrings.xml><?xml version="1.0" encoding="utf-8"?>
<sst xmlns="http://schemas.openxmlformats.org/spreadsheetml/2006/main" count="555" uniqueCount="224">
  <si>
    <t>F</t>
  </si>
  <si>
    <t>LABORATORIO DE ENSAYO DE MATERIALES</t>
  </si>
  <si>
    <t>DATOS DE LA MUESTRA</t>
  </si>
  <si>
    <t>Página 1 de 1</t>
  </si>
  <si>
    <t>Nota :</t>
  </si>
  <si>
    <t>** Datos proporcionados por el cliente</t>
  </si>
  <si>
    <t>Laboratorio de ensayo de materiales</t>
  </si>
  <si>
    <t>Fin del Informe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</si>
  <si>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</si>
  <si>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</si>
  <si>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</si>
  <si>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</si>
  <si>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</si>
  <si>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</si>
  <si>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</si>
  <si>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</si>
  <si>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</si>
  <si>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</si>
  <si>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Agregados</t>
  </si>
  <si>
    <t>Variables:</t>
  </si>
  <si>
    <t>Fórmula:</t>
  </si>
  <si>
    <t>Paso 2. Definición de las variables aleatorias</t>
  </si>
  <si>
    <t>Equipos a utilizar:</t>
  </si>
  <si>
    <t>Fuentes</t>
  </si>
  <si>
    <t>Unidades</t>
  </si>
  <si>
    <t>Valor</t>
  </si>
  <si>
    <t>Incertidumbre Original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</si>
  <si>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</si>
  <si>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</si>
  <si>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</si>
  <si>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</si>
  <si>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---</t>
  </si>
  <si>
    <t>g</t>
  </si>
  <si>
    <t>C</t>
  </si>
  <si>
    <t>Factor de influencia</t>
  </si>
  <si>
    <t>valor</t>
  </si>
  <si>
    <t>%</t>
  </si>
  <si>
    <t>Repetibilidad de la pesada</t>
  </si>
  <si>
    <t>Normal, K=1</t>
  </si>
  <si>
    <t>Certificado de Calibración</t>
  </si>
  <si>
    <t>Normal, K=2</t>
  </si>
  <si>
    <t>Resolución</t>
  </si>
  <si>
    <t>Rectangular</t>
  </si>
  <si>
    <t xml:space="preserve">factor de presición </t>
  </si>
  <si>
    <t>Norma, K=1</t>
  </si>
  <si>
    <t xml:space="preserve">Incertidumbre Estándar Combinada </t>
  </si>
  <si>
    <t>Incertidumbre Expandida, K = 2</t>
  </si>
  <si>
    <t>CALIBRACION DE LA BALANZA</t>
  </si>
  <si>
    <t>Variables</t>
  </si>
  <si>
    <t>ITEM</t>
  </si>
  <si>
    <t>MES</t>
  </si>
  <si>
    <t>DESV STD</t>
  </si>
  <si>
    <t>Busqueda de Repetibilidad de la masa</t>
  </si>
  <si>
    <t>ENSAYO DE LA MUESTRA</t>
  </si>
  <si>
    <t>Fecha de evaluacion:</t>
  </si>
  <si>
    <t>P</t>
  </si>
  <si>
    <t>N</t>
  </si>
  <si>
    <t>Masa de la muestra &lt; 3/8 (g)</t>
  </si>
  <si>
    <t>Masa de la muestra &gt; 3/8 (g)</t>
  </si>
  <si>
    <t>Tamiz especificado (in)</t>
  </si>
  <si>
    <t>Muestra de prueba</t>
  </si>
  <si>
    <t>En (%)</t>
  </si>
  <si>
    <t>Promedio Ponderado (%)</t>
  </si>
  <si>
    <t>Particulas con una o mas caras fracturadas</t>
  </si>
  <si>
    <t>Particulas con dos o mas caras fracturadas</t>
  </si>
  <si>
    <t>&lt; 3/8 in</t>
  </si>
  <si>
    <r>
      <t>P=</t>
    </r>
    <r>
      <rPr>
        <sz val="10"/>
        <rFont val="Calibri"/>
        <family val="2"/>
      </rPr>
      <t>[F/(F+N)]*100</t>
    </r>
  </si>
  <si>
    <t>Metodo para la determinacion del porcentaje de particulas fracturadas</t>
  </si>
  <si>
    <t>Tamaño Maximo Nominal (in)</t>
  </si>
  <si>
    <t>:</t>
  </si>
  <si>
    <t xml:space="preserve">CLIENTE            </t>
  </si>
  <si>
    <t xml:space="preserve">DIRECCIÓN **    </t>
  </si>
  <si>
    <t xml:space="preserve">PROYECTO**     </t>
  </si>
  <si>
    <t xml:space="preserve">UBICACIÓN **    </t>
  </si>
  <si>
    <t xml:space="preserve">CANTERA/SONDAJE ** </t>
  </si>
  <si>
    <t xml:space="preserve">N° MUESTRA **             </t>
  </si>
  <si>
    <t xml:space="preserve">TIPO DE MUESTRA**   </t>
  </si>
  <si>
    <t xml:space="preserve">LUGAR DE ENSAYO     </t>
  </si>
  <si>
    <t xml:space="preserve">                 CÓDIGO</t>
  </si>
  <si>
    <t xml:space="preserve">RECEPCIÓN N° </t>
  </si>
  <si>
    <t>FECHA DE EMISIÓN</t>
  </si>
  <si>
    <t>OT N°</t>
  </si>
  <si>
    <t>CÓDIGO DE LA MUESTRA</t>
  </si>
  <si>
    <t>FECHA DE RECEPCIÓN</t>
  </si>
  <si>
    <t>FECHA DE EJECUCIÓN</t>
  </si>
  <si>
    <t>CONDICIÓN DEL ENSAYO</t>
  </si>
  <si>
    <t>DATOS MUESTRA ORIGINAL</t>
  </si>
  <si>
    <t>RESULTADO DEL ENSAYO</t>
  </si>
  <si>
    <t>CONDICIÓN DE LA MUESTRA</t>
  </si>
  <si>
    <t>Particulas con una o más caras fracturadas (%)</t>
  </si>
  <si>
    <t>Particulas con dos o más caras fracturadas (%)</t>
  </si>
  <si>
    <t>Tamaño Máximo Nominal (in)</t>
  </si>
  <si>
    <t>Masa particulas Fracturadas (g)</t>
  </si>
  <si>
    <t>Masa particulas que no cumplen el criterio especificado (g)</t>
  </si>
  <si>
    <t>Porcentaje de particulas con caras fracturadas (%)</t>
  </si>
  <si>
    <t>F-LEM-P-AG-35.02</t>
  </si>
  <si>
    <t>Observaciones:</t>
  </si>
  <si>
    <t>Fraccionada</t>
  </si>
  <si>
    <t xml:space="preserve">Masa de la muestra &gt; 3/8 (g), </t>
  </si>
  <si>
    <t xml:space="preserve">Masa de la muestra &lt; 3/8 (g), </t>
  </si>
  <si>
    <t>Declaración de equipos: balanza 15kg a 0.1g</t>
  </si>
  <si>
    <t>N°</t>
  </si>
  <si>
    <t>CÓDIGO</t>
  </si>
  <si>
    <t>CORRECCION</t>
  </si>
  <si>
    <t>FECHA CALIBRAC.</t>
  </si>
  <si>
    <t>TECNICO</t>
  </si>
  <si>
    <t>EQP-0046</t>
  </si>
  <si>
    <t>Masa Corregida</t>
  </si>
  <si>
    <t>INFORMACIÓN DEL ENSAYO</t>
  </si>
  <si>
    <t>MUESTRA ORIGINAL DE ENSAYO</t>
  </si>
  <si>
    <t>Masa de la muestra retenida en el tamiz especificado (g)</t>
  </si>
  <si>
    <t>Masa de la partícula más grande (g)</t>
  </si>
  <si>
    <t>Masa de la muestra seca lavada  (g)</t>
  </si>
  <si>
    <t>Masa de la muestra seca lavada constante  (g)</t>
  </si>
  <si>
    <t>DATOS</t>
  </si>
  <si>
    <t>-</t>
  </si>
  <si>
    <t>CONDICIONES</t>
  </si>
  <si>
    <t>Porcentaje de caras fracturada</t>
  </si>
  <si>
    <t xml:space="preserve"> &gt; 3/8 in o Global</t>
  </si>
  <si>
    <r>
      <t xml:space="preserve">Masa de la muestra &lt; 3/8 (g), </t>
    </r>
    <r>
      <rPr>
        <u/>
        <sz val="8"/>
        <rFont val="Arial"/>
        <family val="2"/>
      </rPr>
      <t>FRACCION MAYOR DE 200GR</t>
    </r>
  </si>
  <si>
    <t>Método para la determinación del porcentaje de partículas fracturadas</t>
  </si>
  <si>
    <t>Masa total de la muestra de ensayo (g)</t>
  </si>
  <si>
    <t>F1</t>
  </si>
  <si>
    <t>N1</t>
  </si>
  <si>
    <t>P1</t>
  </si>
  <si>
    <t>A</t>
  </si>
  <si>
    <t>B</t>
  </si>
  <si>
    <t>1-Calcular la Incertidumbre estandar CON UNA CARA A MAS</t>
  </si>
  <si>
    <t>1-Calcular la Incertidumbre estandar CON DOS CARA A MAS</t>
  </si>
  <si>
    <r>
      <t xml:space="preserve">Particulas con </t>
    </r>
    <r>
      <rPr>
        <b/>
        <u/>
        <sz val="9"/>
        <rFont val="Arial"/>
        <family val="2"/>
      </rPr>
      <t xml:space="preserve">una </t>
    </r>
    <r>
      <rPr>
        <b/>
        <sz val="9"/>
        <rFont val="Arial"/>
        <family val="2"/>
      </rPr>
      <t>o mas caras fracturadas (%)</t>
    </r>
  </si>
  <si>
    <r>
      <t>Particulas con</t>
    </r>
    <r>
      <rPr>
        <b/>
        <u/>
        <sz val="9"/>
        <rFont val="Arial"/>
        <family val="2"/>
      </rPr>
      <t xml:space="preserve"> dos</t>
    </r>
    <r>
      <rPr>
        <b/>
        <sz val="9"/>
        <rFont val="Arial"/>
        <family val="2"/>
      </rPr>
      <t xml:space="preserve"> o mas caras fracturadas (%)</t>
    </r>
  </si>
  <si>
    <t>F = Masa de la particula fracturada</t>
  </si>
  <si>
    <t>N= Masa particulas que no cumplen el criterio especificado</t>
  </si>
  <si>
    <t xml:space="preserve">Balanza con resolución de lectura de 0.1g </t>
  </si>
  <si>
    <t>(*)</t>
  </si>
  <si>
    <r>
      <rPr>
        <b/>
        <sz val="8"/>
        <rFont val="Arial"/>
        <family val="2"/>
      </rPr>
      <t>(*)</t>
    </r>
    <r>
      <rPr>
        <sz val="8"/>
        <rFont val="Arial"/>
        <family val="2"/>
      </rPr>
      <t xml:space="preserve"> (Fraccionada SI), Para agregados con un TMN de 3/4 in o mayor donde se debe determinar el contenido de partículas de fractura para el material retenido en el tamiz No. 4 o menor, la muestra de prueba se puede separar en el tamiz 3/8.</t>
    </r>
  </si>
  <si>
    <t>Masa mínima</t>
  </si>
  <si>
    <t>De la Tabla</t>
  </si>
  <si>
    <t>De la particula mas grande</t>
  </si>
  <si>
    <t>TMN (in)</t>
  </si>
  <si>
    <t>Masa Mínima (g)</t>
  </si>
  <si>
    <t>3/8</t>
  </si>
  <si>
    <t>1/2</t>
  </si>
  <si>
    <t>3/4</t>
  </si>
  <si>
    <t>Standard Test Method for Determining the Percentage of Fractured Particles in Coarse Aggregate</t>
  </si>
  <si>
    <t>ASTM D5821-13 (Reapproved 2017)</t>
  </si>
  <si>
    <r>
      <t xml:space="preserve">   ASTM D5821-13 (Reapproved </t>
    </r>
    <r>
      <rPr>
        <b/>
        <u/>
        <sz val="11"/>
        <rFont val="Arial"/>
        <family val="2"/>
      </rPr>
      <t>2025</t>
    </r>
    <r>
      <rPr>
        <b/>
        <sz val="11"/>
        <rFont val="Arial"/>
        <family val="2"/>
      </rPr>
      <t>)</t>
    </r>
  </si>
  <si>
    <t>Versión: 03 (2026-02-12)</t>
  </si>
  <si>
    <r>
      <t xml:space="preserve">Standard Test Method for Determining the Percentage of Fractured Particles in Coarse Aggregate / ASTM D5821-13 (Reapproved </t>
    </r>
    <r>
      <rPr>
        <b/>
        <u/>
        <sz val="9"/>
        <rFont val="Arial"/>
        <family val="2"/>
      </rPr>
      <t>2025</t>
    </r>
    <r>
      <rPr>
        <b/>
        <sz val="9"/>
        <rFont val="Arial"/>
        <family val="2"/>
      </rPr>
      <t>)</t>
    </r>
  </si>
  <si>
    <t>Corrección</t>
  </si>
  <si>
    <t>Ecuación</t>
  </si>
  <si>
    <t>2*RAIZ(0.00416+0.000000000243*R2)</t>
  </si>
  <si>
    <t xml:space="preserve">Código </t>
  </si>
  <si>
    <t>Fecha ultima calibracion</t>
  </si>
  <si>
    <t>FORMATO N° F-LEM-P-AG-35.01</t>
  </si>
  <si>
    <t>MUESTRA</t>
  </si>
  <si>
    <t>N° OT</t>
  </si>
  <si>
    <t>FECHA DE ENSAYO</t>
  </si>
  <si>
    <t>REALIZADO</t>
  </si>
  <si>
    <t>STANDARD TEST METHOD FOR DETERMINING THE PERCENTAGE OF FRACTURED PARTICLES IN COARSE AGGREGATE</t>
  </si>
  <si>
    <r>
      <t xml:space="preserve">   ASTM D5821-13 (Reapproved </t>
    </r>
    <r>
      <rPr>
        <b/>
        <u/>
        <sz val="10"/>
        <rFont val="Arial"/>
        <family val="2"/>
      </rPr>
      <t>2025</t>
    </r>
    <r>
      <rPr>
        <b/>
        <sz val="10"/>
        <rFont val="Arial"/>
        <family val="2"/>
      </rPr>
      <t>)</t>
    </r>
  </si>
  <si>
    <r>
      <t xml:space="preserve">INFORMACIÓN DEL ENSAYO </t>
    </r>
    <r>
      <rPr>
        <sz val="9"/>
        <rFont val="Arial"/>
        <family val="2"/>
      </rPr>
      <t>(Marcar "X")</t>
    </r>
  </si>
  <si>
    <t>Código equipos utilizados</t>
  </si>
  <si>
    <t>Método para la determinación del porcentaje de particulas fracturadas</t>
  </si>
  <si>
    <t>Recuento</t>
  </si>
  <si>
    <t>Horno</t>
  </si>
  <si>
    <t>EQP-0049</t>
  </si>
  <si>
    <t>Balanza 0.1 g</t>
  </si>
  <si>
    <r>
      <t xml:space="preserve">Tamiz especificado (in) </t>
    </r>
    <r>
      <rPr>
        <b/>
        <sz val="9"/>
        <rFont val="Arial"/>
        <family val="2"/>
      </rPr>
      <t>(*)</t>
    </r>
  </si>
  <si>
    <t>Tamiz especificado</t>
  </si>
  <si>
    <t>INS-0053</t>
  </si>
  <si>
    <r>
      <t xml:space="preserve">Fraccionada </t>
    </r>
    <r>
      <rPr>
        <b/>
        <sz val="9"/>
        <rFont val="Arial"/>
        <family val="2"/>
      </rPr>
      <t>(**)</t>
    </r>
  </si>
  <si>
    <t>NO</t>
  </si>
  <si>
    <r>
      <t xml:space="preserve">Tabla peso mínimo                                                       Fuente: Norma ASTM D5821-13 (Reapproved </t>
    </r>
    <r>
      <rPr>
        <b/>
        <u/>
        <sz val="8"/>
        <rFont val="Arial"/>
        <family val="2"/>
      </rPr>
      <t>2025</t>
    </r>
    <r>
      <rPr>
        <sz val="8"/>
        <rFont val="Arial"/>
        <family val="2"/>
      </rPr>
      <t>)</t>
    </r>
  </si>
  <si>
    <t xml:space="preserve"> (A) Masa de la muestra retenida en el tamiz especificado (g)</t>
  </si>
  <si>
    <t xml:space="preserve"> (B) Masa de la partícula más grande (g)</t>
  </si>
  <si>
    <r>
      <t xml:space="preserve">Porcentaje en masa de la partícula más grande (%) </t>
    </r>
    <r>
      <rPr>
        <b/>
        <sz val="9"/>
        <rFont val="Arial"/>
        <family val="2"/>
      </rPr>
      <t>(***)</t>
    </r>
    <r>
      <rPr>
        <sz val="9"/>
        <rFont val="Arial"/>
        <family val="2"/>
      </rPr>
      <t xml:space="preserve"> (B*100/A)</t>
    </r>
  </si>
  <si>
    <t>&lt;=1% cumple</t>
  </si>
  <si>
    <r>
      <t xml:space="preserve">Masa de la muestra &gt; 3/8 (g) </t>
    </r>
    <r>
      <rPr>
        <b/>
        <sz val="9"/>
        <rFont val="Arial"/>
        <family val="2"/>
      </rPr>
      <t>(****)</t>
    </r>
  </si>
  <si>
    <r>
      <t xml:space="preserve">Masa de la muestra &lt; 3/8 (g) </t>
    </r>
    <r>
      <rPr>
        <b/>
        <sz val="9"/>
        <rFont val="Arial"/>
        <family val="2"/>
      </rPr>
      <t>(****)</t>
    </r>
  </si>
  <si>
    <r>
      <rPr>
        <b/>
        <i/>
        <sz val="9"/>
        <rFont val="Arial"/>
        <family val="2"/>
      </rPr>
      <t>(*)</t>
    </r>
    <r>
      <rPr>
        <i/>
        <sz val="9"/>
        <rFont val="Arial"/>
        <family val="2"/>
      </rPr>
      <t xml:space="preserve"> El tamiz especificado sera No. 4 o la designada deacuerdo a la gradación.</t>
    </r>
  </si>
  <si>
    <r>
      <rPr>
        <b/>
        <i/>
        <sz val="8"/>
        <rFont val="Arial"/>
        <family val="2"/>
      </rPr>
      <t>(**)</t>
    </r>
    <r>
      <rPr>
        <i/>
        <sz val="8"/>
        <rFont val="Arial"/>
        <family val="2"/>
      </rPr>
      <t xml:space="preserve"> Fraccionada SI, Para agregados con un TMN de 3/4 in o mayor donde se debe determinar el contenido de partículas de fractura para el material retenido en el tamiz No. 4 o menor, la muestra de prueba se puede separar en el tamiz 3/8 in y la masa se reduce hasta un mínimo de 200 g.</t>
    </r>
  </si>
  <si>
    <r>
      <rPr>
        <b/>
        <i/>
        <sz val="9"/>
        <rFont val="Arial"/>
        <family val="2"/>
      </rPr>
      <t>(***)</t>
    </r>
    <r>
      <rPr>
        <i/>
        <sz val="9"/>
        <rFont val="Arial"/>
        <family val="2"/>
      </rPr>
      <t xml:space="preserve"> El porcentaje de la partícula más grande no representara más del 1% de masa de muestra de ensayo o la muestra será tan grande como se indica en la tabla 1, lo que sea menor.</t>
    </r>
  </si>
  <si>
    <r>
      <rPr>
        <b/>
        <i/>
        <sz val="9"/>
        <rFont val="Arial"/>
        <family val="2"/>
      </rPr>
      <t>(****)</t>
    </r>
    <r>
      <rPr>
        <i/>
        <sz val="9"/>
        <rFont val="Arial"/>
        <family val="2"/>
      </rPr>
      <t xml:space="preserve"> Dato registrado solo para método fraccionado.</t>
    </r>
  </si>
  <si>
    <t>MUESTRA DE PRUEBA</t>
  </si>
  <si>
    <t>Partículas con una o más caras fracturadas</t>
  </si>
  <si>
    <t>Partículas con dos o más caras fracturadas</t>
  </si>
  <si>
    <t>(1)                                            &gt; 3/8 in o Global</t>
  </si>
  <si>
    <t>(2)                                                                    &lt; 3/8 in</t>
  </si>
  <si>
    <t>Masa de la muestra &lt; 3/8 (g), FRACCIÓN MAYOR DE 200 g</t>
  </si>
  <si>
    <r>
      <rPr>
        <b/>
        <i/>
        <sz val="9"/>
        <rFont val="Arial"/>
        <family val="2"/>
      </rPr>
      <t xml:space="preserve">(1) </t>
    </r>
    <r>
      <rPr>
        <i/>
        <sz val="9"/>
        <rFont val="Arial"/>
        <family val="2"/>
      </rPr>
      <t xml:space="preserve"> Si hubo fraccionamiento se considera el material &gt;3/8 in o de lo contrario el material retenido en el tamiz especificado.</t>
    </r>
  </si>
  <si>
    <r>
      <rPr>
        <b/>
        <i/>
        <sz val="9"/>
        <rFont val="Arial"/>
        <family val="2"/>
      </rPr>
      <t>(2)</t>
    </r>
    <r>
      <rPr>
        <i/>
        <sz val="9"/>
        <rFont val="Arial"/>
        <family val="2"/>
      </rPr>
      <t xml:space="preserve"> Se registrará el material &lt;3/8 in solo si hubo fraccionamiento.</t>
    </r>
  </si>
  <si>
    <t xml:space="preserve">Nota: </t>
  </si>
  <si>
    <t/>
  </si>
  <si>
    <t>WEB: www.geofal.com.pe, E-MAIL: laboratorio@geofal.com.pe                                                                                                                         Av. Marañon 763, Los Olivos-Lima / Teléfono: 01 754-3070</t>
  </si>
  <si>
    <t>CLIENTE</t>
  </si>
  <si>
    <t>DIRECCIÓN **</t>
  </si>
  <si>
    <t>PROYECTO **</t>
  </si>
  <si>
    <t>UBICACIÓN **</t>
  </si>
  <si>
    <t>RECEPCIÓN N°</t>
  </si>
  <si>
    <t>F. EMISIÓN</t>
  </si>
  <si>
    <t>CANTERA/SONDAJE **</t>
  </si>
  <si>
    <t>N° MUESTRA **</t>
  </si>
  <si>
    <t>TIPO DE MUESTRA**</t>
  </si>
  <si>
    <t xml:space="preserve"> MASA</t>
  </si>
  <si>
    <t>SI</t>
  </si>
  <si>
    <t>Mensurando:</t>
  </si>
  <si>
    <t>Paso 1. Definición del proceso de medición</t>
  </si>
  <si>
    <t>CÁLCULO:  PORCENTAJE DE CARAS FRACTURADAS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</si>
  <si>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</si>
  <si>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</si>
  <si>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</si>
  <si>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</si>
  <si>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</si>
  <si>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</si>
  <si>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r>
      <t>Varianza Repetibilidad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)</t>
    </r>
  </si>
  <si>
    <r>
      <t>Varianza entre Laboratorios (S</t>
    </r>
    <r>
      <rPr>
        <vertAlign val="subscript"/>
        <sz val="10"/>
        <rFont val="Arial"/>
        <family val="2"/>
      </rPr>
      <t>L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</si>
  <si>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t>FACTOR DE PRECISION OPERADOR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</si>
  <si>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</si>
  <si>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</si>
  <si>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</si>
  <si>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</si>
  <si>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</si>
  <si>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04 (2026-06-15)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</si>
</sst>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"/>
    <numFmt numFmtId="165" formatCode="0.000"/>
    <numFmt numFmtId="166" formatCode="000\-&quot;SU-20&quot;"/>
    <numFmt numFmtId="167" formatCode="&quot;CERTIFICADO N°&quot;000&quot;-20 AG10&quot;"/>
    <numFmt numFmtId="168" formatCode="000&quot;-20 AG10&quot;"/>
    <numFmt numFmtId="169" formatCode="0.0%"/>
    <numFmt numFmtId="170" formatCode="dd\-mm\-yy;@"/>
    <numFmt numFmtId="171" formatCode="0.00000"/>
    <numFmt numFmtId="172" formatCode="0.0000"/>
    <numFmt numFmtId="173" formatCode="&quot;0&quot;0"/>
    <numFmt numFmtId="174" formatCode="0.0E+00"/>
    <numFmt numFmtId="175" formatCode="0.00000000"/>
    <numFmt numFmtId="176" formatCode="0.000000"/>
    <numFmt numFmtId="177" formatCode="0.0\ &quot;g&quot;"/>
    <numFmt numFmtId="178" formatCode="yyyy\-mm\-dd;@"/>
    <numFmt numFmtId="179" formatCode="&quot;INFORME DE ENSAYO N°&quot;000&quot;-26 AG35&quot;"/>
    <numFmt numFmtId="180" formatCode="000\-\ &quot;26&quot;"/>
    <numFmt numFmtId="181" formatCode="000&quot;-AG-26&quot;"/>
    <numFmt numFmtId="182" formatCode="0.0000000"/>
  </numFmts>
  <fonts count="5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sz val="9"/>
      <color theme="1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8"/>
      <color rgb="FF0000FF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9"/>
      <name val="Cambria"/>
      <family val="1"/>
      <scheme val="major"/>
    </font>
    <font>
      <i/>
      <sz val="10"/>
      <name val="Arial"/>
      <family val="2"/>
    </font>
    <font>
      <i/>
      <vertAlign val="subscript"/>
      <sz val="10"/>
      <name val="Arial"/>
      <family val="2"/>
    </font>
    <font>
      <sz val="9"/>
      <name val="Cambria"/>
      <family val="1"/>
      <scheme val="major"/>
    </font>
    <font>
      <sz val="10"/>
      <color rgb="FF0000FF"/>
      <name val="Arial"/>
      <family val="2"/>
    </font>
    <font>
      <b/>
      <u/>
      <sz val="9"/>
      <name val="Arial"/>
      <family val="2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b/>
      <i/>
      <u/>
      <sz val="8"/>
      <color theme="1"/>
      <name val="Arial"/>
      <family val="2"/>
    </font>
    <font>
      <sz val="8"/>
      <color rgb="FF0070C0"/>
      <name val="Arial"/>
      <family val="2"/>
    </font>
    <font>
      <sz val="10"/>
      <name val="Calibri"/>
      <family val="2"/>
    </font>
    <font>
      <b/>
      <u/>
      <sz val="9"/>
      <color theme="1"/>
      <name val="Arial"/>
      <family val="2"/>
    </font>
    <font>
      <u/>
      <sz val="8"/>
      <name val="Arial"/>
      <family val="2"/>
    </font>
    <font>
      <sz val="7"/>
      <name val="Arial"/>
      <family val="2"/>
    </font>
    <font>
      <b/>
      <sz val="8"/>
      <color theme="1"/>
      <name val="Arial"/>
      <family val="2"/>
    </font>
    <font>
      <i/>
      <sz val="9"/>
      <color rgb="FF0000FF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color rgb="FF000000"/>
      <name val="Arial"/>
      <family val="2"/>
    </font>
    <font>
      <sz val="9"/>
      <color theme="0"/>
      <name val="Arial"/>
      <family val="2"/>
    </font>
    <font>
      <sz val="8"/>
      <color theme="0" tint="-0.14999847407452621"/>
      <name val="Arial"/>
      <family val="2"/>
    </font>
    <font>
      <sz val="8"/>
      <color theme="0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b/>
      <u/>
      <sz val="10"/>
      <color theme="1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</cellStyleXfs>
  <cellXfs count="557">
    <xf numFmtId="0" fontId="0" fillId="0" borderId="0" xfId="0"/>
    <xf numFmtId="166" fontId="5" fillId="0" borderId="0" xfId="0" applyNumberFormat="1" applyFont="1" applyAlignment="1" applyProtection="1">
      <alignment vertical="center"/>
      <protection hidden="1"/>
    </xf>
    <xf numFmtId="14" fontId="5" fillId="0" borderId="0" xfId="0" applyNumberFormat="1" applyFont="1" applyAlignment="1" applyProtection="1">
      <alignment vertical="center"/>
      <protection hidden="1"/>
    </xf>
    <xf numFmtId="0" fontId="5" fillId="0" borderId="0" xfId="0" applyFont="1" applyProtection="1"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locked="0"/>
    </xf>
    <xf numFmtId="0" fontId="7" fillId="0" borderId="0" xfId="3" applyFont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3" applyFont="1" applyAlignment="1">
      <alignment horizontal="right" vertical="center"/>
    </xf>
    <xf numFmtId="168" fontId="5" fillId="0" borderId="0" xfId="0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5" fillId="0" borderId="12" xfId="3" applyFont="1" applyBorder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4" xfId="3" applyFont="1" applyBorder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8" fillId="0" borderId="12" xfId="3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4" fillId="2" borderId="1" xfId="6" applyFont="1" applyFill="1" applyBorder="1" applyAlignment="1">
      <alignment horizontal="center" vertical="center"/>
    </xf>
    <xf numFmtId="0" fontId="2" fillId="2" borderId="0" xfId="0" applyFont="1" applyFill="1"/>
    <xf numFmtId="173" fontId="14" fillId="2" borderId="1" xfId="6" quotePrefix="1" applyNumberFormat="1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vertical="center"/>
    </xf>
    <xf numFmtId="0" fontId="14" fillId="2" borderId="9" xfId="0" applyFont="1" applyFill="1" applyBorder="1" applyAlignment="1">
      <alignment horizontal="left" vertical="center" indent="1"/>
    </xf>
    <xf numFmtId="0" fontId="17" fillId="2" borderId="14" xfId="0" applyFont="1" applyFill="1" applyBorder="1" applyAlignment="1">
      <alignment vertical="center"/>
    </xf>
    <xf numFmtId="0" fontId="2" fillId="2" borderId="14" xfId="0" applyFont="1" applyFill="1" applyBorder="1"/>
    <xf numFmtId="0" fontId="2" fillId="2" borderId="8" xfId="0" applyFont="1" applyFill="1" applyBorder="1"/>
    <xf numFmtId="0" fontId="19" fillId="2" borderId="9" xfId="0" applyFont="1" applyFill="1" applyBorder="1" applyAlignment="1">
      <alignment vertical="center" wrapText="1"/>
    </xf>
    <xf numFmtId="0" fontId="3" fillId="2" borderId="0" xfId="4" applyFont="1" applyFill="1" applyAlignment="1">
      <alignment vertical="center"/>
    </xf>
    <xf numFmtId="0" fontId="2" fillId="2" borderId="0" xfId="4" applyFill="1" applyAlignment="1">
      <alignment vertical="center"/>
    </xf>
    <xf numFmtId="0" fontId="15" fillId="2" borderId="0" xfId="4" applyFont="1" applyFill="1" applyAlignment="1">
      <alignment vertical="center"/>
    </xf>
    <xf numFmtId="0" fontId="2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4" applyFill="1" applyAlignment="1">
      <alignment horizontal="left" vertical="center" indent="1"/>
    </xf>
    <xf numFmtId="0" fontId="9" fillId="4" borderId="0" xfId="7" applyFont="1" applyFill="1" applyAlignment="1">
      <alignment horizontal="left" vertical="center"/>
    </xf>
    <xf numFmtId="0" fontId="20" fillId="4" borderId="0" xfId="7" applyFont="1" applyFill="1" applyAlignment="1">
      <alignment vertical="center" wrapText="1"/>
    </xf>
    <xf numFmtId="0" fontId="21" fillId="4" borderId="0" xfId="7" applyFont="1" applyFill="1" applyAlignment="1">
      <alignment vertical="center" wrapText="1"/>
    </xf>
    <xf numFmtId="0" fontId="22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6" fillId="2" borderId="1" xfId="0" applyFont="1" applyFill="1" applyBorder="1"/>
    <xf numFmtId="1" fontId="6" fillId="2" borderId="1" xfId="4" quotePrefix="1" applyNumberFormat="1" applyFont="1" applyFill="1" applyBorder="1" applyAlignment="1" applyProtection="1">
      <alignment horizontal="center" vertical="center"/>
      <protection locked="0"/>
    </xf>
    <xf numFmtId="0" fontId="6" fillId="2" borderId="1" xfId="0" quotePrefix="1" applyFont="1" applyFill="1" applyBorder="1" applyAlignment="1">
      <alignment horizontal="center" vertical="center" wrapText="1"/>
    </xf>
    <xf numFmtId="164" fontId="6" fillId="2" borderId="0" xfId="4" quotePrefix="1" applyNumberFormat="1" applyFont="1" applyFill="1" applyAlignment="1" applyProtection="1">
      <alignment horizontal="center" vertical="center"/>
      <protection locked="0"/>
    </xf>
    <xf numFmtId="0" fontId="22" fillId="4" borderId="0" xfId="0" applyFont="1" applyFill="1" applyAlignment="1">
      <alignment vertical="center" wrapText="1"/>
    </xf>
    <xf numFmtId="0" fontId="6" fillId="2" borderId="0" xfId="0" quotePrefix="1" applyFont="1" applyFill="1" applyAlignment="1">
      <alignment horizontal="center" vertical="center" wrapText="1"/>
    </xf>
    <xf numFmtId="0" fontId="6" fillId="2" borderId="0" xfId="0" applyFont="1" applyFill="1"/>
    <xf numFmtId="165" fontId="6" fillId="5" borderId="1" xfId="4" applyNumberFormat="1" applyFont="1" applyFill="1" applyBorder="1" applyAlignment="1" applyProtection="1">
      <alignment horizontal="center" vertical="center" wrapText="1"/>
      <protection hidden="1"/>
    </xf>
    <xf numFmtId="11" fontId="6" fillId="5" borderId="1" xfId="4" applyNumberFormat="1" applyFont="1" applyFill="1" applyBorder="1" applyAlignment="1" applyProtection="1">
      <alignment horizontal="center" vertical="center"/>
      <protection hidden="1"/>
    </xf>
    <xf numFmtId="2" fontId="6" fillId="2" borderId="0" xfId="4" applyNumberFormat="1" applyFont="1" applyFill="1" applyAlignment="1" applyProtection="1">
      <alignment horizontal="left" vertical="center"/>
      <protection locked="0" hidden="1"/>
    </xf>
    <xf numFmtId="0" fontId="22" fillId="4" borderId="1" xfId="0" applyFont="1" applyFill="1" applyBorder="1" applyAlignment="1">
      <alignment horizontal="center" vertical="center" wrapText="1"/>
    </xf>
    <xf numFmtId="165" fontId="6" fillId="2" borderId="0" xfId="4" applyNumberFormat="1" applyFont="1" applyFill="1" applyAlignment="1" applyProtection="1">
      <alignment horizontal="center" vertical="center" wrapText="1"/>
      <protection hidden="1"/>
    </xf>
    <xf numFmtId="2" fontId="6" fillId="2" borderId="0" xfId="4" applyNumberFormat="1" applyFont="1" applyFill="1" applyAlignment="1" applyProtection="1">
      <alignment horizontal="center" vertical="center"/>
      <protection locked="0" hidden="1"/>
    </xf>
    <xf numFmtId="2" fontId="6" fillId="2" borderId="0" xfId="4" quotePrefix="1" applyNumberFormat="1" applyFont="1" applyFill="1" applyAlignment="1" applyProtection="1">
      <alignment horizontal="center" vertical="center"/>
      <protection hidden="1"/>
    </xf>
    <xf numFmtId="11" fontId="6" fillId="2" borderId="0" xfId="4" applyNumberFormat="1" applyFont="1" applyFill="1" applyAlignment="1" applyProtection="1">
      <alignment horizontal="center" vertical="center"/>
      <protection hidden="1"/>
    </xf>
    <xf numFmtId="0" fontId="6" fillId="0" borderId="1" xfId="0" applyFont="1" applyBorder="1"/>
    <xf numFmtId="2" fontId="6" fillId="0" borderId="1" xfId="0" applyNumberFormat="1" applyFont="1" applyBorder="1" applyAlignment="1" applyProtection="1">
      <alignment vertical="center"/>
      <protection hidden="1"/>
    </xf>
    <xf numFmtId="172" fontId="6" fillId="0" borderId="1" xfId="0" applyNumberFormat="1" applyFont="1" applyBorder="1" applyAlignment="1" applyProtection="1">
      <alignment horizontal="center" vertical="center"/>
      <protection hidden="1"/>
    </xf>
    <xf numFmtId="165" fontId="6" fillId="0" borderId="1" xfId="0" quotePrefix="1" applyNumberFormat="1" applyFont="1" applyBorder="1" applyAlignment="1" applyProtection="1">
      <alignment horizontal="center" vertical="center" wrapText="1"/>
      <protection hidden="1"/>
    </xf>
    <xf numFmtId="172" fontId="6" fillId="0" borderId="1" xfId="0" quotePrefix="1" applyNumberFormat="1" applyFont="1" applyBorder="1" applyAlignment="1" applyProtection="1">
      <alignment horizontal="center" vertical="center" wrapText="1"/>
      <protection hidden="1"/>
    </xf>
    <xf numFmtId="0" fontId="6" fillId="2" borderId="0" xfId="0" applyFont="1" applyFill="1" applyAlignment="1">
      <alignment horizontal="left"/>
    </xf>
    <xf numFmtId="169" fontId="25" fillId="4" borderId="10" xfId="0" applyNumberFormat="1" applyFont="1" applyFill="1" applyBorder="1" applyAlignment="1">
      <alignment horizontal="center" vertical="center" wrapText="1"/>
    </xf>
    <xf numFmtId="165" fontId="6" fillId="2" borderId="0" xfId="0" quotePrefix="1" applyNumberFormat="1" applyFont="1" applyFill="1" applyAlignment="1" applyProtection="1">
      <alignment horizontal="center" vertical="center" wrapText="1"/>
      <protection hidden="1"/>
    </xf>
    <xf numFmtId="172" fontId="6" fillId="2" borderId="0" xfId="0" quotePrefix="1" applyNumberFormat="1" applyFont="1" applyFill="1" applyAlignment="1" applyProtection="1">
      <alignment horizontal="center" vertical="center" wrapText="1"/>
      <protection hidden="1"/>
    </xf>
    <xf numFmtId="172" fontId="6" fillId="2" borderId="0" xfId="0" quotePrefix="1" applyNumberFormat="1" applyFont="1" applyFill="1" applyAlignment="1" applyProtection="1">
      <alignment horizontal="center" vertical="center"/>
      <protection locked="0"/>
    </xf>
    <xf numFmtId="2" fontId="6" fillId="2" borderId="0" xfId="0" applyNumberFormat="1" applyFont="1" applyFill="1" applyAlignment="1" applyProtection="1">
      <alignment vertical="center"/>
      <protection hidden="1"/>
    </xf>
    <xf numFmtId="172" fontId="6" fillId="2" borderId="0" xfId="0" applyNumberFormat="1" applyFont="1" applyFill="1" applyAlignment="1" applyProtection="1">
      <alignment horizontal="center" vertical="center"/>
      <protection hidden="1"/>
    </xf>
    <xf numFmtId="169" fontId="25" fillId="4" borderId="15" xfId="0" applyNumberFormat="1" applyFont="1" applyFill="1" applyBorder="1" applyAlignment="1">
      <alignment horizontal="center" vertical="center" wrapText="1"/>
    </xf>
    <xf numFmtId="2" fontId="6" fillId="2" borderId="0" xfId="0" applyNumberFormat="1" applyFont="1" applyFill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left" vertical="center"/>
      <protection hidden="1"/>
    </xf>
    <xf numFmtId="2" fontId="6" fillId="2" borderId="0" xfId="0" quotePrefix="1" applyNumberFormat="1" applyFont="1" applyFill="1" applyAlignment="1" applyProtection="1">
      <alignment horizontal="center" vertical="center"/>
      <protection locked="0"/>
    </xf>
    <xf numFmtId="2" fontId="6" fillId="2" borderId="0" xfId="0" applyNumberFormat="1" applyFont="1" applyFill="1" applyAlignment="1" applyProtection="1">
      <alignment horizontal="left" vertical="center"/>
      <protection hidden="1"/>
    </xf>
    <xf numFmtId="0" fontId="6" fillId="5" borderId="1" xfId="0" quotePrefix="1" applyFont="1" applyFill="1" applyBorder="1" applyAlignment="1" applyProtection="1">
      <alignment horizontal="center" vertical="center"/>
      <protection hidden="1"/>
    </xf>
    <xf numFmtId="2" fontId="6" fillId="5" borderId="1" xfId="0" quotePrefix="1" applyNumberFormat="1" applyFont="1" applyFill="1" applyBorder="1" applyAlignment="1" applyProtection="1">
      <alignment horizontal="center" vertical="center"/>
      <protection hidden="1"/>
    </xf>
    <xf numFmtId="172" fontId="6" fillId="5" borderId="1" xfId="0" applyNumberFormat="1" applyFont="1" applyFill="1" applyBorder="1" applyAlignment="1" applyProtection="1">
      <alignment horizontal="center" vertical="center"/>
      <protection hidden="1"/>
    </xf>
    <xf numFmtId="165" fontId="6" fillId="2" borderId="0" xfId="4" quotePrefix="1" applyNumberFormat="1" applyFont="1" applyFill="1" applyAlignment="1" applyProtection="1">
      <alignment horizontal="center" vertical="center"/>
      <protection hidden="1"/>
    </xf>
    <xf numFmtId="0" fontId="6" fillId="2" borderId="0" xfId="0" quotePrefix="1" applyFont="1" applyFill="1" applyAlignment="1" applyProtection="1">
      <alignment horizontal="center" vertical="center"/>
      <protection hidden="1"/>
    </xf>
    <xf numFmtId="2" fontId="6" fillId="2" borderId="0" xfId="0" quotePrefix="1" applyNumberFormat="1" applyFont="1" applyFill="1" applyAlignment="1" applyProtection="1">
      <alignment horizontal="center" vertical="center"/>
      <protection hidden="1"/>
    </xf>
    <xf numFmtId="0" fontId="2" fillId="2" borderId="8" xfId="0" applyFont="1" applyFill="1" applyBorder="1" applyAlignment="1">
      <alignment horizontal="right"/>
    </xf>
    <xf numFmtId="174" fontId="6" fillId="2" borderId="9" xfId="0" applyNumberFormat="1" applyFont="1" applyFill="1" applyBorder="1" applyAlignment="1">
      <alignment horizontal="center"/>
    </xf>
    <xf numFmtId="169" fontId="25" fillId="4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172" fontId="6" fillId="5" borderId="1" xfId="0" quotePrefix="1" applyNumberFormat="1" applyFont="1" applyFill="1" applyBorder="1" applyAlignment="1" applyProtection="1">
      <alignment horizontal="center" vertical="center"/>
      <protection locked="0"/>
    </xf>
    <xf numFmtId="172" fontId="6" fillId="5" borderId="1" xfId="0" quotePrefix="1" applyNumberFormat="1" applyFont="1" applyFill="1" applyBorder="1" applyAlignment="1" applyProtection="1">
      <alignment horizontal="center" vertical="center"/>
      <protection hidden="1"/>
    </xf>
    <xf numFmtId="2" fontId="6" fillId="5" borderId="1" xfId="0" applyNumberFormat="1" applyFont="1" applyFill="1" applyBorder="1" applyAlignment="1" applyProtection="1">
      <alignment vertical="center"/>
      <protection hidden="1"/>
    </xf>
    <xf numFmtId="0" fontId="25" fillId="5" borderId="1" xfId="0" applyFont="1" applyFill="1" applyBorder="1" applyAlignment="1">
      <alignment horizontal="center" vertical="center" wrapText="1"/>
    </xf>
    <xf numFmtId="172" fontId="6" fillId="2" borderId="0" xfId="0" quotePrefix="1" applyNumberFormat="1" applyFont="1" applyFill="1" applyAlignment="1" applyProtection="1">
      <alignment horizontal="center" vertical="center"/>
      <protection hidden="1"/>
    </xf>
    <xf numFmtId="0" fontId="25" fillId="2" borderId="0" xfId="0" applyFont="1" applyFill="1" applyAlignment="1">
      <alignment horizontal="center" vertical="center" wrapText="1"/>
    </xf>
    <xf numFmtId="2" fontId="10" fillId="2" borderId="9" xfId="0" applyNumberFormat="1" applyFont="1" applyFill="1" applyBorder="1" applyAlignment="1">
      <alignment vertical="center"/>
    </xf>
    <xf numFmtId="0" fontId="6" fillId="2" borderId="14" xfId="0" applyFont="1" applyFill="1" applyBorder="1"/>
    <xf numFmtId="2" fontId="6" fillId="2" borderId="14" xfId="0" applyNumberFormat="1" applyFont="1" applyFill="1" applyBorder="1" applyAlignment="1">
      <alignment vertical="center"/>
    </xf>
    <xf numFmtId="2" fontId="6" fillId="2" borderId="14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/>
    </xf>
    <xf numFmtId="2" fontId="6" fillId="2" borderId="0" xfId="0" applyNumberFormat="1" applyFont="1" applyFill="1" applyAlignment="1" applyProtection="1">
      <alignment horizontal="center" vertical="center"/>
      <protection hidden="1"/>
    </xf>
    <xf numFmtId="2" fontId="6" fillId="2" borderId="0" xfId="0" quotePrefix="1" applyNumberFormat="1" applyFont="1" applyFill="1" applyAlignment="1" applyProtection="1">
      <alignment horizontal="center" vertical="center" wrapText="1"/>
      <protection hidden="1"/>
    </xf>
    <xf numFmtId="2" fontId="6" fillId="2" borderId="0" xfId="0" applyNumberFormat="1" applyFont="1" applyFill="1" applyAlignment="1">
      <alignment horizontal="center" vertical="center"/>
    </xf>
    <xf numFmtId="2" fontId="10" fillId="2" borderId="14" xfId="0" applyNumberFormat="1" applyFont="1" applyFill="1" applyBorder="1" applyAlignment="1">
      <alignment vertical="center"/>
    </xf>
    <xf numFmtId="2" fontId="10" fillId="2" borderId="8" xfId="0" applyNumberFormat="1" applyFont="1" applyFill="1" applyBorder="1" applyAlignment="1">
      <alignment horizontal="center" vertical="center"/>
    </xf>
    <xf numFmtId="0" fontId="0" fillId="2" borderId="0" xfId="0" applyFill="1"/>
    <xf numFmtId="0" fontId="3" fillId="2" borderId="0" xfId="4" applyFont="1" applyFill="1" applyAlignment="1">
      <alignment horizontal="left"/>
    </xf>
    <xf numFmtId="0" fontId="2" fillId="2" borderId="0" xfId="4" applyFill="1"/>
    <xf numFmtId="0" fontId="2" fillId="2" borderId="0" xfId="4" applyFill="1" applyAlignment="1">
      <alignment horizontal="center"/>
    </xf>
    <xf numFmtId="0" fontId="3" fillId="2" borderId="0" xfId="4" applyFont="1" applyFill="1"/>
    <xf numFmtId="0" fontId="2" fillId="2" borderId="0" xfId="4" quotePrefix="1" applyFill="1" applyAlignment="1">
      <alignment horizontal="left"/>
    </xf>
    <xf numFmtId="0" fontId="2" fillId="2" borderId="0" xfId="4" applyFill="1" applyAlignment="1">
      <alignment horizontal="left"/>
    </xf>
    <xf numFmtId="0" fontId="3" fillId="2" borderId="1" xfId="4" applyFont="1" applyFill="1" applyBorder="1" applyAlignment="1">
      <alignment horizontal="center"/>
    </xf>
    <xf numFmtId="164" fontId="26" fillId="2" borderId="1" xfId="4" applyNumberFormat="1" applyFont="1" applyFill="1" applyBorder="1" applyAlignment="1" applyProtection="1">
      <alignment horizontal="center"/>
      <protection locked="0"/>
    </xf>
    <xf numFmtId="0" fontId="2" fillId="2" borderId="1" xfId="4" applyFill="1" applyBorder="1" applyAlignment="1">
      <alignment horizontal="center"/>
    </xf>
    <xf numFmtId="0" fontId="3" fillId="2" borderId="1" xfId="4" applyFont="1" applyFill="1" applyBorder="1"/>
    <xf numFmtId="171" fontId="2" fillId="2" borderId="1" xfId="4" applyNumberFormat="1" applyFill="1" applyBorder="1" applyAlignment="1">
      <alignment horizontal="center"/>
    </xf>
    <xf numFmtId="171" fontId="2" fillId="2" borderId="0" xfId="4" applyNumberFormat="1" applyFill="1" applyAlignment="1">
      <alignment horizontal="center"/>
    </xf>
    <xf numFmtId="0" fontId="13" fillId="2" borderId="0" xfId="4" applyFont="1" applyFill="1"/>
    <xf numFmtId="171" fontId="2" fillId="2" borderId="1" xfId="0" applyNumberFormat="1" applyFont="1" applyFill="1" applyBorder="1" applyAlignment="1">
      <alignment horizontal="center"/>
    </xf>
    <xf numFmtId="0" fontId="27" fillId="2" borderId="0" xfId="4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Protection="1">
      <protection hidden="1"/>
    </xf>
    <xf numFmtId="0" fontId="7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Protection="1">
      <protection hidden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 applyProtection="1">
      <alignment vertical="center" wrapText="1"/>
      <protection hidden="1"/>
    </xf>
    <xf numFmtId="1" fontId="7" fillId="0" borderId="0" xfId="0" applyNumberFormat="1" applyFont="1" applyAlignment="1">
      <alignment horizontal="center" vertical="center"/>
    </xf>
    <xf numFmtId="0" fontId="31" fillId="0" borderId="0" xfId="5" quotePrefix="1" applyFont="1" applyAlignment="1">
      <alignment horizontal="left" vertical="center"/>
    </xf>
    <xf numFmtId="0" fontId="31" fillId="0" borderId="0" xfId="5" quotePrefix="1" applyFont="1" applyAlignment="1">
      <alignment vertical="center" wrapText="1"/>
    </xf>
    <xf numFmtId="0" fontId="32" fillId="0" borderId="0" xfId="5" applyFont="1" applyAlignment="1">
      <alignment horizontal="right" vertical="center"/>
    </xf>
    <xf numFmtId="0" fontId="7" fillId="0" borderId="0" xfId="0" applyFont="1" applyAlignment="1" applyProtection="1">
      <alignment vertical="center"/>
      <protection hidden="1"/>
    </xf>
    <xf numFmtId="0" fontId="5" fillId="0" borderId="0" xfId="1" applyFont="1" applyFill="1" applyBorder="1" applyAlignment="1" applyProtection="1">
      <alignment vertical="center" wrapText="1"/>
    </xf>
    <xf numFmtId="0" fontId="5" fillId="0" borderId="1" xfId="0" applyFont="1" applyBorder="1" applyAlignment="1" applyProtection="1">
      <alignment horizontal="center"/>
      <protection hidden="1"/>
    </xf>
    <xf numFmtId="0" fontId="5" fillId="0" borderId="14" xfId="0" applyFont="1" applyBorder="1" applyProtection="1">
      <protection hidden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 applyProtection="1">
      <alignment horizontal="center" vertical="center"/>
      <protection locked="0"/>
    </xf>
    <xf numFmtId="2" fontId="5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16" fontId="5" fillId="0" borderId="0" xfId="0" applyNumberFormat="1" applyFont="1" applyAlignment="1">
      <alignment horizontal="left" vertical="center"/>
    </xf>
    <xf numFmtId="0" fontId="7" fillId="0" borderId="3" xfId="3" applyFont="1" applyBorder="1" applyAlignment="1">
      <alignment vertical="center"/>
    </xf>
    <xf numFmtId="0" fontId="8" fillId="0" borderId="0" xfId="3" applyFont="1" applyAlignment="1">
      <alignment vertical="center"/>
    </xf>
    <xf numFmtId="0" fontId="7" fillId="0" borderId="0" xfId="3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5" fillId="0" borderId="13" xfId="0" quotePrefix="1" applyFont="1" applyBorder="1" applyAlignment="1">
      <alignment horizontal="center" vertical="center" wrapText="1"/>
    </xf>
    <xf numFmtId="164" fontId="5" fillId="0" borderId="13" xfId="0" applyNumberFormat="1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2" fontId="30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 applyProtection="1">
      <alignment horizontal="center" vertical="center"/>
      <protection locked="0"/>
    </xf>
    <xf numFmtId="164" fontId="5" fillId="0" borderId="2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8" fillId="0" borderId="0" xfId="3" applyFont="1" applyAlignment="1">
      <alignment vertical="center" wrapText="1"/>
    </xf>
    <xf numFmtId="0" fontId="5" fillId="0" borderId="0" xfId="3" applyFont="1" applyAlignment="1">
      <alignment horizontal="right" vertical="center"/>
    </xf>
    <xf numFmtId="0" fontId="5" fillId="0" borderId="0" xfId="3" applyFont="1" applyAlignment="1">
      <alignment horizontal="center" vertical="center"/>
    </xf>
    <xf numFmtId="0" fontId="7" fillId="0" borderId="13" xfId="3" applyFont="1" applyBorder="1" applyAlignment="1">
      <alignment vertical="center"/>
    </xf>
    <xf numFmtId="0" fontId="7" fillId="0" borderId="6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left" vertical="center"/>
    </xf>
    <xf numFmtId="0" fontId="5" fillId="0" borderId="7" xfId="0" applyFont="1" applyBorder="1" applyAlignment="1">
      <alignment vertical="center"/>
    </xf>
    <xf numFmtId="0" fontId="5" fillId="0" borderId="0" xfId="0" applyFont="1" applyAlignment="1" applyProtection="1">
      <alignment horizontal="center" vertical="center"/>
      <protection hidden="1"/>
    </xf>
    <xf numFmtId="0" fontId="7" fillId="0" borderId="2" xfId="0" applyFont="1" applyBorder="1" applyAlignment="1">
      <alignment horizontal="center" vertical="center"/>
    </xf>
    <xf numFmtId="0" fontId="5" fillId="0" borderId="12" xfId="0" applyFont="1" applyBorder="1" applyAlignment="1" applyProtection="1">
      <alignment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35" fillId="0" borderId="0" xfId="0" applyFont="1" applyAlignment="1">
      <alignment vertical="center"/>
    </xf>
    <xf numFmtId="0" fontId="19" fillId="0" borderId="16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35" fillId="0" borderId="16" xfId="0" applyFont="1" applyBorder="1" applyAlignment="1">
      <alignment vertical="center"/>
    </xf>
    <xf numFmtId="0" fontId="5" fillId="0" borderId="0" xfId="0" quotePrefix="1" applyFont="1" applyProtection="1">
      <protection hidden="1"/>
    </xf>
    <xf numFmtId="0" fontId="6" fillId="0" borderId="0" xfId="0" applyFont="1" applyProtection="1">
      <protection hidden="1"/>
    </xf>
    <xf numFmtId="2" fontId="6" fillId="0" borderId="0" xfId="0" applyNumberFormat="1" applyFont="1" applyProtection="1">
      <protection hidden="1"/>
    </xf>
    <xf numFmtId="0" fontId="19" fillId="4" borderId="17" xfId="0" applyFont="1" applyFill="1" applyBorder="1" applyAlignment="1">
      <alignment horizontal="center" vertical="center"/>
    </xf>
    <xf numFmtId="170" fontId="26" fillId="2" borderId="1" xfId="4" applyNumberFormat="1" applyFont="1" applyFill="1" applyBorder="1" applyAlignment="1" applyProtection="1">
      <alignment horizontal="center" vertical="center"/>
      <protection locked="0"/>
    </xf>
    <xf numFmtId="0" fontId="26" fillId="4" borderId="1" xfId="0" applyFont="1" applyFill="1" applyBorder="1" applyAlignment="1">
      <alignment horizontal="center"/>
    </xf>
    <xf numFmtId="0" fontId="33" fillId="6" borderId="1" xfId="0" applyFont="1" applyFill="1" applyBorder="1" applyAlignment="1" applyProtection="1">
      <alignment horizontal="center" vertical="center"/>
      <protection hidden="1"/>
    </xf>
    <xf numFmtId="0" fontId="5" fillId="0" borderId="8" xfId="0" applyFont="1" applyBorder="1" applyProtection="1">
      <protection hidden="1"/>
    </xf>
    <xf numFmtId="0" fontId="33" fillId="6" borderId="11" xfId="0" applyFont="1" applyFill="1" applyBorder="1" applyAlignment="1" applyProtection="1">
      <alignment horizontal="center" vertical="center"/>
      <protection hidden="1"/>
    </xf>
    <xf numFmtId="0" fontId="5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3" xfId="0" applyFont="1" applyBorder="1" applyProtection="1">
      <protection hidden="1"/>
    </xf>
    <xf numFmtId="164" fontId="5" fillId="0" borderId="19" xfId="0" applyNumberFormat="1" applyFont="1" applyBorder="1" applyAlignment="1">
      <alignment horizontal="left" vertical="center"/>
    </xf>
    <xf numFmtId="0" fontId="7" fillId="0" borderId="22" xfId="0" applyFont="1" applyBorder="1" applyAlignment="1">
      <alignment vertical="center"/>
    </xf>
    <xf numFmtId="0" fontId="5" fillId="0" borderId="22" xfId="0" applyFont="1" applyBorder="1" applyProtection="1">
      <protection hidden="1"/>
    </xf>
    <xf numFmtId="0" fontId="5" fillId="0" borderId="25" xfId="0" applyFont="1" applyBorder="1" applyAlignment="1" applyProtection="1">
      <alignment horizontal="center"/>
      <protection hidden="1"/>
    </xf>
    <xf numFmtId="0" fontId="5" fillId="0" borderId="24" xfId="0" applyFont="1" applyBorder="1" applyAlignment="1" applyProtection="1">
      <alignment horizontal="center" vertical="center"/>
      <protection hidden="1"/>
    </xf>
    <xf numFmtId="0" fontId="5" fillId="0" borderId="18" xfId="0" applyFont="1" applyBorder="1" applyAlignment="1" applyProtection="1">
      <alignment horizontal="center" vertical="center"/>
      <protection hidden="1"/>
    </xf>
    <xf numFmtId="0" fontId="5" fillId="0" borderId="20" xfId="0" applyFont="1" applyBorder="1" applyAlignment="1" applyProtection="1">
      <alignment horizontal="center"/>
      <protection hidden="1"/>
    </xf>
    <xf numFmtId="0" fontId="5" fillId="0" borderId="34" xfId="0" applyFont="1" applyBorder="1" applyProtection="1">
      <protection hidden="1"/>
    </xf>
    <xf numFmtId="0" fontId="5" fillId="0" borderId="35" xfId="0" applyFont="1" applyBorder="1" applyProtection="1">
      <protection hidden="1"/>
    </xf>
    <xf numFmtId="0" fontId="7" fillId="0" borderId="24" xfId="0" applyFont="1" applyBorder="1" applyAlignment="1" applyProtection="1">
      <alignment horizontal="center" vertical="center" wrapText="1"/>
      <protection hidden="1"/>
    </xf>
    <xf numFmtId="0" fontId="7" fillId="0" borderId="24" xfId="0" applyFont="1" applyBorder="1" applyAlignment="1" applyProtection="1">
      <alignment horizontal="center" vertical="center"/>
      <protection hidden="1"/>
    </xf>
    <xf numFmtId="0" fontId="7" fillId="0" borderId="18" xfId="0" applyFont="1" applyBorder="1" applyAlignment="1" applyProtection="1">
      <alignment horizontal="center" vertical="center"/>
      <protection hidden="1"/>
    </xf>
    <xf numFmtId="0" fontId="36" fillId="0" borderId="1" xfId="0" applyFont="1" applyBorder="1" applyAlignment="1" applyProtection="1">
      <alignment horizontal="center" vertical="center"/>
      <protection hidden="1"/>
    </xf>
    <xf numFmtId="0" fontId="36" fillId="0" borderId="24" xfId="0" applyFont="1" applyBorder="1" applyAlignment="1" applyProtection="1">
      <alignment horizontal="center" vertical="center"/>
      <protection hidden="1"/>
    </xf>
    <xf numFmtId="0" fontId="5" fillId="0" borderId="14" xfId="0" applyFont="1" applyBorder="1" applyAlignment="1" applyProtection="1">
      <alignment horizontal="center" vertical="center"/>
      <protection hidden="1"/>
    </xf>
    <xf numFmtId="0" fontId="7" fillId="0" borderId="38" xfId="0" applyFont="1" applyBorder="1" applyAlignment="1">
      <alignment horizontal="left" vertical="center"/>
    </xf>
    <xf numFmtId="0" fontId="7" fillId="0" borderId="39" xfId="0" quotePrefix="1" applyFont="1" applyBorder="1" applyAlignment="1">
      <alignment horizontal="center" vertical="center"/>
    </xf>
    <xf numFmtId="0" fontId="5" fillId="0" borderId="20" xfId="0" applyFont="1" applyBorder="1" applyAlignment="1" applyProtection="1">
      <alignment horizontal="center" vertical="center"/>
      <protection hidden="1"/>
    </xf>
    <xf numFmtId="0" fontId="5" fillId="0" borderId="23" xfId="0" applyFont="1" applyBorder="1" applyAlignment="1" applyProtection="1">
      <alignment horizontal="center" vertical="center"/>
      <protection hidden="1"/>
    </xf>
    <xf numFmtId="164" fontId="5" fillId="0" borderId="32" xfId="0" applyNumberFormat="1" applyFont="1" applyBorder="1" applyAlignment="1">
      <alignment horizontal="left" vertical="center"/>
    </xf>
    <xf numFmtId="164" fontId="5" fillId="0" borderId="14" xfId="0" applyNumberFormat="1" applyFont="1" applyBorder="1" applyAlignment="1">
      <alignment vertical="center"/>
    </xf>
    <xf numFmtId="0" fontId="5" fillId="0" borderId="33" xfId="0" applyFont="1" applyBorder="1" applyProtection="1">
      <protection hidden="1"/>
    </xf>
    <xf numFmtId="0" fontId="7" fillId="0" borderId="34" xfId="0" applyFont="1" applyBorder="1" applyAlignment="1">
      <alignment vertical="center"/>
    </xf>
    <xf numFmtId="0" fontId="5" fillId="0" borderId="32" xfId="0" applyFont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164" fontId="33" fillId="6" borderId="1" xfId="0" applyNumberFormat="1" applyFont="1" applyFill="1" applyBorder="1" applyAlignment="1" applyProtection="1">
      <alignment horizontal="center" vertical="center"/>
      <protection hidden="1"/>
    </xf>
    <xf numFmtId="164" fontId="5" fillId="2" borderId="1" xfId="0" applyNumberFormat="1" applyFont="1" applyFill="1" applyBorder="1" applyAlignment="1" applyProtection="1">
      <alignment horizontal="center" vertical="center"/>
      <protection hidden="1"/>
    </xf>
    <xf numFmtId="164" fontId="5" fillId="2" borderId="20" xfId="0" applyNumberFormat="1" applyFont="1" applyFill="1" applyBorder="1" applyAlignment="1" applyProtection="1">
      <alignment horizontal="center" vertical="center"/>
      <protection hidden="1"/>
    </xf>
    <xf numFmtId="0" fontId="5" fillId="0" borderId="21" xfId="0" applyFont="1" applyBorder="1" applyAlignment="1" applyProtection="1">
      <alignment vertical="center"/>
      <protection hidden="1"/>
    </xf>
    <xf numFmtId="0" fontId="5" fillId="0" borderId="22" xfId="0" applyFont="1" applyBorder="1" applyAlignment="1" applyProtection="1">
      <alignment vertical="center"/>
      <protection hidden="1"/>
    </xf>
    <xf numFmtId="1" fontId="5" fillId="0" borderId="36" xfId="0" applyNumberFormat="1" applyFont="1" applyBorder="1" applyAlignment="1" applyProtection="1">
      <alignment horizontal="center" vertical="center"/>
      <protection hidden="1"/>
    </xf>
    <xf numFmtId="1" fontId="5" fillId="0" borderId="37" xfId="0" applyNumberFormat="1" applyFont="1" applyBorder="1" applyAlignment="1" applyProtection="1">
      <alignment horizontal="center" vertical="center"/>
      <protection hidden="1"/>
    </xf>
    <xf numFmtId="1" fontId="5" fillId="0" borderId="15" xfId="0" applyNumberFormat="1" applyFont="1" applyBorder="1" applyAlignment="1" applyProtection="1">
      <alignment horizontal="center" vertical="center"/>
      <protection hidden="1"/>
    </xf>
    <xf numFmtId="0" fontId="5" fillId="0" borderId="38" xfId="0" applyFont="1" applyBorder="1" applyAlignment="1" applyProtection="1">
      <alignment vertical="center"/>
      <protection hidden="1"/>
    </xf>
    <xf numFmtId="0" fontId="5" fillId="0" borderId="35" xfId="0" applyFont="1" applyBorder="1" applyAlignment="1" applyProtection="1">
      <alignment vertical="center"/>
      <protection hidden="1"/>
    </xf>
    <xf numFmtId="0" fontId="5" fillId="0" borderId="33" xfId="0" applyFont="1" applyBorder="1" applyAlignment="1" applyProtection="1">
      <alignment vertical="center"/>
      <protection hidden="1"/>
    </xf>
    <xf numFmtId="0" fontId="5" fillId="0" borderId="34" xfId="0" applyFont="1" applyBorder="1" applyAlignment="1" applyProtection="1">
      <alignment vertical="center"/>
      <protection hidden="1"/>
    </xf>
    <xf numFmtId="1" fontId="5" fillId="0" borderId="25" xfId="0" applyNumberFormat="1" applyFont="1" applyBorder="1" applyAlignment="1" applyProtection="1">
      <alignment horizontal="center" vertical="center"/>
      <protection hidden="1"/>
    </xf>
    <xf numFmtId="1" fontId="5" fillId="0" borderId="23" xfId="0" applyNumberFormat="1" applyFont="1" applyBorder="1" applyAlignment="1" applyProtection="1">
      <alignment horizontal="center" vertical="center"/>
      <protection hidden="1"/>
    </xf>
    <xf numFmtId="0" fontId="5" fillId="0" borderId="26" xfId="0" applyFont="1" applyBorder="1" applyAlignment="1" applyProtection="1">
      <alignment vertical="center"/>
      <protection hidden="1"/>
    </xf>
    <xf numFmtId="0" fontId="5" fillId="0" borderId="27" xfId="0" applyFont="1" applyBorder="1" applyAlignment="1" applyProtection="1">
      <alignment vertical="center"/>
      <protection hidden="1"/>
    </xf>
    <xf numFmtId="1" fontId="5" fillId="0" borderId="28" xfId="0" applyNumberFormat="1" applyFont="1" applyBorder="1" applyAlignment="1" applyProtection="1">
      <alignment horizontal="center" vertical="center"/>
      <protection hidden="1"/>
    </xf>
    <xf numFmtId="1" fontId="5" fillId="0" borderId="29" xfId="0" applyNumberFormat="1" applyFont="1" applyBorder="1" applyAlignment="1" applyProtection="1">
      <alignment horizontal="center" vertical="center"/>
      <protection hidden="1"/>
    </xf>
    <xf numFmtId="0" fontId="7" fillId="0" borderId="24" xfId="0" quotePrefix="1" applyFont="1" applyBorder="1" applyAlignment="1">
      <alignment horizontal="center" vertical="center"/>
    </xf>
    <xf numFmtId="0" fontId="7" fillId="0" borderId="18" xfId="0" quotePrefix="1" applyFont="1" applyBorder="1" applyAlignment="1">
      <alignment horizontal="center" vertical="center"/>
    </xf>
    <xf numFmtId="0" fontId="5" fillId="0" borderId="41" xfId="0" applyFont="1" applyBorder="1" applyAlignment="1" applyProtection="1">
      <alignment vertical="center"/>
      <protection hidden="1"/>
    </xf>
    <xf numFmtId="0" fontId="31" fillId="0" borderId="21" xfId="0" applyFont="1" applyBorder="1" applyAlignment="1" applyProtection="1">
      <alignment vertical="center"/>
      <protection hidden="1"/>
    </xf>
    <xf numFmtId="16" fontId="33" fillId="6" borderId="25" xfId="0" quotePrefix="1" applyNumberFormat="1" applyFont="1" applyFill="1" applyBorder="1" applyAlignment="1" applyProtection="1">
      <alignment horizontal="center" vertical="center"/>
      <protection hidden="1"/>
    </xf>
    <xf numFmtId="0" fontId="31" fillId="0" borderId="23" xfId="0" applyFont="1" applyBorder="1" applyAlignment="1" applyProtection="1">
      <alignment wrapText="1"/>
      <protection hidden="1"/>
    </xf>
    <xf numFmtId="1" fontId="5" fillId="0" borderId="1" xfId="0" applyNumberFormat="1" applyFont="1" applyBorder="1" applyAlignment="1" applyProtection="1">
      <alignment horizontal="center" vertical="center"/>
      <protection hidden="1"/>
    </xf>
    <xf numFmtId="0" fontId="37" fillId="2" borderId="1" xfId="0" applyFont="1" applyFill="1" applyBorder="1" applyAlignment="1" applyProtection="1">
      <alignment horizontal="center" vertical="center"/>
      <protection hidden="1"/>
    </xf>
    <xf numFmtId="0" fontId="37" fillId="2" borderId="9" xfId="0" applyFont="1" applyFill="1" applyBorder="1" applyAlignment="1" applyProtection="1">
      <alignment horizontal="center" vertical="center"/>
      <protection hidden="1"/>
    </xf>
    <xf numFmtId="0" fontId="37" fillId="0" borderId="1" xfId="0" applyFont="1" applyBorder="1" applyAlignment="1" applyProtection="1">
      <alignment horizontal="center" vertical="center"/>
      <protection hidden="1"/>
    </xf>
    <xf numFmtId="2" fontId="5" fillId="0" borderId="9" xfId="0" applyNumberFormat="1" applyFont="1" applyBorder="1" applyAlignment="1" applyProtection="1">
      <alignment horizontal="center" vertical="center"/>
      <protection locked="0" hidden="1"/>
    </xf>
    <xf numFmtId="14" fontId="5" fillId="0" borderId="1" xfId="0" applyNumberFormat="1" applyFont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164" fontId="5" fillId="0" borderId="42" xfId="0" applyNumberFormat="1" applyFont="1" applyBorder="1" applyAlignment="1">
      <alignment horizontal="left" vertical="center"/>
    </xf>
    <xf numFmtId="164" fontId="5" fillId="0" borderId="2" xfId="0" applyNumberFormat="1" applyFont="1" applyBorder="1" applyAlignment="1">
      <alignment vertical="center"/>
    </xf>
    <xf numFmtId="0" fontId="5" fillId="0" borderId="32" xfId="0" applyFont="1" applyBorder="1" applyAlignment="1">
      <alignment horizontal="left"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40" xfId="0" applyFont="1" applyBorder="1" applyProtection="1">
      <protection hidden="1"/>
    </xf>
    <xf numFmtId="0" fontId="6" fillId="2" borderId="1" xfId="0" applyFont="1" applyFill="1" applyBorder="1" applyAlignment="1">
      <alignment horizontal="center"/>
    </xf>
    <xf numFmtId="0" fontId="8" fillId="0" borderId="4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 applyProtection="1">
      <alignment vertical="center"/>
      <protection locked="0"/>
    </xf>
    <xf numFmtId="0" fontId="5" fillId="0" borderId="6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7" xfId="0" quotePrefix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5" fillId="3" borderId="32" xfId="0" applyFont="1" applyFill="1" applyBorder="1" applyAlignment="1" applyProtection="1">
      <alignment vertical="center"/>
      <protection hidden="1"/>
    </xf>
    <xf numFmtId="0" fontId="6" fillId="3" borderId="1" xfId="0" applyFont="1" applyFill="1" applyBorder="1" applyAlignment="1">
      <alignment horizontal="center" vertical="center"/>
    </xf>
    <xf numFmtId="1" fontId="6" fillId="3" borderId="1" xfId="4" quotePrefix="1" applyNumberFormat="1" applyFont="1" applyFill="1" applyBorder="1" applyAlignment="1" applyProtection="1">
      <alignment horizontal="center" vertical="center"/>
      <protection locked="0"/>
    </xf>
    <xf numFmtId="2" fontId="6" fillId="3" borderId="1" xfId="4" quotePrefix="1" applyNumberFormat="1" applyFont="1" applyFill="1" applyBorder="1" applyAlignment="1" applyProtection="1">
      <alignment horizontal="center" vertical="center"/>
      <protection hidden="1"/>
    </xf>
    <xf numFmtId="0" fontId="5" fillId="3" borderId="32" xfId="0" applyFont="1" applyFill="1" applyBorder="1" applyAlignment="1" applyProtection="1">
      <alignment vertical="center" wrapText="1"/>
      <protection hidden="1"/>
    </xf>
    <xf numFmtId="0" fontId="6" fillId="3" borderId="1" xfId="0" applyFont="1" applyFill="1" applyBorder="1"/>
    <xf numFmtId="164" fontId="5" fillId="2" borderId="32" xfId="0" applyNumberFormat="1" applyFont="1" applyFill="1" applyBorder="1" applyAlignment="1">
      <alignment horizontal="left" vertical="center"/>
    </xf>
    <xf numFmtId="0" fontId="5" fillId="2" borderId="32" xfId="0" applyFont="1" applyFill="1" applyBorder="1" applyAlignment="1" applyProtection="1">
      <alignment vertical="center"/>
      <protection hidden="1"/>
    </xf>
    <xf numFmtId="0" fontId="6" fillId="2" borderId="1" xfId="0" applyFont="1" applyFill="1" applyBorder="1" applyAlignment="1">
      <alignment horizontal="center" vertical="center"/>
    </xf>
    <xf numFmtId="164" fontId="5" fillId="2" borderId="9" xfId="0" applyNumberFormat="1" applyFont="1" applyFill="1" applyBorder="1" applyAlignment="1">
      <alignment horizontal="left" vertical="center"/>
    </xf>
    <xf numFmtId="172" fontId="6" fillId="0" borderId="1" xfId="0" quotePrefix="1" applyNumberFormat="1" applyFont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1" xfId="0" quotePrefix="1" applyNumberFormat="1" applyFont="1" applyBorder="1" applyAlignment="1" applyProtection="1">
      <alignment horizontal="center" vertical="center"/>
      <protection locked="0"/>
    </xf>
    <xf numFmtId="174" fontId="6" fillId="2" borderId="3" xfId="4" applyNumberFormat="1" applyFont="1" applyFill="1" applyBorder="1" applyAlignment="1" applyProtection="1">
      <alignment horizontal="center" vertical="center"/>
      <protection hidden="1"/>
    </xf>
    <xf numFmtId="174" fontId="6" fillId="2" borderId="0" xfId="4" applyNumberFormat="1" applyFont="1" applyFill="1" applyAlignment="1" applyProtection="1">
      <alignment horizontal="center" vertical="center"/>
      <protection hidden="1"/>
    </xf>
    <xf numFmtId="0" fontId="22" fillId="4" borderId="1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76" fontId="6" fillId="5" borderId="1" xfId="4" applyNumberFormat="1" applyFont="1" applyFill="1" applyBorder="1" applyAlignment="1" applyProtection="1">
      <alignment horizontal="center" vertical="center" wrapText="1"/>
      <protection hidden="1"/>
    </xf>
    <xf numFmtId="164" fontId="5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 applyProtection="1">
      <alignment vertical="center"/>
      <protection hidden="1"/>
    </xf>
    <xf numFmtId="0" fontId="5" fillId="3" borderId="1" xfId="0" applyFont="1" applyFill="1" applyBorder="1" applyAlignment="1" applyProtection="1">
      <alignment vertical="center" wrapText="1"/>
      <protection hidden="1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vertical="center"/>
      <protection hidden="1"/>
    </xf>
    <xf numFmtId="164" fontId="5" fillId="2" borderId="34" xfId="0" applyNumberFormat="1" applyFont="1" applyFill="1" applyBorder="1" applyAlignment="1" applyProtection="1">
      <alignment horizontal="center" vertical="center"/>
      <protection hidden="1"/>
    </xf>
    <xf numFmtId="164" fontId="5" fillId="2" borderId="11" xfId="0" applyNumberFormat="1" applyFont="1" applyFill="1" applyBorder="1" applyAlignment="1" applyProtection="1">
      <alignment horizontal="center" vertical="center"/>
      <protection hidden="1"/>
    </xf>
    <xf numFmtId="164" fontId="5" fillId="0" borderId="43" xfId="0" applyNumberFormat="1" applyFont="1" applyBorder="1" applyAlignment="1" applyProtection="1">
      <alignment horizontal="center" vertical="center"/>
      <protection hidden="1"/>
    </xf>
    <xf numFmtId="164" fontId="5" fillId="0" borderId="20" xfId="0" applyNumberFormat="1" applyFont="1" applyBorder="1" applyAlignment="1" applyProtection="1">
      <alignment horizontal="center" vertical="center"/>
      <protection hidden="1"/>
    </xf>
    <xf numFmtId="164" fontId="5" fillId="0" borderId="25" xfId="0" applyNumberFormat="1" applyFont="1" applyBorder="1" applyAlignment="1" applyProtection="1">
      <alignment horizontal="center" vertical="center"/>
      <protection hidden="1"/>
    </xf>
    <xf numFmtId="164" fontId="5" fillId="0" borderId="23" xfId="0" applyNumberFormat="1" applyFont="1" applyBorder="1" applyAlignment="1" applyProtection="1">
      <alignment horizontal="center" vertical="center"/>
      <protection hidden="1"/>
    </xf>
    <xf numFmtId="1" fontId="6" fillId="0" borderId="1" xfId="4" quotePrefix="1" applyNumberFormat="1" applyFont="1" applyBorder="1" applyAlignment="1" applyProtection="1">
      <alignment horizontal="center" vertical="center"/>
      <protection locked="0"/>
    </xf>
    <xf numFmtId="164" fontId="6" fillId="2" borderId="1" xfId="4" quotePrefix="1" applyNumberFormat="1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hidden="1"/>
    </xf>
    <xf numFmtId="0" fontId="38" fillId="0" borderId="20" xfId="0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 wrapText="1"/>
      <protection hidden="1"/>
    </xf>
    <xf numFmtId="177" fontId="6" fillId="2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quotePrefix="1" applyFont="1" applyBorder="1" applyAlignment="1">
      <alignment horizontal="center" vertical="center"/>
    </xf>
    <xf numFmtId="0" fontId="6" fillId="0" borderId="1" xfId="0" quotePrefix="1" applyFont="1" applyBorder="1" applyAlignment="1" applyProtection="1">
      <alignment horizontal="center" vertical="center"/>
      <protection hidden="1"/>
    </xf>
    <xf numFmtId="12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Protection="1">
      <protection hidden="1"/>
    </xf>
    <xf numFmtId="0" fontId="16" fillId="0" borderId="1" xfId="0" applyFont="1" applyBorder="1" applyAlignment="1" applyProtection="1">
      <alignment horizontal="center" vertical="center"/>
      <protection hidden="1"/>
    </xf>
    <xf numFmtId="164" fontId="5" fillId="0" borderId="0" xfId="0" applyNumberFormat="1" applyFont="1" applyProtection="1">
      <protection hidden="1"/>
    </xf>
    <xf numFmtId="0" fontId="39" fillId="6" borderId="1" xfId="0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164" fontId="5" fillId="0" borderId="1" xfId="0" applyNumberFormat="1" applyFont="1" applyBorder="1" applyAlignment="1" applyProtection="1">
      <alignment horizontal="center" vertical="center"/>
      <protection hidden="1"/>
    </xf>
    <xf numFmtId="171" fontId="6" fillId="2" borderId="1" xfId="4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hidden="1"/>
    </xf>
    <xf numFmtId="0" fontId="12" fillId="0" borderId="0" xfId="5" quotePrefix="1" applyFont="1" applyAlignment="1">
      <alignment vertical="center" wrapText="1"/>
    </xf>
    <xf numFmtId="0" fontId="27" fillId="0" borderId="0" xfId="0" applyFont="1" applyProtection="1">
      <protection hidden="1"/>
    </xf>
    <xf numFmtId="0" fontId="6" fillId="0" borderId="0" xfId="0" applyFont="1" applyAlignment="1">
      <alignment horizontal="left" vertical="center"/>
    </xf>
    <xf numFmtId="16" fontId="6" fillId="0" borderId="0" xfId="0" applyNumberFormat="1" applyFont="1" applyAlignment="1">
      <alignment horizontal="left" vertical="center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178" fontId="6" fillId="0" borderId="0" xfId="3" applyNumberFormat="1" applyFont="1" applyAlignment="1" applyProtection="1">
      <alignment horizontal="left" vertical="center"/>
      <protection locked="0"/>
    </xf>
    <xf numFmtId="178" fontId="6" fillId="0" borderId="13" xfId="3" applyNumberFormat="1" applyFont="1" applyBorder="1" applyAlignment="1" applyProtection="1">
      <alignment horizontal="left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1" fontId="2" fillId="2" borderId="0" xfId="4" applyNumberFormat="1" applyFill="1" applyAlignment="1">
      <alignment horizontal="center"/>
    </xf>
    <xf numFmtId="175" fontId="5" fillId="2" borderId="9" xfId="0" applyNumberFormat="1" applyFont="1" applyFill="1" applyBorder="1" applyAlignment="1" applyProtection="1">
      <alignment horizontal="center" vertical="center"/>
      <protection locked="0" hidden="1"/>
    </xf>
    <xf numFmtId="0" fontId="26" fillId="2" borderId="1" xfId="4" applyFont="1" applyFill="1" applyBorder="1" applyAlignment="1" applyProtection="1">
      <alignment horizontal="center" vertical="center"/>
      <protection locked="0"/>
    </xf>
    <xf numFmtId="180" fontId="6" fillId="0" borderId="0" xfId="3" applyNumberFormat="1" applyFont="1" applyAlignment="1" applyProtection="1">
      <alignment horizontal="left" vertical="center"/>
      <protection locked="0"/>
    </xf>
    <xf numFmtId="181" fontId="6" fillId="0" borderId="13" xfId="3" applyNumberFormat="1" applyFont="1" applyBorder="1" applyAlignment="1" applyProtection="1">
      <alignment horizontal="left" vertical="center"/>
      <protection locked="0"/>
    </xf>
    <xf numFmtId="178" fontId="2" fillId="2" borderId="0" xfId="4" applyNumberFormat="1" applyFill="1" applyAlignment="1">
      <alignment horizontal="center" vertical="center"/>
    </xf>
    <xf numFmtId="0" fontId="3" fillId="2" borderId="44" xfId="0" applyFont="1" applyFill="1" applyBorder="1" applyAlignment="1">
      <alignment vertical="center"/>
    </xf>
    <xf numFmtId="0" fontId="3" fillId="2" borderId="45" xfId="0" applyFont="1" applyFill="1" applyBorder="1" applyAlignment="1">
      <alignment vertical="center"/>
    </xf>
    <xf numFmtId="0" fontId="40" fillId="2" borderId="46" xfId="0" applyFont="1" applyFill="1" applyBorder="1" applyAlignment="1">
      <alignment vertical="center"/>
    </xf>
    <xf numFmtId="0" fontId="41" fillId="2" borderId="45" xfId="0" applyFont="1" applyFill="1" applyBorder="1" applyProtection="1">
      <protection hidden="1"/>
    </xf>
    <xf numFmtId="0" fontId="2" fillId="7" borderId="0" xfId="0" applyFont="1" applyFill="1" applyAlignment="1">
      <alignment vertical="center"/>
    </xf>
    <xf numFmtId="0" fontId="3" fillId="2" borderId="47" xfId="0" applyFont="1" applyFill="1" applyBorder="1" applyAlignment="1">
      <alignment vertical="center"/>
    </xf>
    <xf numFmtId="0" fontId="3" fillId="2" borderId="48" xfId="0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40" fillId="2" borderId="0" xfId="0" applyFont="1" applyFill="1" applyAlignment="1">
      <alignment vertical="center"/>
    </xf>
    <xf numFmtId="0" fontId="41" fillId="2" borderId="48" xfId="0" applyFont="1" applyFill="1" applyBorder="1" applyProtection="1">
      <protection hidden="1"/>
    </xf>
    <xf numFmtId="0" fontId="20" fillId="2" borderId="49" xfId="0" applyFont="1" applyFill="1" applyBorder="1" applyAlignment="1">
      <alignment vertical="center"/>
    </xf>
    <xf numFmtId="0" fontId="20" fillId="2" borderId="50" xfId="0" applyFont="1" applyFill="1" applyBorder="1" applyAlignment="1">
      <alignment vertical="center"/>
    </xf>
    <xf numFmtId="0" fontId="20" fillId="2" borderId="51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42" fillId="0" borderId="1" xfId="0" applyFont="1" applyBorder="1" applyAlignment="1">
      <alignment horizontal="center" vertical="center"/>
    </xf>
    <xf numFmtId="0" fontId="7" fillId="2" borderId="0" xfId="3" applyFont="1" applyFill="1" applyAlignment="1">
      <alignment vertical="center"/>
    </xf>
    <xf numFmtId="0" fontId="10" fillId="7" borderId="1" xfId="3" applyFont="1" applyFill="1" applyBorder="1" applyAlignment="1">
      <alignment horizontal="center" vertical="center"/>
    </xf>
    <xf numFmtId="0" fontId="10" fillId="7" borderId="1" xfId="3" applyFont="1" applyFill="1" applyBorder="1" applyAlignment="1">
      <alignment vertical="center"/>
    </xf>
    <xf numFmtId="0" fontId="7" fillId="7" borderId="0" xfId="3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0" fontId="3" fillId="2" borderId="0" xfId="0" applyFont="1" applyFill="1" applyAlignment="1" applyProtection="1">
      <alignment horizontal="center" vertical="center" wrapText="1"/>
      <protection hidden="1"/>
    </xf>
    <xf numFmtId="0" fontId="10" fillId="0" borderId="9" xfId="0" applyFont="1" applyBorder="1" applyAlignment="1">
      <alignment horizontal="left" vertical="center"/>
    </xf>
    <xf numFmtId="49" fontId="6" fillId="0" borderId="1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6" xfId="0" applyFont="1" applyBorder="1" applyAlignment="1" applyProtection="1">
      <alignment horizontal="left" vertical="center" wrapText="1" indent="1"/>
      <protection hidden="1"/>
    </xf>
    <xf numFmtId="0" fontId="2" fillId="7" borderId="1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7" borderId="9" xfId="0" applyFont="1" applyFill="1" applyBorder="1" applyAlignment="1">
      <alignment horizontal="left" vertical="center" indent="1"/>
    </xf>
    <xf numFmtId="0" fontId="6" fillId="0" borderId="9" xfId="0" applyFont="1" applyBorder="1" applyAlignment="1">
      <alignment horizontal="left" vertical="center"/>
    </xf>
    <xf numFmtId="0" fontId="6" fillId="7" borderId="8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27" fillId="0" borderId="9" xfId="0" applyFont="1" applyBorder="1" applyAlignment="1">
      <alignment horizontal="left"/>
    </xf>
    <xf numFmtId="0" fontId="6" fillId="0" borderId="14" xfId="0" applyFont="1" applyBorder="1" applyAlignment="1">
      <alignment horizontal="center" vertical="center"/>
    </xf>
    <xf numFmtId="164" fontId="44" fillId="0" borderId="14" xfId="0" applyNumberFormat="1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/>
    </xf>
    <xf numFmtId="164" fontId="45" fillId="0" borderId="0" xfId="0" applyNumberFormat="1" applyFont="1" applyAlignment="1">
      <alignment horizontal="center" vertical="center"/>
    </xf>
    <xf numFmtId="164" fontId="44" fillId="0" borderId="8" xfId="0" applyNumberFormat="1" applyFont="1" applyBorder="1" applyAlignment="1">
      <alignment horizontal="center" vertical="center"/>
    </xf>
    <xf numFmtId="164" fontId="45" fillId="0" borderId="0" xfId="0" applyNumberFormat="1" applyFont="1" applyAlignment="1">
      <alignment vertical="center"/>
    </xf>
    <xf numFmtId="2" fontId="45" fillId="0" borderId="0" xfId="0" applyNumberFormat="1" applyFont="1" applyAlignment="1">
      <alignment vertical="center"/>
    </xf>
    <xf numFmtId="0" fontId="6" fillId="0" borderId="12" xfId="0" applyFont="1" applyBorder="1" applyAlignment="1">
      <alignment horizontal="left" vertical="center"/>
    </xf>
    <xf numFmtId="0" fontId="6" fillId="0" borderId="9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7" borderId="0" xfId="0" applyFont="1" applyFill="1" applyAlignment="1">
      <alignment vertical="center"/>
    </xf>
    <xf numFmtId="0" fontId="5" fillId="0" borderId="0" xfId="0" quotePrefix="1" applyFont="1" applyAlignment="1">
      <alignment horizontal="left" vertical="center"/>
    </xf>
    <xf numFmtId="0" fontId="6" fillId="7" borderId="14" xfId="0" applyFont="1" applyFill="1" applyBorder="1" applyAlignment="1">
      <alignment vertical="center"/>
    </xf>
    <xf numFmtId="0" fontId="2" fillId="7" borderId="8" xfId="0" applyFont="1" applyFill="1" applyBorder="1" applyAlignment="1">
      <alignment vertical="center"/>
    </xf>
    <xf numFmtId="0" fontId="2" fillId="7" borderId="14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48" fillId="0" borderId="0" xfId="0" applyFont="1" applyAlignment="1">
      <alignment vertical="center" wrapText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0" fontId="7" fillId="0" borderId="1" xfId="0" quotePrefix="1" applyFont="1" applyBorder="1" applyAlignment="1" applyProtection="1">
      <alignment horizontal="center" vertical="center" wrapText="1"/>
      <protection hidden="1"/>
    </xf>
    <xf numFmtId="0" fontId="6" fillId="0" borderId="9" xfId="0" applyFont="1" applyBorder="1" applyAlignment="1" applyProtection="1">
      <alignment vertical="center"/>
      <protection hidden="1"/>
    </xf>
    <xf numFmtId="0" fontId="5" fillId="0" borderId="14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164" fontId="33" fillId="0" borderId="1" xfId="0" applyNumberFormat="1" applyFont="1" applyBorder="1" applyAlignment="1" applyProtection="1">
      <alignment horizontal="center" vertical="center"/>
      <protection hidden="1"/>
    </xf>
    <xf numFmtId="0" fontId="5" fillId="0" borderId="14" xfId="0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left" vertical="center"/>
    </xf>
    <xf numFmtId="0" fontId="6" fillId="0" borderId="4" xfId="0" applyFont="1" applyBorder="1" applyAlignment="1" applyProtection="1">
      <alignment vertical="center"/>
      <protection hidden="1"/>
    </xf>
    <xf numFmtId="0" fontId="5" fillId="0" borderId="3" xfId="0" applyFont="1" applyBorder="1" applyAlignment="1">
      <alignment horizontal="center" vertical="center"/>
    </xf>
    <xf numFmtId="164" fontId="44" fillId="0" borderId="5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 applyProtection="1">
      <alignment horizontal="center" vertical="center"/>
      <protection hidden="1"/>
    </xf>
    <xf numFmtId="1" fontId="5" fillId="0" borderId="1" xfId="0" applyNumberFormat="1" applyFont="1" applyBorder="1" applyAlignment="1" applyProtection="1">
      <alignment vertical="center"/>
      <protection hidden="1"/>
    </xf>
    <xf numFmtId="0" fontId="46" fillId="0" borderId="0" xfId="0" applyFont="1" applyAlignment="1">
      <alignment horizontal="left" vertical="center"/>
    </xf>
    <xf numFmtId="164" fontId="44" fillId="0" borderId="0" xfId="0" applyNumberFormat="1" applyFont="1" applyAlignment="1">
      <alignment horizontal="center" vertical="center"/>
    </xf>
    <xf numFmtId="1" fontId="5" fillId="0" borderId="0" xfId="0" applyNumberFormat="1" applyFont="1" applyAlignment="1" applyProtection="1">
      <alignment horizontal="center" vertical="center"/>
      <protection hidden="1"/>
    </xf>
    <xf numFmtId="0" fontId="45" fillId="0" borderId="0" xfId="0" applyFont="1" applyAlignment="1">
      <alignment horizontal="center" vertical="center"/>
    </xf>
    <xf numFmtId="0" fontId="10" fillId="0" borderId="52" xfId="0" applyFont="1" applyBorder="1" applyAlignment="1">
      <alignment vertical="center"/>
    </xf>
    <xf numFmtId="0" fontId="5" fillId="0" borderId="52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5" fillId="0" borderId="52" xfId="0" quotePrefix="1" applyFont="1" applyBorder="1" applyAlignment="1">
      <alignment horizontal="left"/>
    </xf>
    <xf numFmtId="169" fontId="5" fillId="0" borderId="0" xfId="0" applyNumberFormat="1" applyFont="1" applyAlignment="1">
      <alignment horizontal="center" vertical="center"/>
    </xf>
    <xf numFmtId="0" fontId="10" fillId="0" borderId="0" xfId="0" applyFont="1" applyAlignment="1" applyProtection="1">
      <alignment vertical="center" wrapText="1"/>
      <protection hidden="1"/>
    </xf>
    <xf numFmtId="0" fontId="5" fillId="7" borderId="0" xfId="0" applyFont="1" applyFill="1" applyAlignment="1">
      <alignment vertical="center"/>
    </xf>
    <xf numFmtId="0" fontId="5" fillId="2" borderId="0" xfId="0" applyFont="1" applyFill="1" applyAlignment="1" applyProtection="1">
      <alignment vertical="center"/>
      <protection hidden="1"/>
    </xf>
    <xf numFmtId="0" fontId="7" fillId="2" borderId="0" xfId="3" applyFont="1" applyFill="1" applyAlignment="1">
      <alignment horizontal="right" vertical="center"/>
    </xf>
    <xf numFmtId="0" fontId="2" fillId="0" borderId="10" xfId="0" applyFont="1" applyBorder="1" applyAlignment="1">
      <alignment horizontal="left" indent="1"/>
    </xf>
    <xf numFmtId="0" fontId="2" fillId="0" borderId="15" xfId="0" applyFont="1" applyBorder="1" applyAlignment="1">
      <alignment horizontal="left" indent="1"/>
    </xf>
    <xf numFmtId="0" fontId="3" fillId="2" borderId="0" xfId="0" applyFont="1" applyFill="1" applyAlignment="1">
      <alignment horizontal="right"/>
    </xf>
    <xf numFmtId="0" fontId="0" fillId="0" borderId="15" xfId="0" applyBorder="1" applyAlignment="1">
      <alignment horizontal="left" indent="1"/>
    </xf>
    <xf numFmtId="16" fontId="0" fillId="0" borderId="15" xfId="0" applyNumberFormat="1" applyBorder="1" applyAlignment="1">
      <alignment horizontal="left" indent="1"/>
    </xf>
    <xf numFmtId="0" fontId="5" fillId="0" borderId="15" xfId="3" applyFont="1" applyBorder="1" applyAlignment="1">
      <alignment horizontal="left" vertical="center" indent="1"/>
    </xf>
    <xf numFmtId="0" fontId="5" fillId="0" borderId="11" xfId="3" applyFont="1" applyBorder="1" applyAlignment="1">
      <alignment horizontal="left" vertical="center" indent="1"/>
    </xf>
    <xf numFmtId="0" fontId="43" fillId="0" borderId="8" xfId="0" applyFont="1" applyBorder="1" applyAlignment="1">
      <alignment vertical="center" wrapText="1"/>
    </xf>
    <xf numFmtId="0" fontId="31" fillId="0" borderId="1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7" fillId="0" borderId="0" xfId="3" applyFont="1" applyAlignment="1">
      <alignment horizontal="right" vertical="center" wrapText="1"/>
    </xf>
    <xf numFmtId="178" fontId="14" fillId="2" borderId="1" xfId="6" applyNumberFormat="1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2" borderId="0" xfId="4" applyFont="1" applyFill="1" applyAlignment="1">
      <alignment horizontal="center" vertical="center"/>
    </xf>
    <xf numFmtId="0" fontId="12" fillId="0" borderId="0" xfId="5" quotePrefix="1" applyFont="1" applyAlignment="1">
      <alignment horizontal="left" vertical="center" wrapText="1"/>
    </xf>
    <xf numFmtId="0" fontId="51" fillId="2" borderId="0" xfId="0" applyFont="1" applyFill="1"/>
    <xf numFmtId="0" fontId="41" fillId="2" borderId="0" xfId="0" applyFont="1" applyFill="1"/>
    <xf numFmtId="15" fontId="2" fillId="2" borderId="1" xfId="0" applyNumberFormat="1" applyFont="1" applyFill="1" applyBorder="1" applyAlignment="1" applyProtection="1">
      <alignment horizontal="center"/>
      <protection locked="0"/>
    </xf>
    <xf numFmtId="17" fontId="2" fillId="2" borderId="0" xfId="0" applyNumberFormat="1" applyFont="1" applyFill="1" applyAlignment="1">
      <alignment horizontal="center"/>
    </xf>
    <xf numFmtId="0" fontId="3" fillId="2" borderId="4" xfId="0" applyFont="1" applyFill="1" applyBorder="1" applyAlignment="1" applyProtection="1">
      <alignment horizontal="center" vertical="center" wrapText="1"/>
      <protection hidden="1"/>
    </xf>
    <xf numFmtId="0" fontId="3" fillId="2" borderId="3" xfId="0" applyFont="1" applyFill="1" applyBorder="1" applyAlignment="1" applyProtection="1">
      <alignment horizontal="center" vertical="center" wrapText="1"/>
      <protection hidden="1"/>
    </xf>
    <xf numFmtId="0" fontId="3" fillId="2" borderId="5" xfId="0" applyFont="1" applyFill="1" applyBorder="1" applyAlignment="1" applyProtection="1">
      <alignment horizontal="center" vertical="center" wrapText="1"/>
      <protection hidden="1"/>
    </xf>
    <xf numFmtId="0" fontId="9" fillId="2" borderId="0" xfId="0" applyFont="1" applyFill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167" fontId="9" fillId="2" borderId="0" xfId="0" applyNumberFormat="1" applyFont="1" applyFill="1" applyAlignment="1" applyProtection="1">
      <alignment horizontal="center"/>
      <protection hidden="1"/>
    </xf>
    <xf numFmtId="167" fontId="9" fillId="2" borderId="48" xfId="0" applyNumberFormat="1" applyFont="1" applyFill="1" applyBorder="1" applyAlignment="1" applyProtection="1">
      <alignment horizontal="center"/>
      <protection hidden="1"/>
    </xf>
    <xf numFmtId="0" fontId="42" fillId="0" borderId="1" xfId="0" applyFont="1" applyBorder="1" applyAlignment="1">
      <alignment horizontal="center" vertical="center"/>
    </xf>
    <xf numFmtId="0" fontId="10" fillId="7" borderId="1" xfId="3" applyFont="1" applyFill="1" applyBorder="1" applyAlignment="1">
      <alignment horizontal="center" vertical="center"/>
    </xf>
    <xf numFmtId="0" fontId="7" fillId="2" borderId="0" xfId="3" applyFont="1" applyFill="1" applyAlignment="1">
      <alignment horizontal="center" vertical="center"/>
    </xf>
    <xf numFmtId="0" fontId="3" fillId="2" borderId="6" xfId="0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0" fontId="3" fillId="2" borderId="7" xfId="0" applyFont="1" applyFill="1" applyBorder="1" applyAlignment="1" applyProtection="1">
      <alignment horizontal="center" vertical="center" wrapText="1"/>
      <protection hidden="1"/>
    </xf>
    <xf numFmtId="0" fontId="10" fillId="0" borderId="9" xfId="0" applyFont="1" applyBorder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6" fillId="0" borderId="9" xfId="0" applyFont="1" applyBorder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center" wrapText="1"/>
      <protection hidden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33" fillId="0" borderId="9" xfId="0" applyNumberFormat="1" applyFont="1" applyBorder="1" applyAlignment="1" applyProtection="1">
      <alignment horizontal="center" vertical="center"/>
      <protection hidden="1"/>
    </xf>
    <xf numFmtId="164" fontId="33" fillId="0" borderId="8" xfId="0" applyNumberFormat="1" applyFont="1" applyBorder="1" applyAlignment="1" applyProtection="1">
      <alignment horizontal="center" vertical="center"/>
      <protection hidden="1"/>
    </xf>
    <xf numFmtId="0" fontId="48" fillId="0" borderId="0" xfId="0" applyFont="1" applyAlignment="1">
      <alignment horizontal="left" vertical="center" wrapText="1"/>
    </xf>
    <xf numFmtId="0" fontId="46" fillId="0" borderId="0" xfId="0" applyFont="1" applyAlignment="1">
      <alignment horizontal="left" wrapText="1"/>
    </xf>
    <xf numFmtId="0" fontId="46" fillId="0" borderId="0" xfId="0" applyFont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 wrapText="1"/>
      <protection hidden="1"/>
    </xf>
    <xf numFmtId="0" fontId="7" fillId="0" borderId="9" xfId="0" quotePrefix="1" applyFont="1" applyBorder="1" applyAlignment="1" applyProtection="1">
      <alignment horizontal="center" vertical="center" wrapText="1"/>
      <protection hidden="1"/>
    </xf>
    <xf numFmtId="0" fontId="7" fillId="0" borderId="8" xfId="0" quotePrefix="1" applyFont="1" applyBorder="1" applyAlignment="1" applyProtection="1">
      <alignment horizontal="center" vertical="center" wrapText="1"/>
      <protection hidden="1"/>
    </xf>
    <xf numFmtId="164" fontId="33" fillId="0" borderId="4" xfId="0" applyNumberFormat="1" applyFont="1" applyBorder="1" applyAlignment="1" applyProtection="1">
      <alignment horizontal="center" vertical="center"/>
      <protection hidden="1"/>
    </xf>
    <xf numFmtId="164" fontId="33" fillId="0" borderId="5" xfId="0" applyNumberFormat="1" applyFont="1" applyBorder="1" applyAlignment="1" applyProtection="1">
      <alignment horizontal="center" vertical="center"/>
      <protection hidden="1"/>
    </xf>
    <xf numFmtId="1" fontId="5" fillId="0" borderId="1" xfId="0" applyNumberFormat="1" applyFont="1" applyBorder="1" applyAlignment="1" applyProtection="1">
      <alignment horizontal="center" vertical="center"/>
      <protection hidden="1"/>
    </xf>
    <xf numFmtId="0" fontId="2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9" fontId="9" fillId="0" borderId="0" xfId="0" applyNumberFormat="1" applyFont="1" applyAlignment="1" applyProtection="1">
      <alignment horizontal="center" vertical="center"/>
      <protection locked="0" hidden="1"/>
    </xf>
    <xf numFmtId="0" fontId="20" fillId="0" borderId="4" xfId="0" applyFont="1" applyBorder="1" applyAlignment="1" applyProtection="1">
      <alignment horizontal="center" vertical="center" wrapText="1"/>
      <protection hidden="1"/>
    </xf>
    <xf numFmtId="0" fontId="20" fillId="0" borderId="3" xfId="0" applyFont="1" applyBorder="1" applyAlignment="1" applyProtection="1">
      <alignment horizontal="center" vertical="center" wrapText="1"/>
      <protection hidden="1"/>
    </xf>
    <xf numFmtId="0" fontId="20" fillId="0" borderId="5" xfId="0" applyFont="1" applyBorder="1" applyAlignment="1" applyProtection="1">
      <alignment horizontal="center" vertical="center" wrapText="1"/>
      <protection hidden="1"/>
    </xf>
    <xf numFmtId="0" fontId="20" fillId="0" borderId="12" xfId="0" applyFont="1" applyBorder="1" applyAlignment="1" applyProtection="1">
      <alignment horizontal="center" vertical="center" wrapText="1"/>
      <protection hidden="1"/>
    </xf>
    <xf numFmtId="0" fontId="20" fillId="0" borderId="0" xfId="0" applyFont="1" applyAlignment="1" applyProtection="1">
      <alignment horizontal="center" vertical="center" wrapText="1"/>
      <protection hidden="1"/>
    </xf>
    <xf numFmtId="0" fontId="20" fillId="0" borderId="13" xfId="0" applyFont="1" applyBorder="1" applyAlignment="1" applyProtection="1">
      <alignment horizontal="center" vertical="center" wrapText="1"/>
      <protection hidden="1"/>
    </xf>
    <xf numFmtId="0" fontId="6" fillId="0" borderId="0" xfId="5" quotePrefix="1" applyFont="1" applyAlignment="1">
      <alignment horizontal="left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0" xfId="5" quotePrefix="1" applyFont="1" applyAlignment="1">
      <alignment horizontal="left" vertical="center"/>
    </xf>
    <xf numFmtId="0" fontId="12" fillId="0" borderId="0" xfId="5" quotePrefix="1" applyFont="1" applyAlignment="1">
      <alignment horizontal="left" vertical="center" wrapText="1"/>
    </xf>
    <xf numFmtId="0" fontId="6" fillId="0" borderId="1" xfId="0" applyFont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8" fillId="0" borderId="30" xfId="0" applyFont="1" applyBorder="1" applyAlignment="1" applyProtection="1">
      <alignment horizontal="left" vertical="center" wrapText="1"/>
      <protection hidden="1"/>
    </xf>
    <xf numFmtId="0" fontId="8" fillId="0" borderId="24" xfId="0" applyFont="1" applyBorder="1" applyAlignment="1" applyProtection="1">
      <alignment horizontal="left" vertical="center" wrapText="1"/>
      <protection hidden="1"/>
    </xf>
    <xf numFmtId="0" fontId="8" fillId="0" borderId="31" xfId="0" applyFont="1" applyBorder="1" applyAlignment="1" applyProtection="1">
      <alignment horizontal="left" vertical="center" wrapText="1"/>
      <protection hidden="1"/>
    </xf>
    <xf numFmtId="0" fontId="8" fillId="0" borderId="1" xfId="0" applyFont="1" applyBorder="1" applyAlignment="1" applyProtection="1">
      <alignment horizontal="left" vertical="center" wrapText="1"/>
      <protection hidden="1"/>
    </xf>
    <xf numFmtId="0" fontId="5" fillId="0" borderId="22" xfId="0" applyFont="1" applyBorder="1" applyAlignment="1" applyProtection="1">
      <alignment horizontal="left" wrapText="1"/>
      <protection hidden="1"/>
    </xf>
    <xf numFmtId="0" fontId="27" fillId="2" borderId="9" xfId="0" applyFont="1" applyFill="1" applyBorder="1" applyAlignment="1" applyProtection="1">
      <alignment horizontal="center" vertical="center"/>
      <protection locked="0"/>
    </xf>
    <xf numFmtId="0" fontId="27" fillId="2" borderId="8" xfId="0" applyFont="1" applyFill="1" applyBorder="1" applyAlignment="1" applyProtection="1">
      <alignment horizontal="center" vertical="center"/>
      <protection locked="0"/>
    </xf>
    <xf numFmtId="0" fontId="17" fillId="2" borderId="4" xfId="6" applyFont="1" applyFill="1" applyBorder="1" applyAlignment="1">
      <alignment horizontal="center"/>
    </xf>
    <xf numFmtId="0" fontId="17" fillId="2" borderId="5" xfId="6" applyFont="1" applyFill="1" applyBorder="1" applyAlignment="1">
      <alignment horizontal="center"/>
    </xf>
    <xf numFmtId="0" fontId="17" fillId="2" borderId="12" xfId="6" applyFont="1" applyFill="1" applyBorder="1" applyAlignment="1">
      <alignment horizontal="center"/>
    </xf>
    <xf numFmtId="0" fontId="17" fillId="2" borderId="13" xfId="6" applyFont="1" applyFill="1" applyBorder="1" applyAlignment="1">
      <alignment horizontal="center"/>
    </xf>
    <xf numFmtId="0" fontId="17" fillId="2" borderId="6" xfId="6" applyFont="1" applyFill="1" applyBorder="1" applyAlignment="1">
      <alignment horizontal="center"/>
    </xf>
    <xf numFmtId="0" fontId="17" fillId="2" borderId="7" xfId="6" applyFont="1" applyFill="1" applyBorder="1" applyAlignment="1">
      <alignment horizontal="center"/>
    </xf>
    <xf numFmtId="0" fontId="18" fillId="2" borderId="4" xfId="6" applyFont="1" applyFill="1" applyBorder="1" applyAlignment="1">
      <alignment horizontal="center" vertical="center" wrapText="1"/>
    </xf>
    <xf numFmtId="0" fontId="18" fillId="2" borderId="3" xfId="6" applyFont="1" applyFill="1" applyBorder="1" applyAlignment="1">
      <alignment horizontal="center" vertical="center" wrapText="1"/>
    </xf>
    <xf numFmtId="0" fontId="18" fillId="2" borderId="5" xfId="6" applyFont="1" applyFill="1" applyBorder="1" applyAlignment="1">
      <alignment horizontal="center" vertical="center" wrapText="1"/>
    </xf>
    <xf numFmtId="0" fontId="18" fillId="2" borderId="12" xfId="6" applyFont="1" applyFill="1" applyBorder="1" applyAlignment="1">
      <alignment horizontal="center" vertical="center" wrapText="1"/>
    </xf>
    <xf numFmtId="0" fontId="18" fillId="2" borderId="0" xfId="6" applyFont="1" applyFill="1" applyAlignment="1">
      <alignment horizontal="center" vertical="center" wrapText="1"/>
    </xf>
    <xf numFmtId="0" fontId="18" fillId="2" borderId="13" xfId="6" applyFont="1" applyFill="1" applyBorder="1" applyAlignment="1">
      <alignment horizontal="center" vertical="center" wrapText="1"/>
    </xf>
    <xf numFmtId="0" fontId="18" fillId="2" borderId="6" xfId="6" applyFont="1" applyFill="1" applyBorder="1" applyAlignment="1">
      <alignment horizontal="center" vertical="center" wrapText="1"/>
    </xf>
    <xf numFmtId="0" fontId="18" fillId="2" borderId="2" xfId="6" applyFont="1" applyFill="1" applyBorder="1" applyAlignment="1">
      <alignment horizontal="center" vertical="center" wrapText="1"/>
    </xf>
    <xf numFmtId="0" fontId="18" fillId="2" borderId="7" xfId="6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left" vertical="center" wrapText="1" indent="1"/>
    </xf>
    <xf numFmtId="0" fontId="12" fillId="2" borderId="14" xfId="0" applyFont="1" applyFill="1" applyBorder="1" applyAlignment="1">
      <alignment horizontal="left" vertical="center" wrapText="1" indent="1"/>
    </xf>
    <xf numFmtId="0" fontId="12" fillId="2" borderId="8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/>
    </xf>
    <xf numFmtId="0" fontId="6" fillId="2" borderId="6" xfId="4" applyFont="1" applyFill="1" applyBorder="1" applyAlignment="1" applyProtection="1">
      <alignment horizontal="center" vertical="center"/>
      <protection hidden="1"/>
    </xf>
    <xf numFmtId="0" fontId="6" fillId="2" borderId="7" xfId="4" applyFont="1" applyFill="1" applyBorder="1" applyAlignment="1" applyProtection="1">
      <alignment horizontal="center" vertical="center"/>
      <protection hidden="1"/>
    </xf>
    <xf numFmtId="164" fontId="6" fillId="2" borderId="4" xfId="4" applyNumberFormat="1" applyFont="1" applyFill="1" applyBorder="1" applyAlignment="1" applyProtection="1">
      <alignment horizontal="center" vertical="center"/>
      <protection hidden="1"/>
    </xf>
    <xf numFmtId="164" fontId="6" fillId="2" borderId="5" xfId="4" applyNumberFormat="1" applyFont="1" applyFill="1" applyBorder="1" applyAlignment="1" applyProtection="1">
      <alignment horizontal="center" vertical="center"/>
      <protection hidden="1"/>
    </xf>
    <xf numFmtId="164" fontId="6" fillId="2" borderId="12" xfId="4" applyNumberFormat="1" applyFont="1" applyFill="1" applyBorder="1" applyAlignment="1" applyProtection="1">
      <alignment horizontal="center" vertical="center"/>
      <protection hidden="1"/>
    </xf>
    <xf numFmtId="164" fontId="6" fillId="2" borderId="13" xfId="4" applyNumberFormat="1" applyFont="1" applyFill="1" applyBorder="1" applyAlignment="1" applyProtection="1">
      <alignment horizontal="center" vertical="center"/>
      <protection hidden="1"/>
    </xf>
    <xf numFmtId="0" fontId="6" fillId="2" borderId="12" xfId="4" applyFont="1" applyFill="1" applyBorder="1" applyAlignment="1" applyProtection="1">
      <alignment horizontal="center" vertical="center"/>
      <protection hidden="1"/>
    </xf>
    <xf numFmtId="0" fontId="6" fillId="2" borderId="13" xfId="4" applyFont="1" applyFill="1" applyBorder="1" applyAlignment="1" applyProtection="1">
      <alignment horizontal="center" vertical="center"/>
      <protection hidden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164" fontId="6" fillId="2" borderId="12" xfId="4" applyNumberFormat="1" applyFont="1" applyFill="1" applyBorder="1" applyAlignment="1" applyProtection="1">
      <alignment horizontal="center" vertical="center" wrapText="1"/>
      <protection hidden="1"/>
    </xf>
    <xf numFmtId="164" fontId="6" fillId="2" borderId="13" xfId="4" applyNumberFormat="1" applyFont="1" applyFill="1" applyBorder="1" applyAlignment="1" applyProtection="1">
      <alignment horizontal="center" vertical="center" wrapText="1"/>
      <protection hidden="1"/>
    </xf>
    <xf numFmtId="164" fontId="6" fillId="2" borderId="3" xfId="4" applyNumberFormat="1" applyFont="1" applyFill="1" applyBorder="1" applyAlignment="1" applyProtection="1">
      <alignment horizontal="center" vertical="center"/>
      <protection hidden="1"/>
    </xf>
    <xf numFmtId="178" fontId="2" fillId="2" borderId="9" xfId="4" applyNumberFormat="1" applyFill="1" applyBorder="1" applyAlignment="1">
      <alignment horizontal="center" vertical="center"/>
    </xf>
    <xf numFmtId="178" fontId="2" fillId="2" borderId="8" xfId="4" applyNumberFormat="1" applyFill="1" applyBorder="1" applyAlignment="1">
      <alignment horizontal="center" vertical="center"/>
    </xf>
    <xf numFmtId="0" fontId="3" fillId="2" borderId="0" xfId="4" applyFont="1" applyFill="1" applyAlignment="1">
      <alignment horizontal="center" vertical="center"/>
    </xf>
    <xf numFmtId="164" fontId="6" fillId="2" borderId="0" xfId="4" applyNumberFormat="1" applyFont="1" applyFill="1" applyAlignment="1" applyProtection="1">
      <alignment horizontal="center" vertical="center"/>
      <protection hidden="1"/>
    </xf>
    <xf numFmtId="0" fontId="14" fillId="0" borderId="9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8" fontId="14" fillId="0" borderId="9" xfId="0" applyNumberFormat="1" applyFont="1" applyBorder="1" applyAlignment="1">
      <alignment horizontal="center" vertical="center"/>
    </xf>
    <xf numFmtId="178" fontId="14" fillId="0" borderId="8" xfId="0" applyNumberFormat="1" applyFont="1" applyBorder="1" applyAlignment="1">
      <alignment horizontal="center" vertical="center"/>
    </xf>
    <xf numFmtId="0" fontId="13" fillId="2" borderId="0" xfId="4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82" fontId="2" fillId="2" borderId="9" xfId="0" applyNumberFormat="1" applyFont="1" applyFill="1" applyBorder="1" applyAlignment="1">
      <alignment horizontal="center" vertical="center"/>
    </xf>
    <xf numFmtId="182" fontId="2" fillId="2" borderId="14" xfId="0" applyNumberFormat="1" applyFont="1" applyFill="1" applyBorder="1" applyAlignment="1">
      <alignment horizontal="center" vertical="center"/>
    </xf>
    <xf numFmtId="182" fontId="2" fillId="2" borderId="8" xfId="0" applyNumberFormat="1" applyFont="1" applyFill="1" applyBorder="1" applyAlignment="1">
      <alignment horizontal="center" vertical="center"/>
    </xf>
    <xf numFmtId="176" fontId="2" fillId="2" borderId="9" xfId="0" applyNumberFormat="1" applyFont="1" applyFill="1" applyBorder="1" applyAlignment="1">
      <alignment horizontal="center" vertical="center"/>
    </xf>
    <xf numFmtId="176" fontId="2" fillId="2" borderId="14" xfId="0" applyNumberFormat="1" applyFont="1" applyFill="1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center"/>
    </xf>
    <xf numFmtId="182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</cellXfs>
  <cellStyles count="8">
    <cellStyle name="Hipervínculo" xfId="1" builtinId="8"/>
    <cellStyle name="Normal" xfId="0" builtinId="0"/>
    <cellStyle name="Normal 2" xfId="4" xr:uid="{00000000-0005-0000-0000-000002000000}"/>
    <cellStyle name="Normal 2 2" xfId="5" xr:uid="{00000000-0005-0000-0000-000003000000}"/>
    <cellStyle name="Normal 4" xfId="2" xr:uid="{00000000-0005-0000-0000-000004000000}"/>
    <cellStyle name="Normal 6" xfId="6" xr:uid="{15C33E2A-FDA8-4F33-8703-24DCF595C9A3}"/>
    <cellStyle name="Normal_ENSAYOS" xfId="3" xr:uid="{00000000-0005-0000-0000-000005000000}"/>
    <cellStyle name="Normal_Produc. 07-09-99 2 2" xfId="7" xr:uid="{6E6EDAE3-C1FD-4248-9ACD-BB9AA7B0F2B3}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1 CARA</a:t>
            </a:r>
            <a:endParaRPr lang="en-US" sz="1050" b="1" u="sng"/>
          </a:p>
        </c:rich>
      </c:tx>
      <c:layout>
        <c:manualLayout>
          <c:xMode val="edge"/>
          <c:yMode val="edge"/>
          <c:x val="0.31751633475145785"/>
          <c:y val="4.3509489269921639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79646">
                <a:lumMod val="75000"/>
              </a:srgbClr>
            </a:solidFill>
          </c:spPr>
          <c:invertIfNegative val="0"/>
          <c:cat>
            <c:strRef>
              <c:f>incertidumbre!$J$27:$K$33</c:f>
              <c:strCache>
                <c:ptCount val="7"/>
                <c:pt idx="0">
                  <c:v>Masa de la muestra &gt; 3/8 (g), </c:v>
                </c:pt>
                <c:pt idx="1">
                  <c:v>Masa de la muestra &lt; 3/8 (g), </c:v>
                </c:pt>
                <c:pt idx="2">
                  <c:v>Masa particulas Fracturadas (g)</c:v>
                </c:pt>
                <c:pt idx="3">
                  <c:v>Masa particulas que no cumplen el criterio especificado (g)</c:v>
                </c:pt>
                <c:pt idx="4">
                  <c:v>Masa particulas Fracturadas (g)</c:v>
                </c:pt>
                <c:pt idx="5">
                  <c:v>Masa particulas que no cumplen el criterio especificado (g)</c:v>
                </c:pt>
                <c:pt idx="6">
                  <c:v>factor de presición </c:v>
                </c:pt>
              </c:strCache>
            </c:strRef>
          </c:cat>
          <c:val>
            <c:numRef>
              <c:f>incertidumbre!$M$27:$M$33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5-4C4F-9228-97DE11E2E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2 CARAS</a:t>
            </a:r>
            <a:endParaRPr lang="en-US" sz="1050" b="1" u="sng"/>
          </a:p>
        </c:rich>
      </c:tx>
      <c:layout>
        <c:manualLayout>
          <c:xMode val="edge"/>
          <c:yMode val="edge"/>
          <c:x val="0.31751633475145785"/>
          <c:y val="4.3509489269921639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79646">
                <a:lumMod val="75000"/>
              </a:srgbClr>
            </a:solidFill>
          </c:spPr>
          <c:invertIfNegative val="0"/>
          <c:cat>
            <c:strRef>
              <c:f>incertidumbre!$J$59:$K$65</c:f>
              <c:strCache>
                <c:ptCount val="7"/>
                <c:pt idx="0">
                  <c:v>Masa de la muestra &gt; 3/8 (g), </c:v>
                </c:pt>
                <c:pt idx="1">
                  <c:v>Masa de la muestra &lt; 3/8 (g), </c:v>
                </c:pt>
                <c:pt idx="2">
                  <c:v>Masa particulas Fracturadas (g)</c:v>
                </c:pt>
                <c:pt idx="3">
                  <c:v>Masa particulas que no cumplen el criterio especificado (g)</c:v>
                </c:pt>
                <c:pt idx="4">
                  <c:v>Masa particulas Fracturadas (g)</c:v>
                </c:pt>
                <c:pt idx="5">
                  <c:v>Masa particulas que no cumplen el criterio especificado (g)</c:v>
                </c:pt>
                <c:pt idx="6">
                  <c:v>factor de presición </c:v>
                </c:pt>
              </c:strCache>
            </c:strRef>
          </c:cat>
          <c:val>
            <c:numRef>
              <c:f>incertidumbre!$M$59:$M$65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D-4044-8083-4AABEB8AC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17541</xdr:rowOff>
    </xdr:from>
    <xdr:to>
      <xdr:col>7</xdr:col>
      <xdr:colOff>848013</xdr:colOff>
      <xdr:row>49</xdr:row>
      <xdr:rowOff>68583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0026DD45-5492-40A1-B5C7-323D599DD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243840" y="10304541"/>
          <a:ext cx="6829713" cy="510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466725</xdr:colOff>
      <xdr:row>45</xdr:row>
      <xdr:rowOff>47625</xdr:rowOff>
    </xdr:from>
    <xdr:to>
      <xdr:col>4</xdr:col>
      <xdr:colOff>464127</xdr:colOff>
      <xdr:row>48</xdr:row>
      <xdr:rowOff>41564</xdr:rowOff>
    </xdr:to>
    <xdr:sp macro="" textlink="">
      <xdr:nvSpPr>
        <xdr:cNvPr id="3" name="15 CuadroTexto">
          <a:extLst>
            <a:ext uri="{FF2B5EF4-FFF2-40B4-BE49-F238E27FC236}">
              <a16:creationId xmlns:a16="http://schemas.microsoft.com/office/drawing/2014/main" id="{4BB593F7-C083-49E5-AD0D-CA8947EE6362}"/>
            </a:ext>
          </a:extLst>
        </xdr:cNvPr>
        <xdr:cNvSpPr txBox="1"/>
      </xdr:nvSpPr>
      <xdr:spPr>
        <a:xfrm>
          <a:off x="1647825" y="9542145"/>
          <a:ext cx="2527242" cy="588299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4</xdr:col>
      <xdr:colOff>527517</xdr:colOff>
      <xdr:row>45</xdr:row>
      <xdr:rowOff>41737</xdr:rowOff>
    </xdr:from>
    <xdr:to>
      <xdr:col>7</xdr:col>
      <xdr:colOff>152401</xdr:colOff>
      <xdr:row>48</xdr:row>
      <xdr:rowOff>34637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95AA3A70-5356-43B2-82EA-F073C3AE7B92}"/>
            </a:ext>
          </a:extLst>
        </xdr:cNvPr>
        <xdr:cNvSpPr txBox="1"/>
      </xdr:nvSpPr>
      <xdr:spPr>
        <a:xfrm>
          <a:off x="4238457" y="9536257"/>
          <a:ext cx="2139484" cy="58726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6</xdr:col>
      <xdr:colOff>248</xdr:colOff>
      <xdr:row>19</xdr:row>
      <xdr:rowOff>5774</xdr:rowOff>
    </xdr:from>
    <xdr:to>
      <xdr:col>7</xdr:col>
      <xdr:colOff>913390</xdr:colOff>
      <xdr:row>26</xdr:row>
      <xdr:rowOff>200747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726C5A1A-0CF9-4D90-BBEE-CA955823EEAA}"/>
            </a:ext>
          </a:extLst>
        </xdr:cNvPr>
        <xdr:cNvGrpSpPr/>
      </xdr:nvGrpSpPr>
      <xdr:grpSpPr>
        <a:xfrm>
          <a:off x="4980957" y="3483265"/>
          <a:ext cx="2146197" cy="1746682"/>
          <a:chOff x="4670241" y="3523061"/>
          <a:chExt cx="2021503" cy="1703024"/>
        </a:xfrm>
      </xdr:grpSpPr>
      <xdr:pic>
        <xdr:nvPicPr>
          <xdr:cNvPr id="6" name="Imagen 5">
            <a:extLst>
              <a:ext uri="{FF2B5EF4-FFF2-40B4-BE49-F238E27FC236}">
                <a16:creationId xmlns:a16="http://schemas.microsoft.com/office/drawing/2014/main" id="{FA4B27F7-67A1-D87E-9A1A-36C137310BB8}"/>
              </a:ext>
            </a:extLst>
          </xdr:cNvPr>
          <xdr:cNvPicPr/>
        </xdr:nvPicPr>
        <xdr:blipFill rotWithShape="1">
          <a:blip xmlns:r="http://schemas.openxmlformats.org/officeDocument/2006/relationships" r:embed="rId2"/>
          <a:srcRect r="61181"/>
          <a:stretch/>
        </xdr:blipFill>
        <xdr:spPr>
          <a:xfrm>
            <a:off x="4670241" y="3523061"/>
            <a:ext cx="1055044" cy="170010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pic>
        <xdr:nvPicPr>
          <xdr:cNvPr id="7" name="Imagen 6">
            <a:extLst>
              <a:ext uri="{FF2B5EF4-FFF2-40B4-BE49-F238E27FC236}">
                <a16:creationId xmlns:a16="http://schemas.microsoft.com/office/drawing/2014/main" id="{35B53E70-03F1-8605-EBC5-29C267F81815}"/>
              </a:ext>
            </a:extLst>
          </xdr:cNvPr>
          <xdr:cNvPicPr/>
        </xdr:nvPicPr>
        <xdr:blipFill rotWithShape="1">
          <a:blip xmlns:r="http://schemas.openxmlformats.org/officeDocument/2006/relationships" r:embed="rId2"/>
          <a:srcRect l="64690" r="1"/>
          <a:stretch/>
        </xdr:blipFill>
        <xdr:spPr>
          <a:xfrm>
            <a:off x="5732104" y="3525982"/>
            <a:ext cx="959640" cy="1700103"/>
          </a:xfrm>
          <a:prstGeom prst="rect">
            <a:avLst/>
          </a:prstGeom>
          <a:ln>
            <a:solidFill>
              <a:schemeClr val="tx1"/>
            </a:solidFill>
          </a:ln>
        </xdr:spPr>
      </xdr:pic>
    </xdr:grpSp>
    <xdr:clientData/>
  </xdr:twoCellAnchor>
  <xdr:twoCellAnchor>
    <xdr:from>
      <xdr:col>1</xdr:col>
      <xdr:colOff>523875</xdr:colOff>
      <xdr:row>0</xdr:row>
      <xdr:rowOff>55564</xdr:rowOff>
    </xdr:from>
    <xdr:to>
      <xdr:col>2</xdr:col>
      <xdr:colOff>603249</xdr:colOff>
      <xdr:row>3</xdr:row>
      <xdr:rowOff>145655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6BB8633-4C66-4563-A814-A5F393008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715" y="55564"/>
          <a:ext cx="1016634" cy="5930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438148</xdr:colOff>
      <xdr:row>68</xdr:row>
      <xdr:rowOff>47623</xdr:rowOff>
    </xdr:from>
    <xdr:to>
      <xdr:col>5</xdr:col>
      <xdr:colOff>214052</xdr:colOff>
      <xdr:row>77</xdr:row>
      <xdr:rowOff>66676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F25ACD-CEF6-4064-9AA9-F56F62E1C2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4" t="64489" r="69384" b="22538"/>
        <a:stretch/>
      </xdr:blipFill>
      <xdr:spPr>
        <a:xfrm rot="170050">
          <a:off x="1600198" y="13858873"/>
          <a:ext cx="1162051" cy="130492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47627</xdr:colOff>
      <xdr:row>68</xdr:row>
      <xdr:rowOff>47623</xdr:rowOff>
    </xdr:from>
    <xdr:to>
      <xdr:col>4</xdr:col>
      <xdr:colOff>345500</xdr:colOff>
      <xdr:row>77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00BB7A-A8B8-408C-9F9F-9C7DA6F328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0" t="64015" r="40917" b="22538"/>
        <a:stretch/>
      </xdr:blipFill>
      <xdr:spPr>
        <a:xfrm rot="159096">
          <a:off x="47627" y="13858873"/>
          <a:ext cx="1543050" cy="1352550"/>
        </a:xfrm>
        <a:prstGeom prst="rect">
          <a:avLst/>
        </a:prstGeom>
      </xdr:spPr>
    </xdr:pic>
    <xdr:clientData/>
  </xdr:twoCellAnchor>
  <xdr:twoCellAnchor editAs="oneCell">
    <xdr:from>
      <xdr:col>5</xdr:col>
      <xdr:colOff>466332</xdr:colOff>
      <xdr:row>48</xdr:row>
      <xdr:rowOff>129540</xdr:rowOff>
    </xdr:from>
    <xdr:to>
      <xdr:col>7</xdr:col>
      <xdr:colOff>147543</xdr:colOff>
      <xdr:row>53</xdr:row>
      <xdr:rowOff>186163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93EB1AD-7BF2-4053-82EA-319FC5C4D6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2653272" y="8671560"/>
          <a:ext cx="1464291" cy="1108183"/>
        </a:xfrm>
        <a:prstGeom prst="rect">
          <a:avLst/>
        </a:prstGeom>
      </xdr:spPr>
    </xdr:pic>
    <xdr:clientData/>
  </xdr:twoCellAnchor>
  <xdr:twoCellAnchor>
    <xdr:from>
      <xdr:col>8</xdr:col>
      <xdr:colOff>681990</xdr:colOff>
      <xdr:row>49</xdr:row>
      <xdr:rowOff>5715</xdr:rowOff>
    </xdr:from>
    <xdr:to>
      <xdr:col>10</xdr:col>
      <xdr:colOff>764540</xdr:colOff>
      <xdr:row>53</xdr:row>
      <xdr:rowOff>164376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8645E225-A288-4B0A-8080-FC8B1B208DEC}"/>
            </a:ext>
          </a:extLst>
        </xdr:cNvPr>
        <xdr:cNvSpPr/>
      </xdr:nvSpPr>
      <xdr:spPr bwMode="auto">
        <a:xfrm>
          <a:off x="5452110" y="8745855"/>
          <a:ext cx="1126490" cy="1012101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312420</xdr:colOff>
      <xdr:row>48</xdr:row>
      <xdr:rowOff>137160</xdr:rowOff>
    </xdr:from>
    <xdr:to>
      <xdr:col>8</xdr:col>
      <xdr:colOff>609653</xdr:colOff>
      <xdr:row>53</xdr:row>
      <xdr:rowOff>181073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0A43B08-B0C1-419F-9908-F0714691DC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282440" y="867918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30480</xdr:colOff>
      <xdr:row>52</xdr:row>
      <xdr:rowOff>114300</xdr:rowOff>
    </xdr:from>
    <xdr:to>
      <xdr:col>18</xdr:col>
      <xdr:colOff>551271</xdr:colOff>
      <xdr:row>59</xdr:row>
      <xdr:rowOff>182574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4ECE6ED-0411-4216-A104-94351F9FA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3520" y="947928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61</xdr:row>
      <xdr:rowOff>47623</xdr:rowOff>
    </xdr:from>
    <xdr:to>
      <xdr:col>2</xdr:col>
      <xdr:colOff>234373</xdr:colOff>
      <xdr:row>70</xdr:row>
      <xdr:rowOff>66674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91A2F4D-DA82-4677-8045-27677014CF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4" t="64489" r="69384" b="22538"/>
        <a:stretch/>
      </xdr:blipFill>
      <xdr:spPr>
        <a:xfrm rot="170050">
          <a:off x="1634488" y="13054963"/>
          <a:ext cx="1184911" cy="11849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47623</xdr:rowOff>
    </xdr:from>
    <xdr:to>
      <xdr:col>2</xdr:col>
      <xdr:colOff>621722</xdr:colOff>
      <xdr:row>70</xdr:row>
      <xdr:rowOff>114298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BD06C2-417B-4FE9-98A5-849BF22976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0" t="64015" r="40917" b="22538"/>
        <a:stretch/>
      </xdr:blipFill>
      <xdr:spPr>
        <a:xfrm rot="159096">
          <a:off x="47627" y="13054963"/>
          <a:ext cx="1577340" cy="12325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23</xdr:row>
      <xdr:rowOff>0</xdr:rowOff>
    </xdr:from>
    <xdr:ext cx="104775" cy="200025"/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id="{052D2645-05DB-41F2-A00E-A2D9B59C02A4}"/>
            </a:ext>
          </a:extLst>
        </xdr:cNvPr>
        <xdr:cNvSpPr txBox="1">
          <a:spLocks noChangeArrowheads="1"/>
        </xdr:cNvSpPr>
      </xdr:nvSpPr>
      <xdr:spPr bwMode="auto">
        <a:xfrm>
          <a:off x="13087350" y="4676775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9</xdr:col>
      <xdr:colOff>15450</xdr:colOff>
      <xdr:row>24</xdr:row>
      <xdr:rowOff>476249</xdr:rowOff>
    </xdr:from>
    <xdr:to>
      <xdr:col>13</xdr:col>
      <xdr:colOff>809625</xdr:colOff>
      <xdr:row>33</xdr:row>
      <xdr:rowOff>257174</xdr:rowOff>
    </xdr:to>
    <xdr:graphicFrame macro="">
      <xdr:nvGraphicFramePr>
        <xdr:cNvPr id="4" name="4 Gráfico">
          <a:extLst>
            <a:ext uri="{FF2B5EF4-FFF2-40B4-BE49-F238E27FC236}">
              <a16:creationId xmlns:a16="http://schemas.microsoft.com/office/drawing/2014/main" id="{F58C0EC9-9A48-48A4-AB72-7E45923F0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606001</xdr:colOff>
      <xdr:row>56</xdr:row>
      <xdr:rowOff>333375</xdr:rowOff>
    </xdr:from>
    <xdr:to>
      <xdr:col>13</xdr:col>
      <xdr:colOff>276225</xdr:colOff>
      <xdr:row>66</xdr:row>
      <xdr:rowOff>0</xdr:rowOff>
    </xdr:to>
    <xdr:graphicFrame macro="">
      <xdr:nvGraphicFramePr>
        <xdr:cNvPr id="8" name="4 Gráfico">
          <a:extLst>
            <a:ext uri="{FF2B5EF4-FFF2-40B4-BE49-F238E27FC236}">
              <a16:creationId xmlns:a16="http://schemas.microsoft.com/office/drawing/2014/main" id="{07A6D1D8-50FA-4DA0-A83B-BCC5A4E817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257176</xdr:colOff>
      <xdr:row>13</xdr:row>
      <xdr:rowOff>76200</xdr:rowOff>
    </xdr:from>
    <xdr:to>
      <xdr:col>5</xdr:col>
      <xdr:colOff>371476</xdr:colOff>
      <xdr:row>15</xdr:row>
      <xdr:rowOff>95249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56922AC-73CD-47D1-9BE5-9608240E7C18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43301" y="2800350"/>
          <a:ext cx="1885950" cy="3238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200026</xdr:colOff>
      <xdr:row>12</xdr:row>
      <xdr:rowOff>38099</xdr:rowOff>
    </xdr:from>
    <xdr:to>
      <xdr:col>10</xdr:col>
      <xdr:colOff>603995</xdr:colOff>
      <xdr:row>22</xdr:row>
      <xdr:rowOff>104992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F74531-D335-4271-B395-A6923BD6B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57926" y="2571749"/>
          <a:ext cx="3804394" cy="1819493"/>
        </a:xfrm>
        <a:prstGeom prst="rect">
          <a:avLst/>
        </a:prstGeom>
      </xdr:spPr>
    </xdr:pic>
    <xdr:clientData/>
  </xdr:twoCellAnchor>
  <xdr:twoCellAnchor>
    <xdr:from>
      <xdr:col>0</xdr:col>
      <xdr:colOff>654844</xdr:colOff>
      <xdr:row>0</xdr:row>
      <xdr:rowOff>47625</xdr:rowOff>
    </xdr:from>
    <xdr:to>
      <xdr:col>0</xdr:col>
      <xdr:colOff>1643062</xdr:colOff>
      <xdr:row>3</xdr:row>
      <xdr:rowOff>143856</xdr:rowOff>
    </xdr:to>
    <xdr:pic>
      <xdr:nvPicPr>
        <xdr:cNvPr id="5" name="Imagen 7">
          <a:extLst>
            <a:ext uri="{FF2B5EF4-FFF2-40B4-BE49-F238E27FC236}">
              <a16:creationId xmlns:a16="http://schemas.microsoft.com/office/drawing/2014/main" id="{B0B9DFA0-F58B-42C1-A421-C6B5579B8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844" y="47625"/>
          <a:ext cx="988218" cy="596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359833</xdr:colOff>
      <xdr:row>2</xdr:row>
      <xdr:rowOff>42333</xdr:rowOff>
    </xdr:from>
    <xdr:to>
      <xdr:col>8</xdr:col>
      <xdr:colOff>222250</xdr:colOff>
      <xdr:row>6</xdr:row>
      <xdr:rowOff>10583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E06380-5589-4B85-A4A5-76DC0DC33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833" y="359833"/>
          <a:ext cx="5810250" cy="603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ownloads/Formato%20N-123-AG-26%20CARA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ian/Dropbox/Espacio%20familiar/1.%20LABORATORIO/7.0%20Ampliacion%20de%20ensayo%20acred.%20INACAL%202023/0.%20Informe%20y%20formato%20AMPLIACION/CARAS%20FRACTURADAS/1-%20Formato%20N&#176;%20001-21%20AG10%20CARAS%20FRACTURADA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hatas y Alarga."/>
      <sheetName val="Caras Fracturadas"/>
      <sheetName val="% que pasa # 2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C3">
            <v>5</v>
          </cell>
          <cell r="L3">
            <v>0</v>
          </cell>
        </row>
        <row r="4">
          <cell r="C4">
            <v>37.299999999999997</v>
          </cell>
          <cell r="L4">
            <v>0</v>
          </cell>
        </row>
        <row r="5">
          <cell r="C5" t="str">
            <v>NP</v>
          </cell>
          <cell r="L5">
            <v>38</v>
          </cell>
        </row>
        <row r="6">
          <cell r="L6">
            <v>1.6959267381416505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hatas y Alarga."/>
      <sheetName val="Caras Fracturadas"/>
      <sheetName val="% que pasa # 2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C3">
            <v>5</v>
          </cell>
          <cell r="L3">
            <v>0</v>
          </cell>
        </row>
        <row r="4">
          <cell r="C4">
            <v>37.299999999999997</v>
          </cell>
          <cell r="L4">
            <v>0</v>
          </cell>
        </row>
        <row r="5">
          <cell r="C5" t="str">
            <v>NP</v>
          </cell>
          <cell r="L5">
            <v>38</v>
          </cell>
        </row>
        <row r="6">
          <cell r="L6">
            <v>1.6959267381416505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C089C-BB97-4A66-9B99-4D62B47BE55F}">
  <dimension ref="A1:N51"/>
  <sheetViews>
    <sheetView showGridLines="0" tabSelected="1" view="pageBreakPreview" zoomScale="110" zoomScaleNormal="110" zoomScaleSheetLayoutView="110" workbookViewId="0">
      <selection activeCell="D16" sqref="D16"/>
    </sheetView>
  </sheetViews>
  <sheetFormatPr baseColWidth="10" defaultColWidth="11.44140625" defaultRowHeight="13.2" x14ac:dyDescent="0.25"/>
  <cols>
    <col min="1" max="1" width="3.5546875" style="340" customWidth="1"/>
    <col min="2" max="2" width="13.6640625" style="340" customWidth="1"/>
    <col min="3" max="3" width="17" style="340" customWidth="1"/>
    <col min="4" max="4" width="19.88671875" style="340" customWidth="1"/>
    <col min="5" max="5" width="12.6640625" style="340" customWidth="1"/>
    <col min="6" max="6" width="6" style="340" customWidth="1"/>
    <col min="7" max="7" width="18" style="340" customWidth="1"/>
    <col min="8" max="8" width="14.33203125" style="340" customWidth="1"/>
    <col min="9" max="16384" width="11.44140625" style="340"/>
  </cols>
  <sheetData>
    <row r="1" spans="2:11" ht="12" customHeight="1" thickTop="1" x14ac:dyDescent="0.25">
      <c r="B1" s="336"/>
      <c r="C1" s="337"/>
      <c r="D1" s="338"/>
      <c r="E1" s="338"/>
      <c r="F1" s="338"/>
      <c r="G1" s="338"/>
      <c r="H1" s="339"/>
    </row>
    <row r="2" spans="2:11" ht="12" customHeight="1" x14ac:dyDescent="0.25">
      <c r="B2" s="341"/>
      <c r="C2" s="342"/>
      <c r="D2" s="443" t="s">
        <v>1</v>
      </c>
      <c r="E2" s="443"/>
      <c r="F2" s="443"/>
      <c r="G2" s="443"/>
      <c r="H2" s="444"/>
      <c r="J2" s="418" t="s">
        <v>195</v>
      </c>
      <c r="K2" s="419"/>
    </row>
    <row r="3" spans="2:11" ht="15.75" customHeight="1" x14ac:dyDescent="0.25">
      <c r="B3" s="341"/>
      <c r="C3" s="342"/>
      <c r="D3" s="445" t="s">
        <v>154</v>
      </c>
      <c r="E3" s="445"/>
      <c r="F3" s="445"/>
      <c r="G3" s="445"/>
      <c r="H3" s="446"/>
      <c r="J3" s="418" t="s">
        <v>196</v>
      </c>
      <c r="K3" s="420"/>
    </row>
    <row r="4" spans="2:11" ht="12" customHeight="1" x14ac:dyDescent="0.25">
      <c r="B4" s="341"/>
      <c r="C4" s="342"/>
      <c r="D4" s="344"/>
      <c r="E4" s="344"/>
      <c r="F4" s="344"/>
      <c r="G4" s="344"/>
      <c r="H4" s="345"/>
      <c r="J4" s="418" t="s">
        <v>197</v>
      </c>
      <c r="K4" s="420"/>
    </row>
    <row r="5" spans="2:11" ht="2.25" customHeight="1" thickBot="1" x14ac:dyDescent="0.3">
      <c r="B5" s="346"/>
      <c r="C5" s="347"/>
      <c r="D5" s="348"/>
      <c r="E5" s="348"/>
      <c r="F5" s="348"/>
      <c r="G5" s="348"/>
      <c r="H5" s="347"/>
      <c r="J5" s="418" t="s">
        <v>198</v>
      </c>
      <c r="K5" s="420"/>
    </row>
    <row r="6" spans="2:11" ht="17.399999999999999" customHeight="1" thickTop="1" x14ac:dyDescent="0.25">
      <c r="B6" s="349"/>
      <c r="C6" s="349"/>
      <c r="D6" s="349"/>
      <c r="E6" s="349"/>
      <c r="F6" s="349"/>
      <c r="G6" s="349"/>
      <c r="H6" s="349"/>
      <c r="J6" s="421"/>
      <c r="K6" s="422"/>
    </row>
    <row r="7" spans="2:11" ht="15.75" customHeight="1" x14ac:dyDescent="0.25">
      <c r="B7" s="343"/>
      <c r="C7" s="350" t="s">
        <v>155</v>
      </c>
      <c r="D7" s="350" t="s">
        <v>156</v>
      </c>
      <c r="E7" s="447" t="s">
        <v>157</v>
      </c>
      <c r="F7" s="447"/>
      <c r="G7" s="350" t="s">
        <v>158</v>
      </c>
      <c r="H7" s="343"/>
      <c r="J7" s="418" t="s">
        <v>199</v>
      </c>
      <c r="K7" s="422"/>
    </row>
    <row r="8" spans="2:11" ht="15.75" customHeight="1" x14ac:dyDescent="0.25">
      <c r="B8" s="351"/>
      <c r="C8" s="352"/>
      <c r="D8" s="353"/>
      <c r="E8" s="448"/>
      <c r="F8" s="448"/>
      <c r="G8" s="353"/>
      <c r="H8" s="343"/>
      <c r="J8" s="418" t="s">
        <v>200</v>
      </c>
      <c r="K8" s="423"/>
    </row>
    <row r="9" spans="2:11" ht="24" customHeight="1" x14ac:dyDescent="0.25">
      <c r="B9" s="351"/>
      <c r="C9" s="449"/>
      <c r="D9" s="449"/>
      <c r="E9" s="354"/>
      <c r="F9" s="354"/>
      <c r="G9" s="354"/>
      <c r="H9" s="343"/>
      <c r="J9" s="418" t="s">
        <v>81</v>
      </c>
      <c r="K9" s="422"/>
    </row>
    <row r="10" spans="2:11" ht="3" customHeight="1" x14ac:dyDescent="0.25">
      <c r="B10" s="351"/>
      <c r="C10" s="355"/>
      <c r="D10" s="356"/>
      <c r="E10" s="356"/>
      <c r="F10" s="356"/>
      <c r="G10" s="356"/>
      <c r="H10" s="343"/>
      <c r="J10" s="421"/>
      <c r="K10" s="422"/>
    </row>
    <row r="11" spans="2:11" ht="13.2" customHeight="1" x14ac:dyDescent="0.25">
      <c r="B11" s="440" t="s">
        <v>159</v>
      </c>
      <c r="C11" s="441"/>
      <c r="D11" s="441"/>
      <c r="E11" s="441"/>
      <c r="F11" s="441"/>
      <c r="G11" s="441"/>
      <c r="H11" s="442"/>
      <c r="J11" s="418" t="s">
        <v>82</v>
      </c>
      <c r="K11" s="422"/>
    </row>
    <row r="12" spans="2:11" ht="13.2" customHeight="1" x14ac:dyDescent="0.25">
      <c r="B12" s="450" t="s">
        <v>160</v>
      </c>
      <c r="C12" s="451"/>
      <c r="D12" s="451"/>
      <c r="E12" s="451"/>
      <c r="F12" s="451"/>
      <c r="G12" s="451"/>
      <c r="H12" s="452"/>
      <c r="J12" s="418" t="s">
        <v>83</v>
      </c>
      <c r="K12" s="423"/>
    </row>
    <row r="13" spans="2:11" ht="7.2" customHeight="1" x14ac:dyDescent="0.25">
      <c r="C13" s="358"/>
      <c r="D13" s="358"/>
      <c r="E13" s="358"/>
      <c r="F13" s="358"/>
      <c r="G13" s="357"/>
      <c r="H13" s="357"/>
      <c r="J13" s="418" t="s">
        <v>84</v>
      </c>
      <c r="K13" s="423"/>
    </row>
    <row r="14" spans="2:11" ht="15" customHeight="1" x14ac:dyDescent="0.25">
      <c r="B14" s="359" t="s">
        <v>161</v>
      </c>
      <c r="C14" s="360"/>
      <c r="D14" s="361"/>
      <c r="E14" s="362"/>
      <c r="G14" s="453" t="s">
        <v>162</v>
      </c>
      <c r="H14" s="454"/>
      <c r="J14" s="421"/>
      <c r="K14" s="422"/>
    </row>
    <row r="15" spans="2:11" ht="24" customHeight="1" x14ac:dyDescent="0.25">
      <c r="B15" s="455" t="s">
        <v>163</v>
      </c>
      <c r="C15" s="456"/>
      <c r="D15" s="290" t="s">
        <v>204</v>
      </c>
      <c r="E15" s="290" t="s">
        <v>164</v>
      </c>
      <c r="G15" s="363" t="s">
        <v>165</v>
      </c>
      <c r="H15" s="364" t="s">
        <v>166</v>
      </c>
      <c r="J15" s="418" t="s">
        <v>201</v>
      </c>
      <c r="K15" s="424"/>
    </row>
    <row r="16" spans="2:11" ht="16.2" customHeight="1" x14ac:dyDescent="0.25">
      <c r="B16" s="365" t="s">
        <v>68</v>
      </c>
      <c r="C16" s="366"/>
      <c r="D16" s="556"/>
      <c r="E16" s="426"/>
      <c r="G16" s="367" t="s">
        <v>167</v>
      </c>
      <c r="H16" s="364" t="s">
        <v>106</v>
      </c>
      <c r="J16" s="418" t="s">
        <v>202</v>
      </c>
      <c r="K16" s="424"/>
    </row>
    <row r="17" spans="2:14" ht="16.95" customHeight="1" x14ac:dyDescent="0.25">
      <c r="B17" s="365" t="s">
        <v>168</v>
      </c>
      <c r="C17" s="290"/>
      <c r="D17" s="457"/>
      <c r="E17" s="458"/>
      <c r="G17" s="367" t="s">
        <v>169</v>
      </c>
      <c r="H17" s="364" t="s">
        <v>170</v>
      </c>
      <c r="J17" s="418" t="s">
        <v>203</v>
      </c>
      <c r="K17" s="425"/>
    </row>
    <row r="18" spans="2:14" ht="21.6" customHeight="1" x14ac:dyDescent="0.25">
      <c r="B18" s="368" t="s">
        <v>171</v>
      </c>
      <c r="C18" s="369"/>
      <c r="D18" s="370" t="s">
        <v>205</v>
      </c>
      <c r="E18" s="371" t="s">
        <v>172</v>
      </c>
      <c r="G18" s="459" t="s">
        <v>173</v>
      </c>
      <c r="H18" s="459"/>
    </row>
    <row r="19" spans="2:14" ht="16.2" customHeight="1" x14ac:dyDescent="0.25">
      <c r="B19" s="372" t="s">
        <v>109</v>
      </c>
      <c r="C19" s="373"/>
      <c r="D19" s="374"/>
      <c r="E19" s="375"/>
      <c r="F19" s="376"/>
      <c r="G19" s="460"/>
      <c r="H19" s="460"/>
    </row>
    <row r="20" spans="2:14" ht="17.399999999999999" customHeight="1" x14ac:dyDescent="0.25">
      <c r="B20" s="368" t="s">
        <v>174</v>
      </c>
      <c r="C20" s="373"/>
      <c r="D20" s="377"/>
      <c r="E20" s="427"/>
      <c r="F20" s="376"/>
      <c r="G20" s="378"/>
      <c r="H20" s="379"/>
    </row>
    <row r="21" spans="2:14" ht="17.399999999999999" customHeight="1" x14ac:dyDescent="0.25">
      <c r="B21" s="380" t="s">
        <v>175</v>
      </c>
      <c r="C21" s="324"/>
      <c r="D21" s="13"/>
      <c r="E21" s="428"/>
      <c r="F21" s="376"/>
      <c r="G21" s="13"/>
      <c r="H21" s="13"/>
    </row>
    <row r="22" spans="2:14" ht="17.399999999999999" customHeight="1" x14ac:dyDescent="0.25">
      <c r="B22" s="381" t="s">
        <v>176</v>
      </c>
      <c r="C22" s="382"/>
      <c r="D22" s="383"/>
      <c r="E22" s="428"/>
      <c r="F22" s="20" t="s">
        <v>177</v>
      </c>
      <c r="H22" s="16"/>
    </row>
    <row r="23" spans="2:14" ht="17.399999999999999" customHeight="1" x14ac:dyDescent="0.25">
      <c r="B23" s="384" t="s">
        <v>112</v>
      </c>
      <c r="C23" s="385"/>
      <c r="E23" s="428"/>
      <c r="F23" s="386"/>
      <c r="G23" s="16"/>
      <c r="H23" s="16"/>
    </row>
    <row r="24" spans="2:14" ht="17.399999999999999" customHeight="1" x14ac:dyDescent="0.25">
      <c r="B24" s="381" t="s">
        <v>113</v>
      </c>
      <c r="C24" s="387"/>
      <c r="D24" s="388"/>
      <c r="E24" s="428"/>
      <c r="F24" s="15"/>
      <c r="G24" s="16"/>
      <c r="H24" s="16"/>
    </row>
    <row r="25" spans="2:14" ht="17.399999999999999" customHeight="1" x14ac:dyDescent="0.25">
      <c r="B25" s="384" t="s">
        <v>178</v>
      </c>
      <c r="C25" s="385"/>
      <c r="E25" s="429"/>
      <c r="F25" s="15"/>
      <c r="G25" s="16"/>
      <c r="H25" s="16"/>
    </row>
    <row r="26" spans="2:14" ht="17.399999999999999" customHeight="1" x14ac:dyDescent="0.25">
      <c r="B26" s="381" t="s">
        <v>179</v>
      </c>
      <c r="C26" s="387"/>
      <c r="D26" s="389"/>
      <c r="E26" s="390"/>
      <c r="F26" s="149"/>
      <c r="H26" s="16"/>
    </row>
    <row r="27" spans="2:14" ht="17.399999999999999" customHeight="1" x14ac:dyDescent="0.25">
      <c r="B27" s="391" t="s">
        <v>180</v>
      </c>
      <c r="C27" s="385"/>
      <c r="E27" s="15"/>
      <c r="F27" s="149"/>
      <c r="H27" s="16"/>
    </row>
    <row r="28" spans="2:14" ht="39.75" customHeight="1" x14ac:dyDescent="0.25">
      <c r="B28" s="463" t="s">
        <v>181</v>
      </c>
      <c r="C28" s="463"/>
      <c r="D28" s="463"/>
      <c r="E28" s="463"/>
      <c r="F28" s="463"/>
      <c r="G28" s="463"/>
      <c r="H28" s="463"/>
      <c r="L28" s="392"/>
      <c r="M28" s="392"/>
      <c r="N28" s="392"/>
    </row>
    <row r="29" spans="2:14" ht="24.6" customHeight="1" x14ac:dyDescent="0.2">
      <c r="B29" s="464" t="s">
        <v>182</v>
      </c>
      <c r="C29" s="464"/>
      <c r="D29" s="464"/>
      <c r="E29" s="464"/>
      <c r="F29" s="464"/>
      <c r="G29" s="464"/>
      <c r="H29" s="464"/>
      <c r="L29" s="392"/>
      <c r="M29" s="392"/>
      <c r="N29" s="392"/>
    </row>
    <row r="30" spans="2:14" ht="16.95" customHeight="1" x14ac:dyDescent="0.25">
      <c r="B30" s="465" t="s">
        <v>183</v>
      </c>
      <c r="C30" s="465"/>
      <c r="D30" s="465"/>
      <c r="E30" s="465"/>
      <c r="F30" s="465"/>
      <c r="G30" s="465"/>
      <c r="H30" s="465"/>
      <c r="L30" s="392"/>
      <c r="M30" s="392"/>
      <c r="N30" s="392"/>
    </row>
    <row r="31" spans="2:14" ht="23.25" customHeight="1" x14ac:dyDescent="0.25">
      <c r="B31" s="466" t="s">
        <v>184</v>
      </c>
      <c r="C31" s="467"/>
      <c r="D31" s="468"/>
      <c r="E31" s="472" t="s">
        <v>185</v>
      </c>
      <c r="F31" s="472"/>
      <c r="G31" s="393" t="s">
        <v>186</v>
      </c>
      <c r="L31" s="392"/>
      <c r="M31" s="392"/>
      <c r="N31" s="392"/>
    </row>
    <row r="32" spans="2:14" ht="20.100000000000001" customHeight="1" x14ac:dyDescent="0.25">
      <c r="B32" s="469"/>
      <c r="C32" s="470"/>
      <c r="D32" s="471"/>
      <c r="E32" s="473" t="s">
        <v>187</v>
      </c>
      <c r="F32" s="474"/>
      <c r="G32" s="394" t="s">
        <v>187</v>
      </c>
      <c r="L32" s="392"/>
      <c r="M32" s="392"/>
      <c r="N32" s="392"/>
    </row>
    <row r="33" spans="1:8" ht="17.399999999999999" customHeight="1" x14ac:dyDescent="0.25">
      <c r="A33" s="172" t="s">
        <v>0</v>
      </c>
      <c r="B33" s="395" t="s">
        <v>92</v>
      </c>
      <c r="C33" s="396"/>
      <c r="D33" s="397"/>
      <c r="E33" s="461"/>
      <c r="F33" s="462"/>
      <c r="G33" s="398"/>
    </row>
    <row r="34" spans="1:8" ht="17.399999999999999" customHeight="1" x14ac:dyDescent="0.25">
      <c r="A34" s="172" t="s">
        <v>56</v>
      </c>
      <c r="B34" s="395" t="s">
        <v>93</v>
      </c>
      <c r="C34" s="399"/>
      <c r="D34" s="377"/>
      <c r="E34" s="461"/>
      <c r="F34" s="462"/>
      <c r="G34" s="398"/>
    </row>
    <row r="35" spans="1:8" ht="17.399999999999999" customHeight="1" x14ac:dyDescent="0.25">
      <c r="A35" s="172" t="s">
        <v>55</v>
      </c>
      <c r="B35" s="395" t="s">
        <v>94</v>
      </c>
      <c r="C35" s="399"/>
      <c r="D35" s="377"/>
      <c r="E35" s="461"/>
      <c r="F35" s="462"/>
      <c r="G35" s="244"/>
    </row>
    <row r="36" spans="1:8" ht="20.100000000000001" customHeight="1" x14ac:dyDescent="0.25">
      <c r="B36" s="395"/>
      <c r="C36" s="399"/>
      <c r="D36" s="377"/>
      <c r="E36" s="473" t="s">
        <v>188</v>
      </c>
      <c r="F36" s="474"/>
      <c r="G36" s="394" t="s">
        <v>188</v>
      </c>
    </row>
    <row r="37" spans="1:8" ht="17.399999999999999" customHeight="1" x14ac:dyDescent="0.25">
      <c r="B37" s="400" t="s">
        <v>189</v>
      </c>
      <c r="C37" s="399"/>
      <c r="D37" s="377"/>
      <c r="E37" s="461"/>
      <c r="F37" s="462"/>
      <c r="G37" s="244"/>
    </row>
    <row r="38" spans="1:8" ht="17.399999999999999" customHeight="1" x14ac:dyDescent="0.25">
      <c r="A38" s="172" t="s">
        <v>0</v>
      </c>
      <c r="B38" s="395" t="s">
        <v>92</v>
      </c>
      <c r="C38" s="399"/>
      <c r="D38" s="377"/>
      <c r="E38" s="461"/>
      <c r="F38" s="462"/>
      <c r="G38" s="244"/>
    </row>
    <row r="39" spans="1:8" ht="17.399999999999999" customHeight="1" x14ac:dyDescent="0.25">
      <c r="A39" s="172" t="s">
        <v>56</v>
      </c>
      <c r="B39" s="395" t="s">
        <v>93</v>
      </c>
      <c r="C39" s="399"/>
      <c r="D39" s="377"/>
      <c r="E39" s="461"/>
      <c r="F39" s="462"/>
      <c r="G39" s="244"/>
    </row>
    <row r="40" spans="1:8" ht="17.399999999999999" customHeight="1" x14ac:dyDescent="0.25">
      <c r="A40" s="172" t="s">
        <v>55</v>
      </c>
      <c r="B40" s="401" t="s">
        <v>94</v>
      </c>
      <c r="C40" s="402"/>
      <c r="D40" s="403"/>
      <c r="E40" s="475"/>
      <c r="F40" s="476"/>
      <c r="G40" s="404"/>
    </row>
    <row r="41" spans="1:8" ht="17.399999999999999" customHeight="1" x14ac:dyDescent="0.25">
      <c r="B41" s="395" t="s">
        <v>62</v>
      </c>
      <c r="C41" s="399"/>
      <c r="D41" s="377"/>
      <c r="E41" s="477"/>
      <c r="F41" s="477"/>
      <c r="G41" s="405"/>
    </row>
    <row r="42" spans="1:8" ht="15" customHeight="1" x14ac:dyDescent="0.25">
      <c r="B42" s="406" t="s">
        <v>190</v>
      </c>
      <c r="C42" s="15"/>
      <c r="D42" s="407"/>
      <c r="E42" s="408"/>
      <c r="F42" s="408"/>
      <c r="G42" s="408"/>
      <c r="H42" s="408"/>
    </row>
    <row r="43" spans="1:8" ht="15" customHeight="1" x14ac:dyDescent="0.25">
      <c r="B43" s="406" t="s">
        <v>191</v>
      </c>
      <c r="C43" s="16"/>
      <c r="D43" s="13"/>
      <c r="E43" s="409"/>
      <c r="F43" s="376"/>
      <c r="G43" s="13"/>
      <c r="H43" s="13"/>
    </row>
    <row r="44" spans="1:8" ht="17.399999999999999" customHeight="1" x14ac:dyDescent="0.2">
      <c r="B44" s="410" t="s">
        <v>192</v>
      </c>
      <c r="C44" s="411" t="s">
        <v>193</v>
      </c>
      <c r="D44" s="412"/>
      <c r="E44" s="411"/>
      <c r="F44" s="413"/>
      <c r="G44" s="413"/>
      <c r="H44" s="413"/>
    </row>
    <row r="45" spans="1:8" ht="6" customHeight="1" x14ac:dyDescent="0.25">
      <c r="B45" s="16"/>
      <c r="C45" s="126"/>
      <c r="D45" s="126"/>
      <c r="E45" s="414"/>
      <c r="F45" s="16"/>
      <c r="H45" s="415"/>
    </row>
    <row r="46" spans="1:8" ht="15.75" customHeight="1" x14ac:dyDescent="0.25">
      <c r="B46" s="416"/>
      <c r="C46" s="416"/>
      <c r="D46" s="416"/>
      <c r="E46" s="416"/>
      <c r="F46" s="416"/>
      <c r="G46" s="416"/>
      <c r="H46" s="355"/>
    </row>
    <row r="47" spans="1:8" ht="15.75" customHeight="1" x14ac:dyDescent="0.25">
      <c r="C47" s="35"/>
    </row>
    <row r="48" spans="1:8" ht="15.75" customHeight="1" x14ac:dyDescent="0.25">
      <c r="B48" s="417" t="s">
        <v>3</v>
      </c>
      <c r="C48" s="35"/>
    </row>
    <row r="49" spans="2:8" ht="15.75" customHeight="1" x14ac:dyDescent="0.25">
      <c r="B49" s="417" t="s">
        <v>147</v>
      </c>
      <c r="E49" s="478"/>
      <c r="F49" s="478"/>
    </row>
    <row r="50" spans="2:8" ht="7.2" customHeight="1" x14ac:dyDescent="0.25"/>
    <row r="51" spans="2:8" ht="27.6" customHeight="1" x14ac:dyDescent="0.25">
      <c r="B51" s="479" t="s">
        <v>194</v>
      </c>
      <c r="C51" s="479"/>
      <c r="D51" s="479"/>
      <c r="E51" s="479"/>
      <c r="F51" s="479"/>
      <c r="G51" s="479"/>
      <c r="H51" s="479"/>
    </row>
  </sheetData>
  <protectedRanges>
    <protectedRange sqref="C10" name="Rango3_3_1_1_1_1_1_1_1_1_1_1"/>
  </protectedRanges>
  <mergeCells count="28">
    <mergeCell ref="E39:F39"/>
    <mergeCell ref="E40:F40"/>
    <mergeCell ref="E41:F41"/>
    <mergeCell ref="E49:F49"/>
    <mergeCell ref="B51:H51"/>
    <mergeCell ref="E38:F38"/>
    <mergeCell ref="B28:H28"/>
    <mergeCell ref="B29:H29"/>
    <mergeCell ref="B30:H30"/>
    <mergeCell ref="B31:D32"/>
    <mergeCell ref="E31:F31"/>
    <mergeCell ref="E32:F32"/>
    <mergeCell ref="E33:F33"/>
    <mergeCell ref="E34:F34"/>
    <mergeCell ref="E35:F35"/>
    <mergeCell ref="E36:F36"/>
    <mergeCell ref="E37:F37"/>
    <mergeCell ref="B12:H12"/>
    <mergeCell ref="G14:H14"/>
    <mergeCell ref="B15:C15"/>
    <mergeCell ref="D17:E17"/>
    <mergeCell ref="G18:H19"/>
    <mergeCell ref="B11:H11"/>
    <mergeCell ref="D2:H2"/>
    <mergeCell ref="D3:H3"/>
    <mergeCell ref="E7:F7"/>
    <mergeCell ref="E8:F8"/>
    <mergeCell ref="C9:D9"/>
  </mergeCells>
  <printOptions horizontalCentered="1" verticalCentered="1"/>
  <pageMargins left="0" right="0.59055118110236227" top="0.78740157480314965" bottom="0" header="0" footer="0"/>
  <pageSetup scale="86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P62"/>
  <sheetViews>
    <sheetView showGridLines="0" zoomScaleNormal="100" zoomScaleSheetLayoutView="115" workbookViewId="0">
      <selection activeCell="N22" sqref="N22"/>
    </sheetView>
  </sheetViews>
  <sheetFormatPr baseColWidth="10" defaultColWidth="10.33203125" defaultRowHeight="10.199999999999999" x14ac:dyDescent="0.2"/>
  <cols>
    <col min="1" max="1" width="12.33203125" style="3" customWidth="1"/>
    <col min="2" max="2" width="1.88671875" style="3" customWidth="1"/>
    <col min="3" max="3" width="3.33203125" style="3" customWidth="1"/>
    <col min="4" max="4" width="1.33203125" style="3" customWidth="1"/>
    <col min="5" max="7" width="13" style="3" customWidth="1"/>
    <col min="8" max="8" width="11.6640625" style="3" customWidth="1"/>
    <col min="9" max="9" width="13.6640625" style="3" customWidth="1"/>
    <col min="10" max="10" width="1.5546875" style="3" customWidth="1"/>
    <col min="11" max="11" width="13.6640625" style="3" customWidth="1"/>
    <col min="12" max="12" width="6" style="3" customWidth="1"/>
    <col min="13" max="13" width="7.33203125" style="3" customWidth="1"/>
    <col min="14" max="16384" width="10.33203125" style="3"/>
  </cols>
  <sheetData>
    <row r="1" spans="1:13" ht="18" customHeight="1" x14ac:dyDescent="0.2">
      <c r="A1" s="126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</row>
    <row r="2" spans="1:13" ht="15.75" customHeight="1" x14ac:dyDescent="0.2">
      <c r="A2" s="480" t="s">
        <v>1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128"/>
      <c r="M2" s="128"/>
    </row>
    <row r="3" spans="1:13" ht="15.75" customHeight="1" x14ac:dyDescent="0.2">
      <c r="A3" s="481">
        <v>0</v>
      </c>
      <c r="B3" s="481"/>
      <c r="C3" s="481"/>
      <c r="D3" s="481"/>
      <c r="E3" s="481"/>
      <c r="F3" s="481"/>
      <c r="G3" s="481"/>
      <c r="H3" s="481"/>
      <c r="I3" s="481"/>
      <c r="J3" s="481"/>
      <c r="K3" s="481"/>
      <c r="L3" s="129"/>
      <c r="M3" s="129"/>
    </row>
    <row r="4" spans="1:13" ht="8.4" customHeight="1" x14ac:dyDescent="0.2">
      <c r="A4" s="130"/>
      <c r="B4" s="130"/>
      <c r="C4" s="130"/>
      <c r="D4" s="130"/>
      <c r="E4" s="130"/>
      <c r="F4" s="130"/>
      <c r="G4" s="130"/>
      <c r="H4" s="130"/>
      <c r="I4" s="4"/>
      <c r="J4" s="4"/>
      <c r="K4" s="4"/>
    </row>
    <row r="5" spans="1:13" ht="15.75" customHeight="1" x14ac:dyDescent="0.2">
      <c r="A5" s="6" t="s">
        <v>70</v>
      </c>
      <c r="B5" s="148" t="s">
        <v>69</v>
      </c>
      <c r="C5" s="492">
        <f>+FORMATO!K2</f>
        <v>0</v>
      </c>
      <c r="D5" s="492"/>
      <c r="E5" s="492"/>
      <c r="F5" s="492"/>
      <c r="G5" s="492"/>
      <c r="H5" s="492"/>
      <c r="I5" s="7" t="s">
        <v>78</v>
      </c>
      <c r="J5" s="149" t="s">
        <v>69</v>
      </c>
      <c r="K5" s="5" t="s">
        <v>95</v>
      </c>
    </row>
    <row r="6" spans="1:13" ht="15.75" customHeight="1" x14ac:dyDescent="0.2">
      <c r="A6" s="6" t="s">
        <v>71</v>
      </c>
      <c r="B6" s="148" t="s">
        <v>69</v>
      </c>
      <c r="C6" s="492">
        <f>+FORMATO!K3</f>
        <v>0</v>
      </c>
      <c r="D6" s="492"/>
      <c r="E6" s="492"/>
      <c r="F6" s="492"/>
      <c r="G6" s="492"/>
      <c r="H6" s="492"/>
      <c r="I6" s="8" t="s">
        <v>79</v>
      </c>
      <c r="J6" s="149" t="s">
        <v>69</v>
      </c>
      <c r="K6" s="333">
        <f>+FORMATO!K7</f>
        <v>0</v>
      </c>
    </row>
    <row r="7" spans="1:13" ht="15.75" customHeight="1" x14ac:dyDescent="0.2">
      <c r="A7" s="6" t="s">
        <v>72</v>
      </c>
      <c r="B7" s="148" t="s">
        <v>69</v>
      </c>
      <c r="C7" s="492">
        <f>+FORMATO!K4</f>
        <v>0</v>
      </c>
      <c r="D7" s="492"/>
      <c r="E7" s="492"/>
      <c r="F7" s="492"/>
      <c r="G7" s="492"/>
      <c r="H7" s="492"/>
      <c r="I7" s="8" t="s">
        <v>81</v>
      </c>
      <c r="J7" s="149" t="s">
        <v>69</v>
      </c>
      <c r="K7" s="333">
        <f>+FORMATO!K9</f>
        <v>0</v>
      </c>
      <c r="M7" s="9"/>
    </row>
    <row r="8" spans="1:13" ht="22.2" customHeight="1" x14ac:dyDescent="0.2">
      <c r="A8" s="6" t="s">
        <v>73</v>
      </c>
      <c r="B8" s="148" t="s">
        <v>69</v>
      </c>
      <c r="C8" s="492">
        <f>+FORMATO!K5</f>
        <v>0</v>
      </c>
      <c r="D8" s="492"/>
      <c r="E8" s="492"/>
      <c r="F8" s="492"/>
      <c r="G8" s="492"/>
      <c r="H8" s="492"/>
      <c r="I8" s="430" t="s">
        <v>80</v>
      </c>
      <c r="J8" s="149" t="s">
        <v>69</v>
      </c>
      <c r="K8" s="326">
        <f>+FORMATO!K8</f>
        <v>0</v>
      </c>
      <c r="M8" s="9"/>
    </row>
    <row r="9" spans="1:13" ht="15.75" customHeight="1" x14ac:dyDescent="0.2">
      <c r="A9" s="10" t="s">
        <v>5</v>
      </c>
      <c r="B9" s="10"/>
      <c r="C9" s="4"/>
      <c r="D9" s="4"/>
      <c r="E9" s="4"/>
      <c r="F9" s="4"/>
      <c r="G9" s="4"/>
      <c r="H9" s="4"/>
      <c r="I9" s="4"/>
      <c r="J9" s="4"/>
      <c r="K9" s="4"/>
    </row>
    <row r="10" spans="1:13" ht="4.95" customHeight="1" x14ac:dyDescent="0.2">
      <c r="A10" s="10"/>
      <c r="B10" s="10"/>
      <c r="C10" s="4"/>
      <c r="D10" s="4"/>
      <c r="E10" s="4"/>
      <c r="F10" s="4"/>
      <c r="G10" s="4"/>
      <c r="H10" s="4"/>
      <c r="I10" s="4"/>
      <c r="J10" s="4"/>
      <c r="K10" s="4"/>
    </row>
    <row r="11" spans="1:13" ht="15.75" customHeight="1" x14ac:dyDescent="0.2">
      <c r="A11" s="482" t="s">
        <v>144</v>
      </c>
      <c r="B11" s="483"/>
      <c r="C11" s="483"/>
      <c r="D11" s="483"/>
      <c r="E11" s="483"/>
      <c r="F11" s="483"/>
      <c r="G11" s="483"/>
      <c r="H11" s="483"/>
      <c r="I11" s="483"/>
      <c r="J11" s="483"/>
      <c r="K11" s="484"/>
      <c r="L11" s="131"/>
      <c r="M11" s="131"/>
    </row>
    <row r="12" spans="1:13" ht="15.75" customHeight="1" x14ac:dyDescent="0.2">
      <c r="A12" s="485" t="s">
        <v>146</v>
      </c>
      <c r="B12" s="486"/>
      <c r="C12" s="486"/>
      <c r="D12" s="486"/>
      <c r="E12" s="486"/>
      <c r="F12" s="486"/>
      <c r="G12" s="486"/>
      <c r="H12" s="486"/>
      <c r="I12" s="486"/>
      <c r="J12" s="486"/>
      <c r="K12" s="487"/>
      <c r="L12" s="131"/>
      <c r="M12" s="136"/>
    </row>
    <row r="13" spans="1:13" ht="5.25" customHeight="1" x14ac:dyDescent="0.2">
      <c r="A13" s="17"/>
      <c r="B13" s="146"/>
      <c r="C13" s="18"/>
      <c r="D13" s="18"/>
      <c r="E13" s="18"/>
      <c r="F13" s="18"/>
      <c r="G13" s="18"/>
      <c r="H13" s="18"/>
      <c r="I13" s="176"/>
      <c r="J13" s="176"/>
      <c r="K13" s="177"/>
    </row>
    <row r="14" spans="1:13" ht="15.75" customHeight="1" x14ac:dyDescent="0.2">
      <c r="A14" s="19" t="s">
        <v>2</v>
      </c>
      <c r="B14" s="147"/>
      <c r="C14" s="163"/>
      <c r="D14" s="163"/>
      <c r="E14" s="163"/>
      <c r="F14" s="163"/>
      <c r="G14" s="163"/>
      <c r="H14" s="163"/>
      <c r="I14" s="4"/>
      <c r="J14" s="4"/>
      <c r="K14" s="178"/>
    </row>
    <row r="15" spans="1:13" ht="15.75" customHeight="1" x14ac:dyDescent="0.2">
      <c r="A15" s="11" t="s">
        <v>74</v>
      </c>
      <c r="B15" s="10"/>
      <c r="C15" s="5"/>
      <c r="D15" s="5" t="s">
        <v>69</v>
      </c>
      <c r="E15" s="325">
        <f>+FORMATO!K15</f>
        <v>0</v>
      </c>
      <c r="F15" s="4"/>
      <c r="G15" s="4"/>
      <c r="H15" s="4"/>
      <c r="I15" s="164" t="s">
        <v>82</v>
      </c>
      <c r="J15" s="165" t="s">
        <v>69</v>
      </c>
      <c r="K15" s="334">
        <f>+FORMATO!K11</f>
        <v>0</v>
      </c>
      <c r="M15" s="1"/>
    </row>
    <row r="16" spans="1:13" ht="15.75" customHeight="1" x14ac:dyDescent="0.2">
      <c r="A16" s="11" t="s">
        <v>75</v>
      </c>
      <c r="B16" s="10"/>
      <c r="C16" s="5"/>
      <c r="D16" s="5" t="s">
        <v>69</v>
      </c>
      <c r="E16" s="325">
        <f>+FORMATO!K16</f>
        <v>0</v>
      </c>
      <c r="F16" s="4"/>
      <c r="G16" s="4"/>
      <c r="H16" s="4"/>
      <c r="I16" s="164" t="s">
        <v>83</v>
      </c>
      <c r="J16" s="165" t="s">
        <v>69</v>
      </c>
      <c r="K16" s="327">
        <f>+FORMATO!K12</f>
        <v>0</v>
      </c>
      <c r="M16" s="2"/>
    </row>
    <row r="17" spans="1:13" ht="15.75" customHeight="1" x14ac:dyDescent="0.2">
      <c r="A17" s="11" t="s">
        <v>76</v>
      </c>
      <c r="B17" s="10"/>
      <c r="C17" s="5"/>
      <c r="D17" s="5" t="s">
        <v>69</v>
      </c>
      <c r="E17" s="325">
        <f>+FORMATO!K17</f>
        <v>0</v>
      </c>
      <c r="F17" s="4"/>
      <c r="G17" s="4"/>
      <c r="H17" s="4"/>
      <c r="I17" s="164" t="s">
        <v>84</v>
      </c>
      <c r="J17" s="165" t="s">
        <v>69</v>
      </c>
      <c r="K17" s="327">
        <f>+FORMATO!K13</f>
        <v>0</v>
      </c>
      <c r="M17" s="2"/>
    </row>
    <row r="18" spans="1:13" ht="15.75" customHeight="1" x14ac:dyDescent="0.2">
      <c r="A18" s="11" t="s">
        <v>77</v>
      </c>
      <c r="B18" s="10"/>
      <c r="C18" s="4"/>
      <c r="D18" s="16" t="s">
        <v>69</v>
      </c>
      <c r="E18" s="324" t="s">
        <v>6</v>
      </c>
      <c r="F18" s="16"/>
      <c r="G18" s="6"/>
      <c r="H18" s="6"/>
      <c r="I18" s="6"/>
      <c r="J18" s="6"/>
      <c r="K18" s="166"/>
      <c r="M18" s="6"/>
    </row>
    <row r="19" spans="1:13" ht="6.6" customHeight="1" x14ac:dyDescent="0.2">
      <c r="A19" s="167"/>
      <c r="B19" s="168"/>
      <c r="C19" s="169"/>
      <c r="D19" s="169"/>
      <c r="E19" s="173"/>
      <c r="F19" s="173"/>
      <c r="G19" s="173"/>
      <c r="H19" s="173"/>
      <c r="I19" s="170"/>
      <c r="J19" s="170"/>
      <c r="K19" s="171"/>
      <c r="L19" s="140"/>
      <c r="M19" s="126"/>
    </row>
    <row r="20" spans="1:13" ht="15.75" customHeight="1" x14ac:dyDescent="0.2">
      <c r="A20" s="489" t="s">
        <v>85</v>
      </c>
      <c r="B20" s="490"/>
      <c r="C20" s="490"/>
      <c r="D20" s="490"/>
      <c r="E20" s="490"/>
      <c r="F20" s="490"/>
      <c r="G20" s="490"/>
      <c r="H20" s="490"/>
      <c r="I20" s="490"/>
      <c r="J20" s="490"/>
      <c r="K20" s="491"/>
      <c r="L20" s="20"/>
      <c r="M20" s="16"/>
    </row>
    <row r="21" spans="1:13" ht="7.95" customHeight="1" x14ac:dyDescent="0.2">
      <c r="A21" s="150"/>
      <c r="B21" s="128"/>
      <c r="I21" s="141"/>
      <c r="J21" s="141"/>
      <c r="K21" s="151"/>
      <c r="L21" s="20"/>
      <c r="M21" s="16"/>
    </row>
    <row r="22" spans="1:13" ht="15.75" customHeight="1" x14ac:dyDescent="0.2">
      <c r="A22" s="174"/>
      <c r="B22" s="4"/>
      <c r="C22" s="4"/>
      <c r="D22" s="4"/>
      <c r="E22" s="323" t="s">
        <v>59</v>
      </c>
      <c r="F22" s="4"/>
      <c r="G22" s="4"/>
      <c r="H22" s="4"/>
      <c r="I22" s="318">
        <f>+Datos!F11</f>
        <v>0</v>
      </c>
      <c r="J22" s="15"/>
      <c r="K22" s="152"/>
      <c r="L22" s="20"/>
      <c r="M22" s="16"/>
    </row>
    <row r="23" spans="1:13" ht="15.75" customHeight="1" x14ac:dyDescent="0.2">
      <c r="A23" s="174"/>
      <c r="B23" s="4"/>
      <c r="C23" s="4"/>
      <c r="D23" s="4"/>
      <c r="E23" s="323" t="s">
        <v>120</v>
      </c>
      <c r="F23" s="4"/>
      <c r="G23" s="4"/>
      <c r="H23" s="4"/>
      <c r="I23" s="318">
        <f>+Datos!F8</f>
        <v>0</v>
      </c>
      <c r="J23" s="15"/>
      <c r="K23" s="152"/>
      <c r="L23" s="12"/>
      <c r="M23" s="12"/>
    </row>
    <row r="24" spans="1:13" ht="7.95" customHeight="1" x14ac:dyDescent="0.2">
      <c r="A24" s="174"/>
      <c r="B24" s="4"/>
      <c r="C24" s="4"/>
      <c r="D24" s="4"/>
      <c r="E24" s="4"/>
      <c r="F24" s="4"/>
      <c r="G24" s="4"/>
      <c r="H24" s="4"/>
      <c r="I24" s="15"/>
      <c r="J24" s="15"/>
      <c r="K24" s="152"/>
      <c r="L24" s="12"/>
      <c r="M24" s="12"/>
    </row>
    <row r="25" spans="1:13" ht="15.75" customHeight="1" x14ac:dyDescent="0.2">
      <c r="A25" s="489" t="s">
        <v>88</v>
      </c>
      <c r="B25" s="490"/>
      <c r="C25" s="490"/>
      <c r="D25" s="490"/>
      <c r="E25" s="490"/>
      <c r="F25" s="490"/>
      <c r="G25" s="490"/>
      <c r="H25" s="490"/>
      <c r="I25" s="490"/>
      <c r="J25" s="490"/>
      <c r="K25" s="491"/>
      <c r="L25" s="12"/>
      <c r="M25" s="12"/>
    </row>
    <row r="26" spans="1:13" ht="7.95" customHeight="1" x14ac:dyDescent="0.2">
      <c r="A26" s="150"/>
      <c r="B26" s="128"/>
      <c r="C26" s="15"/>
      <c r="D26" s="15"/>
      <c r="E26" s="15"/>
      <c r="F26" s="15"/>
      <c r="G26" s="15"/>
      <c r="H26" s="4"/>
      <c r="I26" s="15"/>
      <c r="J26" s="15"/>
      <c r="K26" s="157"/>
      <c r="L26" s="12"/>
      <c r="M26" s="12"/>
    </row>
    <row r="27" spans="1:13" ht="15.75" customHeight="1" x14ac:dyDescent="0.2">
      <c r="A27" s="174"/>
      <c r="B27" s="145"/>
      <c r="C27" s="15"/>
      <c r="D27" s="15"/>
      <c r="E27" s="322" t="s">
        <v>91</v>
      </c>
      <c r="F27" s="142"/>
      <c r="G27" s="142"/>
      <c r="H27" s="4"/>
      <c r="I27" s="308">
        <f>+Datos!F9</f>
        <v>0</v>
      </c>
      <c r="J27" s="142"/>
      <c r="K27" s="152"/>
      <c r="L27" s="12"/>
      <c r="M27" s="12"/>
    </row>
    <row r="28" spans="1:13" ht="7.95" customHeight="1" x14ac:dyDescent="0.2">
      <c r="A28" s="158"/>
      <c r="B28" s="159"/>
      <c r="C28" s="159"/>
      <c r="D28" s="159"/>
      <c r="E28" s="160"/>
      <c r="F28" s="160"/>
      <c r="G28" s="160"/>
      <c r="H28" s="161"/>
      <c r="I28" s="160"/>
      <c r="J28" s="160"/>
      <c r="K28" s="162"/>
      <c r="L28" s="12"/>
      <c r="M28" s="12"/>
    </row>
    <row r="29" spans="1:13" ht="15.75" customHeight="1" x14ac:dyDescent="0.2">
      <c r="A29" s="489" t="s">
        <v>86</v>
      </c>
      <c r="B29" s="490"/>
      <c r="C29" s="490"/>
      <c r="D29" s="490"/>
      <c r="E29" s="490"/>
      <c r="F29" s="490"/>
      <c r="G29" s="490"/>
      <c r="H29" s="490"/>
      <c r="I29" s="490"/>
      <c r="J29" s="490"/>
      <c r="K29" s="491"/>
      <c r="L29" s="12"/>
      <c r="M29" s="12"/>
    </row>
    <row r="30" spans="1:13" ht="7.95" customHeight="1" x14ac:dyDescent="0.2">
      <c r="A30" s="150"/>
      <c r="B30" s="128"/>
      <c r="C30" s="16"/>
      <c r="D30" s="16"/>
      <c r="E30" s="141"/>
      <c r="F30" s="141"/>
      <c r="G30" s="141"/>
      <c r="H30" s="141"/>
      <c r="I30" s="142"/>
      <c r="J30" s="142"/>
      <c r="K30" s="152"/>
      <c r="L30" s="12"/>
      <c r="M30" s="12"/>
    </row>
    <row r="31" spans="1:13" ht="15.75" customHeight="1" x14ac:dyDescent="0.2">
      <c r="A31" s="174"/>
      <c r="B31" s="124"/>
      <c r="C31" s="15"/>
      <c r="D31" s="15"/>
      <c r="E31" s="321" t="s">
        <v>121</v>
      </c>
      <c r="F31" s="15"/>
      <c r="G31" s="15"/>
      <c r="H31" s="4"/>
      <c r="I31" s="328">
        <f>+Datos!G21</f>
        <v>0</v>
      </c>
      <c r="J31" s="142"/>
      <c r="K31" s="152"/>
      <c r="L31" s="12"/>
      <c r="M31" s="12"/>
    </row>
    <row r="32" spans="1:13" ht="15.75" customHeight="1" x14ac:dyDescent="0.2">
      <c r="A32" s="174"/>
      <c r="B32" s="124"/>
      <c r="C32" s="15"/>
      <c r="D32" s="15"/>
      <c r="E32" s="321" t="s">
        <v>58</v>
      </c>
      <c r="F32" s="142"/>
      <c r="G32" s="142"/>
      <c r="H32" s="4"/>
      <c r="I32" s="328" t="str">
        <f>IF(Datos!G19=0,"-",Datos!G19)</f>
        <v>-</v>
      </c>
      <c r="J32" s="14"/>
      <c r="K32" s="153"/>
      <c r="L32" s="12"/>
      <c r="M32" s="12"/>
    </row>
    <row r="33" spans="1:16" ht="15.75" customHeight="1" x14ac:dyDescent="0.2">
      <c r="A33" s="174"/>
      <c r="B33" s="124"/>
      <c r="C33" s="15"/>
      <c r="D33" s="15"/>
      <c r="E33" s="321" t="s">
        <v>57</v>
      </c>
      <c r="F33" s="142"/>
      <c r="G33" s="142"/>
      <c r="H33" s="4"/>
      <c r="I33" s="328" t="str">
        <f>IF(Datos!G20=0,"-",Datos!G20)</f>
        <v>-</v>
      </c>
      <c r="J33" s="16"/>
      <c r="K33" s="154"/>
      <c r="L33" s="13"/>
      <c r="M33" s="14"/>
    </row>
    <row r="34" spans="1:16" ht="7.95" customHeight="1" x14ac:dyDescent="0.2">
      <c r="A34" s="155"/>
      <c r="B34" s="15"/>
      <c r="C34" s="15"/>
      <c r="D34" s="15"/>
      <c r="E34" s="142"/>
      <c r="F34" s="142"/>
      <c r="G34" s="142"/>
      <c r="H34" s="12"/>
      <c r="I34" s="143"/>
      <c r="J34" s="143"/>
      <c r="K34" s="156"/>
      <c r="L34" s="16"/>
      <c r="M34" s="16"/>
    </row>
    <row r="35" spans="1:16" ht="15.75" customHeight="1" x14ac:dyDescent="0.2">
      <c r="A35" s="489" t="s">
        <v>87</v>
      </c>
      <c r="B35" s="490"/>
      <c r="C35" s="490"/>
      <c r="D35" s="490"/>
      <c r="E35" s="490"/>
      <c r="F35" s="490"/>
      <c r="G35" s="490"/>
      <c r="H35" s="490"/>
      <c r="I35" s="490"/>
      <c r="J35" s="490"/>
      <c r="K35" s="491"/>
      <c r="L35" s="20"/>
      <c r="M35" s="16"/>
    </row>
    <row r="36" spans="1:16" ht="7.95" customHeight="1" x14ac:dyDescent="0.2">
      <c r="A36" s="258"/>
      <c r="B36" s="259"/>
      <c r="C36" s="176"/>
      <c r="D36" s="176"/>
      <c r="E36" s="176"/>
      <c r="F36" s="176"/>
      <c r="G36" s="176"/>
      <c r="H36" s="176"/>
      <c r="I36" s="260"/>
      <c r="J36" s="260"/>
      <c r="K36" s="261"/>
      <c r="L36" s="20"/>
      <c r="M36" s="16"/>
    </row>
    <row r="37" spans="1:16" ht="18.75" customHeight="1" x14ac:dyDescent="0.2">
      <c r="A37" s="174"/>
      <c r="B37" s="124"/>
      <c r="C37" s="15"/>
      <c r="D37" s="15"/>
      <c r="E37" s="321" t="s">
        <v>89</v>
      </c>
      <c r="F37" s="142"/>
      <c r="G37" s="142"/>
      <c r="H37" s="4"/>
      <c r="I37" s="329" t="e">
        <f>IF(Datos!G35="","--",Datos!G35)</f>
        <v>#DIV/0!</v>
      </c>
      <c r="J37" s="16"/>
      <c r="K37" s="154"/>
      <c r="L37" s="20"/>
      <c r="M37" s="16"/>
    </row>
    <row r="38" spans="1:16" ht="18" customHeight="1" x14ac:dyDescent="0.2">
      <c r="A38" s="174"/>
      <c r="B38" s="124"/>
      <c r="C38" s="16"/>
      <c r="D38" s="16"/>
      <c r="E38" s="321" t="s">
        <v>90</v>
      </c>
      <c r="F38" s="14"/>
      <c r="G38" s="12"/>
      <c r="H38" s="4"/>
      <c r="I38" s="329" t="e">
        <f>IF(Datos!I35="","--",Datos!I35)</f>
        <v>#DIV/0!</v>
      </c>
      <c r="J38" s="144"/>
      <c r="K38" s="154"/>
      <c r="M38" s="12"/>
    </row>
    <row r="39" spans="1:16" ht="7.95" customHeight="1" x14ac:dyDescent="0.2">
      <c r="A39" s="262"/>
      <c r="B39" s="263"/>
      <c r="C39" s="263"/>
      <c r="D39" s="263"/>
      <c r="E39" s="264"/>
      <c r="F39" s="264"/>
      <c r="G39" s="264"/>
      <c r="H39" s="265"/>
      <c r="I39" s="264"/>
      <c r="J39" s="264"/>
      <c r="K39" s="266"/>
      <c r="M39" s="12"/>
    </row>
    <row r="40" spans="1:16" ht="15.75" customHeight="1" x14ac:dyDescent="0.25">
      <c r="A40" s="320" t="s">
        <v>4</v>
      </c>
      <c r="B40" s="320"/>
      <c r="C40" s="184"/>
      <c r="D40" s="184"/>
      <c r="E40" s="184"/>
      <c r="F40" s="184"/>
      <c r="G40" s="184"/>
      <c r="H40" s="184"/>
      <c r="I40" s="184"/>
      <c r="J40" s="184"/>
      <c r="K40" s="184"/>
      <c r="M40" s="12"/>
      <c r="N40"/>
      <c r="O40"/>
      <c r="P40"/>
    </row>
    <row r="41" spans="1:16" ht="15.75" customHeight="1" x14ac:dyDescent="0.25">
      <c r="A41" s="493" t="s">
        <v>218</v>
      </c>
      <c r="B41" s="493"/>
      <c r="C41" s="493"/>
      <c r="D41" s="493"/>
      <c r="E41" s="493"/>
      <c r="F41" s="493"/>
      <c r="G41" s="493"/>
      <c r="H41" s="493"/>
      <c r="I41" s="493"/>
      <c r="J41" s="493"/>
      <c r="K41" s="493"/>
      <c r="M41" s="12"/>
      <c r="N41"/>
      <c r="O41"/>
      <c r="P41"/>
    </row>
    <row r="42" spans="1:16" ht="39.6" customHeight="1" x14ac:dyDescent="0.25">
      <c r="A42" s="488" t="s">
        <v>219</v>
      </c>
      <c r="B42" s="488"/>
      <c r="C42" s="488"/>
      <c r="D42" s="488"/>
      <c r="E42" s="488"/>
      <c r="F42" s="488"/>
      <c r="G42" s="488"/>
      <c r="H42" s="488"/>
      <c r="I42" s="488"/>
      <c r="J42" s="488"/>
      <c r="K42" s="488"/>
      <c r="M42" s="12"/>
      <c r="N42"/>
      <c r="O42"/>
      <c r="P42"/>
    </row>
    <row r="43" spans="1:16" ht="16.2" customHeight="1" x14ac:dyDescent="0.25">
      <c r="A43" s="488" t="s">
        <v>220</v>
      </c>
      <c r="B43" s="488"/>
      <c r="C43" s="488"/>
      <c r="D43" s="488"/>
      <c r="E43" s="488"/>
      <c r="F43" s="488"/>
      <c r="G43" s="488"/>
      <c r="H43" s="488"/>
      <c r="I43" s="488"/>
      <c r="J43" s="488"/>
      <c r="K43" s="488"/>
      <c r="L43" s="134"/>
      <c r="M43" s="12"/>
      <c r="N43"/>
      <c r="O43"/>
      <c r="P43"/>
    </row>
    <row r="44" spans="1:16" ht="27.6" customHeight="1" x14ac:dyDescent="0.25">
      <c r="A44" s="488" t="s">
        <v>221</v>
      </c>
      <c r="B44" s="488"/>
      <c r="C44" s="488"/>
      <c r="D44" s="488"/>
      <c r="E44" s="488"/>
      <c r="F44" s="488"/>
      <c r="G44" s="488"/>
      <c r="H44" s="488"/>
      <c r="I44" s="488"/>
      <c r="J44" s="488"/>
      <c r="K44" s="488"/>
      <c r="L44" s="132"/>
      <c r="M44" s="12"/>
      <c r="N44"/>
      <c r="O44"/>
      <c r="P44"/>
    </row>
    <row r="45" spans="1:16" ht="27" customHeight="1" x14ac:dyDescent="0.25">
      <c r="A45" s="494" t="s">
        <v>222</v>
      </c>
      <c r="B45" s="494"/>
      <c r="C45" s="494"/>
      <c r="D45" s="494"/>
      <c r="E45" s="494"/>
      <c r="F45" s="494"/>
      <c r="G45" s="494"/>
      <c r="H45" s="494"/>
      <c r="I45" s="494"/>
      <c r="J45" s="494"/>
      <c r="K45" s="494"/>
      <c r="L45" s="319"/>
      <c r="M45" s="319"/>
      <c r="N45" s="319"/>
      <c r="O45"/>
      <c r="P45"/>
    </row>
    <row r="46" spans="1:16" ht="3.6" customHeight="1" x14ac:dyDescent="0.25">
      <c r="A46" s="435"/>
      <c r="B46" s="435"/>
      <c r="C46" s="435"/>
      <c r="D46" s="435"/>
      <c r="E46" s="435"/>
      <c r="F46" s="435"/>
      <c r="G46" s="435"/>
      <c r="H46" s="435"/>
      <c r="I46" s="435"/>
      <c r="J46" s="435"/>
      <c r="K46" s="435"/>
      <c r="L46" s="319"/>
      <c r="M46" s="319"/>
      <c r="N46" s="319"/>
      <c r="O46"/>
      <c r="P46"/>
    </row>
    <row r="47" spans="1:16" ht="15.75" customHeight="1" x14ac:dyDescent="0.25">
      <c r="A47" s="179" t="s">
        <v>96</v>
      </c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2"/>
      <c r="N47"/>
      <c r="O47"/>
      <c r="P47"/>
    </row>
    <row r="48" spans="1:16" ht="14.4" customHeight="1" x14ac:dyDescent="0.25">
      <c r="A48" s="181"/>
      <c r="B48" s="182"/>
      <c r="C48" s="180"/>
      <c r="D48" s="180"/>
      <c r="E48" s="180"/>
      <c r="F48" s="180"/>
      <c r="G48" s="180"/>
      <c r="H48" s="180"/>
      <c r="I48" s="180"/>
      <c r="J48" s="180"/>
      <c r="K48" s="180"/>
      <c r="L48" s="132"/>
      <c r="M48" s="12"/>
      <c r="N48"/>
      <c r="O48"/>
      <c r="P48"/>
    </row>
    <row r="49" spans="1:16" ht="15.6" customHeight="1" x14ac:dyDescent="0.25">
      <c r="A49" s="267"/>
      <c r="B49" s="179"/>
      <c r="C49" s="268"/>
      <c r="D49" s="268"/>
      <c r="E49" s="268"/>
      <c r="F49" s="268"/>
      <c r="G49" s="268"/>
      <c r="H49" s="268"/>
      <c r="I49" s="268"/>
      <c r="J49" s="268"/>
      <c r="K49" s="268"/>
      <c r="L49" s="132"/>
      <c r="M49" s="12"/>
      <c r="N49"/>
      <c r="O49"/>
      <c r="P49"/>
    </row>
    <row r="50" spans="1:16" ht="15.6" customHeight="1" x14ac:dyDescent="0.25">
      <c r="A50" s="267"/>
      <c r="B50" s="179"/>
      <c r="C50" s="268"/>
      <c r="D50" s="268"/>
      <c r="E50" s="268"/>
      <c r="F50" s="268"/>
      <c r="G50" s="268"/>
      <c r="H50" s="268"/>
      <c r="I50" s="268"/>
      <c r="J50" s="268"/>
      <c r="K50" s="268"/>
      <c r="L50" s="132"/>
      <c r="M50" s="12"/>
      <c r="N50"/>
      <c r="O50"/>
      <c r="P50"/>
    </row>
    <row r="51" spans="1:16" ht="15.6" customHeight="1" x14ac:dyDescent="0.25">
      <c r="A51" s="267"/>
      <c r="B51" s="179"/>
      <c r="C51" s="268"/>
      <c r="D51" s="268"/>
      <c r="E51" s="268"/>
      <c r="F51" s="268"/>
      <c r="G51" s="268"/>
      <c r="H51" s="268"/>
      <c r="I51" s="268"/>
      <c r="J51" s="268"/>
      <c r="K51" s="268"/>
      <c r="L51" s="132"/>
      <c r="M51" s="12"/>
      <c r="N51"/>
      <c r="O51"/>
      <c r="P51"/>
    </row>
    <row r="52" spans="1:16" ht="18" customHeight="1" x14ac:dyDescent="0.25">
      <c r="A52" s="133"/>
      <c r="B52" s="133"/>
      <c r="L52" s="132"/>
      <c r="M52" s="12"/>
      <c r="N52"/>
      <c r="O52"/>
      <c r="P52"/>
    </row>
    <row r="53" spans="1:16" ht="18" customHeight="1" x14ac:dyDescent="0.25">
      <c r="A53" s="133"/>
      <c r="B53" s="133"/>
      <c r="L53" s="132"/>
      <c r="M53" s="12"/>
      <c r="N53"/>
      <c r="O53"/>
      <c r="P53"/>
    </row>
    <row r="54" spans="1:16" ht="18" customHeight="1" x14ac:dyDescent="0.2">
      <c r="A54" s="133"/>
      <c r="B54" s="133"/>
      <c r="L54" s="132"/>
      <c r="M54" s="12"/>
    </row>
    <row r="55" spans="1:16" x14ac:dyDescent="0.2">
      <c r="A55" s="4" t="s">
        <v>3</v>
      </c>
      <c r="B55" s="4"/>
      <c r="L55" s="12"/>
      <c r="M55" s="12"/>
    </row>
    <row r="56" spans="1:16" x14ac:dyDescent="0.2">
      <c r="A56" s="4" t="s">
        <v>223</v>
      </c>
      <c r="B56" s="4"/>
      <c r="K56" s="135" t="s">
        <v>7</v>
      </c>
      <c r="L56" s="12"/>
    </row>
    <row r="57" spans="1:16" x14ac:dyDescent="0.2">
      <c r="L57" s="12"/>
    </row>
    <row r="58" spans="1:16" ht="15.75" customHeight="1" x14ac:dyDescent="0.2">
      <c r="C58" s="136"/>
      <c r="D58" s="136"/>
      <c r="E58" s="136"/>
      <c r="F58" s="136"/>
      <c r="G58" s="136"/>
      <c r="H58" s="136"/>
      <c r="I58" s="136"/>
      <c r="J58" s="136"/>
      <c r="K58" s="136"/>
    </row>
    <row r="59" spans="1:16" ht="15.75" customHeight="1" x14ac:dyDescent="0.2"/>
    <row r="60" spans="1:16" ht="30.75" customHeight="1" x14ac:dyDescent="0.2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</row>
    <row r="61" spans="1:16" ht="15.9" customHeight="1" x14ac:dyDescent="0.2"/>
    <row r="62" spans="1:16" ht="15.9" customHeight="1" x14ac:dyDescent="0.2"/>
  </sheetData>
  <sheetProtection algorithmName="SHA-512" hashValue="SnhlqkvQKvkNW91AbpMF+7nJmyqqVAtsUq7pT+jTLVBrCP3lm7MjcyD0wwo4NLwXHzvLI95W9GI+JH6qIPDHQw==" saltValue="KIlZwzaYJ/wENx1fwB/IKQ==" spinCount="100000" sheet="1" objects="1" scenarios="1"/>
  <protectedRanges>
    <protectedRange sqref="C13:G13" name="Rango3_3_1_1_1_1_1_1_1_1"/>
    <protectedRange sqref="D7:D8" name="Rango3_3_1_1_1_1_1_1_1_1_2"/>
    <protectedRange sqref="D5:D6" name="Rango3_3_1_1_1_1_1_2_1_1_1"/>
  </protectedRanges>
  <mergeCells count="17">
    <mergeCell ref="A44:K44"/>
    <mergeCell ref="A45:K45"/>
    <mergeCell ref="A2:K2"/>
    <mergeCell ref="A3:K3"/>
    <mergeCell ref="A11:K11"/>
    <mergeCell ref="A12:K12"/>
    <mergeCell ref="A43:K43"/>
    <mergeCell ref="A20:K20"/>
    <mergeCell ref="A29:K29"/>
    <mergeCell ref="A35:K35"/>
    <mergeCell ref="A25:K25"/>
    <mergeCell ref="C5:H5"/>
    <mergeCell ref="C6:H6"/>
    <mergeCell ref="C7:H7"/>
    <mergeCell ref="C8:H8"/>
    <mergeCell ref="A41:K41"/>
    <mergeCell ref="A42:K42"/>
  </mergeCells>
  <phoneticPr fontId="5" type="noConversion"/>
  <dataValidations count="1">
    <dataValidation type="list" allowBlank="1" showInputMessage="1" showErrorMessage="1" sqref="L35:L36 K36" xr:uid="{00000000-0002-0000-0000-000000000000}">
      <formula1>#REF!</formula1>
    </dataValidation>
  </dataValidations>
  <printOptions horizontalCentered="1"/>
  <pageMargins left="0" right="0" top="1.299212598425197" bottom="0" header="0" footer="0"/>
  <pageSetup paperSize="274" scale="91" orientation="portrait" r:id="rId1"/>
  <headerFooter scaleWithDoc="0"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FB218-20D6-49CB-BB4D-8391844B6C7A}">
  <dimension ref="A1:Q55"/>
  <sheetViews>
    <sheetView showGridLines="0" zoomScaleNormal="100" zoomScaleSheetLayoutView="115" workbookViewId="0">
      <selection activeCell="E5" sqref="E5"/>
    </sheetView>
  </sheetViews>
  <sheetFormatPr baseColWidth="10" defaultColWidth="10.33203125" defaultRowHeight="10.199999999999999" x14ac:dyDescent="0.2"/>
  <cols>
    <col min="1" max="1" width="4" style="3" customWidth="1"/>
    <col min="2" max="3" width="9.88671875" style="3" customWidth="1"/>
    <col min="4" max="4" width="11.33203125" style="3" customWidth="1"/>
    <col min="5" max="5" width="15.6640625" style="3" customWidth="1"/>
    <col min="6" max="6" width="18.109375" style="3" customWidth="1"/>
    <col min="7" max="7" width="20" style="3" customWidth="1"/>
    <col min="8" max="8" width="19.6640625" style="3" customWidth="1"/>
    <col min="9" max="9" width="16" style="3" customWidth="1"/>
    <col min="10" max="10" width="15" style="3" customWidth="1"/>
    <col min="11" max="11" width="13.5546875" style="3" customWidth="1"/>
    <col min="12" max="16384" width="10.33203125" style="3"/>
  </cols>
  <sheetData>
    <row r="1" spans="1:14" ht="18" customHeight="1" x14ac:dyDescent="0.2">
      <c r="B1" s="496" t="s">
        <v>148</v>
      </c>
      <c r="C1" s="496"/>
      <c r="D1" s="496"/>
      <c r="E1" s="496"/>
      <c r="F1" s="496"/>
      <c r="G1" s="496"/>
      <c r="H1" s="496"/>
      <c r="I1" s="496"/>
    </row>
    <row r="2" spans="1:14" ht="4.2" customHeight="1" x14ac:dyDescent="0.2"/>
    <row r="3" spans="1:14" ht="11.4" x14ac:dyDescent="0.2">
      <c r="B3" s="495" t="s">
        <v>100</v>
      </c>
      <c r="C3" s="495"/>
      <c r="D3" s="495"/>
      <c r="E3" s="495"/>
      <c r="F3" s="184"/>
      <c r="G3" s="249" t="s">
        <v>105</v>
      </c>
      <c r="H3" s="184"/>
      <c r="I3" s="184"/>
      <c r="J3" s="184"/>
      <c r="K3" s="185"/>
      <c r="L3" s="184"/>
      <c r="M3" s="184"/>
      <c r="N3" s="184"/>
    </row>
    <row r="4" spans="1:14" ht="14.4" customHeight="1" x14ac:dyDescent="0.2">
      <c r="B4" s="245" t="s">
        <v>101</v>
      </c>
      <c r="C4" s="246" t="s">
        <v>102</v>
      </c>
      <c r="D4" s="246" t="s">
        <v>103</v>
      </c>
      <c r="E4" s="247" t="s">
        <v>104</v>
      </c>
      <c r="G4" s="250" t="s">
        <v>115</v>
      </c>
      <c r="H4" s="3">
        <f>+FORMATO!G8</f>
        <v>0</v>
      </c>
      <c r="J4" s="184"/>
    </row>
    <row r="5" spans="1:14" ht="15.75" customHeight="1" x14ac:dyDescent="0.2">
      <c r="A5" s="126"/>
      <c r="B5" s="244">
        <v>1</v>
      </c>
      <c r="C5" s="248" t="str">
        <f>+balanza!C11</f>
        <v>EQP-0046</v>
      </c>
      <c r="D5" s="331">
        <f>+balanza!C7</f>
        <v>-3.2899999999999998E-6</v>
      </c>
      <c r="E5" s="249">
        <f>+balanza!D12</f>
        <v>46132</v>
      </c>
      <c r="J5" s="184"/>
      <c r="K5" s="185"/>
      <c r="L5" s="184"/>
      <c r="M5" s="184"/>
      <c r="N5" s="184"/>
    </row>
    <row r="6" spans="1:14" ht="4.2" customHeight="1" thickBot="1" x14ac:dyDescent="0.25">
      <c r="A6" s="126"/>
      <c r="F6" s="127"/>
      <c r="N6" s="183"/>
    </row>
    <row r="7" spans="1:14" ht="15.75" customHeight="1" x14ac:dyDescent="0.2">
      <c r="A7" s="126"/>
      <c r="B7" s="210" t="s">
        <v>108</v>
      </c>
      <c r="C7" s="203"/>
      <c r="D7" s="203"/>
      <c r="E7" s="203"/>
      <c r="F7" s="238" t="s">
        <v>114</v>
      </c>
      <c r="G7" s="239" t="s">
        <v>116</v>
      </c>
      <c r="N7" s="183"/>
    </row>
    <row r="8" spans="1:14" ht="15.75" customHeight="1" x14ac:dyDescent="0.2">
      <c r="A8" s="126"/>
      <c r="B8" s="218" t="s">
        <v>67</v>
      </c>
      <c r="C8" s="139"/>
      <c r="D8" s="139"/>
      <c r="E8" s="139"/>
      <c r="F8" s="189"/>
      <c r="G8" s="212" t="s">
        <v>115</v>
      </c>
      <c r="J8" s="502" t="s">
        <v>136</v>
      </c>
      <c r="K8" s="503"/>
      <c r="N8" s="183"/>
    </row>
    <row r="9" spans="1:14" ht="21.6" customHeight="1" x14ac:dyDescent="0.2">
      <c r="A9" s="126"/>
      <c r="B9" s="240" t="s">
        <v>68</v>
      </c>
      <c r="C9" s="194"/>
      <c r="D9" s="194"/>
      <c r="E9" s="194"/>
      <c r="F9" s="189">
        <f>+FORMATO!D16</f>
        <v>0</v>
      </c>
      <c r="G9" s="212" t="s">
        <v>115</v>
      </c>
      <c r="J9" s="175" t="s">
        <v>137</v>
      </c>
      <c r="K9" s="306" t="s">
        <v>138</v>
      </c>
      <c r="N9" s="183"/>
    </row>
    <row r="10" spans="1:14" ht="23.4" customHeight="1" x14ac:dyDescent="0.2">
      <c r="A10" s="126"/>
      <c r="B10" s="218" t="s">
        <v>97</v>
      </c>
      <c r="C10" s="139"/>
      <c r="D10" s="139"/>
      <c r="E10" s="139"/>
      <c r="F10" s="189" t="s">
        <v>115</v>
      </c>
      <c r="G10" s="305" t="s">
        <v>134</v>
      </c>
      <c r="J10" s="307" t="e">
        <f>+INDEX(J13:K21,MATCH(F9,J13:J21,0),2)</f>
        <v>#N/A</v>
      </c>
      <c r="K10" s="307">
        <f>F15*100</f>
        <v>0</v>
      </c>
      <c r="N10" s="183"/>
    </row>
    <row r="11" spans="1:14" ht="23.4" customHeight="1" thickBot="1" x14ac:dyDescent="0.25">
      <c r="A11" s="126"/>
      <c r="B11" s="241" t="s">
        <v>59</v>
      </c>
      <c r="C11" s="196"/>
      <c r="D11" s="197"/>
      <c r="E11" s="196"/>
      <c r="F11" s="242"/>
      <c r="G11" s="243"/>
      <c r="N11" s="183"/>
    </row>
    <row r="12" spans="1:14" ht="24.6" customHeight="1" thickBot="1" x14ac:dyDescent="0.25">
      <c r="A12" s="126"/>
      <c r="B12" s="501" t="s">
        <v>135</v>
      </c>
      <c r="C12" s="501"/>
      <c r="D12" s="501"/>
      <c r="E12" s="501"/>
      <c r="F12" s="501"/>
      <c r="G12" s="501"/>
      <c r="H12" s="501"/>
      <c r="J12" s="304" t="s">
        <v>139</v>
      </c>
      <c r="K12" s="304" t="s">
        <v>140</v>
      </c>
      <c r="N12" s="183"/>
    </row>
    <row r="13" spans="1:14" ht="15.75" customHeight="1" x14ac:dyDescent="0.2">
      <c r="A13" s="20"/>
      <c r="B13" s="210" t="s">
        <v>109</v>
      </c>
      <c r="C13" s="203"/>
      <c r="D13" s="203"/>
      <c r="E13" s="203"/>
      <c r="F13" s="211" t="s">
        <v>114</v>
      </c>
      <c r="G13" s="205" t="s">
        <v>107</v>
      </c>
      <c r="H13" s="206" t="s">
        <v>61</v>
      </c>
      <c r="J13" s="308" t="s">
        <v>141</v>
      </c>
      <c r="K13" s="290">
        <v>200</v>
      </c>
      <c r="N13" s="183"/>
    </row>
    <row r="14" spans="1:14" ht="15.75" customHeight="1" x14ac:dyDescent="0.2">
      <c r="A14" s="20"/>
      <c r="B14" s="253" t="s">
        <v>110</v>
      </c>
      <c r="C14" s="139"/>
      <c r="D14" s="139"/>
      <c r="E14" s="190"/>
      <c r="F14" s="191">
        <f>+FORMATO!E20</f>
        <v>0</v>
      </c>
      <c r="G14" s="295"/>
      <c r="H14" s="212" t="s">
        <v>115</v>
      </c>
      <c r="J14" s="308" t="s">
        <v>142</v>
      </c>
      <c r="K14" s="290">
        <v>500</v>
      </c>
    </row>
    <row r="15" spans="1:14" ht="15.75" customHeight="1" x14ac:dyDescent="0.2">
      <c r="A15" s="20"/>
      <c r="B15" s="192" t="s">
        <v>111</v>
      </c>
      <c r="F15" s="191">
        <f>+FORMATO!E21</f>
        <v>0</v>
      </c>
      <c r="G15" s="209"/>
      <c r="H15" s="212" t="s">
        <v>115</v>
      </c>
      <c r="J15" s="309" t="s">
        <v>143</v>
      </c>
      <c r="K15" s="290">
        <v>1500</v>
      </c>
    </row>
    <row r="16" spans="1:14" ht="15.75" customHeight="1" x14ac:dyDescent="0.2">
      <c r="A16" s="20"/>
      <c r="B16" s="254" t="s">
        <v>136</v>
      </c>
      <c r="C16" s="139"/>
      <c r="D16" s="139"/>
      <c r="E16" s="190"/>
      <c r="F16" s="314" t="e">
        <f>+IF(F14&gt;MIN(J10:K10),"Cumple","No Cumple")</f>
        <v>#N/A</v>
      </c>
      <c r="G16" s="209"/>
      <c r="H16" s="212" t="s">
        <v>115</v>
      </c>
      <c r="J16" s="290">
        <v>1</v>
      </c>
      <c r="K16" s="290">
        <v>3000</v>
      </c>
    </row>
    <row r="17" spans="1:12" ht="15.75" customHeight="1" x14ac:dyDescent="0.2">
      <c r="A17" s="20"/>
      <c r="B17" s="193" t="s">
        <v>112</v>
      </c>
      <c r="F17" s="189">
        <f>+FORMATO!E23</f>
        <v>0</v>
      </c>
      <c r="G17" s="209"/>
      <c r="H17" s="212" t="s">
        <v>115</v>
      </c>
      <c r="J17" s="310">
        <v>1.5</v>
      </c>
      <c r="K17" s="290">
        <v>7500</v>
      </c>
    </row>
    <row r="18" spans="1:12" ht="15.75" customHeight="1" thickBot="1" x14ac:dyDescent="0.25">
      <c r="A18" s="20"/>
      <c r="B18" s="255" t="s">
        <v>113</v>
      </c>
      <c r="C18" s="202"/>
      <c r="D18" s="202"/>
      <c r="E18" s="256"/>
      <c r="F18" s="189">
        <f>+FORMATO!E24</f>
        <v>0</v>
      </c>
      <c r="G18" s="296">
        <f>+F18+$D$5*F18</f>
        <v>0</v>
      </c>
      <c r="H18" s="213" t="s">
        <v>115</v>
      </c>
      <c r="J18" s="290">
        <v>2</v>
      </c>
      <c r="K18" s="290">
        <v>15000</v>
      </c>
    </row>
    <row r="19" spans="1:12" ht="19.2" customHeight="1" x14ac:dyDescent="0.2">
      <c r="A19" s="12"/>
      <c r="B19" s="251" t="s">
        <v>98</v>
      </c>
      <c r="C19" s="252"/>
      <c r="D19" s="252"/>
      <c r="E19" s="252"/>
      <c r="F19" s="189">
        <f>+FORMATO!E25</f>
        <v>0</v>
      </c>
      <c r="G19" s="297">
        <f>+F19+$D$5*F19</f>
        <v>0</v>
      </c>
      <c r="H19" s="298" t="e">
        <f>G19/G21*100</f>
        <v>#DIV/0!</v>
      </c>
      <c r="I19" s="3" t="s">
        <v>125</v>
      </c>
      <c r="J19" s="310">
        <v>2.5</v>
      </c>
      <c r="K19" s="290">
        <v>30000</v>
      </c>
    </row>
    <row r="20" spans="1:12" ht="15.75" customHeight="1" x14ac:dyDescent="0.2">
      <c r="A20" s="12"/>
      <c r="B20" s="214" t="s">
        <v>99</v>
      </c>
      <c r="C20" s="215"/>
      <c r="D20" s="215"/>
      <c r="E20" s="215"/>
      <c r="F20" s="189">
        <f>+FORMATO!E26</f>
        <v>0</v>
      </c>
      <c r="G20" s="221">
        <f>+F20+$D$5*F20</f>
        <v>0</v>
      </c>
      <c r="H20" s="299" t="e">
        <f>G20/G21*100</f>
        <v>#DIV/0!</v>
      </c>
      <c r="I20" s="3" t="s">
        <v>126</v>
      </c>
      <c r="J20" s="290">
        <v>3</v>
      </c>
      <c r="K20" s="290">
        <v>60000</v>
      </c>
    </row>
    <row r="21" spans="1:12" ht="15.75" customHeight="1" thickBot="1" x14ac:dyDescent="0.25">
      <c r="A21" s="12"/>
      <c r="B21" s="216" t="s">
        <v>121</v>
      </c>
      <c r="C21" s="217"/>
      <c r="D21" s="217"/>
      <c r="E21" s="217"/>
      <c r="F21" s="198"/>
      <c r="G21" s="300">
        <f>IF(F10="SI",SUM(G19:G20),G18)</f>
        <v>0</v>
      </c>
      <c r="H21" s="301" t="e">
        <f>IF(F10="SI",SUM(H19:H20),G18/G21*100)</f>
        <v>#DIV/0!</v>
      </c>
      <c r="I21" s="3" t="s">
        <v>33</v>
      </c>
      <c r="J21" s="310">
        <v>3.5</v>
      </c>
      <c r="K21" s="290">
        <v>90000</v>
      </c>
    </row>
    <row r="22" spans="1:12" ht="2.4" customHeight="1" thickBot="1" x14ac:dyDescent="0.25">
      <c r="A22" s="13"/>
    </row>
    <row r="23" spans="1:12" ht="27" customHeight="1" x14ac:dyDescent="0.2">
      <c r="A23" s="20"/>
      <c r="B23" s="497" t="s">
        <v>60</v>
      </c>
      <c r="C23" s="498"/>
      <c r="D23" s="498"/>
      <c r="E23" s="498"/>
      <c r="F23" s="204" t="s">
        <v>63</v>
      </c>
      <c r="G23" s="205" t="s">
        <v>107</v>
      </c>
      <c r="H23" s="204" t="s">
        <v>64</v>
      </c>
      <c r="I23" s="206" t="s">
        <v>107</v>
      </c>
      <c r="K23" s="311"/>
      <c r="L23" s="311" t="e">
        <f>+(F14-F17)/F17*100</f>
        <v>#DIV/0!</v>
      </c>
    </row>
    <row r="24" spans="1:12" ht="15.75" customHeight="1" x14ac:dyDescent="0.2">
      <c r="B24" s="499"/>
      <c r="C24" s="500"/>
      <c r="D24" s="500"/>
      <c r="E24" s="500"/>
      <c r="F24" s="207" t="s">
        <v>118</v>
      </c>
      <c r="G24" s="138"/>
      <c r="H24" s="207" t="s">
        <v>118</v>
      </c>
      <c r="I24" s="201"/>
      <c r="K24" s="311"/>
    </row>
    <row r="25" spans="1:12" ht="15.75" customHeight="1" x14ac:dyDescent="0.2">
      <c r="A25" s="172" t="s">
        <v>0</v>
      </c>
      <c r="B25" s="218" t="s">
        <v>92</v>
      </c>
      <c r="C25" s="219"/>
      <c r="D25" s="219"/>
      <c r="E25" s="219"/>
      <c r="F25" s="220">
        <f>+FORMATO!E33</f>
        <v>0</v>
      </c>
      <c r="G25" s="221">
        <f>+F25+$D$5*F25</f>
        <v>0</v>
      </c>
      <c r="H25" s="220">
        <f>+FORMATO!G33</f>
        <v>0</v>
      </c>
      <c r="I25" s="222">
        <f>+H25+$D$5*H25</f>
        <v>0</v>
      </c>
      <c r="K25" s="312" t="str">
        <f>+IF((F25+F26)=F19,"cumple","no cumple")</f>
        <v>cumple</v>
      </c>
    </row>
    <row r="26" spans="1:12" ht="15.75" customHeight="1" x14ac:dyDescent="0.2">
      <c r="A26" s="172" t="s">
        <v>56</v>
      </c>
      <c r="B26" s="218" t="s">
        <v>93</v>
      </c>
      <c r="C26" s="219"/>
      <c r="D26" s="219"/>
      <c r="E26" s="219"/>
      <c r="F26" s="220">
        <f>+FORMATO!E34</f>
        <v>0</v>
      </c>
      <c r="G26" s="221">
        <f>+F26+$D$5*F26</f>
        <v>0</v>
      </c>
      <c r="H26" s="220">
        <f>+FORMATO!G34</f>
        <v>0</v>
      </c>
      <c r="I26" s="222">
        <f>+H26+$D$5*H26</f>
        <v>0</v>
      </c>
      <c r="K26" s="312" t="str">
        <f>+IF((H25+H26)=F19,"cumple","no cumple")</f>
        <v>cumple</v>
      </c>
      <c r="L26" s="313"/>
    </row>
    <row r="27" spans="1:12" ht="15.75" customHeight="1" thickBot="1" x14ac:dyDescent="0.35">
      <c r="A27" s="172" t="s">
        <v>55</v>
      </c>
      <c r="B27" s="223" t="s">
        <v>94</v>
      </c>
      <c r="C27" s="224"/>
      <c r="D27" s="224"/>
      <c r="E27" s="224"/>
      <c r="F27" s="225"/>
      <c r="G27" s="225" t="e">
        <f>G25/(G25+G26)*100</f>
        <v>#DIV/0!</v>
      </c>
      <c r="H27" s="225"/>
      <c r="I27" s="226" t="e">
        <f>I25/(I25+I26)*100</f>
        <v>#DIV/0!</v>
      </c>
      <c r="J27" s="125" t="s">
        <v>66</v>
      </c>
      <c r="K27" s="311"/>
    </row>
    <row r="28" spans="1:12" ht="2.4" customHeight="1" thickBot="1" x14ac:dyDescent="0.3">
      <c r="A28" s="172"/>
      <c r="B28" s="174"/>
      <c r="C28" s="4"/>
      <c r="D28" s="4"/>
      <c r="E28" s="4"/>
      <c r="F28" s="227"/>
      <c r="G28" s="227"/>
      <c r="H28" s="227"/>
      <c r="I28" s="227"/>
      <c r="K28" s="311"/>
      <c r="L28" s="125"/>
    </row>
    <row r="29" spans="1:12" ht="15.75" customHeight="1" x14ac:dyDescent="0.25">
      <c r="A29" s="172"/>
      <c r="B29" s="228"/>
      <c r="C29" s="229"/>
      <c r="D29" s="229"/>
      <c r="E29" s="229"/>
      <c r="F29" s="208" t="s">
        <v>65</v>
      </c>
      <c r="G29" s="199"/>
      <c r="H29" s="208" t="s">
        <v>65</v>
      </c>
      <c r="I29" s="200" t="s">
        <v>65</v>
      </c>
      <c r="K29" s="311"/>
      <c r="L29" s="125"/>
    </row>
    <row r="30" spans="1:12" ht="15.75" customHeight="1" x14ac:dyDescent="0.25">
      <c r="A30" s="172"/>
      <c r="B30" s="195" t="s">
        <v>119</v>
      </c>
      <c r="C30" s="219"/>
      <c r="D30" s="219"/>
      <c r="E30" s="219"/>
      <c r="F30" s="316">
        <f>+F31+F32</f>
        <v>0</v>
      </c>
      <c r="G30" s="221" t="s">
        <v>115</v>
      </c>
      <c r="H30" s="316">
        <f>+H31+H32</f>
        <v>0</v>
      </c>
      <c r="I30" s="222" t="s">
        <v>115</v>
      </c>
      <c r="K30" s="312" t="str">
        <f>IF(F10="NO","-",IF(F20&gt;=F30,"cumple","no cumple"))</f>
        <v>cumple</v>
      </c>
      <c r="L30" s="125"/>
    </row>
    <row r="31" spans="1:12" ht="15.75" customHeight="1" x14ac:dyDescent="0.25">
      <c r="A31" s="172" t="s">
        <v>122</v>
      </c>
      <c r="B31" s="218" t="s">
        <v>92</v>
      </c>
      <c r="C31" s="219"/>
      <c r="D31" s="219"/>
      <c r="E31" s="219"/>
      <c r="F31" s="220">
        <f>+FORMATO!E38</f>
        <v>0</v>
      </c>
      <c r="G31" s="221">
        <f>+F31+$D$5*F31</f>
        <v>0</v>
      </c>
      <c r="H31" s="220">
        <f>+FORMATO!G38</f>
        <v>0</v>
      </c>
      <c r="I31" s="222">
        <f>+H31+$D$5*H31</f>
        <v>0</v>
      </c>
      <c r="K31" s="312" t="str">
        <f>IF(F10="NO","-",IF(F20&gt;=H30,"cumple","no cumple"))</f>
        <v>cumple</v>
      </c>
      <c r="L31" s="125"/>
    </row>
    <row r="32" spans="1:12" ht="15.75" customHeight="1" x14ac:dyDescent="0.25">
      <c r="A32" s="172" t="s">
        <v>123</v>
      </c>
      <c r="B32" s="218" t="s">
        <v>93</v>
      </c>
      <c r="C32" s="219"/>
      <c r="D32" s="219"/>
      <c r="E32" s="219"/>
      <c r="F32" s="220">
        <f>+FORMATO!E39</f>
        <v>0</v>
      </c>
      <c r="G32" s="221">
        <f>+F32+$D$5*F32</f>
        <v>0</v>
      </c>
      <c r="H32" s="220">
        <f>+FORMATO!G39</f>
        <v>0</v>
      </c>
      <c r="I32" s="222">
        <f>+H32+$D$5*H32</f>
        <v>0</v>
      </c>
      <c r="K32" s="312" t="str">
        <f>IF(F10="NO","-",IF((F31+F32=F30),"cumple","no cumple"))</f>
        <v>cumple</v>
      </c>
      <c r="L32" s="125"/>
    </row>
    <row r="33" spans="1:17" ht="15.75" customHeight="1" thickBot="1" x14ac:dyDescent="0.35">
      <c r="A33" s="172" t="s">
        <v>124</v>
      </c>
      <c r="B33" s="230" t="s">
        <v>94</v>
      </c>
      <c r="C33" s="231"/>
      <c r="D33" s="231"/>
      <c r="E33" s="231"/>
      <c r="F33" s="232"/>
      <c r="G33" s="232" t="e">
        <f>IF(F10="NO","",G31/(G31+G32)*100)</f>
        <v>#DIV/0!</v>
      </c>
      <c r="H33" s="232"/>
      <c r="I33" s="233" t="e">
        <f>IF(F10="NO","",I31/(I31+I32)*100)</f>
        <v>#DIV/0!</v>
      </c>
      <c r="J33" s="125" t="s">
        <v>66</v>
      </c>
      <c r="K33" s="312" t="str">
        <f>IF(F10="NO","-",IF((H31+H32=H30),"cumple","no cumple"))</f>
        <v>cumple</v>
      </c>
    </row>
    <row r="34" spans="1:17" ht="1.95" customHeight="1" thickBot="1" x14ac:dyDescent="0.3">
      <c r="A34" s="172"/>
      <c r="B34" s="174"/>
      <c r="C34" s="4"/>
      <c r="D34" s="4"/>
      <c r="E34" s="4"/>
      <c r="F34" s="227"/>
      <c r="G34" s="227"/>
      <c r="H34" s="227"/>
      <c r="I34" s="227"/>
      <c r="J34" s="125"/>
      <c r="K34" s="311"/>
    </row>
    <row r="35" spans="1:17" ht="15.75" customHeight="1" thickBot="1" x14ac:dyDescent="0.25">
      <c r="B35" s="234" t="s">
        <v>62</v>
      </c>
      <c r="C35" s="235"/>
      <c r="D35" s="235"/>
      <c r="E35" s="235"/>
      <c r="F35" s="236"/>
      <c r="G35" s="236" t="e">
        <f>IF(F10="SI",((G27*H19)+(G33*H20))/100,G27)</f>
        <v>#DIV/0!</v>
      </c>
      <c r="H35" s="236"/>
      <c r="I35" s="237" t="e">
        <f>IF(F10="SI",((I27*H19)+(I33*H20))/100,I27)</f>
        <v>#DIV/0!</v>
      </c>
      <c r="K35" s="311"/>
    </row>
    <row r="36" spans="1:17" ht="15.75" customHeight="1" x14ac:dyDescent="0.25">
      <c r="B36"/>
      <c r="C36"/>
      <c r="D36"/>
      <c r="E36"/>
      <c r="F36"/>
    </row>
    <row r="37" spans="1:17" ht="15.75" customHeight="1" x14ac:dyDescent="0.25">
      <c r="B37"/>
      <c r="C37"/>
      <c r="D37"/>
      <c r="E37"/>
      <c r="F37" s="315"/>
      <c r="G37"/>
      <c r="H37"/>
      <c r="I37"/>
      <c r="J37"/>
      <c r="K37"/>
      <c r="L37"/>
      <c r="Q37"/>
    </row>
    <row r="38" spans="1:17" ht="15.75" customHeight="1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</row>
    <row r="39" spans="1:17" ht="15.75" customHeight="1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 spans="1:17" ht="15.75" customHeight="1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1" spans="1:17" ht="15.75" customHeight="1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 spans="1:17" ht="15.75" customHeight="1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</row>
    <row r="43" spans="1:17" ht="15.75" customHeight="1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pans="1:17" ht="26.25" customHeight="1" x14ac:dyDescent="0.25">
      <c r="A44" s="13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1:17" ht="15.75" customHeight="1" x14ac:dyDescent="0.25">
      <c r="A45" s="132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1:17" ht="15.75" customHeight="1" x14ac:dyDescent="0.25">
      <c r="A46" s="132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 spans="1:17" ht="15.75" customHeight="1" x14ac:dyDescent="0.2">
      <c r="A47" s="132"/>
      <c r="B47" s="12"/>
    </row>
    <row r="48" spans="1:17" x14ac:dyDescent="0.2">
      <c r="A48" s="12"/>
      <c r="B48" s="15"/>
    </row>
    <row r="49" spans="1:1" ht="15.75" customHeight="1" x14ac:dyDescent="0.2">
      <c r="A49" s="12"/>
    </row>
    <row r="50" spans="1:1" ht="15.75" customHeight="1" x14ac:dyDescent="0.2">
      <c r="A50" s="12"/>
    </row>
    <row r="51" spans="1:1" ht="15.75" customHeight="1" x14ac:dyDescent="0.2"/>
    <row r="52" spans="1:1" ht="15.75" customHeight="1" x14ac:dyDescent="0.2"/>
    <row r="53" spans="1:1" ht="30.75" customHeight="1" x14ac:dyDescent="0.2">
      <c r="A53" s="137"/>
    </row>
    <row r="54" spans="1:1" ht="15.9" customHeight="1" x14ac:dyDescent="0.2"/>
    <row r="55" spans="1:1" ht="15.9" customHeight="1" x14ac:dyDescent="0.2"/>
  </sheetData>
  <sheetProtection algorithmName="SHA-512" hashValue="ewagBQqn/Xzn7ySst9yx6s55kq4YMK1x3ftsloJzI+0fVefNU0qQnodZ0GI6DbzIed5et9GMJpeKu+m/W2lekw==" saltValue="lit/0IiOkwjhWG3wMX1kiw==" spinCount="100000" sheet="1" objects="1" scenarios="1"/>
  <mergeCells count="5">
    <mergeCell ref="B3:E3"/>
    <mergeCell ref="B1:I1"/>
    <mergeCell ref="B23:E24"/>
    <mergeCell ref="B12:H12"/>
    <mergeCell ref="J8:K8"/>
  </mergeCells>
  <conditionalFormatting sqref="F16">
    <cfRule type="containsText" dxfId="0" priority="1" operator="containsText" text="no">
      <formula>NOT(ISERROR(SEARCH("no",F16)))</formula>
    </cfRule>
  </conditionalFormatting>
  <dataValidations disablePrompts="1" count="4">
    <dataValidation type="list" allowBlank="1" showInputMessage="1" showErrorMessage="1" sqref="G4" xr:uid="{AF6E666D-1529-40EA-A4DD-27246A00C86E}">
      <formula1>"-, IVAN, DEYVI, BEATRIZ"</formula1>
    </dataValidation>
    <dataValidation type="list" allowBlank="1" showInputMessage="1" showErrorMessage="1" sqref="F8" xr:uid="{198A707A-0DAD-4F73-8543-D71DF37BC3AA}">
      <formula1>"Masa, Recuanto"</formula1>
    </dataValidation>
    <dataValidation type="list" allowBlank="1" showInputMessage="1" showErrorMessage="1" sqref="F10" xr:uid="{D4F16F84-588E-4FAB-B0A9-C46C1FFD73D9}">
      <formula1>"-,SI,NO"</formula1>
    </dataValidation>
    <dataValidation type="list" allowBlank="1" showInputMessage="1" showErrorMessage="1" sqref="F11" xr:uid="{E1D81C44-DAC6-4042-92E5-205334C034C4}">
      <formula1>"No 4, '1/2, '3/8"</formula1>
    </dataValidation>
  </dataValidations>
  <printOptions horizontalCentered="1"/>
  <pageMargins left="0" right="0" top="0.31496062992125984" bottom="0" header="0.11811023622047245" footer="0"/>
  <pageSetup paperSize="9" scale="88" orientation="portrait" r:id="rId1"/>
  <headerFooter scaleWithDoc="0">
    <oddHeader>&amp;C&amp;G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8DB7-1C49-4A0F-A63B-DF8F444EB7A7}">
  <dimension ref="A1:Z92"/>
  <sheetViews>
    <sheetView topLeftCell="A73" zoomScale="80" zoomScaleNormal="80" workbookViewId="0">
      <selection activeCell="J84" sqref="J84"/>
    </sheetView>
  </sheetViews>
  <sheetFormatPr baseColWidth="10" defaultColWidth="11.44140625" defaultRowHeight="13.2" x14ac:dyDescent="0.25"/>
  <cols>
    <col min="1" max="1" width="25.44140625" style="23" customWidth="1"/>
    <col min="2" max="2" width="9.44140625" style="23" customWidth="1"/>
    <col min="3" max="3" width="13.109375" style="23" customWidth="1"/>
    <col min="4" max="4" width="13.33203125" style="23" customWidth="1"/>
    <col min="5" max="5" width="12.5546875" style="23" customWidth="1"/>
    <col min="6" max="6" width="14.5546875" style="23" customWidth="1"/>
    <col min="7" max="7" width="12.109375" style="23" customWidth="1"/>
    <col min="8" max="8" width="14.33203125" style="23" customWidth="1"/>
    <col min="9" max="9" width="8.88671875" style="23" customWidth="1"/>
    <col min="10" max="10" width="14.44140625" style="23" customWidth="1"/>
    <col min="11" max="11" width="16" style="23" customWidth="1"/>
    <col min="12" max="12" width="12.88671875" style="23" customWidth="1"/>
    <col min="13" max="13" width="13.6640625" style="23" customWidth="1"/>
    <col min="14" max="14" width="12.109375" style="23" customWidth="1"/>
    <col min="15" max="15" width="10.109375" style="23" customWidth="1"/>
    <col min="16" max="16" width="14.88671875" style="23" customWidth="1"/>
    <col min="17" max="17" width="16" style="23" customWidth="1"/>
    <col min="18" max="18" width="12.88671875" style="23" customWidth="1"/>
    <col min="19" max="19" width="11.44140625" style="23"/>
    <col min="20" max="20" width="13.88671875" style="23" customWidth="1"/>
    <col min="21" max="21" width="10.109375" style="23" customWidth="1"/>
    <col min="22" max="22" width="12.33203125" style="23" customWidth="1"/>
    <col min="23" max="23" width="16.5546875" style="23" customWidth="1"/>
    <col min="24" max="24" width="12.88671875" style="23" customWidth="1"/>
    <col min="25" max="25" width="12.5546875" style="23" customWidth="1"/>
    <col min="26" max="26" width="12" style="23" customWidth="1"/>
    <col min="27" max="16384" width="11.44140625" style="23"/>
  </cols>
  <sheetData>
    <row r="1" spans="1:10" ht="12.75" customHeight="1" x14ac:dyDescent="0.25">
      <c r="A1" s="504"/>
      <c r="B1" s="505"/>
      <c r="C1" s="510" t="s">
        <v>8</v>
      </c>
      <c r="D1" s="511"/>
      <c r="E1" s="511"/>
      <c r="F1" s="511"/>
      <c r="G1" s="511"/>
      <c r="H1" s="512"/>
      <c r="I1" s="22" t="s">
        <v>9</v>
      </c>
      <c r="J1" s="22" t="s">
        <v>10</v>
      </c>
    </row>
    <row r="2" spans="1:10" ht="12.75" customHeight="1" x14ac:dyDescent="0.25">
      <c r="A2" s="506"/>
      <c r="B2" s="507"/>
      <c r="C2" s="513"/>
      <c r="D2" s="514"/>
      <c r="E2" s="514"/>
      <c r="F2" s="514"/>
      <c r="G2" s="514"/>
      <c r="H2" s="515"/>
      <c r="I2" s="22" t="s">
        <v>11</v>
      </c>
      <c r="J2" s="24">
        <v>3</v>
      </c>
    </row>
    <row r="3" spans="1:10" ht="12.75" customHeight="1" x14ac:dyDescent="0.25">
      <c r="A3" s="506"/>
      <c r="B3" s="507"/>
      <c r="C3" s="513"/>
      <c r="D3" s="514"/>
      <c r="E3" s="514"/>
      <c r="F3" s="514"/>
      <c r="G3" s="514"/>
      <c r="H3" s="515"/>
      <c r="I3" s="22" t="s">
        <v>12</v>
      </c>
      <c r="J3" s="431">
        <v>46146</v>
      </c>
    </row>
    <row r="4" spans="1:10" ht="12.75" customHeight="1" x14ac:dyDescent="0.25">
      <c r="A4" s="508"/>
      <c r="B4" s="509"/>
      <c r="C4" s="516"/>
      <c r="D4" s="517"/>
      <c r="E4" s="517"/>
      <c r="F4" s="517"/>
      <c r="G4" s="517"/>
      <c r="H4" s="518"/>
      <c r="I4" s="22" t="s">
        <v>13</v>
      </c>
      <c r="J4" s="22" t="s">
        <v>14</v>
      </c>
    </row>
    <row r="6" spans="1:10" ht="16.2" customHeight="1" x14ac:dyDescent="0.25">
      <c r="A6" s="25" t="s">
        <v>15</v>
      </c>
      <c r="B6" s="519" t="s">
        <v>144</v>
      </c>
      <c r="C6" s="520"/>
      <c r="D6" s="520"/>
      <c r="E6" s="520"/>
      <c r="F6" s="520"/>
      <c r="G6" s="520"/>
      <c r="H6" s="520"/>
      <c r="I6" s="520"/>
      <c r="J6" s="521"/>
    </row>
    <row r="7" spans="1:10" ht="16.2" customHeight="1" x14ac:dyDescent="0.25">
      <c r="A7" s="25" t="s">
        <v>16</v>
      </c>
      <c r="B7" s="26" t="s">
        <v>145</v>
      </c>
      <c r="C7" s="27"/>
      <c r="D7" s="27"/>
      <c r="E7" s="27"/>
      <c r="F7" s="28"/>
      <c r="G7" s="28"/>
      <c r="H7" s="28"/>
      <c r="I7" s="28"/>
      <c r="J7" s="29"/>
    </row>
    <row r="8" spans="1:10" ht="16.2" customHeight="1" x14ac:dyDescent="0.25">
      <c r="A8" s="25" t="s">
        <v>17</v>
      </c>
      <c r="B8" s="26" t="s">
        <v>18</v>
      </c>
      <c r="C8" s="27"/>
      <c r="D8" s="27"/>
      <c r="E8" s="27"/>
      <c r="F8" s="28"/>
      <c r="G8" s="28"/>
      <c r="H8" s="28"/>
      <c r="I8" s="28"/>
      <c r="J8" s="29"/>
    </row>
    <row r="9" spans="1:10" ht="16.2" customHeight="1" x14ac:dyDescent="0.25">
      <c r="A9" s="30" t="s">
        <v>206</v>
      </c>
      <c r="B9" s="26" t="s">
        <v>117</v>
      </c>
      <c r="C9" s="27"/>
      <c r="D9" s="27"/>
      <c r="E9" s="27"/>
      <c r="F9" s="28"/>
      <c r="G9" s="28"/>
      <c r="H9" s="28"/>
      <c r="I9" s="28"/>
      <c r="J9" s="29"/>
    </row>
    <row r="11" spans="1:10" ht="15" customHeight="1" x14ac:dyDescent="0.25">
      <c r="A11" s="31" t="s">
        <v>207</v>
      </c>
      <c r="B11" s="32"/>
      <c r="C11" s="32"/>
      <c r="D11" s="32"/>
      <c r="E11" s="32"/>
      <c r="F11" s="32"/>
      <c r="G11" s="31" t="s">
        <v>21</v>
      </c>
      <c r="H11" s="32"/>
    </row>
    <row r="12" spans="1:10" ht="7.5" customHeight="1" x14ac:dyDescent="0.25">
      <c r="A12" s="31"/>
      <c r="B12" s="32"/>
      <c r="C12" s="32"/>
      <c r="D12" s="32"/>
      <c r="E12" s="32"/>
      <c r="F12" s="32"/>
      <c r="G12" s="32"/>
      <c r="H12" s="32"/>
    </row>
    <row r="13" spans="1:10" ht="15" customHeight="1" x14ac:dyDescent="0.25">
      <c r="A13" s="33" t="s">
        <v>19</v>
      </c>
      <c r="B13" s="32"/>
      <c r="C13" s="32"/>
      <c r="D13" s="33" t="s">
        <v>20</v>
      </c>
      <c r="E13" s="32"/>
      <c r="G13" s="32"/>
      <c r="H13" s="32"/>
    </row>
    <row r="14" spans="1:10" ht="9" customHeight="1" x14ac:dyDescent="0.25">
      <c r="A14" s="32"/>
      <c r="B14" s="32"/>
      <c r="C14" s="32"/>
      <c r="D14" s="32"/>
      <c r="E14" s="32"/>
      <c r="F14" s="32"/>
      <c r="G14" s="32"/>
      <c r="H14" s="32"/>
    </row>
    <row r="15" spans="1:10" ht="15" customHeight="1" x14ac:dyDescent="0.25">
      <c r="A15" s="34"/>
      <c r="B15" s="32"/>
      <c r="C15" s="32"/>
      <c r="D15" s="32"/>
      <c r="E15" s="32"/>
      <c r="F15" s="32"/>
      <c r="G15" s="32"/>
      <c r="H15" s="32"/>
    </row>
    <row r="16" spans="1:10" ht="15" customHeight="1" x14ac:dyDescent="0.25">
      <c r="A16" s="34" t="s">
        <v>131</v>
      </c>
      <c r="B16" s="32"/>
      <c r="C16" s="32"/>
      <c r="D16" s="32"/>
      <c r="E16" s="32"/>
      <c r="F16" s="32"/>
      <c r="G16" s="35"/>
      <c r="H16" s="32"/>
    </row>
    <row r="17" spans="1:26" ht="11.25" customHeight="1" x14ac:dyDescent="0.25">
      <c r="A17" s="34" t="s">
        <v>132</v>
      </c>
      <c r="C17" s="32"/>
      <c r="D17" s="32"/>
      <c r="E17" s="32"/>
      <c r="F17" s="32"/>
      <c r="G17" s="32"/>
      <c r="H17" s="32"/>
    </row>
    <row r="18" spans="1:26" ht="15" customHeight="1" x14ac:dyDescent="0.25">
      <c r="A18" s="34"/>
      <c r="B18" s="32"/>
      <c r="C18" s="32"/>
      <c r="D18" s="32"/>
      <c r="E18" s="32"/>
      <c r="F18" s="32"/>
      <c r="G18" s="32"/>
      <c r="H18" s="32"/>
    </row>
    <row r="19" spans="1:26" ht="15" customHeight="1" x14ac:dyDescent="0.25">
      <c r="A19" s="34"/>
      <c r="B19" s="32"/>
      <c r="C19" s="32"/>
      <c r="D19" s="32"/>
      <c r="E19" s="32"/>
      <c r="F19" s="32"/>
      <c r="G19" s="32"/>
      <c r="H19" s="32"/>
    </row>
    <row r="20" spans="1:26" ht="15" customHeight="1" x14ac:dyDescent="0.25">
      <c r="A20" s="33" t="s">
        <v>22</v>
      </c>
      <c r="B20" s="32"/>
      <c r="C20" s="32"/>
      <c r="D20" s="32"/>
      <c r="E20" s="32"/>
      <c r="F20" s="32"/>
      <c r="G20" s="36"/>
      <c r="H20" s="32"/>
    </row>
    <row r="21" spans="1:26" x14ac:dyDescent="0.25">
      <c r="A21" s="32"/>
      <c r="B21" s="32"/>
      <c r="C21" s="32"/>
      <c r="D21" s="32"/>
      <c r="E21" s="32"/>
      <c r="F21" s="32"/>
      <c r="G21" s="32"/>
      <c r="H21" s="32"/>
    </row>
    <row r="22" spans="1:26" ht="15" customHeight="1" x14ac:dyDescent="0.25">
      <c r="A22" s="37" t="s">
        <v>133</v>
      </c>
      <c r="B22" s="32"/>
      <c r="C22" s="32"/>
      <c r="D22" s="32"/>
      <c r="E22" s="32"/>
      <c r="F22" s="32"/>
      <c r="G22" s="36"/>
      <c r="H22" s="32"/>
    </row>
    <row r="23" spans="1:26" x14ac:dyDescent="0.25">
      <c r="A23" s="32"/>
      <c r="B23" s="32"/>
      <c r="C23" s="32"/>
      <c r="D23" s="32"/>
      <c r="E23" s="32"/>
      <c r="F23" s="32"/>
      <c r="G23" s="32"/>
      <c r="H23" s="32"/>
    </row>
    <row r="24" spans="1:26" ht="21" customHeight="1" x14ac:dyDescent="0.25">
      <c r="A24" s="38" t="s">
        <v>208</v>
      </c>
      <c r="B24" s="39"/>
      <c r="C24" s="39"/>
      <c r="D24" s="40"/>
      <c r="E24" s="39"/>
      <c r="F24" s="39"/>
      <c r="G24" s="39"/>
      <c r="H24" s="39"/>
      <c r="I24" s="41"/>
      <c r="J24" s="41"/>
    </row>
    <row r="25" spans="1:26" ht="37.5" customHeight="1" x14ac:dyDescent="0.25">
      <c r="A25" s="42" t="s">
        <v>23</v>
      </c>
      <c r="B25" s="43" t="s">
        <v>24</v>
      </c>
      <c r="C25" s="42" t="s">
        <v>25</v>
      </c>
      <c r="D25" s="43" t="s">
        <v>26</v>
      </c>
      <c r="E25" s="43" t="s">
        <v>27</v>
      </c>
      <c r="F25" s="43" t="s">
        <v>28</v>
      </c>
      <c r="G25" s="43" t="s">
        <v>29</v>
      </c>
      <c r="H25" s="43" t="s">
        <v>30</v>
      </c>
      <c r="I25" s="122" t="str">
        <f>+Datos!F10</f>
        <v>-</v>
      </c>
      <c r="J25" s="45"/>
      <c r="K25" s="45"/>
      <c r="L25" s="45"/>
      <c r="M25" s="45"/>
      <c r="N25" s="45"/>
      <c r="O25" s="44"/>
      <c r="P25" s="45"/>
      <c r="Q25" s="45"/>
      <c r="R25" s="45"/>
      <c r="S25" s="45"/>
      <c r="T25" s="45"/>
      <c r="U25" s="44"/>
      <c r="V25" s="45"/>
      <c r="W25" s="45"/>
      <c r="X25" s="45"/>
      <c r="Y25" s="45"/>
      <c r="Z25" s="45"/>
    </row>
    <row r="26" spans="1:26" s="53" customFormat="1" ht="21.75" customHeight="1" x14ac:dyDescent="0.2">
      <c r="A26" s="46" t="s">
        <v>129</v>
      </c>
      <c r="B26" s="47"/>
      <c r="C26" s="48" t="e">
        <f>IF(I25="SI",(C36*C27/(C36+C40)+C45*C31/(C45+C49))/(C27+C31)*100,C36/(C36+C40)*100)</f>
        <v>#DIV/0!</v>
      </c>
      <c r="D26" s="49" t="s">
        <v>31</v>
      </c>
      <c r="E26" s="49" t="s">
        <v>31</v>
      </c>
      <c r="F26" s="49" t="s">
        <v>31</v>
      </c>
      <c r="G26" s="49" t="s">
        <v>31</v>
      </c>
      <c r="H26" s="49" t="s">
        <v>31</v>
      </c>
      <c r="I26" s="50"/>
      <c r="J26" s="522" t="s">
        <v>34</v>
      </c>
      <c r="K26" s="522"/>
      <c r="L26" s="284" t="s">
        <v>35</v>
      </c>
      <c r="M26" s="57" t="s">
        <v>36</v>
      </c>
      <c r="N26" s="51"/>
      <c r="O26" s="51"/>
      <c r="P26" s="51"/>
      <c r="Q26" s="51"/>
      <c r="R26" s="51"/>
      <c r="S26" s="52"/>
      <c r="T26" s="52"/>
      <c r="U26" s="50"/>
      <c r="V26" s="52"/>
      <c r="W26" s="52"/>
      <c r="X26" s="52"/>
      <c r="Y26" s="52"/>
      <c r="Z26" s="52"/>
    </row>
    <row r="27" spans="1:26" s="53" customFormat="1" ht="21.75" customHeight="1" x14ac:dyDescent="0.2">
      <c r="A27" s="287" t="s">
        <v>98</v>
      </c>
      <c r="B27" s="274"/>
      <c r="C27" s="271">
        <f>+Datos!$G$19</f>
        <v>0</v>
      </c>
      <c r="D27" s="272" t="s">
        <v>31</v>
      </c>
      <c r="E27" s="54" t="s">
        <v>31</v>
      </c>
      <c r="F27" s="55">
        <f>SQRT((F28*F28)+(F29*F29)+(F30*F30))</f>
        <v>7.0663521942607221E-2</v>
      </c>
      <c r="G27" s="286">
        <f>IF(I25="SI",((C36*C31/(C36+C40)/(C27+C31)^2)-(C45*C31/(C45+C49)/(C27+C31)^2))*-1,0)</f>
        <v>0</v>
      </c>
      <c r="H27" s="286">
        <f>+G27*F27</f>
        <v>0</v>
      </c>
      <c r="I27" s="303" t="s">
        <v>125</v>
      </c>
      <c r="J27" s="525" t="str">
        <f>+A27</f>
        <v xml:space="preserve">Masa de la muestra &gt; 3/8 (g), </v>
      </c>
      <c r="K27" s="526"/>
      <c r="L27" s="282">
        <f>+H27</f>
        <v>0</v>
      </c>
      <c r="M27" s="68" t="e">
        <f>+L27/$L$34</f>
        <v>#DIV/0!</v>
      </c>
      <c r="N27" s="51"/>
      <c r="O27" s="51"/>
      <c r="P27" s="51"/>
      <c r="Q27" s="51"/>
      <c r="R27" s="51"/>
      <c r="S27" s="52"/>
      <c r="T27" s="52"/>
      <c r="U27" s="50"/>
      <c r="V27" s="52"/>
      <c r="W27" s="52"/>
      <c r="X27" s="52"/>
      <c r="Y27" s="52"/>
      <c r="Z27" s="52"/>
    </row>
    <row r="28" spans="1:26" s="53" customFormat="1" ht="21.75" customHeight="1" x14ac:dyDescent="0.2">
      <c r="A28" s="21" t="s">
        <v>37</v>
      </c>
      <c r="B28" s="290" t="s">
        <v>32</v>
      </c>
      <c r="C28" s="62"/>
      <c r="D28" s="279">
        <f>+balanza!E25</f>
        <v>0</v>
      </c>
      <c r="E28" s="63" t="s">
        <v>38</v>
      </c>
      <c r="F28" s="64">
        <f>+D28</f>
        <v>0</v>
      </c>
      <c r="G28" s="65" t="s">
        <v>31</v>
      </c>
      <c r="H28" s="66" t="s">
        <v>31</v>
      </c>
      <c r="I28" s="50"/>
      <c r="J28" s="527" t="str">
        <f>+A31</f>
        <v xml:space="preserve">Masa de la muestra &lt; 3/8 (g), </v>
      </c>
      <c r="K28" s="528"/>
      <c r="L28" s="283">
        <f>+H31</f>
        <v>0</v>
      </c>
      <c r="M28" s="74" t="e">
        <f>+L28/$L$34</f>
        <v>#DIV/0!</v>
      </c>
      <c r="N28" s="51"/>
      <c r="O28" s="51"/>
      <c r="P28" s="51"/>
      <c r="Q28" s="51"/>
      <c r="R28" s="51"/>
      <c r="S28" s="52"/>
      <c r="T28" s="52"/>
      <c r="U28" s="50"/>
      <c r="V28" s="52"/>
      <c r="W28" s="52"/>
      <c r="X28" s="52"/>
      <c r="Y28" s="52"/>
      <c r="Z28" s="52"/>
    </row>
    <row r="29" spans="1:26" s="53" customFormat="1" ht="21.75" customHeight="1" x14ac:dyDescent="0.2">
      <c r="A29" s="21" t="s">
        <v>39</v>
      </c>
      <c r="B29" s="290" t="s">
        <v>32</v>
      </c>
      <c r="C29" s="62"/>
      <c r="D29" s="280">
        <f>2*(SQRT(balanza!$C$8+balanza!$D$8*(POWER(C27,2))))</f>
        <v>0.12899612397277679</v>
      </c>
      <c r="E29" s="63" t="s">
        <v>40</v>
      </c>
      <c r="F29" s="64">
        <f>+D29/2</f>
        <v>6.4498061986388397E-2</v>
      </c>
      <c r="G29" s="65" t="s">
        <v>31</v>
      </c>
      <c r="H29" s="66" t="s">
        <v>31</v>
      </c>
      <c r="I29" s="50"/>
      <c r="J29" s="529" t="str">
        <f>+A36</f>
        <v>Masa particulas Fracturadas (g)</v>
      </c>
      <c r="K29" s="530"/>
      <c r="L29" s="283" t="e">
        <f>+H36</f>
        <v>#DIV/0!</v>
      </c>
      <c r="M29" s="74" t="e">
        <f t="shared" ref="M29:M33" si="0">+L29/$L$34</f>
        <v>#DIV/0!</v>
      </c>
      <c r="N29" s="51"/>
      <c r="O29" s="51"/>
      <c r="P29" s="51"/>
      <c r="Q29" s="51"/>
      <c r="R29" s="51"/>
      <c r="S29" s="52"/>
      <c r="T29" s="52"/>
      <c r="U29" s="50"/>
      <c r="V29" s="52"/>
      <c r="W29" s="52"/>
      <c r="X29" s="52"/>
      <c r="Y29" s="52"/>
      <c r="Z29" s="52"/>
    </row>
    <row r="30" spans="1:26" s="53" customFormat="1" ht="21.75" customHeight="1" x14ac:dyDescent="0.2">
      <c r="A30" s="21" t="s">
        <v>41</v>
      </c>
      <c r="B30" s="290" t="s">
        <v>32</v>
      </c>
      <c r="C30" s="62"/>
      <c r="D30" s="281">
        <f>+balanza!$C$10</f>
        <v>0.1</v>
      </c>
      <c r="E30" s="76" t="s">
        <v>42</v>
      </c>
      <c r="F30" s="64">
        <f>+D30/SQRT(3)/2</f>
        <v>2.8867513459481291E-2</v>
      </c>
      <c r="G30" s="65" t="s">
        <v>31</v>
      </c>
      <c r="H30" s="66" t="s">
        <v>31</v>
      </c>
      <c r="I30" s="50"/>
      <c r="J30" s="531" t="str">
        <f>+A40</f>
        <v>Masa particulas que no cumplen el criterio especificado (g)</v>
      </c>
      <c r="K30" s="532"/>
      <c r="L30" s="283" t="e">
        <f>+H40</f>
        <v>#DIV/0!</v>
      </c>
      <c r="M30" s="74" t="e">
        <f t="shared" si="0"/>
        <v>#DIV/0!</v>
      </c>
      <c r="N30" s="51"/>
      <c r="O30" s="51"/>
      <c r="P30" s="51"/>
      <c r="Q30" s="51"/>
      <c r="R30" s="51"/>
      <c r="S30" s="52"/>
      <c r="T30" s="52"/>
      <c r="U30" s="50"/>
      <c r="V30" s="52"/>
      <c r="W30" s="52"/>
      <c r="X30" s="52"/>
      <c r="Y30" s="52"/>
      <c r="Z30" s="52"/>
    </row>
    <row r="31" spans="1:26" s="53" customFormat="1" ht="21.75" customHeight="1" x14ac:dyDescent="0.2">
      <c r="A31" s="287" t="s">
        <v>99</v>
      </c>
      <c r="B31" s="291"/>
      <c r="C31" s="271">
        <f>+Datos!$F$20</f>
        <v>0</v>
      </c>
      <c r="D31" s="272" t="s">
        <v>31</v>
      </c>
      <c r="E31" s="54" t="s">
        <v>31</v>
      </c>
      <c r="F31" s="55">
        <f>SQRT((F32*F32)+(F33*F33)+(F34*F34))</f>
        <v>7.0663521942607221E-2</v>
      </c>
      <c r="G31" s="286">
        <f>IF(I25="SI",(-C36*C27/(C36+C40)/(C27+C31)^2)+(C45*C27/(C45+C49)/(C27+C31)^2),0)</f>
        <v>0</v>
      </c>
      <c r="H31" s="286">
        <f>+G31*F31</f>
        <v>0</v>
      </c>
      <c r="I31" s="303" t="s">
        <v>126</v>
      </c>
      <c r="J31" s="527" t="str">
        <f>+A45</f>
        <v>Masa particulas Fracturadas (g)</v>
      </c>
      <c r="K31" s="528"/>
      <c r="L31" s="283">
        <f>+H45</f>
        <v>0</v>
      </c>
      <c r="M31" s="74" t="e">
        <f t="shared" si="0"/>
        <v>#DIV/0!</v>
      </c>
      <c r="N31" s="51"/>
      <c r="O31" s="51"/>
      <c r="P31" s="51"/>
      <c r="Q31" s="51"/>
      <c r="R31" s="51"/>
      <c r="S31" s="52"/>
      <c r="T31" s="52"/>
      <c r="U31" s="50"/>
      <c r="V31" s="52"/>
      <c r="W31" s="52"/>
      <c r="X31" s="52"/>
      <c r="Y31" s="52"/>
      <c r="Z31" s="52"/>
    </row>
    <row r="32" spans="1:26" s="53" customFormat="1" ht="21.75" customHeight="1" x14ac:dyDescent="0.2">
      <c r="A32" s="21" t="s">
        <v>37</v>
      </c>
      <c r="B32" s="290" t="s">
        <v>32</v>
      </c>
      <c r="C32" s="62"/>
      <c r="D32" s="279">
        <f>+balanza!E26</f>
        <v>0</v>
      </c>
      <c r="E32" s="63" t="s">
        <v>38</v>
      </c>
      <c r="F32" s="64">
        <f>+D32</f>
        <v>0</v>
      </c>
      <c r="G32" s="65" t="s">
        <v>31</v>
      </c>
      <c r="H32" s="66" t="s">
        <v>31</v>
      </c>
      <c r="I32" s="50"/>
      <c r="J32" s="533" t="str">
        <f>+A49</f>
        <v>Masa particulas que no cumplen el criterio especificado (g)</v>
      </c>
      <c r="K32" s="534"/>
      <c r="L32" s="283">
        <f>+H49</f>
        <v>0</v>
      </c>
      <c r="M32" s="74" t="e">
        <f t="shared" si="0"/>
        <v>#DIV/0!</v>
      </c>
      <c r="N32" s="51"/>
      <c r="O32" s="51"/>
      <c r="P32" s="51"/>
      <c r="Q32" s="51"/>
      <c r="R32" s="51"/>
      <c r="S32" s="52"/>
      <c r="T32" s="52"/>
      <c r="U32" s="50"/>
      <c r="V32" s="52"/>
      <c r="W32" s="52"/>
      <c r="X32" s="52"/>
      <c r="Y32" s="52"/>
      <c r="Z32" s="52"/>
    </row>
    <row r="33" spans="1:26" s="53" customFormat="1" ht="21.75" customHeight="1" x14ac:dyDescent="0.2">
      <c r="A33" s="21" t="s">
        <v>39</v>
      </c>
      <c r="B33" s="290" t="s">
        <v>32</v>
      </c>
      <c r="C33" s="62"/>
      <c r="D33" s="280">
        <f>2*(SQRT(balanza!$C$8+balanza!$D$8*(POWER(C31,2))))</f>
        <v>0.12899612397277679</v>
      </c>
      <c r="E33" s="63" t="s">
        <v>40</v>
      </c>
      <c r="F33" s="64">
        <f>+D33/2</f>
        <v>6.4498061986388397E-2</v>
      </c>
      <c r="G33" s="65" t="s">
        <v>31</v>
      </c>
      <c r="H33" s="66" t="s">
        <v>31</v>
      </c>
      <c r="I33" s="50"/>
      <c r="J33" s="523" t="str">
        <f>+A53</f>
        <v xml:space="preserve">factor de presición </v>
      </c>
      <c r="K33" s="524"/>
      <c r="L33" s="283">
        <f>+H53</f>
        <v>0.1709624577086255</v>
      </c>
      <c r="M33" s="74" t="e">
        <f t="shared" si="0"/>
        <v>#DIV/0!</v>
      </c>
      <c r="N33" s="51"/>
      <c r="O33" s="51"/>
      <c r="P33" s="51"/>
      <c r="Q33" s="51"/>
      <c r="R33" s="51"/>
      <c r="S33" s="52"/>
      <c r="T33" s="52"/>
      <c r="U33" s="50"/>
      <c r="V33" s="52"/>
      <c r="W33" s="52"/>
      <c r="X33" s="52"/>
      <c r="Y33" s="52"/>
      <c r="Z33" s="52"/>
    </row>
    <row r="34" spans="1:26" s="53" customFormat="1" ht="21.75" customHeight="1" x14ac:dyDescent="0.25">
      <c r="A34" s="21" t="s">
        <v>41</v>
      </c>
      <c r="B34" s="290" t="s">
        <v>32</v>
      </c>
      <c r="C34" s="62"/>
      <c r="D34" s="281">
        <f>+balanza!$C$10</f>
        <v>0.1</v>
      </c>
      <c r="E34" s="76" t="s">
        <v>42</v>
      </c>
      <c r="F34" s="64">
        <f>+D34/SQRT(3)/2</f>
        <v>2.8867513459481291E-2</v>
      </c>
      <c r="G34" s="65" t="s">
        <v>31</v>
      </c>
      <c r="H34" s="66" t="s">
        <v>31</v>
      </c>
      <c r="I34" s="50"/>
      <c r="J34" s="285"/>
      <c r="K34" s="85"/>
      <c r="L34" s="86" t="e">
        <f>SUM(L27:L33)</f>
        <v>#DIV/0!</v>
      </c>
      <c r="M34" s="87" t="e">
        <f>+L34/$L$34</f>
        <v>#DIV/0!</v>
      </c>
      <c r="N34" s="51"/>
      <c r="O34" s="51"/>
      <c r="P34" s="51"/>
      <c r="Q34" s="51"/>
      <c r="R34" s="51"/>
      <c r="S34" s="52"/>
      <c r="T34" s="52"/>
      <c r="U34" s="50"/>
      <c r="V34" s="52"/>
      <c r="W34" s="52"/>
      <c r="X34" s="52"/>
      <c r="Y34" s="52"/>
      <c r="Z34" s="52"/>
    </row>
    <row r="35" spans="1:26" s="53" customFormat="1" ht="21.75" customHeight="1" x14ac:dyDescent="0.2">
      <c r="A35" s="207" t="s">
        <v>118</v>
      </c>
      <c r="B35" s="292"/>
      <c r="C35" s="48"/>
      <c r="D35" s="49"/>
      <c r="E35" s="49"/>
      <c r="F35" s="49"/>
      <c r="G35" s="49"/>
      <c r="H35" s="49"/>
      <c r="I35" s="50"/>
      <c r="J35" s="45"/>
      <c r="N35" s="51"/>
      <c r="O35" s="51"/>
      <c r="P35" s="51"/>
      <c r="Q35" s="51"/>
      <c r="R35" s="51"/>
      <c r="S35" s="52"/>
      <c r="T35" s="52"/>
      <c r="U35" s="50"/>
      <c r="V35" s="52"/>
      <c r="W35" s="52"/>
      <c r="X35" s="52"/>
      <c r="Y35" s="52"/>
      <c r="Z35" s="52"/>
    </row>
    <row r="36" spans="1:26" s="53" customFormat="1" ht="21.75" customHeight="1" x14ac:dyDescent="0.2">
      <c r="A36" s="288" t="s">
        <v>92</v>
      </c>
      <c r="B36" s="270"/>
      <c r="C36" s="271">
        <f>+Datos!$F$25</f>
        <v>0</v>
      </c>
      <c r="D36" s="272" t="s">
        <v>31</v>
      </c>
      <c r="E36" s="54" t="s">
        <v>31</v>
      </c>
      <c r="F36" s="55">
        <f>SQRT((F37*F37)+(F38*F38)+(F39*F39))</f>
        <v>7.0663521942607221E-2</v>
      </c>
      <c r="G36" s="286" t="e">
        <f>IF(I25="SI",C27*C40/(C27+C31)/(C36+C40)^2,C40*100/(C36+C40)^2)</f>
        <v>#DIV/0!</v>
      </c>
      <c r="H36" s="286" t="e">
        <f>+G36*F36</f>
        <v>#DIV/0!</v>
      </c>
      <c r="I36" s="303" t="s">
        <v>0</v>
      </c>
      <c r="N36" s="51"/>
      <c r="O36" s="51"/>
      <c r="P36" s="51"/>
      <c r="Q36" s="51"/>
      <c r="R36" s="51"/>
      <c r="S36" s="52"/>
      <c r="T36" s="52"/>
      <c r="U36" s="50"/>
      <c r="V36" s="52"/>
      <c r="W36" s="52"/>
      <c r="X36" s="52"/>
      <c r="Y36" s="52"/>
      <c r="Z36" s="52"/>
    </row>
    <row r="37" spans="1:26" s="53" customFormat="1" ht="21.75" customHeight="1" x14ac:dyDescent="0.2">
      <c r="A37" s="21" t="s">
        <v>37</v>
      </c>
      <c r="B37" s="290" t="s">
        <v>32</v>
      </c>
      <c r="C37" s="62"/>
      <c r="D37" s="279">
        <f>+balanza!E27</f>
        <v>0</v>
      </c>
      <c r="E37" s="63" t="s">
        <v>38</v>
      </c>
      <c r="F37" s="64">
        <f>+D37</f>
        <v>0</v>
      </c>
      <c r="G37" s="65" t="s">
        <v>31</v>
      </c>
      <c r="H37" s="66" t="s">
        <v>31</v>
      </c>
      <c r="I37" s="50"/>
      <c r="N37" s="51"/>
      <c r="O37" s="51"/>
      <c r="P37" s="51"/>
      <c r="Q37" s="51"/>
      <c r="R37" s="51"/>
      <c r="S37" s="52"/>
      <c r="T37" s="52"/>
      <c r="U37" s="50"/>
      <c r="V37" s="52"/>
      <c r="W37" s="52"/>
      <c r="X37" s="52"/>
      <c r="Y37" s="52"/>
      <c r="Z37" s="52"/>
    </row>
    <row r="38" spans="1:26" s="53" customFormat="1" ht="21.75" customHeight="1" x14ac:dyDescent="0.2">
      <c r="A38" s="21" t="s">
        <v>39</v>
      </c>
      <c r="B38" s="290" t="s">
        <v>32</v>
      </c>
      <c r="C38" s="62"/>
      <c r="D38" s="280">
        <f>2*(SQRT(balanza!$C$8+balanza!$D$8*(POWER(C36,2))))</f>
        <v>0.12899612397277679</v>
      </c>
      <c r="E38" s="63" t="s">
        <v>40</v>
      </c>
      <c r="F38" s="64">
        <f>+D38/2</f>
        <v>6.4498061986388397E-2</v>
      </c>
      <c r="G38" s="65" t="s">
        <v>31</v>
      </c>
      <c r="H38" s="66" t="s">
        <v>31</v>
      </c>
      <c r="I38" s="50"/>
      <c r="N38" s="51"/>
      <c r="O38" s="51"/>
      <c r="P38" s="51"/>
      <c r="Q38" s="51"/>
      <c r="R38" s="51"/>
      <c r="S38" s="52"/>
      <c r="T38" s="52"/>
      <c r="U38" s="50"/>
      <c r="V38" s="52"/>
      <c r="W38" s="52"/>
      <c r="X38" s="52"/>
      <c r="Y38" s="52"/>
      <c r="Z38" s="52"/>
    </row>
    <row r="39" spans="1:26" s="53" customFormat="1" ht="21.75" customHeight="1" x14ac:dyDescent="0.2">
      <c r="A39" s="21" t="s">
        <v>41</v>
      </c>
      <c r="B39" s="290" t="s">
        <v>32</v>
      </c>
      <c r="C39" s="62"/>
      <c r="D39" s="281">
        <f>+balanza!$C$10</f>
        <v>0.1</v>
      </c>
      <c r="E39" s="76" t="s">
        <v>42</v>
      </c>
      <c r="F39" s="64">
        <f>+D39/SQRT(3)/2</f>
        <v>2.8867513459481291E-2</v>
      </c>
      <c r="G39" s="65" t="s">
        <v>31</v>
      </c>
      <c r="H39" s="66" t="s">
        <v>31</v>
      </c>
      <c r="I39" s="50"/>
      <c r="N39" s="51"/>
      <c r="O39" s="51"/>
      <c r="P39" s="51"/>
      <c r="Q39" s="51"/>
      <c r="R39" s="51"/>
      <c r="S39" s="52"/>
      <c r="T39" s="52"/>
      <c r="U39" s="50"/>
      <c r="V39" s="52"/>
      <c r="W39" s="52"/>
      <c r="X39" s="52"/>
      <c r="Y39" s="52"/>
      <c r="Z39" s="52"/>
    </row>
    <row r="40" spans="1:26" s="53" customFormat="1" ht="21.75" customHeight="1" x14ac:dyDescent="0.2">
      <c r="A40" s="289" t="s">
        <v>93</v>
      </c>
      <c r="B40" s="270"/>
      <c r="C40" s="271">
        <f>+Datos!$F$26</f>
        <v>0</v>
      </c>
      <c r="D40" s="79"/>
      <c r="E40" s="80" t="s">
        <v>31</v>
      </c>
      <c r="F40" s="55">
        <f>SQRT((F41*F41)+(F42*F42)+(F43*F43))</f>
        <v>7.0663521942607221E-2</v>
      </c>
      <c r="G40" s="286" t="e">
        <f>IF(I25="SI",C27*C36/(C27+C31)/(C36+C40)^2,C36*100/(C36+C40)^2)</f>
        <v>#DIV/0!</v>
      </c>
      <c r="H40" s="286" t="e">
        <f>+G40*F40</f>
        <v>#DIV/0!</v>
      </c>
      <c r="I40" s="303" t="s">
        <v>56</v>
      </c>
      <c r="N40" s="51"/>
      <c r="O40" s="51"/>
      <c r="P40" s="51"/>
      <c r="Q40" s="51"/>
      <c r="R40" s="51"/>
      <c r="S40" s="52"/>
      <c r="T40" s="52"/>
      <c r="U40" s="50"/>
      <c r="V40" s="52"/>
      <c r="W40" s="52"/>
      <c r="X40" s="52"/>
      <c r="Y40" s="52"/>
      <c r="Z40" s="52"/>
    </row>
    <row r="41" spans="1:26" s="53" customFormat="1" ht="21.75" customHeight="1" x14ac:dyDescent="0.2">
      <c r="A41" s="21" t="s">
        <v>37</v>
      </c>
      <c r="B41" s="290" t="s">
        <v>32</v>
      </c>
      <c r="C41" s="62"/>
      <c r="D41" s="279">
        <f>+balanza!E28</f>
        <v>0</v>
      </c>
      <c r="E41" s="63" t="s">
        <v>38</v>
      </c>
      <c r="F41" s="64">
        <f>+D41</f>
        <v>0</v>
      </c>
      <c r="G41" s="65" t="s">
        <v>31</v>
      </c>
      <c r="H41" s="66" t="s">
        <v>31</v>
      </c>
      <c r="I41" s="50"/>
      <c r="N41" s="51"/>
      <c r="O41" s="51"/>
      <c r="P41" s="51"/>
      <c r="Q41" s="51"/>
      <c r="R41" s="51"/>
      <c r="S41" s="52"/>
      <c r="T41" s="52"/>
      <c r="U41" s="50"/>
      <c r="V41" s="52"/>
      <c r="W41" s="52"/>
      <c r="X41" s="52"/>
      <c r="Y41" s="52"/>
      <c r="Z41" s="52"/>
    </row>
    <row r="42" spans="1:26" s="53" customFormat="1" ht="21.75" customHeight="1" x14ac:dyDescent="0.2">
      <c r="A42" s="21" t="s">
        <v>39</v>
      </c>
      <c r="B42" s="290" t="s">
        <v>32</v>
      </c>
      <c r="C42" s="62"/>
      <c r="D42" s="280">
        <f>2*(SQRT(balanza!$C$8+balanza!$D$8*(POWER(C40,2))))</f>
        <v>0.12899612397277679</v>
      </c>
      <c r="E42" s="63" t="s">
        <v>40</v>
      </c>
      <c r="F42" s="64">
        <f>+D42/2</f>
        <v>6.4498061986388397E-2</v>
      </c>
      <c r="G42" s="65" t="s">
        <v>31</v>
      </c>
      <c r="H42" s="66" t="s">
        <v>31</v>
      </c>
      <c r="I42" s="50"/>
      <c r="J42" s="45"/>
      <c r="K42" s="45"/>
      <c r="L42" s="45"/>
      <c r="M42" s="45"/>
      <c r="N42" s="51"/>
      <c r="O42" s="51"/>
      <c r="P42" s="51"/>
      <c r="Q42" s="51"/>
      <c r="R42" s="51"/>
      <c r="S42" s="52"/>
      <c r="T42" s="52"/>
      <c r="U42" s="50"/>
      <c r="V42" s="52"/>
      <c r="W42" s="52"/>
      <c r="X42" s="52"/>
      <c r="Y42" s="52"/>
      <c r="Z42" s="52"/>
    </row>
    <row r="43" spans="1:26" s="53" customFormat="1" ht="21.75" customHeight="1" x14ac:dyDescent="0.2">
      <c r="A43" s="21" t="s">
        <v>41</v>
      </c>
      <c r="B43" s="290" t="s">
        <v>32</v>
      </c>
      <c r="C43" s="62"/>
      <c r="D43" s="281">
        <f>+balanza!$C$10</f>
        <v>0.1</v>
      </c>
      <c r="E43" s="76" t="s">
        <v>42</v>
      </c>
      <c r="F43" s="64">
        <f>+D43/SQRT(3)/2</f>
        <v>2.8867513459481291E-2</v>
      </c>
      <c r="G43" s="65" t="s">
        <v>31</v>
      </c>
      <c r="H43" s="66" t="s">
        <v>31</v>
      </c>
      <c r="I43" s="50"/>
      <c r="J43" s="45"/>
      <c r="K43" s="45"/>
      <c r="L43" s="45"/>
      <c r="M43" s="45"/>
      <c r="N43" s="51"/>
      <c r="O43" s="51"/>
      <c r="P43" s="51"/>
      <c r="Q43" s="51"/>
      <c r="R43" s="51"/>
      <c r="S43" s="52"/>
      <c r="T43" s="52"/>
      <c r="U43" s="50"/>
      <c r="V43" s="52"/>
      <c r="W43" s="52"/>
      <c r="X43" s="52"/>
      <c r="Y43" s="52"/>
      <c r="Z43" s="52"/>
    </row>
    <row r="44" spans="1:26" s="53" customFormat="1" ht="21.75" customHeight="1" x14ac:dyDescent="0.2">
      <c r="A44" s="207" t="s">
        <v>65</v>
      </c>
      <c r="B44" s="292"/>
      <c r="C44" s="48"/>
      <c r="D44" s="49"/>
      <c r="E44" s="49"/>
      <c r="F44" s="49"/>
      <c r="G44" s="49"/>
      <c r="H44" s="49"/>
      <c r="I44" s="50"/>
      <c r="J44" s="45"/>
      <c r="K44" s="45"/>
      <c r="L44" s="45"/>
      <c r="M44" s="45"/>
      <c r="N44" s="51"/>
      <c r="O44" s="51"/>
      <c r="P44" s="51"/>
      <c r="Q44" s="51"/>
      <c r="R44" s="51"/>
      <c r="S44" s="52"/>
      <c r="T44" s="52"/>
      <c r="U44" s="50"/>
      <c r="V44" s="52"/>
      <c r="W44" s="52"/>
      <c r="X44" s="52"/>
      <c r="Y44" s="52"/>
      <c r="Z44" s="52"/>
    </row>
    <row r="45" spans="1:26" s="53" customFormat="1" ht="21.75" customHeight="1" x14ac:dyDescent="0.2">
      <c r="A45" s="269" t="s">
        <v>92</v>
      </c>
      <c r="B45" s="270"/>
      <c r="C45" s="271">
        <f>+Datos!$F$31</f>
        <v>0</v>
      </c>
      <c r="D45" s="272" t="s">
        <v>31</v>
      </c>
      <c r="E45" s="54" t="s">
        <v>31</v>
      </c>
      <c r="F45" s="55">
        <f>SQRT((F46*F46)+(F47*F47)+(F48*F48))</f>
        <v>7.0663521942607221E-2</v>
      </c>
      <c r="G45" s="286">
        <f>IF(I25="SI",C31*C45/(C27+C31)/(C45+C49)^2,0)</f>
        <v>0</v>
      </c>
      <c r="H45" s="286">
        <f>+G45*F45</f>
        <v>0</v>
      </c>
      <c r="I45" s="303" t="s">
        <v>122</v>
      </c>
      <c r="J45" s="45"/>
      <c r="K45" s="45"/>
      <c r="L45" s="45"/>
      <c r="M45" s="45"/>
      <c r="N45" s="51"/>
      <c r="O45" s="51"/>
      <c r="P45" s="51"/>
      <c r="Q45" s="51"/>
      <c r="R45" s="51"/>
      <c r="S45" s="52"/>
      <c r="T45" s="52"/>
      <c r="U45" s="50"/>
      <c r="V45" s="52"/>
      <c r="W45" s="52"/>
      <c r="X45" s="52"/>
      <c r="Y45" s="52"/>
      <c r="Z45" s="52"/>
    </row>
    <row r="46" spans="1:26" s="53" customFormat="1" ht="21.75" customHeight="1" x14ac:dyDescent="0.2">
      <c r="A46" s="21" t="s">
        <v>37</v>
      </c>
      <c r="B46" s="290" t="s">
        <v>32</v>
      </c>
      <c r="C46" s="62"/>
      <c r="D46" s="279">
        <f>+balanza!E29</f>
        <v>0</v>
      </c>
      <c r="E46" s="63" t="s">
        <v>38</v>
      </c>
      <c r="F46" s="64">
        <f>+D46</f>
        <v>0</v>
      </c>
      <c r="G46" s="65" t="s">
        <v>31</v>
      </c>
      <c r="H46" s="66" t="s">
        <v>31</v>
      </c>
      <c r="I46" s="50"/>
      <c r="J46" s="45"/>
      <c r="K46" s="45"/>
      <c r="L46" s="45"/>
      <c r="M46" s="45"/>
      <c r="N46" s="51"/>
      <c r="O46" s="51"/>
      <c r="P46" s="51"/>
      <c r="Q46" s="51"/>
      <c r="R46" s="51"/>
      <c r="S46" s="52"/>
      <c r="T46" s="52"/>
      <c r="U46" s="50"/>
      <c r="V46" s="52"/>
      <c r="W46" s="52"/>
      <c r="X46" s="52"/>
      <c r="Y46" s="52"/>
      <c r="Z46" s="52"/>
    </row>
    <row r="47" spans="1:26" s="53" customFormat="1" ht="21.75" customHeight="1" x14ac:dyDescent="0.2">
      <c r="A47" s="21" t="s">
        <v>39</v>
      </c>
      <c r="B47" s="290" t="s">
        <v>32</v>
      </c>
      <c r="C47" s="62"/>
      <c r="D47" s="280">
        <f>2*(SQRT(balanza!$C$8+balanza!$D$8*(POWER(C45,2))))</f>
        <v>0.12899612397277679</v>
      </c>
      <c r="E47" s="63" t="s">
        <v>40</v>
      </c>
      <c r="F47" s="64">
        <f>+D47/2</f>
        <v>6.4498061986388397E-2</v>
      </c>
      <c r="G47" s="65" t="s">
        <v>31</v>
      </c>
      <c r="H47" s="66" t="s">
        <v>31</v>
      </c>
      <c r="I47" s="50"/>
      <c r="J47" s="45"/>
      <c r="K47" s="45"/>
      <c r="L47" s="45"/>
      <c r="M47" s="45"/>
      <c r="N47" s="51"/>
      <c r="O47" s="51"/>
      <c r="P47" s="51"/>
      <c r="Q47" s="51"/>
      <c r="R47" s="51"/>
      <c r="S47" s="52"/>
      <c r="T47" s="52"/>
      <c r="U47" s="50"/>
      <c r="V47" s="52"/>
      <c r="W47" s="52"/>
      <c r="X47" s="52"/>
      <c r="Y47" s="52"/>
      <c r="Z47" s="52"/>
    </row>
    <row r="48" spans="1:26" s="53" customFormat="1" ht="21.75" customHeight="1" x14ac:dyDescent="0.2">
      <c r="A48" s="21" t="s">
        <v>41</v>
      </c>
      <c r="B48" s="290" t="s">
        <v>32</v>
      </c>
      <c r="C48" s="62"/>
      <c r="D48" s="281">
        <f>+balanza!$C$10</f>
        <v>0.1</v>
      </c>
      <c r="E48" s="76" t="s">
        <v>42</v>
      </c>
      <c r="F48" s="64">
        <f>+D48/SQRT(3)/2</f>
        <v>2.8867513459481291E-2</v>
      </c>
      <c r="G48" s="65" t="s">
        <v>31</v>
      </c>
      <c r="H48" s="66" t="s">
        <v>31</v>
      </c>
      <c r="I48" s="50"/>
      <c r="J48" s="45"/>
      <c r="K48" s="45"/>
      <c r="L48" s="45"/>
      <c r="M48" s="45"/>
      <c r="N48" s="51"/>
      <c r="O48" s="51"/>
      <c r="P48" s="51"/>
      <c r="Q48" s="51"/>
      <c r="R48" s="51"/>
      <c r="S48" s="52"/>
      <c r="T48" s="52"/>
      <c r="U48" s="50"/>
      <c r="V48" s="52"/>
      <c r="W48" s="52"/>
      <c r="X48" s="52"/>
      <c r="Y48" s="52"/>
      <c r="Z48" s="52"/>
    </row>
    <row r="49" spans="1:26" s="53" customFormat="1" ht="21.75" customHeight="1" x14ac:dyDescent="0.2">
      <c r="A49" s="273" t="s">
        <v>93</v>
      </c>
      <c r="B49" s="270"/>
      <c r="C49" s="271">
        <f>+Datos!$F$32</f>
        <v>0</v>
      </c>
      <c r="D49" s="272" t="s">
        <v>31</v>
      </c>
      <c r="E49" s="54" t="s">
        <v>31</v>
      </c>
      <c r="F49" s="55">
        <f>SQRT((F50*F50)+(F51*F51)+(F52*F52))</f>
        <v>7.0663521942607221E-2</v>
      </c>
      <c r="G49" s="286">
        <f>IF(I25="SI",C31*C45/(C27+C31)/(C45+C49)^2,0)</f>
        <v>0</v>
      </c>
      <c r="H49" s="286">
        <f>+G49*F49</f>
        <v>0</v>
      </c>
      <c r="I49" s="303" t="s">
        <v>123</v>
      </c>
      <c r="J49" s="45"/>
      <c r="K49" s="45"/>
      <c r="L49" s="45"/>
      <c r="M49" s="45"/>
      <c r="N49" s="51"/>
      <c r="O49" s="51"/>
      <c r="P49" s="51"/>
      <c r="Q49" s="51"/>
      <c r="R49" s="51"/>
      <c r="S49" s="52"/>
      <c r="T49" s="52"/>
      <c r="U49" s="50"/>
      <c r="V49" s="52"/>
      <c r="W49" s="52"/>
      <c r="X49" s="52"/>
      <c r="Y49" s="52"/>
      <c r="Z49" s="52"/>
    </row>
    <row r="50" spans="1:26" s="53" customFormat="1" ht="21.75" customHeight="1" x14ac:dyDescent="0.2">
      <c r="A50" s="21" t="s">
        <v>37</v>
      </c>
      <c r="B50" s="290" t="s">
        <v>32</v>
      </c>
      <c r="C50" s="62"/>
      <c r="D50" s="279">
        <f>+balanza!E30</f>
        <v>0</v>
      </c>
      <c r="E50" s="63" t="s">
        <v>38</v>
      </c>
      <c r="F50" s="64">
        <f>+D50</f>
        <v>0</v>
      </c>
      <c r="G50" s="65" t="s">
        <v>31</v>
      </c>
      <c r="H50" s="66" t="s">
        <v>31</v>
      </c>
      <c r="I50" s="50"/>
      <c r="J50" s="45"/>
      <c r="K50" s="45"/>
      <c r="L50" s="45"/>
      <c r="M50" s="45"/>
      <c r="N50" s="51"/>
      <c r="O50" s="51"/>
      <c r="P50" s="51"/>
      <c r="Q50" s="51"/>
      <c r="R50" s="51"/>
      <c r="S50" s="52"/>
      <c r="T50" s="52"/>
      <c r="U50" s="50"/>
      <c r="V50" s="52"/>
      <c r="W50" s="52"/>
      <c r="X50" s="52"/>
      <c r="Y50" s="52"/>
      <c r="Z50" s="52"/>
    </row>
    <row r="51" spans="1:26" s="53" customFormat="1" ht="21.75" customHeight="1" x14ac:dyDescent="0.2">
      <c r="A51" s="21" t="s">
        <v>39</v>
      </c>
      <c r="B51" s="290" t="s">
        <v>32</v>
      </c>
      <c r="C51" s="62"/>
      <c r="D51" s="280">
        <f>2*(SQRT(balanza!$C$8+balanza!$D$8*(POWER(C49,2))))</f>
        <v>0.12899612397277679</v>
      </c>
      <c r="E51" s="63" t="s">
        <v>40</v>
      </c>
      <c r="F51" s="64">
        <f>+D51/2</f>
        <v>6.4498061986388397E-2</v>
      </c>
      <c r="G51" s="65" t="s">
        <v>31</v>
      </c>
      <c r="H51" s="66" t="s">
        <v>31</v>
      </c>
      <c r="I51" s="50"/>
      <c r="J51" s="45"/>
      <c r="K51" s="45"/>
      <c r="L51" s="45"/>
      <c r="M51" s="45"/>
      <c r="N51" s="51"/>
      <c r="O51" s="51"/>
      <c r="P51" s="51"/>
      <c r="Q51" s="51"/>
      <c r="R51" s="51"/>
      <c r="S51" s="52"/>
      <c r="T51" s="52"/>
      <c r="U51" s="50"/>
      <c r="V51" s="52"/>
      <c r="W51" s="52"/>
      <c r="X51" s="52"/>
      <c r="Y51" s="52"/>
      <c r="Z51" s="52"/>
    </row>
    <row r="52" spans="1:26" s="53" customFormat="1" ht="21.75" customHeight="1" x14ac:dyDescent="0.2">
      <c r="A52" s="21" t="s">
        <v>41</v>
      </c>
      <c r="B52" s="290" t="s">
        <v>32</v>
      </c>
      <c r="C52" s="62"/>
      <c r="D52" s="281">
        <f>+balanza!$C$10</f>
        <v>0.1</v>
      </c>
      <c r="E52" s="76" t="s">
        <v>42</v>
      </c>
      <c r="F52" s="64">
        <f>+D52/SQRT(3)/2</f>
        <v>2.8867513459481291E-2</v>
      </c>
      <c r="G52" s="65" t="s">
        <v>31</v>
      </c>
      <c r="H52" s="66" t="s">
        <v>31</v>
      </c>
      <c r="I52" s="50"/>
      <c r="J52" s="45"/>
      <c r="K52" s="45"/>
      <c r="L52" s="45"/>
      <c r="M52" s="45"/>
      <c r="N52" s="51"/>
      <c r="O52" s="51"/>
      <c r="P52" s="51"/>
      <c r="Q52" s="51"/>
      <c r="R52" s="51"/>
      <c r="S52" s="52"/>
      <c r="T52" s="52"/>
      <c r="U52" s="50"/>
      <c r="V52" s="52"/>
      <c r="W52" s="52"/>
      <c r="X52" s="52"/>
      <c r="Y52" s="52"/>
      <c r="Z52" s="52"/>
    </row>
    <row r="53" spans="1:26" s="53" customFormat="1" ht="21.75" customHeight="1" x14ac:dyDescent="0.2">
      <c r="A53" s="88" t="s">
        <v>43</v>
      </c>
      <c r="B53" s="293" t="s">
        <v>36</v>
      </c>
      <c r="C53" s="89">
        <f>+precision!B7</f>
        <v>0.1709624577086255</v>
      </c>
      <c r="D53" s="90"/>
      <c r="E53" s="91" t="s">
        <v>44</v>
      </c>
      <c r="F53" s="81">
        <f>C53/SQRT(1)</f>
        <v>0.1709624577086255</v>
      </c>
      <c r="G53" s="92">
        <v>1</v>
      </c>
      <c r="H53" s="81">
        <f>+F53*G53</f>
        <v>0.1709624577086255</v>
      </c>
      <c r="I53" s="56"/>
      <c r="J53" s="45"/>
      <c r="K53" s="45"/>
      <c r="L53" s="45"/>
      <c r="M53" s="45"/>
      <c r="N53" s="51"/>
      <c r="O53" s="51"/>
      <c r="P53" s="51"/>
      <c r="Q53" s="51"/>
      <c r="R53" s="51"/>
      <c r="S53" s="58"/>
      <c r="T53" s="58"/>
      <c r="U53" s="59"/>
      <c r="V53" s="60"/>
      <c r="W53" s="58"/>
      <c r="X53" s="61"/>
      <c r="Y53" s="58"/>
      <c r="Z53" s="58"/>
    </row>
    <row r="54" spans="1:26" s="53" customFormat="1" ht="21.75" customHeight="1" x14ac:dyDescent="0.25">
      <c r="A54" s="95" t="s">
        <v>45</v>
      </c>
      <c r="B54" s="96"/>
      <c r="C54" s="97"/>
      <c r="D54" s="97"/>
      <c r="E54" s="98"/>
      <c r="F54" s="97"/>
      <c r="G54" s="99" t="s">
        <v>36</v>
      </c>
      <c r="H54" s="100" t="e">
        <f>SQRT(H27^2+H31^2+H36^2+H40^2+H45^2+H49^2+H53^2)</f>
        <v>#DIV/0!</v>
      </c>
      <c r="I54" s="67"/>
      <c r="J54" s="45"/>
      <c r="K54" s="45"/>
      <c r="L54" s="45"/>
      <c r="M54" s="45"/>
      <c r="N54" s="51"/>
      <c r="O54" s="51"/>
      <c r="P54" s="51"/>
      <c r="Q54" s="51"/>
      <c r="R54" s="51"/>
      <c r="S54" s="69"/>
      <c r="T54" s="70"/>
      <c r="V54" s="71"/>
      <c r="W54" s="72"/>
      <c r="X54" s="73"/>
      <c r="Y54" s="69"/>
      <c r="Z54" s="70"/>
    </row>
    <row r="55" spans="1:26" s="53" customFormat="1" ht="21.75" customHeight="1" x14ac:dyDescent="0.2">
      <c r="A55" s="95" t="s">
        <v>46</v>
      </c>
      <c r="B55" s="104"/>
      <c r="C55" s="104"/>
      <c r="D55" s="96"/>
      <c r="E55" s="104"/>
      <c r="F55" s="96"/>
      <c r="G55" s="105" t="s">
        <v>36</v>
      </c>
      <c r="H55" s="294" t="e">
        <f>+H54*2</f>
        <v>#DIV/0!</v>
      </c>
      <c r="I55" s="67"/>
      <c r="J55" s="45"/>
      <c r="K55" s="45"/>
      <c r="L55" s="45"/>
      <c r="M55" s="45"/>
      <c r="N55" s="51"/>
      <c r="O55" s="51"/>
      <c r="P55" s="51"/>
      <c r="Q55" s="51"/>
      <c r="R55" s="51"/>
      <c r="S55" s="69"/>
      <c r="T55" s="70"/>
      <c r="V55" s="75"/>
      <c r="W55" s="72"/>
      <c r="X55" s="73"/>
      <c r="Y55" s="69"/>
      <c r="Z55" s="70"/>
    </row>
    <row r="56" spans="1:26" s="53" customFormat="1" ht="21.75" customHeight="1" x14ac:dyDescent="0.2">
      <c r="I56" s="67"/>
      <c r="J56" s="45"/>
      <c r="K56" s="45"/>
      <c r="L56" s="45"/>
      <c r="M56" s="45"/>
      <c r="N56" s="51"/>
      <c r="O56" s="51"/>
      <c r="P56" s="51"/>
      <c r="Q56" s="51"/>
      <c r="R56" s="51"/>
      <c r="S56" s="69"/>
      <c r="T56" s="70"/>
      <c r="V56" s="77"/>
      <c r="W56" s="78"/>
      <c r="X56" s="73"/>
      <c r="Y56" s="69"/>
      <c r="Z56" s="70"/>
    </row>
    <row r="57" spans="1:26" s="53" customFormat="1" ht="27" customHeight="1" x14ac:dyDescent="0.25">
      <c r="A57" s="42" t="s">
        <v>23</v>
      </c>
      <c r="B57" s="43" t="s">
        <v>24</v>
      </c>
      <c r="C57" s="42" t="s">
        <v>25</v>
      </c>
      <c r="D57" s="43" t="s">
        <v>26</v>
      </c>
      <c r="E57" s="43" t="s">
        <v>27</v>
      </c>
      <c r="F57" s="43" t="s">
        <v>28</v>
      </c>
      <c r="G57" s="43" t="s">
        <v>29</v>
      </c>
      <c r="H57" s="43" t="s">
        <v>30</v>
      </c>
      <c r="I57" s="122" t="str">
        <f>+Datos!F10</f>
        <v>-</v>
      </c>
      <c r="J57" s="45"/>
      <c r="K57" s="45"/>
      <c r="L57" s="45"/>
      <c r="M57" s="45"/>
      <c r="N57" s="23"/>
      <c r="O57" s="23"/>
      <c r="P57" s="23"/>
      <c r="Q57" s="23"/>
      <c r="R57" s="23"/>
      <c r="S57" s="82"/>
      <c r="T57" s="73"/>
      <c r="U57" s="59"/>
      <c r="V57" s="83"/>
      <c r="W57" s="84"/>
      <c r="X57" s="61"/>
      <c r="Y57" s="82"/>
      <c r="Z57" s="73"/>
    </row>
    <row r="58" spans="1:26" s="53" customFormat="1" ht="27" customHeight="1" x14ac:dyDescent="0.2">
      <c r="A58" s="46" t="s">
        <v>130</v>
      </c>
      <c r="B58" s="47"/>
      <c r="C58" s="48" t="e">
        <f>IF(I25="SI",(C68*C59/(C68+C72)+C77*C63/(C77+C81))/(C59+C63)*100,C68/(C68+C72)*100)</f>
        <v>#DIV/0!</v>
      </c>
      <c r="D58" s="49" t="s">
        <v>31</v>
      </c>
      <c r="E58" s="49" t="s">
        <v>31</v>
      </c>
      <c r="F58" s="49" t="s">
        <v>31</v>
      </c>
      <c r="G58" s="49" t="s">
        <v>31</v>
      </c>
      <c r="H58" s="49" t="s">
        <v>31</v>
      </c>
      <c r="I58" s="50"/>
      <c r="J58" s="522" t="s">
        <v>34</v>
      </c>
      <c r="K58" s="522"/>
      <c r="L58" s="284" t="s">
        <v>35</v>
      </c>
      <c r="M58" s="57" t="s">
        <v>36</v>
      </c>
      <c r="N58" s="70"/>
      <c r="P58" s="71"/>
      <c r="Q58" s="72"/>
      <c r="R58" s="73"/>
      <c r="S58" s="69"/>
      <c r="T58" s="70"/>
      <c r="V58" s="71"/>
      <c r="W58" s="72"/>
      <c r="X58" s="73"/>
      <c r="Y58" s="69"/>
      <c r="Z58" s="70"/>
    </row>
    <row r="59" spans="1:26" s="53" customFormat="1" ht="21.75" customHeight="1" x14ac:dyDescent="0.2">
      <c r="A59" s="287" t="s">
        <v>98</v>
      </c>
      <c r="B59" s="274"/>
      <c r="C59" s="271">
        <f>+Datos!$G$19</f>
        <v>0</v>
      </c>
      <c r="D59" s="272" t="s">
        <v>31</v>
      </c>
      <c r="E59" s="54" t="s">
        <v>31</v>
      </c>
      <c r="F59" s="55">
        <f>SQRT((F60*F60)+(F61*F61)+(F62*F62))</f>
        <v>7.0663521942607221E-2</v>
      </c>
      <c r="G59" s="286">
        <f>IF(I57="SI",((C68*C63/(C68+C72)/(C59+C63)^2)-(C77*C63/(C77+C81)/(C59+C63)^2))*-1,0)</f>
        <v>0</v>
      </c>
      <c r="H59" s="286">
        <f>+G59*F59</f>
        <v>0</v>
      </c>
      <c r="I59" s="303" t="s">
        <v>125</v>
      </c>
      <c r="J59" s="535" t="str">
        <f>+A59</f>
        <v xml:space="preserve">Masa de la muestra &gt; 3/8 (g), </v>
      </c>
      <c r="K59" s="526"/>
      <c r="L59" s="282">
        <f>+H59</f>
        <v>0</v>
      </c>
      <c r="M59" s="68" t="e">
        <f>+L59/$L$66</f>
        <v>#DIV/0!</v>
      </c>
      <c r="N59" s="70"/>
      <c r="P59" s="75"/>
      <c r="Q59" s="72"/>
      <c r="R59" s="73"/>
      <c r="S59" s="69"/>
      <c r="T59" s="70"/>
      <c r="V59" s="75"/>
      <c r="W59" s="72"/>
      <c r="X59" s="73"/>
      <c r="Y59" s="69"/>
      <c r="Z59" s="70"/>
    </row>
    <row r="60" spans="1:26" s="53" customFormat="1" ht="21.75" customHeight="1" x14ac:dyDescent="0.2">
      <c r="A60" s="21" t="s">
        <v>37</v>
      </c>
      <c r="B60" s="290" t="s">
        <v>32</v>
      </c>
      <c r="C60" s="62"/>
      <c r="D60" s="279">
        <f>+balanza!E25</f>
        <v>0</v>
      </c>
      <c r="E60" s="63" t="s">
        <v>38</v>
      </c>
      <c r="F60" s="64">
        <f>+D60</f>
        <v>0</v>
      </c>
      <c r="G60" s="65" t="s">
        <v>31</v>
      </c>
      <c r="H60" s="66" t="s">
        <v>31</v>
      </c>
      <c r="I60" s="50"/>
      <c r="J60" s="527" t="str">
        <f>+A63</f>
        <v xml:space="preserve">Masa de la muestra &lt; 3/8 (g), </v>
      </c>
      <c r="K60" s="528"/>
      <c r="L60" s="283">
        <f>+H63</f>
        <v>0</v>
      </c>
      <c r="M60" s="74" t="e">
        <f>+L60/$L$66</f>
        <v>#DIV/0!</v>
      </c>
      <c r="N60" s="70"/>
      <c r="P60" s="77"/>
      <c r="Q60" s="78"/>
      <c r="R60" s="73"/>
      <c r="S60" s="69"/>
      <c r="T60" s="70"/>
      <c r="V60" s="77"/>
      <c r="W60" s="78"/>
      <c r="X60" s="73"/>
      <c r="Y60" s="69"/>
      <c r="Z60" s="70"/>
    </row>
    <row r="61" spans="1:26" s="53" customFormat="1" ht="21.75" customHeight="1" x14ac:dyDescent="0.2">
      <c r="A61" s="21" t="s">
        <v>39</v>
      </c>
      <c r="B61" s="290" t="s">
        <v>32</v>
      </c>
      <c r="C61" s="62"/>
      <c r="D61" s="280">
        <f>2*(SQRT(balanza!$C$8+balanza!$D$8*(POWER(C59,2))))</f>
        <v>0.12899612397277679</v>
      </c>
      <c r="E61" s="63" t="s">
        <v>40</v>
      </c>
      <c r="F61" s="64">
        <f>+D61/2</f>
        <v>6.4498061986388397E-2</v>
      </c>
      <c r="G61" s="65" t="s">
        <v>31</v>
      </c>
      <c r="H61" s="66" t="s">
        <v>31</v>
      </c>
      <c r="I61" s="50"/>
      <c r="J61" s="529" t="str">
        <f>+A68</f>
        <v>Masa particulas Fracturadas (g)</v>
      </c>
      <c r="K61" s="530"/>
      <c r="L61" s="283" t="e">
        <f>+H68</f>
        <v>#DIV/0!</v>
      </c>
      <c r="M61" s="74" t="e">
        <f t="shared" ref="M61:M65" si="1">+L61/$L$66</f>
        <v>#DIV/0!</v>
      </c>
      <c r="N61" s="73"/>
      <c r="O61" s="71"/>
      <c r="P61" s="93"/>
      <c r="Q61" s="72"/>
      <c r="R61" s="73"/>
      <c r="S61" s="94"/>
      <c r="T61" s="73"/>
      <c r="U61" s="71"/>
      <c r="V61" s="93"/>
      <c r="W61" s="72"/>
      <c r="X61" s="73"/>
      <c r="Y61" s="94"/>
      <c r="Z61" s="73"/>
    </row>
    <row r="62" spans="1:26" s="53" customFormat="1" ht="21.75" customHeight="1" x14ac:dyDescent="0.2">
      <c r="A62" s="21" t="s">
        <v>41</v>
      </c>
      <c r="B62" s="290" t="s">
        <v>32</v>
      </c>
      <c r="C62" s="62"/>
      <c r="D62" s="281">
        <f>+balanza!$C$10</f>
        <v>0.1</v>
      </c>
      <c r="E62" s="76" t="s">
        <v>42</v>
      </c>
      <c r="F62" s="64">
        <f>+D62/SQRT(3)/2</f>
        <v>2.8867513459481291E-2</v>
      </c>
      <c r="G62" s="65" t="s">
        <v>31</v>
      </c>
      <c r="H62" s="66" t="s">
        <v>31</v>
      </c>
      <c r="I62" s="50"/>
      <c r="J62" s="531" t="str">
        <f>+A72</f>
        <v>Masa particulas que no cumplen el criterio especificado (g)</v>
      </c>
      <c r="K62" s="532"/>
      <c r="L62" s="283" t="e">
        <f>+H72</f>
        <v>#DIV/0!</v>
      </c>
      <c r="M62" s="74" t="e">
        <f t="shared" si="1"/>
        <v>#DIV/0!</v>
      </c>
      <c r="N62" s="103"/>
      <c r="O62" s="77"/>
      <c r="P62" s="84"/>
      <c r="Q62" s="72"/>
      <c r="R62" s="101"/>
      <c r="S62" s="102"/>
      <c r="T62" s="103"/>
      <c r="U62" s="77"/>
      <c r="V62" s="84"/>
      <c r="W62" s="72"/>
      <c r="X62" s="101"/>
      <c r="Y62" s="102"/>
      <c r="Z62" s="103"/>
    </row>
    <row r="63" spans="1:26" s="53" customFormat="1" ht="21.75" customHeight="1" x14ac:dyDescent="0.2">
      <c r="A63" s="287" t="s">
        <v>99</v>
      </c>
      <c r="B63" s="291"/>
      <c r="C63" s="271">
        <f>+Datos!$F$20</f>
        <v>0</v>
      </c>
      <c r="D63" s="272" t="s">
        <v>31</v>
      </c>
      <c r="E63" s="54" t="s">
        <v>31</v>
      </c>
      <c r="F63" s="55">
        <f>SQRT((F64*F64)+(F65*F65)+(F66*F66))</f>
        <v>7.0663521942607221E-2</v>
      </c>
      <c r="G63" s="286">
        <f>IF(I57="SI",(-C68*C59/(C68+C72)/(C59+C63)^2)+(C77*C59/(C77+C81)/(C59+C63)^2),0)</f>
        <v>0</v>
      </c>
      <c r="H63" s="286">
        <f>+G63*F63</f>
        <v>0</v>
      </c>
      <c r="I63" s="303" t="s">
        <v>126</v>
      </c>
      <c r="J63" s="539" t="str">
        <f>+A77</f>
        <v>Masa particulas Fracturadas (g)</v>
      </c>
      <c r="K63" s="528"/>
      <c r="L63" s="283">
        <f>+H77</f>
        <v>0</v>
      </c>
      <c r="M63" s="74" t="e">
        <f t="shared" si="1"/>
        <v>#DIV/0!</v>
      </c>
    </row>
    <row r="64" spans="1:26" ht="18" customHeight="1" x14ac:dyDescent="0.25">
      <c r="A64" s="21" t="s">
        <v>37</v>
      </c>
      <c r="B64" s="290" t="s">
        <v>32</v>
      </c>
      <c r="C64" s="62"/>
      <c r="D64" s="279">
        <f>+balanza!E26</f>
        <v>0</v>
      </c>
      <c r="E64" s="63" t="s">
        <v>38</v>
      </c>
      <c r="F64" s="64">
        <f>+D64</f>
        <v>0</v>
      </c>
      <c r="G64" s="65" t="s">
        <v>31</v>
      </c>
      <c r="H64" s="66" t="s">
        <v>31</v>
      </c>
      <c r="I64" s="50"/>
      <c r="J64" s="533" t="str">
        <f>+A81</f>
        <v>Masa particulas que no cumplen el criterio especificado (g)</v>
      </c>
      <c r="K64" s="534"/>
      <c r="L64" s="283">
        <f>+H81</f>
        <v>0</v>
      </c>
      <c r="M64" s="74" t="e">
        <f t="shared" si="1"/>
        <v>#DIV/0!</v>
      </c>
    </row>
    <row r="65" spans="1:13" ht="21.75" customHeight="1" x14ac:dyDescent="0.25">
      <c r="A65" s="21" t="s">
        <v>39</v>
      </c>
      <c r="B65" s="290" t="s">
        <v>32</v>
      </c>
      <c r="C65" s="62"/>
      <c r="D65" s="280">
        <f>2*(SQRT(balanza!$C$8+balanza!$D$8*(POWER(C63,2))))</f>
        <v>0.12899612397277679</v>
      </c>
      <c r="E65" s="63" t="s">
        <v>40</v>
      </c>
      <c r="F65" s="64">
        <f>+D65/2</f>
        <v>6.4498061986388397E-2</v>
      </c>
      <c r="G65" s="65" t="s">
        <v>31</v>
      </c>
      <c r="H65" s="66" t="s">
        <v>31</v>
      </c>
      <c r="I65" s="50"/>
      <c r="J65" s="523" t="str">
        <f>+A85</f>
        <v xml:space="preserve">factor de presición </v>
      </c>
      <c r="K65" s="524"/>
      <c r="L65" s="283">
        <f>+H85</f>
        <v>0.15395666666666558</v>
      </c>
      <c r="M65" s="74" t="e">
        <f t="shared" si="1"/>
        <v>#DIV/0!</v>
      </c>
    </row>
    <row r="66" spans="1:13" ht="21.75" customHeight="1" x14ac:dyDescent="0.25">
      <c r="A66" s="21" t="s">
        <v>41</v>
      </c>
      <c r="B66" s="290" t="s">
        <v>32</v>
      </c>
      <c r="C66" s="62"/>
      <c r="D66" s="281">
        <f>+balanza!$C$10</f>
        <v>0.1</v>
      </c>
      <c r="E66" s="76" t="s">
        <v>42</v>
      </c>
      <c r="F66" s="64">
        <f>+D66/SQRT(3)/2</f>
        <v>2.8867513459481291E-2</v>
      </c>
      <c r="G66" s="65" t="s">
        <v>31</v>
      </c>
      <c r="H66" s="66" t="s">
        <v>31</v>
      </c>
      <c r="I66" s="50"/>
      <c r="J66" s="285"/>
      <c r="K66" s="85"/>
      <c r="L66" s="86" t="e">
        <f>SUM(L59:L65)</f>
        <v>#DIV/0!</v>
      </c>
      <c r="M66" s="87" t="e">
        <f>+L66/$L$66</f>
        <v>#DIV/0!</v>
      </c>
    </row>
    <row r="67" spans="1:13" ht="21.75" customHeight="1" x14ac:dyDescent="0.25">
      <c r="A67" s="207" t="s">
        <v>118</v>
      </c>
      <c r="B67" s="292"/>
      <c r="C67" s="48"/>
      <c r="D67" s="49"/>
      <c r="E67" s="49"/>
      <c r="F67" s="49"/>
      <c r="G67" s="49"/>
      <c r="H67" s="49"/>
      <c r="I67" s="50"/>
      <c r="J67" s="45"/>
      <c r="K67" s="53"/>
      <c r="L67" s="53"/>
      <c r="M67" s="53"/>
    </row>
    <row r="68" spans="1:13" ht="21.75" customHeight="1" x14ac:dyDescent="0.25">
      <c r="A68" s="288" t="s">
        <v>92</v>
      </c>
      <c r="B68" s="270"/>
      <c r="C68" s="271">
        <f>+Datos!$H$25</f>
        <v>0</v>
      </c>
      <c r="D68" s="272" t="s">
        <v>31</v>
      </c>
      <c r="E68" s="54" t="s">
        <v>31</v>
      </c>
      <c r="F68" s="55">
        <f>SQRT((F69*F69)+(F70*F70)+(F71*F71))</f>
        <v>7.0663521942607221E-2</v>
      </c>
      <c r="G68" s="286" t="e">
        <f>IF(I57="SI",C59*C72/(C59+C63)/(C68+C72)^2,C72*100/(C68+C72)^2)</f>
        <v>#DIV/0!</v>
      </c>
      <c r="H68" s="286" t="e">
        <f>+G68*F68</f>
        <v>#DIV/0!</v>
      </c>
      <c r="I68" s="303" t="s">
        <v>0</v>
      </c>
      <c r="J68" s="53"/>
      <c r="K68" s="53"/>
      <c r="L68" s="53"/>
      <c r="M68" s="53"/>
    </row>
    <row r="69" spans="1:13" ht="21.75" customHeight="1" x14ac:dyDescent="0.25">
      <c r="A69" s="21" t="s">
        <v>37</v>
      </c>
      <c r="B69" s="290" t="s">
        <v>32</v>
      </c>
      <c r="C69" s="62"/>
      <c r="D69" s="279">
        <f>+balanza!G27</f>
        <v>0</v>
      </c>
      <c r="E69" s="63" t="s">
        <v>38</v>
      </c>
      <c r="F69" s="64">
        <f>+D69</f>
        <v>0</v>
      </c>
      <c r="G69" s="65" t="s">
        <v>31</v>
      </c>
      <c r="H69" s="66" t="s">
        <v>31</v>
      </c>
      <c r="I69" s="50"/>
      <c r="J69" s="53"/>
      <c r="K69" s="53"/>
      <c r="L69" s="53"/>
      <c r="M69" s="53"/>
    </row>
    <row r="70" spans="1:13" ht="21.75" customHeight="1" x14ac:dyDescent="0.25">
      <c r="A70" s="21" t="s">
        <v>39</v>
      </c>
      <c r="B70" s="290" t="s">
        <v>32</v>
      </c>
      <c r="C70" s="62"/>
      <c r="D70" s="280">
        <f>2*(SQRT(balanza!$C$8+balanza!$D$8*(POWER(C68,2))))</f>
        <v>0.12899612397277679</v>
      </c>
      <c r="E70" s="63" t="s">
        <v>40</v>
      </c>
      <c r="F70" s="64">
        <f>+D70/2</f>
        <v>6.4498061986388397E-2</v>
      </c>
      <c r="G70" s="65" t="s">
        <v>31</v>
      </c>
      <c r="H70" s="66" t="s">
        <v>31</v>
      </c>
      <c r="I70" s="50"/>
      <c r="J70" s="53"/>
      <c r="K70" s="53"/>
      <c r="L70" s="53"/>
      <c r="M70" s="53"/>
    </row>
    <row r="71" spans="1:13" ht="21.75" customHeight="1" x14ac:dyDescent="0.25">
      <c r="A71" s="21" t="s">
        <v>41</v>
      </c>
      <c r="B71" s="290" t="s">
        <v>32</v>
      </c>
      <c r="C71" s="62"/>
      <c r="D71" s="281">
        <f>+balanza!$C$10</f>
        <v>0.1</v>
      </c>
      <c r="E71" s="76" t="s">
        <v>42</v>
      </c>
      <c r="F71" s="64">
        <f>+D71/SQRT(3)/2</f>
        <v>2.8867513459481291E-2</v>
      </c>
      <c r="G71" s="65" t="s">
        <v>31</v>
      </c>
      <c r="H71" s="66" t="s">
        <v>31</v>
      </c>
      <c r="I71" s="50"/>
      <c r="J71" s="53"/>
      <c r="K71" s="53"/>
      <c r="L71" s="53"/>
      <c r="M71" s="53"/>
    </row>
    <row r="72" spans="1:13" ht="21.75" customHeight="1" x14ac:dyDescent="0.25">
      <c r="A72" s="289" t="s">
        <v>93</v>
      </c>
      <c r="B72" s="270"/>
      <c r="C72" s="271">
        <f>+Datos!$H$26</f>
        <v>0</v>
      </c>
      <c r="D72" s="79"/>
      <c r="E72" s="80" t="s">
        <v>31</v>
      </c>
      <c r="F72" s="55">
        <f>SQRT((F73*F73)+(F74*F74)+(F75*F75))</f>
        <v>7.0663521942607221E-2</v>
      </c>
      <c r="G72" s="286" t="e">
        <f>IF(I57="SI",C59*C68/(C59+C63)/(C68+C72)^2,C68*100/(C68+C72)^2)</f>
        <v>#DIV/0!</v>
      </c>
      <c r="H72" s="286" t="e">
        <f>+G72*F72</f>
        <v>#DIV/0!</v>
      </c>
      <c r="I72" s="303" t="s">
        <v>56</v>
      </c>
      <c r="J72" s="53"/>
      <c r="K72" s="53"/>
      <c r="L72" s="53"/>
      <c r="M72" s="53"/>
    </row>
    <row r="73" spans="1:13" ht="21.75" customHeight="1" x14ac:dyDescent="0.25">
      <c r="A73" s="21" t="s">
        <v>37</v>
      </c>
      <c r="B73" s="290" t="s">
        <v>32</v>
      </c>
      <c r="C73" s="62"/>
      <c r="D73" s="279">
        <f>+balanza!G28</f>
        <v>0</v>
      </c>
      <c r="E73" s="63" t="s">
        <v>38</v>
      </c>
      <c r="F73" s="64">
        <f>+D73</f>
        <v>0</v>
      </c>
      <c r="G73" s="65" t="s">
        <v>31</v>
      </c>
      <c r="H73" s="66" t="s">
        <v>31</v>
      </c>
      <c r="I73" s="50"/>
      <c r="J73" s="53"/>
      <c r="K73" s="53"/>
      <c r="L73" s="53"/>
      <c r="M73" s="53"/>
    </row>
    <row r="74" spans="1:13" ht="21.75" customHeight="1" x14ac:dyDescent="0.25">
      <c r="A74" s="21" t="s">
        <v>39</v>
      </c>
      <c r="B74" s="290" t="s">
        <v>32</v>
      </c>
      <c r="C74" s="62"/>
      <c r="D74" s="280">
        <f>2*(SQRT(balanza!$C$8+balanza!$D$8*(POWER(C72,2))))</f>
        <v>0.12899612397277679</v>
      </c>
      <c r="E74" s="63" t="s">
        <v>40</v>
      </c>
      <c r="F74" s="64">
        <f>+D74/2</f>
        <v>6.4498061986388397E-2</v>
      </c>
      <c r="G74" s="65" t="s">
        <v>31</v>
      </c>
      <c r="H74" s="66" t="s">
        <v>31</v>
      </c>
      <c r="I74" s="50"/>
      <c r="J74" s="45"/>
      <c r="K74" s="45"/>
      <c r="L74" s="45"/>
      <c r="M74" s="45"/>
    </row>
    <row r="75" spans="1:13" ht="21.75" customHeight="1" x14ac:dyDescent="0.25">
      <c r="A75" s="21" t="s">
        <v>41</v>
      </c>
      <c r="B75" s="290" t="s">
        <v>32</v>
      </c>
      <c r="C75" s="62"/>
      <c r="D75" s="281">
        <f>+balanza!$C$10</f>
        <v>0.1</v>
      </c>
      <c r="E75" s="76" t="s">
        <v>42</v>
      </c>
      <c r="F75" s="64">
        <f>+D75/SQRT(3)/2</f>
        <v>2.8867513459481291E-2</v>
      </c>
      <c r="G75" s="65" t="s">
        <v>31</v>
      </c>
      <c r="H75" s="66" t="s">
        <v>31</v>
      </c>
      <c r="I75" s="50"/>
      <c r="J75" s="45"/>
      <c r="K75" s="45"/>
      <c r="L75" s="45"/>
      <c r="M75" s="45"/>
    </row>
    <row r="76" spans="1:13" ht="21.75" customHeight="1" x14ac:dyDescent="0.25">
      <c r="A76" s="207" t="s">
        <v>65</v>
      </c>
      <c r="B76" s="292"/>
      <c r="C76" s="48"/>
      <c r="D76" s="49"/>
      <c r="E76" s="49"/>
      <c r="F76" s="49"/>
      <c r="G76" s="49"/>
      <c r="H76" s="49"/>
      <c r="I76" s="50"/>
      <c r="J76" s="45"/>
      <c r="K76" s="45"/>
      <c r="L76" s="45"/>
      <c r="M76" s="45"/>
    </row>
    <row r="77" spans="1:13" ht="21.75" customHeight="1" x14ac:dyDescent="0.25">
      <c r="A77" s="269" t="s">
        <v>92</v>
      </c>
      <c r="B77" s="270"/>
      <c r="C77" s="271">
        <f>+Datos!$H$31</f>
        <v>0</v>
      </c>
      <c r="D77" s="272" t="s">
        <v>31</v>
      </c>
      <c r="E77" s="54" t="s">
        <v>31</v>
      </c>
      <c r="F77" s="55">
        <f>SQRT((F78*F78)+(F79*F79)+(F80*F80))</f>
        <v>7.0663521942607221E-2</v>
      </c>
      <c r="G77" s="286">
        <f>IF(I57="SI",C63*C77/(C59+C63)/(C77+C81)^2,0)</f>
        <v>0</v>
      </c>
      <c r="H77" s="286">
        <f>+G77*F77</f>
        <v>0</v>
      </c>
      <c r="I77" s="303" t="s">
        <v>122</v>
      </c>
      <c r="J77" s="45"/>
      <c r="K77" s="45"/>
      <c r="L77" s="45"/>
      <c r="M77" s="45"/>
    </row>
    <row r="78" spans="1:13" ht="21.75" customHeight="1" x14ac:dyDescent="0.25">
      <c r="A78" s="21" t="s">
        <v>37</v>
      </c>
      <c r="B78" s="290" t="s">
        <v>32</v>
      </c>
      <c r="C78" s="62"/>
      <c r="D78" s="279">
        <f>+balanza!G29</f>
        <v>0</v>
      </c>
      <c r="E78" s="63" t="s">
        <v>38</v>
      </c>
      <c r="F78" s="64">
        <f>+D78</f>
        <v>0</v>
      </c>
      <c r="G78" s="65" t="s">
        <v>31</v>
      </c>
      <c r="H78" s="66" t="s">
        <v>31</v>
      </c>
      <c r="I78" s="50"/>
      <c r="J78" s="45"/>
      <c r="K78" s="45"/>
      <c r="L78" s="45"/>
      <c r="M78" s="45"/>
    </row>
    <row r="79" spans="1:13" ht="21.75" customHeight="1" x14ac:dyDescent="0.25">
      <c r="A79" s="21" t="s">
        <v>39</v>
      </c>
      <c r="B79" s="290" t="s">
        <v>32</v>
      </c>
      <c r="C79" s="62"/>
      <c r="D79" s="280">
        <f>2*(SQRT(balanza!$C$8+balanza!$D$8*(POWER(C77,2))))</f>
        <v>0.12899612397277679</v>
      </c>
      <c r="E79" s="63" t="s">
        <v>40</v>
      </c>
      <c r="F79" s="64">
        <f>+D79/2</f>
        <v>6.4498061986388397E-2</v>
      </c>
      <c r="G79" s="65" t="s">
        <v>31</v>
      </c>
      <c r="H79" s="66" t="s">
        <v>31</v>
      </c>
      <c r="I79" s="50"/>
      <c r="J79" s="45"/>
      <c r="K79" s="45"/>
      <c r="L79" s="45"/>
      <c r="M79" s="45"/>
    </row>
    <row r="80" spans="1:13" ht="21.75" customHeight="1" x14ac:dyDescent="0.25">
      <c r="A80" s="21" t="s">
        <v>41</v>
      </c>
      <c r="B80" s="290" t="s">
        <v>32</v>
      </c>
      <c r="C80" s="62"/>
      <c r="D80" s="281">
        <f>+balanza!$C$10</f>
        <v>0.1</v>
      </c>
      <c r="E80" s="76" t="s">
        <v>42</v>
      </c>
      <c r="F80" s="64">
        <f>+D80/SQRT(3)/2</f>
        <v>2.8867513459481291E-2</v>
      </c>
      <c r="G80" s="65" t="s">
        <v>31</v>
      </c>
      <c r="H80" s="66" t="s">
        <v>31</v>
      </c>
      <c r="I80" s="50"/>
      <c r="J80" s="45"/>
      <c r="K80" s="45"/>
      <c r="L80" s="45"/>
      <c r="M80" s="45"/>
    </row>
    <row r="81" spans="1:13" ht="21.75" customHeight="1" x14ac:dyDescent="0.25">
      <c r="A81" s="273" t="s">
        <v>93</v>
      </c>
      <c r="B81" s="270"/>
      <c r="C81" s="271">
        <f>+Datos!$H$32</f>
        <v>0</v>
      </c>
      <c r="D81" s="272" t="s">
        <v>31</v>
      </c>
      <c r="E81" s="54" t="s">
        <v>31</v>
      </c>
      <c r="F81" s="55">
        <f>SQRT((F82*F82)+(F83*F83)+(F84*F84))</f>
        <v>7.0663521942607221E-2</v>
      </c>
      <c r="G81" s="286">
        <f>IF(I57="SI",C63*C77/(C59+C63)/(C77+C81)^2,0)</f>
        <v>0</v>
      </c>
      <c r="H81" s="286">
        <f>+G81*F81</f>
        <v>0</v>
      </c>
      <c r="I81" s="303" t="s">
        <v>123</v>
      </c>
      <c r="J81" s="45"/>
      <c r="K81" s="45"/>
      <c r="L81" s="45"/>
      <c r="M81" s="45"/>
    </row>
    <row r="82" spans="1:13" ht="21.75" customHeight="1" x14ac:dyDescent="0.25">
      <c r="A82" s="21" t="s">
        <v>37</v>
      </c>
      <c r="B82" s="290" t="s">
        <v>32</v>
      </c>
      <c r="C82" s="62"/>
      <c r="D82" s="279">
        <f>+balanza!G30</f>
        <v>0</v>
      </c>
      <c r="E82" s="63" t="s">
        <v>38</v>
      </c>
      <c r="F82" s="64">
        <f>+D82</f>
        <v>0</v>
      </c>
      <c r="G82" s="65" t="s">
        <v>31</v>
      </c>
      <c r="H82" s="66" t="s">
        <v>31</v>
      </c>
      <c r="I82" s="50"/>
      <c r="J82" s="45"/>
      <c r="K82" s="45"/>
      <c r="L82" s="45"/>
      <c r="M82" s="45"/>
    </row>
    <row r="83" spans="1:13" ht="21.75" customHeight="1" x14ac:dyDescent="0.25">
      <c r="A83" s="21" t="s">
        <v>39</v>
      </c>
      <c r="B83" s="290" t="s">
        <v>32</v>
      </c>
      <c r="C83" s="62"/>
      <c r="D83" s="280">
        <f>2*(SQRT(balanza!$C$8+balanza!$D$8*(POWER(C81,2))))</f>
        <v>0.12899612397277679</v>
      </c>
      <c r="E83" s="63" t="s">
        <v>40</v>
      </c>
      <c r="F83" s="64">
        <f>+D83/2</f>
        <v>6.4498061986388397E-2</v>
      </c>
      <c r="G83" s="65" t="s">
        <v>31</v>
      </c>
      <c r="H83" s="66" t="s">
        <v>31</v>
      </c>
      <c r="I83" s="50"/>
      <c r="J83" s="45"/>
      <c r="K83" s="45"/>
      <c r="L83" s="45"/>
      <c r="M83" s="45"/>
    </row>
    <row r="84" spans="1:13" ht="21.75" customHeight="1" x14ac:dyDescent="0.25">
      <c r="A84" s="21" t="s">
        <v>41</v>
      </c>
      <c r="B84" s="290" t="s">
        <v>32</v>
      </c>
      <c r="C84" s="62"/>
      <c r="D84" s="281">
        <f>+balanza!$C$10</f>
        <v>0.1</v>
      </c>
      <c r="E84" s="76" t="s">
        <v>42</v>
      </c>
      <c r="F84" s="64">
        <f>+D84/SQRT(3)/2</f>
        <v>2.8867513459481291E-2</v>
      </c>
      <c r="G84" s="65" t="s">
        <v>31</v>
      </c>
      <c r="H84" s="66" t="s">
        <v>31</v>
      </c>
      <c r="I84" s="50"/>
      <c r="J84" s="45"/>
      <c r="K84" s="45"/>
      <c r="L84" s="45"/>
      <c r="M84" s="45"/>
    </row>
    <row r="85" spans="1:13" ht="21.75" customHeight="1" x14ac:dyDescent="0.25">
      <c r="A85" s="88" t="s">
        <v>43</v>
      </c>
      <c r="B85" s="293" t="s">
        <v>36</v>
      </c>
      <c r="C85" s="89">
        <f>+precision!H7</f>
        <v>0.15395666666666558</v>
      </c>
      <c r="D85" s="90"/>
      <c r="E85" s="91" t="s">
        <v>44</v>
      </c>
      <c r="F85" s="81">
        <f>C85/SQRT(1)</f>
        <v>0.15395666666666558</v>
      </c>
      <c r="G85" s="92">
        <v>1</v>
      </c>
      <c r="H85" s="81">
        <f>+F85*G85</f>
        <v>0.15395666666666558</v>
      </c>
      <c r="I85" s="56"/>
      <c r="J85" s="45"/>
      <c r="K85" s="45"/>
      <c r="L85" s="45"/>
      <c r="M85" s="45"/>
    </row>
    <row r="86" spans="1:13" ht="21.75" customHeight="1" x14ac:dyDescent="0.25">
      <c r="A86" s="95" t="s">
        <v>45</v>
      </c>
      <c r="B86" s="96"/>
      <c r="C86" s="97"/>
      <c r="D86" s="97"/>
      <c r="E86" s="98"/>
      <c r="F86" s="97"/>
      <c r="G86" s="99" t="s">
        <v>36</v>
      </c>
      <c r="H86" s="100" t="e">
        <f>SQRT(H59^2+H63^2+H68^2+H72^2+H77^2+H81^2+H85^2)</f>
        <v>#DIV/0!</v>
      </c>
      <c r="I86" s="67"/>
      <c r="J86" s="45"/>
      <c r="K86" s="45"/>
      <c r="L86" s="45"/>
      <c r="M86" s="45"/>
    </row>
    <row r="87" spans="1:13" ht="21.75" customHeight="1" x14ac:dyDescent="0.25">
      <c r="A87" s="95" t="s">
        <v>46</v>
      </c>
      <c r="B87" s="104"/>
      <c r="C87" s="104"/>
      <c r="D87" s="96"/>
      <c r="E87" s="104"/>
      <c r="F87" s="96"/>
      <c r="G87" s="105" t="s">
        <v>36</v>
      </c>
      <c r="H87" s="294" t="e">
        <f>+H86*2</f>
        <v>#DIV/0!</v>
      </c>
      <c r="I87" s="67"/>
      <c r="J87" s="45"/>
      <c r="K87" s="45"/>
      <c r="L87" s="45"/>
      <c r="M87" s="45"/>
    </row>
    <row r="90" spans="1:13" x14ac:dyDescent="0.25">
      <c r="A90" s="432" t="s">
        <v>209</v>
      </c>
      <c r="B90" s="540" t="s">
        <v>210</v>
      </c>
      <c r="C90" s="541"/>
      <c r="D90" s="433"/>
      <c r="E90" s="542" t="s">
        <v>211</v>
      </c>
      <c r="F90" s="542"/>
      <c r="G90" s="543" t="s">
        <v>212</v>
      </c>
      <c r="H90" s="544"/>
    </row>
    <row r="91" spans="1:13" x14ac:dyDescent="0.25">
      <c r="A91" s="32"/>
      <c r="B91" s="32"/>
      <c r="C91" s="32"/>
      <c r="D91" s="32"/>
      <c r="E91" s="32"/>
      <c r="F91" s="32"/>
      <c r="G91" s="32"/>
      <c r="H91" s="32"/>
    </row>
    <row r="92" spans="1:13" x14ac:dyDescent="0.25">
      <c r="A92" s="434" t="s">
        <v>213</v>
      </c>
      <c r="B92" s="536">
        <v>45604</v>
      </c>
      <c r="C92" s="537"/>
      <c r="D92" s="32"/>
      <c r="E92" s="538" t="s">
        <v>214</v>
      </c>
      <c r="F92" s="538"/>
      <c r="G92" s="536">
        <v>45605</v>
      </c>
      <c r="H92" s="537"/>
    </row>
  </sheetData>
  <sheetProtection algorithmName="SHA-512" hashValue="8bpvulMySDhbCinMJCKA6z/Rt8I37vsDQJVa4PyGNTLespzr8fQA8IH94JgjrRjZWt4j2jiXTM/mppn7uL1Pfg==" saltValue="zH87836e9WKbmOJcNpq46A==" spinCount="100000" sheet="1" objects="1" scenarios="1"/>
  <mergeCells count="25">
    <mergeCell ref="B92:C92"/>
    <mergeCell ref="E92:F92"/>
    <mergeCell ref="G92:H92"/>
    <mergeCell ref="J60:K60"/>
    <mergeCell ref="J61:K61"/>
    <mergeCell ref="J63:K63"/>
    <mergeCell ref="B90:C90"/>
    <mergeCell ref="E90:F90"/>
    <mergeCell ref="G90:H90"/>
    <mergeCell ref="A1:B4"/>
    <mergeCell ref="C1:H4"/>
    <mergeCell ref="B6:J6"/>
    <mergeCell ref="J26:K26"/>
    <mergeCell ref="J65:K65"/>
    <mergeCell ref="J27:K27"/>
    <mergeCell ref="J28:K28"/>
    <mergeCell ref="J29:K29"/>
    <mergeCell ref="J31:K31"/>
    <mergeCell ref="J33:K33"/>
    <mergeCell ref="J30:K30"/>
    <mergeCell ref="J32:K32"/>
    <mergeCell ref="J58:K58"/>
    <mergeCell ref="J62:K62"/>
    <mergeCell ref="J64:K64"/>
    <mergeCell ref="J59:K59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92F4E-5C5F-4147-B00B-02E7027D9C75}">
  <dimension ref="B2:L30"/>
  <sheetViews>
    <sheetView topLeftCell="A8" zoomScale="90" zoomScaleNormal="90" workbookViewId="0">
      <selection activeCell="L18" sqref="L18"/>
    </sheetView>
  </sheetViews>
  <sheetFormatPr baseColWidth="10" defaultColWidth="11.44140625" defaultRowHeight="13.2" x14ac:dyDescent="0.25"/>
  <cols>
    <col min="1" max="1" width="5.6640625" style="106" customWidth="1"/>
    <col min="2" max="2" width="11.44140625" style="106"/>
    <col min="3" max="3" width="14.88671875" style="106" customWidth="1"/>
    <col min="4" max="16384" width="11.44140625" style="106"/>
  </cols>
  <sheetData>
    <row r="2" spans="2:10" x14ac:dyDescent="0.25">
      <c r="B2" s="545" t="s">
        <v>47</v>
      </c>
      <c r="C2" s="545"/>
      <c r="D2" s="545"/>
      <c r="E2" s="545"/>
      <c r="F2" s="545"/>
      <c r="G2" s="545"/>
    </row>
    <row r="6" spans="2:10" x14ac:dyDescent="0.25">
      <c r="I6" s="546"/>
      <c r="J6" s="547"/>
    </row>
    <row r="7" spans="2:10" x14ac:dyDescent="0.25">
      <c r="B7" s="107" t="s">
        <v>149</v>
      </c>
      <c r="C7" s="330">
        <v>-3.2899999999999998E-6</v>
      </c>
      <c r="D7" s="108"/>
      <c r="E7" s="108"/>
      <c r="G7" s="108"/>
      <c r="H7" s="108"/>
      <c r="I7" s="109"/>
      <c r="J7" s="109"/>
    </row>
    <row r="8" spans="2:10" x14ac:dyDescent="0.25">
      <c r="B8" s="110" t="s">
        <v>48</v>
      </c>
      <c r="C8" s="112">
        <v>4.1599999999999996E-3</v>
      </c>
      <c r="D8" s="330">
        <v>2.4299999999999999E-10</v>
      </c>
      <c r="E8" s="108"/>
      <c r="G8" s="108"/>
      <c r="H8" s="108"/>
      <c r="I8" s="108"/>
      <c r="J8" s="108"/>
    </row>
    <row r="9" spans="2:10" x14ac:dyDescent="0.25">
      <c r="B9" s="110" t="s">
        <v>150</v>
      </c>
      <c r="C9" s="111" t="s">
        <v>151</v>
      </c>
      <c r="D9" s="112"/>
      <c r="E9" s="108"/>
      <c r="G9" s="108"/>
      <c r="H9" s="108"/>
      <c r="I9" s="108"/>
      <c r="J9" s="108"/>
    </row>
    <row r="10" spans="2:10" x14ac:dyDescent="0.25">
      <c r="B10" s="110" t="s">
        <v>41</v>
      </c>
      <c r="C10" s="111">
        <v>0.1</v>
      </c>
      <c r="D10" s="112" t="s">
        <v>32</v>
      </c>
      <c r="G10" s="108"/>
      <c r="H10" s="108"/>
      <c r="I10" s="108"/>
      <c r="J10" s="108"/>
    </row>
    <row r="11" spans="2:10" x14ac:dyDescent="0.25">
      <c r="B11" s="110" t="s">
        <v>152</v>
      </c>
      <c r="C11" s="112" t="s">
        <v>106</v>
      </c>
      <c r="D11" s="108"/>
      <c r="G11" s="108"/>
      <c r="H11" s="108"/>
      <c r="I11" s="108"/>
      <c r="J11" s="108"/>
    </row>
    <row r="12" spans="2:10" x14ac:dyDescent="0.25">
      <c r="B12" s="110" t="s">
        <v>153</v>
      </c>
      <c r="D12" s="335">
        <v>46132</v>
      </c>
      <c r="G12" s="108"/>
      <c r="H12" s="108"/>
      <c r="I12" s="108"/>
      <c r="J12" s="108"/>
    </row>
    <row r="13" spans="2:10" x14ac:dyDescent="0.25">
      <c r="B13" s="186" t="s">
        <v>49</v>
      </c>
      <c r="C13" s="113" t="s">
        <v>50</v>
      </c>
      <c r="D13" s="113">
        <v>20</v>
      </c>
      <c r="E13" s="113">
        <v>200</v>
      </c>
      <c r="F13" s="113">
        <v>500</v>
      </c>
      <c r="G13" s="113">
        <v>1000</v>
      </c>
      <c r="H13" s="113">
        <v>5000</v>
      </c>
      <c r="I13" s="113">
        <v>10000</v>
      </c>
      <c r="J13" s="113">
        <v>11000</v>
      </c>
    </row>
    <row r="14" spans="2:10" x14ac:dyDescent="0.25">
      <c r="B14" s="332">
        <v>1</v>
      </c>
      <c r="C14" s="187"/>
      <c r="D14" s="114"/>
      <c r="E14" s="114"/>
      <c r="F14" s="114"/>
      <c r="G14" s="114"/>
      <c r="H14" s="114"/>
      <c r="I14" s="114"/>
      <c r="J14" s="114"/>
    </row>
    <row r="15" spans="2:10" x14ac:dyDescent="0.25">
      <c r="B15" s="188"/>
      <c r="C15" s="187"/>
      <c r="D15" s="114"/>
      <c r="E15" s="114"/>
      <c r="F15" s="114"/>
      <c r="G15" s="114"/>
      <c r="H15" s="114"/>
      <c r="I15" s="114"/>
      <c r="J15" s="114"/>
    </row>
    <row r="16" spans="2:10" x14ac:dyDescent="0.25">
      <c r="B16" s="108"/>
      <c r="C16" s="108"/>
      <c r="D16" s="108"/>
      <c r="E16" s="108"/>
      <c r="F16" s="108"/>
      <c r="G16" s="108"/>
      <c r="H16" s="108"/>
      <c r="I16" s="108"/>
      <c r="J16" s="108"/>
    </row>
    <row r="17" spans="2:12" x14ac:dyDescent="0.25">
      <c r="B17" s="115"/>
      <c r="C17" s="116" t="s">
        <v>51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</row>
    <row r="18" spans="2:12" x14ac:dyDescent="0.25">
      <c r="B18" s="109"/>
      <c r="C18" s="110"/>
      <c r="D18" s="118"/>
      <c r="E18" s="118"/>
      <c r="F18" s="118"/>
      <c r="G18" s="118"/>
      <c r="H18" s="118"/>
      <c r="I18" s="118"/>
      <c r="J18" s="118"/>
    </row>
    <row r="19" spans="2:12" x14ac:dyDescent="0.25">
      <c r="B19" s="119" t="s">
        <v>52</v>
      </c>
      <c r="C19" s="119"/>
      <c r="D19" s="119"/>
      <c r="E19" s="119"/>
      <c r="F19" s="108"/>
      <c r="G19" s="108"/>
      <c r="H19" s="108"/>
      <c r="I19" s="108"/>
      <c r="J19" s="108"/>
      <c r="K19" s="108"/>
      <c r="L19" s="23"/>
    </row>
    <row r="20" spans="2:12" x14ac:dyDescent="0.25">
      <c r="D20" s="113">
        <f t="shared" ref="D20:J20" si="0">+D13</f>
        <v>20</v>
      </c>
      <c r="E20" s="113">
        <f t="shared" si="0"/>
        <v>200</v>
      </c>
      <c r="F20" s="113">
        <f t="shared" si="0"/>
        <v>500</v>
      </c>
      <c r="G20" s="113">
        <f t="shared" si="0"/>
        <v>1000</v>
      </c>
      <c r="H20" s="113">
        <f t="shared" si="0"/>
        <v>5000</v>
      </c>
      <c r="I20" s="113">
        <f t="shared" si="0"/>
        <v>10000</v>
      </c>
      <c r="J20" s="113">
        <f t="shared" si="0"/>
        <v>11000</v>
      </c>
    </row>
    <row r="21" spans="2:12" x14ac:dyDescent="0.25">
      <c r="D21" s="120">
        <f t="shared" ref="D21:J21" si="1">D17</f>
        <v>0</v>
      </c>
      <c r="E21" s="120">
        <f t="shared" si="1"/>
        <v>0</v>
      </c>
      <c r="F21" s="120">
        <f t="shared" si="1"/>
        <v>0</v>
      </c>
      <c r="G21" s="120">
        <f t="shared" si="1"/>
        <v>0</v>
      </c>
      <c r="H21" s="120">
        <f t="shared" si="1"/>
        <v>0</v>
      </c>
      <c r="I21" s="120">
        <f t="shared" si="1"/>
        <v>0</v>
      </c>
      <c r="J21" s="120">
        <f t="shared" si="1"/>
        <v>0</v>
      </c>
    </row>
    <row r="22" spans="2:12" x14ac:dyDescent="0.25">
      <c r="B22" s="31"/>
      <c r="C22" s="31"/>
      <c r="G22" s="108"/>
      <c r="H22" s="108"/>
      <c r="I22" s="108"/>
      <c r="J22" s="108"/>
      <c r="K22" s="108"/>
    </row>
    <row r="23" spans="2:12" x14ac:dyDescent="0.25">
      <c r="B23" s="121" t="s">
        <v>53</v>
      </c>
      <c r="C23" s="31"/>
      <c r="G23" s="108"/>
      <c r="H23" s="108"/>
      <c r="I23" s="108"/>
      <c r="J23" s="108"/>
    </row>
    <row r="24" spans="2:12" ht="8.4" customHeight="1" x14ac:dyDescent="0.25"/>
    <row r="25" spans="2:12" x14ac:dyDescent="0.25">
      <c r="B25" s="278" t="s">
        <v>98</v>
      </c>
      <c r="C25" s="47"/>
      <c r="D25" s="48">
        <f>+Datos!$G$19</f>
        <v>0</v>
      </c>
      <c r="E25" s="317">
        <f t="shared" ref="E25:G30" si="2">IF(D25&lt;=$D$20,$D$21,IF(AND(D25&gt;$D$20,D25&lt;=$E$20),$E$21,IF(AND(D25&gt;$E$20,D25&lt;=$F$20),$F$21,IF(AND(D25&gt;$F$20,D25&lt;=$G$20),$G$21,IF(AND(D25&gt;$G$20,D25&lt;=$H$20),$H$21,$H$21)))))</f>
        <v>0</v>
      </c>
      <c r="F25" s="257" t="s">
        <v>115</v>
      </c>
      <c r="G25" s="257" t="s">
        <v>115</v>
      </c>
    </row>
    <row r="26" spans="2:12" x14ac:dyDescent="0.25">
      <c r="B26" s="275" t="s">
        <v>99</v>
      </c>
      <c r="C26" s="47"/>
      <c r="D26" s="48">
        <f>+Datos!$F$20</f>
        <v>0</v>
      </c>
      <c r="E26" s="317">
        <f t="shared" si="2"/>
        <v>0</v>
      </c>
      <c r="F26" s="257" t="s">
        <v>115</v>
      </c>
      <c r="G26" s="257" t="s">
        <v>115</v>
      </c>
    </row>
    <row r="27" spans="2:12" x14ac:dyDescent="0.25">
      <c r="B27" s="276" t="s">
        <v>92</v>
      </c>
      <c r="C27" s="277"/>
      <c r="D27" s="48">
        <f>+Datos!$F$25</f>
        <v>0</v>
      </c>
      <c r="E27" s="317">
        <f t="shared" si="2"/>
        <v>0</v>
      </c>
      <c r="F27" s="302">
        <f>+Datos!$H$25</f>
        <v>0</v>
      </c>
      <c r="G27" s="317">
        <f t="shared" si="2"/>
        <v>0</v>
      </c>
    </row>
    <row r="28" spans="2:12" x14ac:dyDescent="0.25">
      <c r="B28" s="276" t="s">
        <v>93</v>
      </c>
      <c r="C28" s="277"/>
      <c r="D28" s="48">
        <f>+Datos!$F$26</f>
        <v>0</v>
      </c>
      <c r="E28" s="317">
        <f t="shared" si="2"/>
        <v>0</v>
      </c>
      <c r="F28" s="302">
        <f>+Datos!$H$26</f>
        <v>0</v>
      </c>
      <c r="G28" s="317">
        <f t="shared" si="2"/>
        <v>0</v>
      </c>
    </row>
    <row r="29" spans="2:12" x14ac:dyDescent="0.25">
      <c r="B29" s="276" t="s">
        <v>92</v>
      </c>
      <c r="C29" s="277"/>
      <c r="D29" s="48">
        <f>+Datos!$F$31</f>
        <v>0</v>
      </c>
      <c r="E29" s="317">
        <f t="shared" si="2"/>
        <v>0</v>
      </c>
      <c r="F29" s="302">
        <f>+Datos!$H$31</f>
        <v>0</v>
      </c>
      <c r="G29" s="317">
        <f t="shared" si="2"/>
        <v>0</v>
      </c>
    </row>
    <row r="30" spans="2:12" x14ac:dyDescent="0.25">
      <c r="B30" s="276" t="s">
        <v>93</v>
      </c>
      <c r="C30" s="277"/>
      <c r="D30" s="48">
        <f>+Datos!$F$32</f>
        <v>0</v>
      </c>
      <c r="E30" s="317">
        <f t="shared" si="2"/>
        <v>0</v>
      </c>
      <c r="F30" s="302">
        <f>+Datos!$H$32</f>
        <v>0</v>
      </c>
      <c r="G30" s="317">
        <f t="shared" si="2"/>
        <v>0</v>
      </c>
    </row>
  </sheetData>
  <sheetProtection algorithmName="SHA-512" hashValue="LGjbUYtw8krsHV0l10FH+Kl4/LDlSR4I8khhn8Qd1G9lMF6O7ZucYAT4b/VspWqdg5K4NwNNTWwcMVA2C0LY0w==" saltValue="H/rqJr9lMTu8+ik8FGZgyg==" spinCount="100000" sheet="1" objects="1" scenarios="1"/>
  <mergeCells count="2">
    <mergeCell ref="B2:G2"/>
    <mergeCell ref="I6:J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C0B7-92BE-41CE-BF25-A0B38894D7E2}">
  <dimension ref="A2:J8"/>
  <sheetViews>
    <sheetView zoomScale="90" zoomScaleNormal="90" workbookViewId="0">
      <selection activeCell="E13" sqref="E13"/>
    </sheetView>
  </sheetViews>
  <sheetFormatPr baseColWidth="10" defaultColWidth="11.44140625" defaultRowHeight="13.2" x14ac:dyDescent="0.25"/>
  <cols>
    <col min="1" max="1" width="27.44140625" style="23" customWidth="1"/>
    <col min="2" max="5" width="11.44140625" style="23"/>
    <col min="6" max="6" width="3.6640625" style="23" customWidth="1"/>
    <col min="7" max="7" width="28.109375" style="23" customWidth="1"/>
    <col min="8" max="16384" width="11.44140625" style="23"/>
  </cols>
  <sheetData>
    <row r="2" spans="1:10" ht="14.4" x14ac:dyDescent="0.3">
      <c r="A2" s="436"/>
    </row>
    <row r="3" spans="1:10" ht="13.8" x14ac:dyDescent="0.25">
      <c r="A3" s="437" t="s">
        <v>217</v>
      </c>
    </row>
    <row r="4" spans="1:10" ht="13.8" x14ac:dyDescent="0.25">
      <c r="A4" s="437" t="s">
        <v>54</v>
      </c>
      <c r="B4" s="438">
        <v>45789</v>
      </c>
    </row>
    <row r="5" spans="1:10" ht="13.8" x14ac:dyDescent="0.25">
      <c r="A5" s="437"/>
      <c r="B5" s="439"/>
    </row>
    <row r="6" spans="1:10" ht="14.4" x14ac:dyDescent="0.3">
      <c r="A6" s="436" t="s">
        <v>127</v>
      </c>
      <c r="D6" s="436"/>
      <c r="G6" s="436" t="s">
        <v>128</v>
      </c>
      <c r="J6" s="436"/>
    </row>
    <row r="7" spans="1:10" ht="23.4" customHeight="1" x14ac:dyDescent="0.3">
      <c r="A7" s="123" t="s">
        <v>215</v>
      </c>
      <c r="B7" s="554">
        <v>0.1709624577086255</v>
      </c>
      <c r="C7" s="554"/>
      <c r="D7" s="554"/>
      <c r="E7" s="436"/>
      <c r="G7" s="123" t="s">
        <v>215</v>
      </c>
      <c r="H7" s="548">
        <v>0.15395666666666558</v>
      </c>
      <c r="I7" s="549"/>
      <c r="J7" s="550"/>
    </row>
    <row r="8" spans="1:10" ht="23.4" customHeight="1" x14ac:dyDescent="0.3">
      <c r="A8" s="123" t="s">
        <v>216</v>
      </c>
      <c r="B8" s="555">
        <v>2.4584592209305228E-2</v>
      </c>
      <c r="C8" s="555"/>
      <c r="D8" s="555"/>
      <c r="E8" s="436"/>
      <c r="G8" s="123" t="s">
        <v>216</v>
      </c>
      <c r="H8" s="551">
        <v>2.3680740741075144E-2</v>
      </c>
      <c r="I8" s="552"/>
      <c r="J8" s="553"/>
    </row>
  </sheetData>
  <sheetProtection algorithmName="SHA-512" hashValue="flW1XesbHlqTRTFELima/nxFJyeWIMi6FUGaLJDC0/kTtqlexRtX9Ql60qMdhZ24V0IUD+HXrOilxh83xKkl4Q==" saltValue="sXC/B0cfAHOFWzklDbqUSA==" spinCount="100000" sheet="1" objects="1" scenarios="1"/>
  <mergeCells count="4">
    <mergeCell ref="H7:J7"/>
    <mergeCell ref="H8:J8"/>
    <mergeCell ref="B7:D7"/>
    <mergeCell ref="B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FORMATO</vt:lpstr>
      <vt:lpstr>caras fracturadas</vt:lpstr>
      <vt:lpstr>Datos</vt:lpstr>
      <vt:lpstr>incertidumbre</vt:lpstr>
      <vt:lpstr>balanza</vt:lpstr>
      <vt:lpstr>precision</vt:lpstr>
      <vt:lpstr>'caras fracturadas'!Área_de_impresión</vt:lpstr>
      <vt:lpstr>FORMATO!Área_de_impresión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2026-06-13T17:36:41Z</cp:lastPrinted>
  <dcterms:created xsi:type="dcterms:W3CDTF">1999-11-07T15:11:55Z</dcterms:created>
  <dcterms:modified xsi:type="dcterms:W3CDTF">2026-06-16T22:54:13Z</dcterms:modified>
</cp:coreProperties>
</file>