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FC72944F-4990-4255-BDCB-6355B69D2865}" xr6:coauthVersionLast="47" xr6:coauthVersionMax="47" xr10:uidLastSave="{00000000-0000-0000-0000-000000000000}"/>
  <bookViews>
    <workbookView xWindow="-108" yWindow="-108" windowWidth="23256" windowHeight="12456" tabRatio="613" activeTab="2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00" l="1"/>
  <c r="L20" i="95"/>
  <c r="L19" i="95"/>
  <c r="L18" i="95"/>
  <c r="L11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/>
  <c r="D56" i="100" l="1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<sst xmlns="http://schemas.openxmlformats.org/spreadsheetml/2006/main" count="1376" uniqueCount="667">
  <si>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</si>
  <si>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</si>
  <si>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</si>
  <si>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</si>
  <si>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</si>
  <si>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</si>
  <si>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</si>
  <si>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</si>
  <si>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</si>
  <si>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</si>
  <si>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</si>
  <si>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</si>
  <si>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</si>
  <si>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</si>
  <si>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</si>
  <si>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</si>
  <si>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</si>
  <si>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</si>
  <si>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</si>
  <si>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</si>
  <si>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</si>
  <si>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</si>
  <si>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</si>
  <si>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</si>
  <si>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</si>
  <si>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</si>
  <si>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</si>
  <si>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</si>
  <si>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</si>
  <si>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</si>
  <si>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</si>
  <si>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</si>
  <si>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</si>
  <si>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</si>
  <si>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</si>
  <si>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</si>
  <si>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</si>
  <si>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</si>
  <si>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</si>
  <si>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</si>
  <si>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</si>
  <si>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</si>
  <si>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</si>
  <si>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</si>
  <si>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</si>
  <si>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</si>
  <si>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</si>
  <si>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</si>
  <si>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</si>
  <si>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</si>
  <si>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</si>
  <si>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</si>
  <si>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</si>
  <si>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</si>
  <si>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</si>
  <si>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</si>
  <si>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</si>
  <si>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</si>
  <si>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</si>
  <si>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</si>
  <si>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</si>
  <si>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</si>
  <si>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</si>
  <si>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</si>
  <si>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</si>
  <si>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</si>
  <si>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</si>
  <si>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</si>
  <si>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</si>
  <si>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</si>
  <si>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</si>
  <si>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</si>
  <si>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</si>
  <si>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</si>
  <si>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</si>
  <si>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</si>
  <si>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</si>
  <si>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</si>
  <si>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</si>
  <si>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</si>
  <si>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</si>
  <si>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</si>
  <si>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</si>
  <si>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</si>
  <si>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</si>
  <si>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</si>
  <si>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</si>
  <si>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</si>
  <si>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</si>
  <si>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</si>
  <si>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</si>
  <si>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</si>
  <si>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</si>
  <si>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</si>
  <si>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</si>
  <si>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</si>
  <si>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</si>
  <si>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</si>
  <si>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</si>
  <si>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</si>
  <si>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</si>
  <si>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</si>
  <si>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</si>
  <si>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</si>
  <si>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</si>
  <si>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</si>
  <si>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</si>
  <si>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</si>
  <si>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</si>
  <si>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</si>
  <si>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</si>
  <si>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</si>
  <si>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</si>
  <si>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</si>
  <si>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</si>
  <si>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</si>
  <si>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</si>
  <si>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</si>
  <si>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</si>
  <si>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</si>
  <si>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</si>
  <si>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</si>
  <si>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</si>
  <si>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</si>
  <si>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</si>
  <si>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</si>
  <si>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</si>
  <si>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</si>
  <si>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</si>
  <si>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</si>
  <si>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</si>
  <si>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</si>
  <si>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</si>
  <si>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</si>
  <si>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</si>
  <si>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</si>
  <si>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</si>
  <si>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</si>
  <si>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</si>
  <si>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</si>
  <si>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</si>
  <si>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</si>
  <si>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</si>
  <si>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</si>
  <si>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</si>
  <si>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</si>
  <si>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</si>
  <si>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</si>
  <si>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</si>
  <si>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</si>
  <si>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</si>
  <si>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</si>
  <si>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</si>
  <si>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</si>
  <si>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</si>
  <si>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</si>
  <si>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</si>
  <si>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</si>
  <si>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</si>
  <si>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</si>
  <si>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</si>
  <si>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</si>
  <si>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</si>
  <si>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</si>
  <si>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</si>
  <si>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</si>
  <si>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</si>
  <si>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</si>
  <si>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</si>
  <si>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</si>
  <si>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</si>
  <si>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</si>
  <si>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</si>
  <si>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</si>
  <si>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</si>
  <si>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</si>
  <si>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</si>
  <si>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</si>
  <si>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</si>
  <si>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</si>
  <si>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</si>
  <si>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</si>
  <si>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</si>
  <si>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</si>
  <si>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</si>
  <si>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</si>
  <si>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</si>
  <si>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</si>
  <si>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</si>
  <si>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</si>
  <si>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</si>
  <si>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</si>
  <si>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</si>
  <si>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</si>
  <si>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</si>
  <si>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</si>
  <si>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</si>
  <si>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</si>
  <si>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</si>
  <si>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</si>
  <si>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</si>
  <si>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</si>
  <si>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</si>
  <si>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</si>
  <si>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</si>
  <si>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</si>
  <si>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</si>
  <si>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</si>
  <si>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</si>
  <si>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</si>
  <si>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</si>
  <si>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</si>
  <si>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</si>
  <si>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</si>
  <si>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</si>
  <si>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</si>
  <si>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</si>
  <si>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</si>
  <si>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</si>
  <si>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</si>
  <si>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</si>
  <si>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</si>
  <si>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</si>
  <si>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</si>
  <si>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</si>
  <si>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</si>
  <si>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</si>
  <si>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</si>
  <si>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</si>
  <si>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</si>
  <si>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</si>
  <si>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</si>
  <si>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</si>
  <si>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</si>
  <si>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</si>
  <si>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</si>
  <si>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</si>
  <si>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</si>
  <si>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</si>
  <si>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</si>
  <si>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</si>
  <si>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</si>
  <si>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</si>
  <si>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</si>
  <si>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</si>
  <si>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</si>
  <si>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</si>
  <si>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</si>
  <si>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</si>
  <si>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</si>
  <si>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</si>
  <si>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</si>
  <si>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</si>
  <si>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</si>
  <si>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</si>
  <si>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</si>
  <si>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</si>
  <si>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</si>
  <si>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</si>
  <si>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</si>
  <si>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</si>
  <si>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</si>
  <si>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</si>
  <si>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</si>
  <si>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</si>
  <si>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</si>
  <si>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</si>
  <si>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</si>
  <si>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</si>
  <si>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</si>
  <si>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</si>
  <si>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</si>
  <si>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</si>
  <si>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</si>
  <si>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</si>
  <si>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</si>
  <si>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</si>
  <si>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</si>
  <si>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</si>
  <si>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</si>
  <si>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</si>
  <si>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</si>
  <si>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</si>
  <si>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</si>
  <si>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</si>
  <si>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</si>
  <si>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</si>
  <si>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</si>
  <si>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</si>
  <si>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</si>
  <si>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</si>
  <si>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</si>
  <si>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</si>
  <si>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</si>
  <si>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</si>
  <si>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</si>
  <si>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</si>
  <si>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</si>
  <si>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</si>
  <si>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</si>
  <si>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</si>
  <si>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</si>
  <si>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</si>
  <si>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</si>
  <si>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</si>
  <si>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</si>
  <si>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</si>
  <si>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</si>
  <si>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</si>
  <si>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</si>
  <si>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</si>
  <si>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</si>
  <si>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</si>
  <si>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</si>
  <si>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</si>
  <si>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</si>
  <si>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</si>
  <si>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</si>
  <si>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</si>
  <si>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</si>
  <si>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</si>
  <si>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</si>
  <si>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</si>
  <si>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</si>
  <si>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</si>
  <si>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</si>
  <si>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</si>
  <si>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</si>
  <si>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</si>
  <si>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</si>
  <si>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</si>
  <si>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</si>
  <si>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</si>
  <si>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</si>
  <si>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</si>
  <si>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</si>
  <si>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</si>
  <si>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</si>
  <si>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</si>
  <si>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</si>
  <si>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</si>
  <si>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</si>
  <si>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</si>
  <si>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</si>
  <si>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</si>
  <si>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</si>
  <si>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</si>
  <si>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</si>
  <si>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</si>
  <si>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</si>
  <si>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</si>
  <si>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</si>
  <si>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</si>
  <si>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</si>
  <si>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</si>
  <si>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</si>
  <si>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</si>
  <si>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</si>
  <si>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</si>
  <si>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</si>
  <si>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</si>
  <si>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</si>
  <si>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</si>
  <si>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</si>
  <si>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</si>
  <si>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</si>
  <si>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</si>
  <si>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</si>
  <si>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</si>
  <si>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</si>
  <si>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</si>
  <si>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</si>
  <si>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</si>
  <si>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</si>
  <si>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</si>
  <si>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</si>
  <si>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</si>
  <si>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</si>
  <si>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</si>
  <si>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</si>
  <si>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</si>
  <si>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</si>
  <si>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</si>
  <si>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</si>
  <si>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</si>
  <si>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</si>
  <si>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</si>
  <si>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</si>
  <si>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</si>
  <si>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</si>
  <si>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</si>
  <si>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</si>
  <si>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</si>
  <si>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</si>
  <si>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</si>
  <si>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</si>
  <si>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</si>
  <si>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</si>
  <si>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</si>
  <si>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</si>
  <si>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</si>
  <si>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</si>
  <si>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</si>
  <si>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</si>
  <si>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</si>
  <si>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</si>
  <si>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</si>
  <si>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</si>
  <si>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</si>
  <si>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</si>
  <si>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</si>
  <si>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</si>
  <si>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</si>
  <si>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</si>
  <si>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</si>
  <si>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</si>
  <si>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</si>
  <si>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</si>
  <si>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</si>
  <si>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</si>
  <si>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</si>
  <si>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</si>
  <si>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</si>
  <si>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</si>
  <si>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</si>
  <si>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</si>
  <si>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</si>
  <si>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</si>
  <si>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</si>
  <si>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</si>
  <si>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</si>
  <si>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</si>
  <si>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</si>
  <si>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</si>
  <si>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</si>
  <si>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</si>
  <si>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</si>
  <si>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</si>
  <si>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</si>
  <si>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</si>
  <si>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</si>
  <si>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</si>
  <si>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</si>
  <si>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</si>
  <si>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</si>
  <si>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</si>
  <si>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</si>
  <si>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</si>
  <si>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</si>
  <si>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</si>
  <si>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</si>
  <si>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</si>
  <si>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</si>
  <si>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</si>
  <si>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</si>
  <si>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</si>
  <si>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</si>
  <si>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</si>
  <si>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</si>
  <si>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</si>
  <si>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</si>
  <si>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</si>
  <si>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</si>
  <si>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</si>
  <si>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</si>
  <si>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</si>
  <si>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</si>
  <si>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</si>
  <si>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</si>
  <si>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</si>
  <si>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</si>
  <si>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</si>
  <si>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</si>
  <si>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</si>
  <si>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</si>
  <si>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</si>
  <si>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</si>
  <si>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</si>
  <si>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</si>
  <si>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</si>
  <si>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</si>
  <si>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</si>
  <si>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</si>
  <si>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</si>
  <si>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</si>
  <si>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</si>
  <si>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</si>
  <si>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</si>
  <si>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</si>
  <si>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</si>
  <si>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</si>
  <si>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</si>
  <si>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</si>
  <si>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</si>
  <si>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</si>
  <si>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</si>
  <si>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</si>
  <si>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</si>
  <si>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</si>
  <si>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</si>
  <si>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</si>
  <si>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</si>
  <si>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</si>
  <si>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</si>
  <si>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</si>
  <si>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</si>
  <si>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</si>
  <si>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</si>
  <si>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</si>
  <si>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</si>
  <si>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</si>
  <si>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</si>
  <si>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</si>
  <si>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</si>
  <si>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</si>
  <si>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</si>
  <si>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</si>
  <si>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</si>
  <si>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</si>
  <si>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</si>
  <si>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</si>
  <si>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</si>
  <si>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</si>
  <si>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</si>
  <si>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</si>
  <si>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</si>
  <si>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</si>
  <si>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</si>
  <si>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</si>
  <si>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</si>
  <si>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</si>
  <si>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</si>
  <si>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</si>
  <si>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</si>
  <si>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</si>
  <si>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</si>
  <si>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</si>
  <si>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</si>
  <si>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</si>
  <si>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</si>
  <si>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</si>
  <si>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</si>
  <si>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</si>
  <si>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</si>
  <si>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</si>
  <si>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</si>
  <si>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</si>
  <si>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</si>
  <si>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</si>
  <si>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</si>
  <si>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</si>
  <si>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</si>
  <si>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</si>
  <si>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</si>
  <si>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</si>
  <si>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</si>
  <si>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</si>
  <si>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</si>
  <si>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</si>
  <si>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</si>
  <si>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</si>
  <si>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</si>
  <si>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</si>
  <si>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</si>
  <si>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</si>
  <si>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</si>
  <si>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</si>
  <si>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</si>
  <si>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</si>
  <si>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</si>
  <si>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</si>
  <si>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</si>
  <si>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</si>
  <si>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</si>
  <si>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</si>
  <si>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</si>
  <si>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</si>
  <si>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t>Versión: 07 (25-09-2024)</t>
  </si>
  <si>
    <t>2*RAIZ(1.09+0.00000000031*R2)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</si>
  <si>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</si>
  <si>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</si>
  <si>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</si>
  <si>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</si>
  <si>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</si>
  <si>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</si>
  <si>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</si>
  <si>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</si>
  <si>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</si>
  <si>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</si>
  <si>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</si>
  <si>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</si>
  <si>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</si>
  <si>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</si>
  <si>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</si>
  <si>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</si>
  <si>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</si>
  <si>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</si>
  <si>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</si>
  <si>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</si>
  <si>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</si>
  <si>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</si>
  <si>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</si>
  <si>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</si>
  <si>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</si>
  <si>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</si>
  <si>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</si>
  <si>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</si>
  <si>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</si>
  <si>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</si>
  <si>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</si>
  <si>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</si>
  <si>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</si>
  <si>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</si>
  <si>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</si>
  <si>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</si>
  <si>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</si>
  <si>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</si>
  <si>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</si>
  <si>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</si>
  <si>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</si>
  <si>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</si>
  <si>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</si>
  <si>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</si>
  <si>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</si>
  <si>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</si>
  <si>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</si>
  <si>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</si>
  <si>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</si>
  <si>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</si>
  <si>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</si>
  <si>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</si>
  <si>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</si>
  <si>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</si>
  <si>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</si>
  <si>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</si>
  <si>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</si>
  <si>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</si>
  <si>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</si>
  <si>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</si>
  <si>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</si>
  <si>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</si>
  <si>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</si>
  <si>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</si>
  <si>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</si>
  <si>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</si>
  <si>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</si>
  <si>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</si>
  <si>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</si>
  <si>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</si>
  <si>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</si>
  <si>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</si>
  <si>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</si>
  <si>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</si>
  <si>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</si>
  <si>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</si>
  <si>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</si>
  <si>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</si>
  <si>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</si>
  <si>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</si>
  <si>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</si>
  <si>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</si>
  <si>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</si>
  <si>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</si>
  <si>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</si>
  <si>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</si>
  <si>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</si>
  <si>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7-may.-26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</si>
</sst>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2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164" fontId="82" fillId="3" borderId="58" xfId="0" applyNumberFormat="1" applyFont="1" applyFill="1" applyBorder="1" applyAlignment="1">
      <alignment horizontal="center" vertical="center"/>
    </xf>
    <xf numFmtId="1" fontId="82" fillId="3" borderId="58" xfId="0" applyNumberFormat="1" applyFont="1" applyFill="1" applyBorder="1" applyAlignment="1">
      <alignment horizontal="center"/>
    </xf>
    <xf numFmtId="1" fontId="4" fillId="3" borderId="58" xfId="0" applyNumberFormat="1" applyFont="1" applyFill="1" applyBorder="1"/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14" fontId="4" fillId="3" borderId="0" xfId="4" applyNumberFormat="1" applyFill="1" applyAlignment="1">
      <alignment horizontal="center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4" fillId="0" borderId="130" xfId="0" applyFont="1" applyBorder="1" applyAlignment="1">
      <alignment horizontal="left" indent="1"/>
    </xf>
    <xf numFmtId="0" fontId="4" fillId="0" borderId="171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171" xfId="0" applyBorder="1" applyAlignment="1">
      <alignment horizontal="left" indent="1"/>
    </xf>
    <xf numFmtId="16" fontId="0" fillId="0" borderId="171" xfId="0" applyNumberFormat="1" applyBorder="1" applyAlignment="1">
      <alignment horizontal="left" indent="1"/>
    </xf>
    <xf numFmtId="0" fontId="12" fillId="0" borderId="171" xfId="3" applyFont="1" applyBorder="1" applyAlignment="1">
      <alignment horizontal="left" vertical="center" indent="1"/>
    </xf>
    <xf numFmtId="0" fontId="12" fillId="0" borderId="172" xfId="3" applyFont="1" applyBorder="1" applyAlignment="1">
      <alignment horizontal="left" vertical="center" indent="1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2" fillId="3" borderId="17" xfId="4" applyFont="1" applyFill="1" applyBorder="1" applyAlignment="1">
      <alignment horizontal="left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0" fontId="12" fillId="3" borderId="18" xfId="4" applyFont="1" applyFill="1" applyBorder="1" applyAlignment="1">
      <alignment horizontal="left" vertical="center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17" fillId="0" borderId="0" xfId="0" quotePrefix="1" applyFont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17" fillId="0" borderId="0" xfId="7" quotePrefix="1" applyFont="1" applyAlignment="1">
      <alignment horizontal="left" vertical="center" wrapText="1"/>
    </xf>
    <xf numFmtId="0" fontId="12" fillId="0" borderId="155" xfId="4" applyFont="1" applyBorder="1" applyAlignment="1">
      <alignment horizontal="left" vertical="center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177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0" fontId="58" fillId="0" borderId="58" xfId="4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178" fontId="12" fillId="0" borderId="0" xfId="4" applyNumberFormat="1" applyFont="1" applyAlignment="1">
      <alignment horizontal="center" vertical="center"/>
    </xf>
    <xf numFmtId="0" fontId="83" fillId="0" borderId="0" xfId="7" applyFont="1" applyAlignment="1">
      <alignment horizontal="right" vertical="center"/>
    </xf>
    <xf numFmtId="0" fontId="12" fillId="0" borderId="0" xfId="4" applyFont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179" fontId="25" fillId="0" borderId="0" xfId="4" applyNumberFormat="1" applyFont="1" applyAlignment="1" applyProtection="1">
      <alignment horizontal="center"/>
      <protection hidden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155577</xdr:colOff>
      <xdr:row>98</xdr:row>
      <xdr:rowOff>388940</xdr:rowOff>
    </xdr:from>
    <xdr:to>
      <xdr:col>7</xdr:col>
      <xdr:colOff>632832</xdr:colOff>
      <xdr:row>98</xdr:row>
      <xdr:rowOff>1470533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43277" y="1945164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471897</xdr:rowOff>
    </xdr:from>
    <xdr:to>
      <xdr:col>11</xdr:col>
      <xdr:colOff>760078</xdr:colOff>
      <xdr:row>98</xdr:row>
      <xdr:rowOff>1456147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879765" y="19879085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812800</xdr:colOff>
      <xdr:row>98</xdr:row>
      <xdr:rowOff>476250</xdr:rowOff>
    </xdr:from>
    <xdr:to>
      <xdr:col>9</xdr:col>
      <xdr:colOff>43233</xdr:colOff>
      <xdr:row>99</xdr:row>
      <xdr:rowOff>54073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902200" y="198374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63500</xdr:colOff>
      <xdr:row>98</xdr:row>
      <xdr:rowOff>628650</xdr:rowOff>
    </xdr:from>
    <xdr:to>
      <xdr:col>16</xdr:col>
      <xdr:colOff>55971</xdr:colOff>
      <xdr:row>101</xdr:row>
      <xdr:rowOff>91134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969135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861060</xdr:colOff>
          <xdr:row>16</xdr:row>
          <xdr:rowOff>175260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731520</xdr:colOff>
      <xdr:row>2</xdr:row>
      <xdr:rowOff>53340</xdr:rowOff>
    </xdr:from>
    <xdr:to>
      <xdr:col>7</xdr:col>
      <xdr:colOff>958215</xdr:colOff>
      <xdr:row>5</xdr:row>
      <xdr:rowOff>59544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388620"/>
          <a:ext cx="5913120" cy="509124"/>
        </a:xfrm>
        <a:prstGeom prst="rect">
          <a:avLst/>
        </a:prstGeom>
      </xdr:spPr>
    </xdr:pic>
    <xdr:clientData/>
  </xdr:twoCellAnchor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9400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352426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8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sheetPr>
    <pageSetUpPr fitToPage="1"/>
  </sheetPr>
  <dimension ref="A1:L58"/>
  <sheetViews>
    <sheetView zoomScale="70" zoomScaleNormal="70" workbookViewId="0">
      <selection activeCell="A6" sqref="A6:I6"/>
    </sheetView>
  </sheetViews>
  <sheetFormatPr baseColWidth="10" defaultColWidth="10.33203125" defaultRowHeight="13.8" x14ac:dyDescent="0.25"/>
  <cols>
    <col min="1" max="1" width="16.21875" style="1168" customWidth="1"/>
    <col min="2" max="2" width="15.5546875" style="1168" customWidth="1"/>
    <col min="3" max="3" width="5" style="1168" customWidth="1"/>
    <col min="4" max="4" width="14.88671875" style="1168" customWidth="1"/>
    <col min="5" max="5" width="0.44140625" style="1168" customWidth="1"/>
    <col min="6" max="6" width="15.5546875" style="1168" customWidth="1"/>
    <col min="7" max="7" width="13.109375" style="1168" customWidth="1"/>
    <col min="8" max="8" width="16.33203125" style="1168" customWidth="1"/>
    <col min="9" max="9" width="13" style="1168" customWidth="1"/>
    <col min="10" max="16384" width="10.33203125" style="1168"/>
  </cols>
  <sheetData>
    <row r="1" spans="1:12" ht="18.75" customHeight="1" thickTop="1" x14ac:dyDescent="0.25">
      <c r="A1" s="1316"/>
      <c r="B1" s="1317"/>
      <c r="C1" s="1317"/>
      <c r="D1" s="1317"/>
      <c r="E1" s="1317"/>
      <c r="F1" s="1317"/>
      <c r="G1" s="1317"/>
      <c r="H1" s="1317"/>
      <c r="I1" s="1318"/>
    </row>
    <row r="2" spans="1:12" ht="18.75" customHeight="1" x14ac:dyDescent="0.25">
      <c r="A2" s="1319"/>
      <c r="B2" s="1320"/>
      <c r="C2" s="1320"/>
      <c r="D2" s="1320"/>
      <c r="E2" s="1320"/>
      <c r="F2" s="1320"/>
      <c r="G2" s="1320"/>
      <c r="H2" s="1320"/>
      <c r="I2" s="1321"/>
      <c r="K2" s="329" t="s">
        <v>1</v>
      </c>
      <c r="L2" s="1260"/>
    </row>
    <row r="3" spans="1:12" ht="18.75" customHeight="1" x14ac:dyDescent="0.25">
      <c r="A3" s="1319"/>
      <c r="B3" s="1320"/>
      <c r="C3" s="1320"/>
      <c r="D3" s="1320"/>
      <c r="E3" s="1320"/>
      <c r="F3" s="1320"/>
      <c r="G3" s="1320"/>
      <c r="H3" s="1320"/>
      <c r="I3" s="1321"/>
      <c r="K3" s="329" t="s">
        <v>5</v>
      </c>
      <c r="L3" s="1261"/>
    </row>
    <row r="4" spans="1:12" ht="18.75" customHeight="1" thickBot="1" x14ac:dyDescent="0.3">
      <c r="A4" s="1322"/>
      <c r="B4" s="1323"/>
      <c r="C4" s="1323"/>
      <c r="D4" s="1323"/>
      <c r="E4" s="1323"/>
      <c r="F4" s="1323"/>
      <c r="G4" s="1323"/>
      <c r="H4" s="1323"/>
      <c r="I4" s="1324"/>
      <c r="K4" s="329" t="s">
        <v>7</v>
      </c>
      <c r="L4" s="1261"/>
    </row>
    <row r="5" spans="1:12" ht="18.75" customHeight="1" thickTop="1" x14ac:dyDescent="0.25">
      <c r="A5" s="1325" t="s">
        <v>0</v>
      </c>
      <c r="B5" s="1325"/>
      <c r="C5" s="1325"/>
      <c r="D5" s="1325"/>
      <c r="E5" s="1325"/>
      <c r="F5" s="1325"/>
      <c r="G5" s="1325"/>
      <c r="H5" s="1325"/>
      <c r="I5" s="1325"/>
      <c r="K5" s="329" t="s">
        <v>9</v>
      </c>
      <c r="L5" s="1261"/>
    </row>
    <row r="6" spans="1:12" ht="14.25" customHeight="1" x14ac:dyDescent="0.25">
      <c r="A6" s="1326" t="s">
        <v>594</v>
      </c>
      <c r="B6" s="1326"/>
      <c r="C6" s="1326"/>
      <c r="D6" s="1326"/>
      <c r="E6" s="1326"/>
      <c r="F6" s="1326"/>
      <c r="G6" s="1326"/>
      <c r="H6" s="1326"/>
      <c r="I6" s="1326"/>
      <c r="K6" s="1262"/>
      <c r="L6" s="1263"/>
    </row>
    <row r="7" spans="1:12" ht="2.25" customHeight="1" x14ac:dyDescent="0.25">
      <c r="A7" s="1169"/>
      <c r="B7" s="1169"/>
      <c r="C7" s="1169"/>
      <c r="D7" s="1169"/>
      <c r="E7" s="1169"/>
      <c r="F7" s="1169"/>
      <c r="G7" s="1169"/>
      <c r="H7" s="1169"/>
      <c r="I7" s="1169"/>
      <c r="K7" s="329" t="s">
        <v>538</v>
      </c>
      <c r="L7" s="1263"/>
    </row>
    <row r="8" spans="1:12" ht="18.75" customHeight="1" x14ac:dyDescent="0.25">
      <c r="A8" s="1170"/>
      <c r="B8" s="1171" t="s">
        <v>595</v>
      </c>
      <c r="C8" s="1327" t="s">
        <v>6</v>
      </c>
      <c r="D8" s="1328"/>
      <c r="E8" s="1173"/>
      <c r="F8" s="1329" t="s">
        <v>596</v>
      </c>
      <c r="G8" s="1328"/>
      <c r="H8" s="1172" t="s">
        <v>597</v>
      </c>
      <c r="I8" s="243"/>
      <c r="K8" s="329" t="s">
        <v>647</v>
      </c>
      <c r="L8" s="1264"/>
    </row>
    <row r="9" spans="1:12" ht="18.75" customHeight="1" x14ac:dyDescent="0.25">
      <c r="B9" s="1174"/>
      <c r="C9" s="1313"/>
      <c r="D9" s="1314"/>
      <c r="E9" s="1175"/>
      <c r="F9" s="1315"/>
      <c r="G9" s="1314"/>
      <c r="H9" s="1176"/>
      <c r="I9" s="243"/>
      <c r="K9" s="329" t="s">
        <v>648</v>
      </c>
      <c r="L9" s="1263"/>
    </row>
    <row r="10" spans="1:12" ht="18.75" customHeight="1" x14ac:dyDescent="0.25">
      <c r="A10" s="1177"/>
      <c r="B10" s="1304"/>
      <c r="C10" s="1304"/>
      <c r="D10" s="1304"/>
      <c r="E10" s="1178"/>
      <c r="F10" s="1304"/>
      <c r="G10" s="1304"/>
      <c r="H10" s="1178"/>
      <c r="I10" s="1179"/>
      <c r="K10" s="1262"/>
      <c r="L10" s="1263"/>
    </row>
    <row r="11" spans="1:12" ht="27.75" customHeight="1" x14ac:dyDescent="0.25">
      <c r="A11" s="1305" t="s">
        <v>598</v>
      </c>
      <c r="B11" s="1306"/>
      <c r="C11" s="1306"/>
      <c r="D11" s="1306"/>
      <c r="E11" s="1306"/>
      <c r="F11" s="1306"/>
      <c r="G11" s="1306"/>
      <c r="H11" s="1306"/>
      <c r="I11" s="1307"/>
      <c r="K11" s="329" t="s">
        <v>15</v>
      </c>
      <c r="L11" s="1263"/>
    </row>
    <row r="12" spans="1:12" ht="12" customHeight="1" x14ac:dyDescent="0.25">
      <c r="A12" s="1308" t="s">
        <v>535</v>
      </c>
      <c r="B12" s="1309"/>
      <c r="C12" s="1309"/>
      <c r="D12" s="1309"/>
      <c r="E12" s="1309"/>
      <c r="F12" s="1309"/>
      <c r="G12" s="1309"/>
      <c r="H12" s="1309"/>
      <c r="I12" s="1310"/>
      <c r="K12" s="329" t="s">
        <v>18</v>
      </c>
      <c r="L12" s="1264"/>
    </row>
    <row r="13" spans="1:12" ht="3.75" customHeight="1" x14ac:dyDescent="0.25">
      <c r="A13" s="1180"/>
      <c r="B13" s="1181"/>
      <c r="C13" s="1181"/>
      <c r="D13" s="1181"/>
      <c r="E13" s="1181"/>
      <c r="F13" s="1181"/>
      <c r="G13" s="1181"/>
      <c r="H13" s="1182"/>
      <c r="I13" s="1183"/>
      <c r="K13" s="329" t="s">
        <v>20</v>
      </c>
      <c r="L13" s="1264"/>
    </row>
    <row r="14" spans="1:12" ht="18.75" customHeight="1" x14ac:dyDescent="0.25">
      <c r="A14" s="1184" t="s">
        <v>23</v>
      </c>
      <c r="B14" s="1185"/>
      <c r="C14" s="1186" t="s">
        <v>599</v>
      </c>
      <c r="D14" s="1185"/>
      <c r="E14" s="1185"/>
      <c r="F14" s="1185"/>
      <c r="G14" s="1185"/>
      <c r="H14" s="1187"/>
      <c r="I14" s="1188"/>
      <c r="K14" s="1262"/>
      <c r="L14" s="1263"/>
    </row>
    <row r="15" spans="1:12" ht="18.75" customHeight="1" x14ac:dyDescent="0.25">
      <c r="A15" s="1295" t="s">
        <v>24</v>
      </c>
      <c r="B15" s="1295"/>
      <c r="C15" s="1189" t="s">
        <v>600</v>
      </c>
      <c r="D15" s="1311">
        <v>1</v>
      </c>
      <c r="E15" s="1312"/>
      <c r="F15" s="1191">
        <v>2</v>
      </c>
      <c r="G15" s="1190">
        <v>3</v>
      </c>
      <c r="H15" s="1190">
        <v>4</v>
      </c>
      <c r="I15" s="1191">
        <v>5</v>
      </c>
      <c r="K15" s="329" t="s">
        <v>649</v>
      </c>
      <c r="L15" s="1265"/>
    </row>
    <row r="16" spans="1:12" ht="18.75" customHeight="1" x14ac:dyDescent="0.25">
      <c r="A16" s="1287" t="s">
        <v>25</v>
      </c>
      <c r="B16" s="1287"/>
      <c r="C16" s="1192" t="s">
        <v>600</v>
      </c>
      <c r="D16" s="1298">
        <v>5</v>
      </c>
      <c r="E16" s="1299"/>
      <c r="F16" s="1194">
        <v>5</v>
      </c>
      <c r="G16" s="1193">
        <v>5</v>
      </c>
      <c r="H16" s="1193">
        <v>5</v>
      </c>
      <c r="I16" s="1194">
        <v>5</v>
      </c>
      <c r="K16" s="329" t="s">
        <v>16</v>
      </c>
      <c r="L16" s="1265"/>
    </row>
    <row r="17" spans="1:12" ht="18.75" customHeight="1" x14ac:dyDescent="0.25">
      <c r="A17" s="1287" t="s">
        <v>26</v>
      </c>
      <c r="B17" s="1287"/>
      <c r="C17" s="1192" t="s">
        <v>600</v>
      </c>
      <c r="D17" s="1298"/>
      <c r="E17" s="1299"/>
      <c r="F17" s="1194"/>
      <c r="G17" s="1193"/>
      <c r="H17" s="1193"/>
      <c r="I17" s="1194"/>
      <c r="K17" s="329" t="s">
        <v>19</v>
      </c>
      <c r="L17" s="1266"/>
    </row>
    <row r="18" spans="1:12" ht="18.75" customHeight="1" x14ac:dyDescent="0.25">
      <c r="A18" s="1287" t="s">
        <v>601</v>
      </c>
      <c r="B18" s="1287"/>
      <c r="C18" s="1193" t="s">
        <v>186</v>
      </c>
      <c r="D18" s="1298"/>
      <c r="E18" s="1299"/>
      <c r="F18" s="1195"/>
      <c r="G18" s="1196"/>
      <c r="H18" s="1196"/>
      <c r="I18" s="1195"/>
    </row>
    <row r="19" spans="1:12" ht="18.75" customHeight="1" x14ac:dyDescent="0.25">
      <c r="A19" s="1287" t="s">
        <v>602</v>
      </c>
      <c r="B19" s="1287"/>
      <c r="C19" s="1193" t="s">
        <v>186</v>
      </c>
      <c r="D19" s="1298"/>
      <c r="E19" s="1299"/>
      <c r="F19" s="1194"/>
      <c r="G19" s="1193"/>
      <c r="H19" s="1197"/>
      <c r="I19" s="1198"/>
    </row>
    <row r="20" spans="1:12" ht="18.75" customHeight="1" x14ac:dyDescent="0.25">
      <c r="A20" s="1300" t="s">
        <v>603</v>
      </c>
      <c r="B20" s="1301"/>
      <c r="C20" s="1199" t="s">
        <v>186</v>
      </c>
      <c r="D20" s="1298"/>
      <c r="E20" s="1299"/>
      <c r="F20" s="1194"/>
      <c r="G20" s="1193"/>
      <c r="H20" s="1197"/>
      <c r="I20" s="1198"/>
    </row>
    <row r="21" spans="1:12" ht="18.75" customHeight="1" x14ac:dyDescent="0.25">
      <c r="A21" s="1287" t="s">
        <v>604</v>
      </c>
      <c r="B21" s="1287"/>
      <c r="C21" s="1193" t="s">
        <v>605</v>
      </c>
      <c r="D21" s="1302"/>
      <c r="E21" s="1303"/>
      <c r="F21" s="1194"/>
      <c r="G21" s="1193"/>
      <c r="H21" s="1193"/>
      <c r="I21" s="1194"/>
    </row>
    <row r="22" spans="1:12" ht="18.75" customHeight="1" x14ac:dyDescent="0.25">
      <c r="A22" s="1290" t="s">
        <v>606</v>
      </c>
      <c r="B22" s="1290"/>
      <c r="C22" s="1200" t="s">
        <v>607</v>
      </c>
      <c r="D22" s="1293"/>
      <c r="E22" s="1294"/>
      <c r="F22" s="1201"/>
      <c r="G22" s="1202"/>
      <c r="H22" s="1202"/>
      <c r="I22" s="1201"/>
    </row>
    <row r="23" spans="1:12" ht="18.75" customHeight="1" x14ac:dyDescent="0.25">
      <c r="A23" s="1184" t="s">
        <v>29</v>
      </c>
      <c r="B23" s="1185"/>
      <c r="C23" s="1185"/>
      <c r="D23" s="1185"/>
      <c r="E23" s="1185"/>
      <c r="F23" s="1185"/>
      <c r="G23" s="1185"/>
      <c r="H23" s="1185"/>
      <c r="I23" s="1203"/>
    </row>
    <row r="24" spans="1:12" ht="18.75" customHeight="1" x14ac:dyDescent="0.25">
      <c r="A24" s="1295" t="s">
        <v>96</v>
      </c>
      <c r="B24" s="1295"/>
      <c r="C24" s="1204"/>
      <c r="D24" s="1296"/>
      <c r="E24" s="1297"/>
      <c r="F24" s="1206"/>
      <c r="G24" s="1205"/>
      <c r="H24" s="1205"/>
      <c r="I24" s="1206"/>
    </row>
    <row r="25" spans="1:12" ht="18.75" customHeight="1" x14ac:dyDescent="0.25">
      <c r="A25" s="1287" t="s">
        <v>608</v>
      </c>
      <c r="B25" s="1287"/>
      <c r="C25" s="1199" t="s">
        <v>186</v>
      </c>
      <c r="D25" s="1288"/>
      <c r="E25" s="1289"/>
      <c r="F25" s="1208"/>
      <c r="G25" s="1207"/>
      <c r="H25" s="1207"/>
      <c r="I25" s="1208"/>
    </row>
    <row r="26" spans="1:12" ht="18.75" customHeight="1" x14ac:dyDescent="0.25">
      <c r="A26" s="1287" t="s">
        <v>609</v>
      </c>
      <c r="B26" s="1287"/>
      <c r="C26" s="1199" t="s">
        <v>186</v>
      </c>
      <c r="D26" s="1288"/>
      <c r="E26" s="1289"/>
      <c r="F26" s="1208"/>
      <c r="G26" s="1207"/>
      <c r="H26" s="1207"/>
      <c r="I26" s="1208"/>
    </row>
    <row r="27" spans="1:12" ht="18.75" customHeight="1" x14ac:dyDescent="0.25">
      <c r="A27" s="1287" t="s">
        <v>610</v>
      </c>
      <c r="B27" s="1287"/>
      <c r="C27" s="1199" t="s">
        <v>186</v>
      </c>
      <c r="D27" s="1288"/>
      <c r="E27" s="1289"/>
      <c r="F27" s="1208"/>
      <c r="G27" s="1207"/>
      <c r="H27" s="1207"/>
      <c r="I27" s="1208"/>
    </row>
    <row r="28" spans="1:12" ht="18.75" customHeight="1" x14ac:dyDescent="0.25">
      <c r="A28" s="1287" t="s">
        <v>611</v>
      </c>
      <c r="B28" s="1287"/>
      <c r="C28" s="1199" t="s">
        <v>186</v>
      </c>
      <c r="D28" s="1288"/>
      <c r="E28" s="1289"/>
      <c r="F28" s="1208"/>
      <c r="G28" s="1207"/>
      <c r="H28" s="1207"/>
      <c r="I28" s="1208"/>
    </row>
    <row r="29" spans="1:12" ht="18.75" customHeight="1" x14ac:dyDescent="0.25">
      <c r="A29" s="1287" t="s">
        <v>612</v>
      </c>
      <c r="B29" s="1287"/>
      <c r="C29" s="1199" t="s">
        <v>186</v>
      </c>
      <c r="D29" s="1288"/>
      <c r="E29" s="1289"/>
      <c r="F29" s="1209"/>
      <c r="G29" s="1210"/>
      <c r="H29" s="1210"/>
      <c r="I29" s="1209"/>
    </row>
    <row r="30" spans="1:12" ht="18.75" customHeight="1" x14ac:dyDescent="0.25">
      <c r="A30" s="1287" t="s">
        <v>613</v>
      </c>
      <c r="B30" s="1287"/>
      <c r="C30" s="1199" t="s">
        <v>186</v>
      </c>
      <c r="D30" s="1288"/>
      <c r="E30" s="1289"/>
      <c r="F30" s="1209"/>
      <c r="G30" s="1210"/>
      <c r="H30" s="1210"/>
      <c r="I30" s="1209"/>
    </row>
    <row r="31" spans="1:12" ht="18.75" customHeight="1" x14ac:dyDescent="0.25">
      <c r="A31" s="1287" t="s">
        <v>614</v>
      </c>
      <c r="B31" s="1287"/>
      <c r="C31" s="1199" t="s">
        <v>186</v>
      </c>
      <c r="D31" s="1288"/>
      <c r="E31" s="1289"/>
      <c r="F31" s="1209"/>
      <c r="G31" s="1210"/>
      <c r="H31" s="1210"/>
      <c r="I31" s="1209"/>
    </row>
    <row r="32" spans="1:12" ht="18.75" customHeight="1" x14ac:dyDescent="0.25">
      <c r="A32" s="1287" t="s">
        <v>615</v>
      </c>
      <c r="B32" s="1287"/>
      <c r="C32" s="1193" t="s">
        <v>111</v>
      </c>
      <c r="D32" s="1288"/>
      <c r="E32" s="1289"/>
      <c r="F32" s="1211"/>
      <c r="G32" s="1212"/>
      <c r="H32" s="1212"/>
      <c r="I32" s="1211"/>
    </row>
    <row r="33" spans="1:10" ht="18.75" customHeight="1" x14ac:dyDescent="0.25">
      <c r="A33" s="1290" t="s">
        <v>616</v>
      </c>
      <c r="B33" s="1290"/>
      <c r="C33" s="1200" t="s">
        <v>607</v>
      </c>
      <c r="D33" s="1291"/>
      <c r="E33" s="1292"/>
      <c r="F33" s="1201"/>
      <c r="G33" s="1202"/>
      <c r="H33" s="1202"/>
      <c r="I33" s="1201"/>
    </row>
    <row r="34" spans="1:10" ht="18.75" customHeight="1" x14ac:dyDescent="0.25">
      <c r="A34" s="1213" t="s">
        <v>57</v>
      </c>
      <c r="B34" s="1214"/>
      <c r="C34" s="1214"/>
      <c r="D34" s="673" t="s">
        <v>617</v>
      </c>
      <c r="E34" s="1215"/>
      <c r="F34" s="1215"/>
      <c r="G34" s="1216"/>
      <c r="H34" s="1215"/>
      <c r="I34" s="474"/>
    </row>
    <row r="35" spans="1:10" ht="17.100000000000001" customHeight="1" x14ac:dyDescent="0.25">
      <c r="A35" s="1217" t="s">
        <v>618</v>
      </c>
      <c r="B35" s="1218"/>
      <c r="C35" s="1282"/>
      <c r="D35" s="1283"/>
      <c r="E35" s="1219"/>
      <c r="F35" s="1280" t="s">
        <v>40</v>
      </c>
      <c r="G35" s="1280" t="s">
        <v>41</v>
      </c>
      <c r="H35" s="1280" t="s">
        <v>619</v>
      </c>
      <c r="I35" s="1280" t="s">
        <v>235</v>
      </c>
    </row>
    <row r="36" spans="1:10" ht="17.100000000000001" customHeight="1" x14ac:dyDescent="0.25">
      <c r="A36" s="1220" t="s">
        <v>620</v>
      </c>
      <c r="B36" s="1221"/>
      <c r="C36" s="1282"/>
      <c r="D36" s="1283"/>
      <c r="E36" s="1219"/>
      <c r="F36" s="1281"/>
      <c r="G36" s="1281"/>
      <c r="H36" s="1281"/>
      <c r="I36" s="1281"/>
    </row>
    <row r="37" spans="1:10" ht="17.100000000000001" customHeight="1" x14ac:dyDescent="0.25">
      <c r="A37" s="1220" t="s">
        <v>621</v>
      </c>
      <c r="B37" s="1221"/>
      <c r="C37" s="1284"/>
      <c r="D37" s="1283"/>
      <c r="E37" s="1222"/>
      <c r="F37" s="1223" t="s">
        <v>622</v>
      </c>
      <c r="G37" s="1224"/>
      <c r="H37" s="1225"/>
      <c r="I37" s="1226"/>
    </row>
    <row r="38" spans="1:10" ht="17.100000000000001" customHeight="1" x14ac:dyDescent="0.25">
      <c r="A38" s="1227" t="s">
        <v>623</v>
      </c>
      <c r="B38" s="1228"/>
      <c r="C38" s="1282"/>
      <c r="D38" s="1283"/>
      <c r="E38" s="1219"/>
      <c r="F38" s="1223" t="s">
        <v>624</v>
      </c>
      <c r="G38" s="1224"/>
      <c r="H38" s="1225"/>
      <c r="I38" s="1226"/>
    </row>
    <row r="39" spans="1:10" ht="17.100000000000001" customHeight="1" x14ac:dyDescent="0.25">
      <c r="A39" s="1220" t="s">
        <v>625</v>
      </c>
      <c r="B39" s="1221"/>
      <c r="C39" s="1282"/>
      <c r="D39" s="1283"/>
      <c r="E39" s="1219"/>
      <c r="F39" s="1223" t="s">
        <v>114</v>
      </c>
      <c r="G39" s="1224"/>
      <c r="H39" s="1225"/>
      <c r="I39" s="1226"/>
    </row>
    <row r="40" spans="1:10" ht="17.100000000000001" customHeight="1" x14ac:dyDescent="0.25">
      <c r="A40" s="1213" t="s">
        <v>61</v>
      </c>
      <c r="B40" s="1213"/>
      <c r="C40" s="1213"/>
      <c r="D40" s="1229"/>
      <c r="E40" s="1229"/>
      <c r="F40" s="1223" t="s">
        <v>48</v>
      </c>
      <c r="G40" s="1224"/>
      <c r="H40" s="1226"/>
      <c r="I40" s="1226"/>
    </row>
    <row r="41" spans="1:10" ht="17.100000000000001" customHeight="1" x14ac:dyDescent="0.25">
      <c r="A41" s="1230" t="s">
        <v>626</v>
      </c>
      <c r="B41" s="1231"/>
      <c r="C41" s="1276"/>
      <c r="D41" s="1276"/>
      <c r="E41" s="1229"/>
      <c r="F41" s="1223" t="s">
        <v>627</v>
      </c>
      <c r="G41" s="1232"/>
      <c r="H41" s="1226"/>
      <c r="I41" s="1226"/>
    </row>
    <row r="42" spans="1:10" ht="17.100000000000001" customHeight="1" x14ac:dyDescent="0.25">
      <c r="A42" s="1230" t="s">
        <v>628</v>
      </c>
      <c r="B42" s="1233"/>
      <c r="C42" s="1276"/>
      <c r="D42" s="1276"/>
      <c r="E42" s="1234"/>
      <c r="J42" s="1235"/>
    </row>
    <row r="43" spans="1:10" ht="17.100000000000001" customHeight="1" x14ac:dyDescent="0.25">
      <c r="A43" s="1236" t="s">
        <v>629</v>
      </c>
      <c r="B43" s="1237"/>
      <c r="C43" s="1276"/>
      <c r="D43" s="1276"/>
      <c r="E43" s="1234"/>
      <c r="F43" s="1285" t="s">
        <v>630</v>
      </c>
      <c r="G43" s="1286"/>
      <c r="H43" s="1274" t="s">
        <v>631</v>
      </c>
      <c r="I43" s="1275"/>
      <c r="J43" s="1235"/>
    </row>
    <row r="44" spans="1:10" ht="18.75" customHeight="1" x14ac:dyDescent="0.25">
      <c r="A44" s="1230" t="s">
        <v>632</v>
      </c>
      <c r="B44" s="1233"/>
      <c r="C44" s="1276"/>
      <c r="D44" s="1276"/>
      <c r="E44" s="1234"/>
      <c r="F44" s="1238" t="s">
        <v>633</v>
      </c>
      <c r="G44" s="1239"/>
      <c r="H44" s="1274"/>
      <c r="I44" s="1275"/>
      <c r="J44" s="1235"/>
    </row>
    <row r="45" spans="1:10" ht="22.5" customHeight="1" x14ac:dyDescent="0.25">
      <c r="A45" s="1278" t="s">
        <v>634</v>
      </c>
      <c r="B45" s="1279"/>
      <c r="C45" s="1276"/>
      <c r="D45" s="1276"/>
      <c r="E45" s="1234"/>
      <c r="F45" s="1238" t="s">
        <v>635</v>
      </c>
      <c r="G45" s="1239"/>
      <c r="H45" s="1274"/>
      <c r="I45" s="1275"/>
      <c r="J45" s="1235"/>
    </row>
    <row r="46" spans="1:10" ht="18.75" customHeight="1" x14ac:dyDescent="0.25">
      <c r="A46" s="1240" t="s">
        <v>75</v>
      </c>
      <c r="B46" s="1241"/>
      <c r="C46" s="1241"/>
      <c r="D46" s="1242"/>
      <c r="F46" s="1238" t="s">
        <v>636</v>
      </c>
      <c r="G46" s="1239"/>
      <c r="H46" s="1274"/>
      <c r="I46" s="1275"/>
    </row>
    <row r="47" spans="1:10" ht="18.75" customHeight="1" x14ac:dyDescent="0.25">
      <c r="A47" s="1243"/>
      <c r="B47" s="1244"/>
      <c r="C47" s="1244"/>
      <c r="D47" s="1245"/>
      <c r="F47" s="1238" t="s">
        <v>637</v>
      </c>
      <c r="G47" s="1239"/>
      <c r="H47" s="1274"/>
      <c r="I47" s="1275"/>
    </row>
    <row r="48" spans="1:10" ht="18.75" customHeight="1" x14ac:dyDescent="0.25">
      <c r="A48" s="1243"/>
      <c r="B48" s="1244"/>
      <c r="C48" s="1244"/>
      <c r="D48" s="1245"/>
      <c r="F48" s="1238" t="s">
        <v>589</v>
      </c>
      <c r="G48" s="1246"/>
      <c r="H48" s="1274"/>
      <c r="I48" s="1275"/>
    </row>
    <row r="49" spans="1:9" ht="18.75" customHeight="1" x14ac:dyDescent="0.25">
      <c r="A49" s="1247"/>
      <c r="B49" s="1248"/>
      <c r="C49" s="1248"/>
      <c r="D49" s="1249"/>
      <c r="F49" s="1238" t="s">
        <v>638</v>
      </c>
      <c r="G49" s="1239"/>
      <c r="H49" s="1276"/>
      <c r="I49" s="1276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50" t="s">
        <v>267</v>
      </c>
      <c r="B53" s="1251"/>
      <c r="C53" s="1251"/>
      <c r="D53" s="1252"/>
      <c r="E53" s="1252"/>
      <c r="F53" s="1252"/>
      <c r="G53" s="1252"/>
      <c r="H53" s="1253"/>
      <c r="I53" s="1253"/>
    </row>
    <row r="54" spans="1:9" ht="18" customHeight="1" x14ac:dyDescent="0.25">
      <c r="A54" s="1250" t="s">
        <v>639</v>
      </c>
      <c r="B54" s="1252"/>
      <c r="C54" s="1252"/>
      <c r="D54" s="1254"/>
      <c r="E54" s="1254"/>
      <c r="F54" s="1255" t="s">
        <v>640</v>
      </c>
      <c r="G54" s="1255"/>
      <c r="H54" s="1253"/>
      <c r="I54" s="1253"/>
    </row>
    <row r="55" spans="1:9" ht="0.75" customHeight="1" x14ac:dyDescent="0.25"/>
    <row r="56" spans="1:9" ht="29.25" customHeight="1" x14ac:dyDescent="0.25">
      <c r="A56" s="1277" t="s">
        <v>641</v>
      </c>
      <c r="B56" s="1277"/>
      <c r="C56" s="1277"/>
      <c r="D56" s="1277"/>
      <c r="E56" s="1277"/>
      <c r="F56" s="1277"/>
      <c r="G56" s="1277"/>
      <c r="H56" s="1277"/>
      <c r="I56" s="1277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C9:D9"/>
    <mergeCell ref="F9:G9"/>
    <mergeCell ref="A1:I4"/>
    <mergeCell ref="A5:I5"/>
    <mergeCell ref="A6:I6"/>
    <mergeCell ref="C8:D8"/>
    <mergeCell ref="F8:G8"/>
    <mergeCell ref="B10:D10"/>
    <mergeCell ref="F10:G10"/>
    <mergeCell ref="A11:I11"/>
    <mergeCell ref="A12:I12"/>
    <mergeCell ref="A15:B15"/>
    <mergeCell ref="D15:E15"/>
    <mergeCell ref="A16:B16"/>
    <mergeCell ref="D16:E16"/>
    <mergeCell ref="A17:B17"/>
    <mergeCell ref="D17:E17"/>
    <mergeCell ref="A18:B18"/>
    <mergeCell ref="D18:E18"/>
    <mergeCell ref="A19:B19"/>
    <mergeCell ref="D19:E19"/>
    <mergeCell ref="A20:B20"/>
    <mergeCell ref="D20:E20"/>
    <mergeCell ref="A21:B21"/>
    <mergeCell ref="D21:E21"/>
    <mergeCell ref="A22:B22"/>
    <mergeCell ref="D22:E22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C35:D35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</mergeCells>
  <pageMargins left="0.9" right="0.3" top="0.75" bottom="0.15" header="0.3" footer="0.3"/>
  <pageSetup paperSize="9" scale="80" fitToWidth="0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view="pageBreakPreview" zoomScale="120" zoomScaleNormal="120" zoomScaleSheetLayoutView="120" workbookViewId="0">
      <selection activeCell="E4" sqref="E4"/>
    </sheetView>
  </sheetViews>
  <sheetFormatPr baseColWidth="10" defaultColWidth="10.33203125" defaultRowHeight="13.8" x14ac:dyDescent="0.25"/>
  <cols>
    <col min="1" max="1" width="10.6640625" style="702" customWidth="1"/>
    <col min="2" max="2" width="1" style="702" customWidth="1"/>
    <col min="3" max="3" width="7.109375" style="702" customWidth="1"/>
    <col min="4" max="4" width="2.109375" style="702" customWidth="1"/>
    <col min="5" max="5" width="12.6640625" style="702" customWidth="1"/>
    <col min="6" max="6" width="12.88671875" style="702" customWidth="1"/>
    <col min="7" max="7" width="13.109375" style="702" customWidth="1"/>
    <col min="8" max="8" width="13.6640625" style="702" customWidth="1"/>
    <col min="9" max="9" width="13.5546875" style="702" customWidth="1"/>
    <col min="10" max="10" width="4.88671875" style="702" customWidth="1"/>
    <col min="11" max="11" width="1.5546875" style="702" customWidth="1"/>
    <col min="12" max="12" width="13.109375" style="702" customWidth="1"/>
    <col min="13" max="13" width="10.33203125" style="702" customWidth="1"/>
    <col min="14" max="14" width="14.5546875" style="702" customWidth="1"/>
    <col min="15" max="15" width="11.33203125" style="702" customWidth="1"/>
    <col min="16" max="16" width="12.88671875" style="702" customWidth="1"/>
    <col min="17" max="24" width="11.33203125" style="702" customWidth="1"/>
    <col min="25" max="27" width="8.6640625" style="702" customWidth="1"/>
    <col min="28" max="28" width="9.88671875" style="702" customWidth="1"/>
    <col min="29" max="39" width="8.6640625" style="702" customWidth="1"/>
    <col min="40" max="16384" width="10.33203125" style="702"/>
  </cols>
  <sheetData>
    <row r="1" spans="1:40" x14ac:dyDescent="0.25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5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8"/>
    </row>
    <row r="3" spans="1:40" x14ac:dyDescent="0.25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9"/>
    </row>
    <row r="4" spans="1:40" x14ac:dyDescent="0.25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60"/>
    </row>
    <row r="5" spans="1:40" x14ac:dyDescent="0.25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101"/>
    </row>
    <row r="6" spans="1:40" ht="15.75" customHeight="1" x14ac:dyDescent="0.25">
      <c r="A6" s="1355" t="s">
        <v>0</v>
      </c>
      <c r="B6" s="1355"/>
      <c r="C6" s="1355"/>
      <c r="D6" s="1355"/>
      <c r="E6" s="1355"/>
      <c r="F6" s="1355"/>
      <c r="G6" s="1355"/>
      <c r="H6" s="1355"/>
      <c r="I6" s="1355"/>
      <c r="J6" s="1355"/>
      <c r="K6" s="1355"/>
      <c r="L6" s="1355"/>
      <c r="N6" s="961"/>
    </row>
    <row r="7" spans="1:40" ht="15.75" customHeight="1" x14ac:dyDescent="0.25">
      <c r="A7" s="1356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K7" s="1356"/>
      <c r="L7" s="1356"/>
      <c r="N7" s="962"/>
    </row>
    <row r="8" spans="1:40" ht="11.4" customHeight="1" x14ac:dyDescent="0.25">
      <c r="N8" s="962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8"/>
      <c r="AK8" s="718"/>
      <c r="AL8" s="722"/>
      <c r="AM8" s="722"/>
      <c r="AN8" s="722"/>
    </row>
    <row r="9" spans="1:40" ht="13.95" customHeight="1" x14ac:dyDescent="0.25">
      <c r="A9" s="424" t="s">
        <v>1</v>
      </c>
      <c r="B9" s="425" t="s">
        <v>2</v>
      </c>
      <c r="C9" s="1366">
        <f>+formato!L2</f>
        <v>0</v>
      </c>
      <c r="D9" s="1366"/>
      <c r="E9" s="1366"/>
      <c r="F9" s="1366"/>
      <c r="G9" s="1366"/>
      <c r="H9" s="1366"/>
      <c r="I9" s="963"/>
      <c r="J9" s="329" t="s">
        <v>3</v>
      </c>
      <c r="K9" s="427" t="s">
        <v>2</v>
      </c>
      <c r="L9" s="316" t="s">
        <v>4</v>
      </c>
      <c r="N9" s="962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8"/>
      <c r="AK9" s="718"/>
      <c r="AL9" s="722"/>
      <c r="AM9" s="722"/>
      <c r="AN9" s="722"/>
    </row>
    <row r="10" spans="1:40" ht="13.95" customHeight="1" x14ac:dyDescent="0.25">
      <c r="A10" s="424" t="s">
        <v>5</v>
      </c>
      <c r="B10" s="425" t="s">
        <v>2</v>
      </c>
      <c r="C10" s="1366">
        <f>+formato!L3</f>
        <v>0</v>
      </c>
      <c r="D10" s="1366"/>
      <c r="E10" s="1366"/>
      <c r="F10" s="1366"/>
      <c r="G10" s="1366"/>
      <c r="H10" s="1366"/>
      <c r="I10" s="964"/>
      <c r="J10" s="329" t="s">
        <v>538</v>
      </c>
      <c r="K10" s="425" t="s">
        <v>2</v>
      </c>
      <c r="L10" s="1166">
        <f>+formato!L7</f>
        <v>0</v>
      </c>
      <c r="M10" s="1102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8"/>
      <c r="AK10" s="718"/>
      <c r="AL10" s="722"/>
      <c r="AM10" s="722"/>
      <c r="AN10" s="722"/>
    </row>
    <row r="11" spans="1:40" ht="13.95" customHeight="1" x14ac:dyDescent="0.25">
      <c r="A11" s="424" t="s">
        <v>7</v>
      </c>
      <c r="B11" s="425" t="s">
        <v>2</v>
      </c>
      <c r="C11" s="1366">
        <f>+formato!L4</f>
        <v>0</v>
      </c>
      <c r="D11" s="1366"/>
      <c r="E11" s="1366"/>
      <c r="F11" s="1366"/>
      <c r="G11" s="1366"/>
      <c r="H11" s="1366"/>
      <c r="I11" s="964"/>
      <c r="J11" s="329" t="s">
        <v>8</v>
      </c>
      <c r="K11" s="425" t="s">
        <v>2</v>
      </c>
      <c r="L11" s="1129">
        <f>+formato!L8</f>
        <v>0</v>
      </c>
      <c r="M11" s="1102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8"/>
      <c r="AK11" s="718"/>
      <c r="AL11" s="722"/>
      <c r="AM11" s="722"/>
      <c r="AN11" s="722"/>
    </row>
    <row r="12" spans="1:40" ht="13.95" customHeight="1" x14ac:dyDescent="0.25">
      <c r="A12" s="424" t="s">
        <v>9</v>
      </c>
      <c r="B12" s="425" t="s">
        <v>2</v>
      </c>
      <c r="C12" s="1366">
        <f>+formato!L5</f>
        <v>0</v>
      </c>
      <c r="D12" s="1366"/>
      <c r="E12" s="1366"/>
      <c r="F12" s="1366"/>
      <c r="G12" s="1366"/>
      <c r="H12" s="1366"/>
      <c r="I12" s="1366"/>
      <c r="J12" s="478"/>
      <c r="K12" s="478"/>
      <c r="M12" s="1102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8"/>
      <c r="AK12" s="718"/>
      <c r="AL12" s="722"/>
      <c r="AM12" s="722"/>
      <c r="AN12" s="722"/>
    </row>
    <row r="13" spans="1:40" ht="9.75" customHeight="1" x14ac:dyDescent="0.25">
      <c r="A13" s="965" t="s">
        <v>10</v>
      </c>
      <c r="B13" s="1103"/>
      <c r="C13" s="1103"/>
      <c r="D13" s="425"/>
      <c r="E13" s="966"/>
      <c r="F13" s="966"/>
      <c r="G13" s="966"/>
      <c r="H13" s="966"/>
      <c r="I13" s="966"/>
      <c r="J13" s="329"/>
      <c r="K13" s="425"/>
      <c r="L13" s="967"/>
      <c r="M13" s="1102"/>
      <c r="Z13" s="720"/>
      <c r="AA13" s="719"/>
      <c r="AB13" s="475"/>
      <c r="AC13" s="475"/>
      <c r="AD13" s="475"/>
      <c r="AE13" s="475"/>
      <c r="AF13" s="475"/>
      <c r="AG13" s="475"/>
      <c r="AH13" s="475"/>
      <c r="AI13" s="475"/>
      <c r="AJ13" s="718"/>
      <c r="AK13" s="718"/>
      <c r="AL13" s="722"/>
      <c r="AM13" s="722"/>
      <c r="AN13" s="722"/>
    </row>
    <row r="14" spans="1:40" ht="27" customHeight="1" x14ac:dyDescent="0.25">
      <c r="A14" s="1357" t="s">
        <v>576</v>
      </c>
      <c r="B14" s="1358"/>
      <c r="C14" s="1358"/>
      <c r="D14" s="1358"/>
      <c r="E14" s="1358"/>
      <c r="F14" s="1358"/>
      <c r="G14" s="1358"/>
      <c r="H14" s="1358"/>
      <c r="I14" s="1358"/>
      <c r="J14" s="1358"/>
      <c r="K14" s="1358"/>
      <c r="L14" s="1359"/>
      <c r="M14" s="1102"/>
      <c r="Z14" s="720"/>
      <c r="AA14" s="719"/>
      <c r="AB14" s="475"/>
      <c r="AC14" s="475"/>
      <c r="AD14" s="475"/>
      <c r="AE14" s="475"/>
      <c r="AF14" s="475"/>
      <c r="AG14" s="475"/>
      <c r="AH14" s="475"/>
      <c r="AI14" s="475"/>
      <c r="AJ14" s="718"/>
      <c r="AK14" s="718"/>
      <c r="AL14" s="722"/>
      <c r="AM14" s="722"/>
      <c r="AN14" s="722"/>
    </row>
    <row r="15" spans="1:40" ht="11.25" customHeight="1" x14ac:dyDescent="0.25">
      <c r="A15" s="1360" t="s">
        <v>535</v>
      </c>
      <c r="B15" s="1361"/>
      <c r="C15" s="1361"/>
      <c r="D15" s="1361"/>
      <c r="E15" s="1361"/>
      <c r="F15" s="1361"/>
      <c r="G15" s="1361"/>
      <c r="H15" s="1361"/>
      <c r="I15" s="1361"/>
      <c r="J15" s="1361"/>
      <c r="K15" s="1361"/>
      <c r="L15" s="1362"/>
      <c r="M15" s="1102"/>
      <c r="N15" s="1102"/>
      <c r="Z15" s="720"/>
      <c r="AA15" s="719"/>
      <c r="AB15" s="475"/>
      <c r="AC15" s="475"/>
      <c r="AD15" s="475"/>
      <c r="AE15" s="475"/>
      <c r="AF15" s="475"/>
      <c r="AG15" s="475"/>
      <c r="AH15" s="475"/>
      <c r="AI15" s="475"/>
      <c r="AJ15" s="718"/>
      <c r="AK15" s="718"/>
      <c r="AL15" s="722"/>
      <c r="AM15" s="722"/>
      <c r="AN15" s="722"/>
    </row>
    <row r="16" spans="1:40" ht="9" customHeight="1" x14ac:dyDescent="0.25">
      <c r="A16" s="968"/>
      <c r="B16" s="424"/>
      <c r="C16" s="424"/>
      <c r="D16" s="425"/>
      <c r="E16" s="969"/>
      <c r="F16" s="969"/>
      <c r="G16" s="969"/>
      <c r="H16" s="969"/>
      <c r="I16" s="969"/>
      <c r="J16" s="329"/>
      <c r="K16" s="425"/>
      <c r="L16" s="970"/>
      <c r="M16" s="1102"/>
      <c r="N16" s="1102"/>
      <c r="Z16" s="720"/>
      <c r="AA16" s="719"/>
      <c r="AB16" s="475"/>
      <c r="AC16" s="475"/>
      <c r="AD16" s="475"/>
      <c r="AE16" s="475"/>
      <c r="AF16" s="475"/>
      <c r="AG16" s="475"/>
      <c r="AH16" s="475"/>
      <c r="AI16" s="475"/>
      <c r="AJ16" s="718"/>
      <c r="AK16" s="718"/>
      <c r="AL16" s="722"/>
      <c r="AM16" s="722"/>
      <c r="AN16" s="722"/>
    </row>
    <row r="17" spans="1:40" ht="13.95" customHeight="1" x14ac:dyDescent="0.25">
      <c r="A17" s="1363" t="s">
        <v>13</v>
      </c>
      <c r="B17" s="1364"/>
      <c r="C17" s="1364"/>
      <c r="D17" s="1364"/>
      <c r="E17" s="1364"/>
      <c r="F17" s="1364"/>
      <c r="G17" s="1364"/>
      <c r="H17" s="1364"/>
      <c r="I17" s="1364"/>
      <c r="J17" s="1364"/>
      <c r="K17" s="1364"/>
      <c r="L17" s="1365"/>
      <c r="N17" s="1102"/>
      <c r="Z17" s="475"/>
      <c r="AI17" s="475"/>
      <c r="AJ17" s="718"/>
      <c r="AK17" s="718"/>
      <c r="AL17" s="722"/>
      <c r="AM17" s="722"/>
      <c r="AN17" s="722"/>
    </row>
    <row r="18" spans="1:40" ht="13.95" customHeight="1" x14ac:dyDescent="0.25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71"/>
      <c r="H18" s="475"/>
      <c r="I18" s="316"/>
      <c r="J18" s="329" t="s">
        <v>15</v>
      </c>
      <c r="K18" s="478" t="s">
        <v>2</v>
      </c>
      <c r="L18" s="1167">
        <f>+formato!L11</f>
        <v>0</v>
      </c>
      <c r="N18" s="1102"/>
      <c r="Z18" s="1104"/>
      <c r="AA18" s="719"/>
      <c r="AB18" s="475"/>
      <c r="AC18" s="475"/>
      <c r="AD18" s="475"/>
      <c r="AE18" s="475"/>
      <c r="AF18" s="475"/>
      <c r="AG18" s="475"/>
      <c r="AH18" s="475"/>
      <c r="AI18" s="475"/>
      <c r="AJ18" s="718"/>
      <c r="AK18" s="718"/>
      <c r="AL18" s="722"/>
      <c r="AM18" s="722"/>
      <c r="AN18" s="722"/>
    </row>
    <row r="19" spans="1:40" ht="13.95" customHeight="1" x14ac:dyDescent="0.25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71"/>
      <c r="H19" s="475"/>
      <c r="I19" s="316"/>
      <c r="J19" s="329" t="s">
        <v>18</v>
      </c>
      <c r="K19" s="478" t="s">
        <v>2</v>
      </c>
      <c r="L19" s="1128">
        <f>+formato!L12</f>
        <v>0</v>
      </c>
      <c r="N19" s="1102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8"/>
      <c r="AK19" s="718"/>
      <c r="AL19" s="722"/>
      <c r="AM19" s="722"/>
      <c r="AN19" s="722"/>
    </row>
    <row r="20" spans="1:40" ht="13.95" customHeight="1" x14ac:dyDescent="0.25">
      <c r="A20" s="968" t="s">
        <v>555</v>
      </c>
      <c r="B20" s="424"/>
      <c r="C20" s="424"/>
      <c r="D20" s="323" t="s">
        <v>2</v>
      </c>
      <c r="E20" s="475">
        <f>+formato!L17</f>
        <v>0</v>
      </c>
      <c r="F20" s="971"/>
      <c r="H20" s="475"/>
      <c r="I20" s="316"/>
      <c r="J20" s="329" t="s">
        <v>20</v>
      </c>
      <c r="K20" s="478" t="s">
        <v>2</v>
      </c>
      <c r="L20" s="1128">
        <f>+formato!L13</f>
        <v>0</v>
      </c>
      <c r="M20" s="702">
        <f>+formato!F9</f>
        <v>0</v>
      </c>
      <c r="N20" s="1102"/>
      <c r="Y20" s="475"/>
      <c r="Z20" s="475"/>
      <c r="AA20" s="475"/>
      <c r="AB20" s="475"/>
      <c r="AC20" s="475"/>
      <c r="AD20" s="475"/>
      <c r="AE20" s="475"/>
      <c r="AF20" s="719"/>
      <c r="AG20" s="720"/>
      <c r="AH20" s="475"/>
      <c r="AI20" s="475"/>
      <c r="AJ20" s="718"/>
      <c r="AK20" s="718"/>
      <c r="AL20" s="722"/>
      <c r="AM20" s="722"/>
      <c r="AN20" s="722"/>
    </row>
    <row r="21" spans="1:40" ht="10.5" customHeight="1" x14ac:dyDescent="0.25">
      <c r="A21" s="973" t="s">
        <v>21</v>
      </c>
      <c r="B21" s="974"/>
      <c r="C21" s="974"/>
      <c r="D21" s="975" t="s">
        <v>2</v>
      </c>
      <c r="E21" s="976" t="s">
        <v>22</v>
      </c>
      <c r="F21" s="704"/>
      <c r="G21" s="704"/>
      <c r="H21" s="704"/>
      <c r="I21" s="978"/>
      <c r="J21" s="977"/>
      <c r="K21" s="978"/>
      <c r="L21" s="979"/>
      <c r="N21" s="1102"/>
      <c r="Y21" s="1104"/>
      <c r="Z21" s="475"/>
      <c r="AA21" s="1104"/>
      <c r="AB21" s="475"/>
      <c r="AC21" s="475"/>
      <c r="AD21" s="475"/>
      <c r="AE21" s="475"/>
      <c r="AF21" s="475"/>
      <c r="AG21" s="720"/>
      <c r="AH21" s="720"/>
      <c r="AI21" s="475"/>
      <c r="AJ21" s="718"/>
      <c r="AK21" s="718"/>
      <c r="AL21" s="722"/>
      <c r="AM21" s="722"/>
      <c r="AN21" s="722"/>
    </row>
    <row r="22" spans="1:40" ht="9" customHeight="1" x14ac:dyDescent="0.25">
      <c r="A22" s="980"/>
      <c r="B22" s="981"/>
      <c r="C22" s="981"/>
      <c r="D22" s="982"/>
      <c r="E22" s="983"/>
      <c r="F22" s="1025"/>
      <c r="G22" s="1025"/>
      <c r="H22" s="1025"/>
      <c r="I22" s="1072"/>
      <c r="J22" s="1071"/>
      <c r="K22" s="1072"/>
      <c r="L22" s="1073"/>
      <c r="N22" s="1102"/>
      <c r="Y22" s="1104"/>
      <c r="Z22" s="475"/>
      <c r="AA22" s="1104"/>
      <c r="AB22" s="475"/>
      <c r="AC22" s="475"/>
      <c r="AD22" s="475"/>
      <c r="AE22" s="475"/>
      <c r="AF22" s="475"/>
      <c r="AG22" s="720"/>
      <c r="AH22" s="720"/>
      <c r="AI22" s="475"/>
      <c r="AJ22" s="718"/>
      <c r="AK22" s="718"/>
      <c r="AL22" s="722"/>
      <c r="AM22" s="722"/>
      <c r="AN22" s="722"/>
    </row>
    <row r="23" spans="1:40" ht="16.5" customHeight="1" x14ac:dyDescent="0.25">
      <c r="A23" s="1074" t="s">
        <v>557</v>
      </c>
      <c r="B23" s="316"/>
      <c r="C23" s="316"/>
      <c r="D23" s="985"/>
      <c r="E23" s="985"/>
      <c r="F23" s="985"/>
      <c r="G23" s="985"/>
      <c r="H23" s="985"/>
      <c r="I23" s="985"/>
      <c r="J23" s="330"/>
      <c r="K23" s="478"/>
      <c r="L23" s="972"/>
      <c r="N23" s="1102"/>
      <c r="Y23" s="1104"/>
      <c r="Z23" s="475"/>
      <c r="AA23" s="1104"/>
      <c r="AB23" s="475"/>
      <c r="AC23" s="475"/>
      <c r="AD23" s="475"/>
      <c r="AE23" s="475"/>
      <c r="AF23" s="475"/>
      <c r="AG23" s="720"/>
      <c r="AH23" s="720"/>
      <c r="AI23" s="475"/>
      <c r="AJ23" s="718"/>
      <c r="AK23" s="718"/>
      <c r="AL23" s="722"/>
      <c r="AM23" s="722"/>
      <c r="AN23" s="722"/>
    </row>
    <row r="24" spans="1:40" ht="22.2" customHeight="1" x14ac:dyDescent="0.25">
      <c r="A24" s="1105"/>
      <c r="B24" s="1106"/>
      <c r="C24" s="1106"/>
      <c r="D24" s="1106"/>
      <c r="E24" s="1075" t="s">
        <v>40</v>
      </c>
      <c r="F24" s="1075" t="s">
        <v>556</v>
      </c>
      <c r="G24" s="1075" t="s">
        <v>43</v>
      </c>
      <c r="H24" s="1075" t="s">
        <v>44</v>
      </c>
      <c r="J24" s="330"/>
      <c r="K24" s="478"/>
      <c r="L24" s="972"/>
      <c r="N24" s="1102"/>
      <c r="Y24" s="1104"/>
      <c r="Z24" s="475"/>
      <c r="AA24" s="1104"/>
      <c r="AB24" s="475"/>
      <c r="AC24" s="475"/>
      <c r="AD24" s="475"/>
      <c r="AE24" s="475"/>
      <c r="AF24" s="475"/>
      <c r="AG24" s="720"/>
      <c r="AH24" s="720"/>
      <c r="AI24" s="475"/>
      <c r="AJ24" s="718"/>
      <c r="AK24" s="718"/>
      <c r="AL24" s="722"/>
      <c r="AM24" s="722"/>
      <c r="AN24" s="722"/>
    </row>
    <row r="25" spans="1:40" ht="16.5" customHeight="1" x14ac:dyDescent="0.25">
      <c r="A25" s="1105"/>
      <c r="B25" s="1106"/>
      <c r="C25" s="1106"/>
      <c r="D25" s="1106"/>
      <c r="E25" s="1076" t="s">
        <v>45</v>
      </c>
      <c r="F25" s="1077" t="e">
        <f>+DATOS!F52</f>
        <v>#DIV/0!</v>
      </c>
      <c r="G25" s="1077" t="e">
        <f>+DATOS!G52</f>
        <v>#DIV/0!</v>
      </c>
      <c r="H25" s="1077" t="e">
        <f>+DATOS!H52</f>
        <v>#DIV/0!</v>
      </c>
      <c r="J25" s="330"/>
      <c r="K25" s="478"/>
      <c r="L25" s="972"/>
      <c r="N25" s="1102"/>
      <c r="Y25" s="1104"/>
      <c r="Z25" s="475"/>
      <c r="AA25" s="1104"/>
      <c r="AB25" s="475"/>
      <c r="AC25" s="475"/>
      <c r="AD25" s="475"/>
      <c r="AE25" s="475"/>
      <c r="AF25" s="475"/>
      <c r="AG25" s="720"/>
      <c r="AH25" s="720"/>
      <c r="AI25" s="475"/>
      <c r="AJ25" s="718"/>
      <c r="AK25" s="718"/>
      <c r="AL25" s="722"/>
      <c r="AM25" s="722"/>
      <c r="AN25" s="722"/>
    </row>
    <row r="26" spans="1:40" ht="16.5" customHeight="1" x14ac:dyDescent="0.25">
      <c r="A26" s="1105"/>
      <c r="B26" s="1106"/>
      <c r="C26" s="1106"/>
      <c r="D26" s="1106"/>
      <c r="E26" s="1076" t="s">
        <v>46</v>
      </c>
      <c r="F26" s="1077" t="e">
        <f>+DATOS!F53</f>
        <v>#DIV/0!</v>
      </c>
      <c r="G26" s="1077" t="e">
        <f>+DATOS!G53</f>
        <v>#DIV/0!</v>
      </c>
      <c r="H26" s="1077" t="e">
        <f>+DATOS!H53</f>
        <v>#DIV/0!</v>
      </c>
      <c r="J26" s="330"/>
      <c r="K26" s="478"/>
      <c r="L26" s="972"/>
      <c r="N26" s="1331" t="s">
        <v>49</v>
      </c>
      <c r="O26" s="1332"/>
      <c r="Y26" s="1104"/>
      <c r="Z26" s="475"/>
      <c r="AA26" s="1104"/>
      <c r="AB26" s="475"/>
      <c r="AC26" s="475"/>
      <c r="AD26" s="475"/>
      <c r="AE26" s="475"/>
      <c r="AF26" s="475"/>
      <c r="AG26" s="720"/>
      <c r="AH26" s="720"/>
      <c r="AI26" s="475"/>
      <c r="AJ26" s="718"/>
      <c r="AK26" s="718"/>
      <c r="AL26" s="722"/>
      <c r="AM26" s="722"/>
      <c r="AN26" s="722"/>
    </row>
    <row r="27" spans="1:40" ht="16.5" customHeight="1" x14ac:dyDescent="0.25">
      <c r="A27" s="1105"/>
      <c r="B27" s="1106"/>
      <c r="C27" s="1106"/>
      <c r="D27" s="1106"/>
      <c r="E27" s="1076" t="s">
        <v>47</v>
      </c>
      <c r="F27" s="1077" t="e">
        <f>+DATOS!F54</f>
        <v>#DIV/0!</v>
      </c>
      <c r="G27" s="1077" t="e">
        <f>+DATOS!G54</f>
        <v>#DIV/0!</v>
      </c>
      <c r="H27" s="1077" t="e">
        <f>+DATOS!H54</f>
        <v>#DIV/0!</v>
      </c>
      <c r="J27" s="330"/>
      <c r="K27" s="478"/>
      <c r="L27" s="972"/>
      <c r="N27" s="728" t="s">
        <v>51</v>
      </c>
      <c r="O27" s="728" t="s">
        <v>52</v>
      </c>
      <c r="Y27" s="1104"/>
      <c r="Z27" s="475"/>
      <c r="AA27" s="1104"/>
      <c r="AB27" s="475"/>
      <c r="AC27" s="475"/>
      <c r="AD27" s="475"/>
      <c r="AE27" s="475"/>
      <c r="AF27" s="475"/>
      <c r="AG27" s="720"/>
      <c r="AH27" s="720"/>
      <c r="AI27" s="475"/>
      <c r="AJ27" s="718"/>
      <c r="AK27" s="718"/>
      <c r="AL27" s="722"/>
      <c r="AM27" s="722"/>
      <c r="AN27" s="722"/>
    </row>
    <row r="28" spans="1:40" ht="16.5" customHeight="1" x14ac:dyDescent="0.25">
      <c r="A28" s="1105"/>
      <c r="B28" s="1106"/>
      <c r="C28" s="1106"/>
      <c r="D28" s="1106"/>
      <c r="E28" s="1076" t="s">
        <v>48</v>
      </c>
      <c r="F28" s="1077" t="e">
        <f>+DATOS!F55</f>
        <v>#DIV/0!</v>
      </c>
      <c r="G28" s="1077" t="e">
        <f>+DATOS!G55</f>
        <v>#DIV/0!</v>
      </c>
      <c r="H28" s="1077" t="e">
        <f>+DATOS!H55</f>
        <v>#DIV/0!</v>
      </c>
      <c r="J28" s="330"/>
      <c r="K28" s="478"/>
      <c r="L28" s="972"/>
      <c r="N28" s="986" t="e">
        <f>+DATOS!K43</f>
        <v>#DIV/0!</v>
      </c>
      <c r="O28" s="987" t="e">
        <f>+DATOS!L43</f>
        <v>#DIV/0!</v>
      </c>
      <c r="Y28" s="1104"/>
      <c r="Z28" s="475"/>
      <c r="AA28" s="1104"/>
      <c r="AB28" s="475"/>
      <c r="AC28" s="475"/>
      <c r="AD28" s="475"/>
      <c r="AE28" s="475"/>
      <c r="AF28" s="475"/>
      <c r="AG28" s="720"/>
      <c r="AH28" s="720"/>
      <c r="AI28" s="475"/>
      <c r="AJ28" s="718"/>
      <c r="AK28" s="718"/>
      <c r="AL28" s="722"/>
      <c r="AM28" s="722"/>
      <c r="AN28" s="722"/>
    </row>
    <row r="29" spans="1:40" ht="16.5" customHeight="1" x14ac:dyDescent="0.25">
      <c r="A29" s="1074" t="s">
        <v>53</v>
      </c>
      <c r="B29" s="974"/>
      <c r="C29" s="974"/>
      <c r="D29" s="975"/>
      <c r="E29" s="976"/>
      <c r="F29" s="704"/>
      <c r="G29" s="704"/>
      <c r="H29" s="704"/>
      <c r="I29" s="978"/>
      <c r="J29" s="330"/>
      <c r="K29" s="478"/>
      <c r="L29" s="972"/>
      <c r="N29" s="986" t="e">
        <f>+DATOS!K44</f>
        <v>#DIV/0!</v>
      </c>
      <c r="O29" s="987" t="e">
        <f>+DATOS!L44</f>
        <v>#DIV/0!</v>
      </c>
      <c r="Y29" s="1104"/>
      <c r="Z29" s="475"/>
      <c r="AA29" s="1104"/>
      <c r="AB29" s="475"/>
      <c r="AC29" s="475"/>
      <c r="AD29" s="475"/>
      <c r="AE29" s="475"/>
      <c r="AF29" s="475"/>
      <c r="AG29" s="720"/>
      <c r="AH29" s="720"/>
      <c r="AI29" s="475"/>
      <c r="AJ29" s="718"/>
      <c r="AK29" s="718"/>
      <c r="AL29" s="722"/>
      <c r="AM29" s="722"/>
      <c r="AN29" s="722"/>
    </row>
    <row r="30" spans="1:40" ht="16.5" customHeight="1" x14ac:dyDescent="0.25">
      <c r="A30" s="988" t="s">
        <v>54</v>
      </c>
      <c r="B30" s="989"/>
      <c r="C30" s="990"/>
      <c r="D30" s="990"/>
      <c r="E30" s="990"/>
      <c r="F30" s="956">
        <f>+DATOS!F45</f>
        <v>2.81</v>
      </c>
      <c r="G30" s="956">
        <f>+DATOS!G45</f>
        <v>2.81</v>
      </c>
      <c r="H30" s="956">
        <f>+DATOS!H45</f>
        <v>2.81</v>
      </c>
      <c r="I30" s="956">
        <f>+DATOS!I45</f>
        <v>2.81</v>
      </c>
      <c r="J30" s="330"/>
      <c r="K30" s="478"/>
      <c r="L30" s="972"/>
      <c r="N30" s="986" t="e">
        <f>+DATOS!K45</f>
        <v>#DIV/0!</v>
      </c>
      <c r="O30" s="987" t="e">
        <f>+DATOS!L45</f>
        <v>#DIV/0!</v>
      </c>
      <c r="Y30" s="1104"/>
      <c r="Z30" s="475"/>
      <c r="AA30" s="1104"/>
      <c r="AB30" s="475"/>
      <c r="AC30" s="475"/>
      <c r="AD30" s="475"/>
      <c r="AE30" s="475"/>
      <c r="AF30" s="475"/>
      <c r="AG30" s="720"/>
      <c r="AH30" s="720"/>
      <c r="AI30" s="475"/>
      <c r="AJ30" s="718"/>
      <c r="AK30" s="718"/>
      <c r="AL30" s="722"/>
      <c r="AM30" s="722"/>
      <c r="AN30" s="722"/>
    </row>
    <row r="31" spans="1:40" ht="16.5" customHeight="1" x14ac:dyDescent="0.25">
      <c r="A31" s="988" t="s">
        <v>55</v>
      </c>
      <c r="B31" s="989"/>
      <c r="C31" s="990"/>
      <c r="D31" s="990"/>
      <c r="E31" s="990"/>
      <c r="F31" s="957" t="e">
        <f>+DATOS!F46</f>
        <v>#DIV/0!</v>
      </c>
      <c r="G31" s="957" t="e">
        <f>+DATOS!G46</f>
        <v>#DIV/0!</v>
      </c>
      <c r="H31" s="957" t="e">
        <f>+DATOS!H46</f>
        <v>#DIV/0!</v>
      </c>
      <c r="I31" s="957" t="e">
        <f>+DATOS!I46</f>
        <v>#DIV/0!</v>
      </c>
      <c r="J31" s="330"/>
      <c r="K31" s="478"/>
      <c r="L31" s="972"/>
      <c r="N31" s="986" t="e">
        <f>+DATOS!K46</f>
        <v>#DIV/0!</v>
      </c>
      <c r="O31" s="987" t="e">
        <f>+DATOS!L46</f>
        <v>#DIV/0!</v>
      </c>
      <c r="Y31" s="1104"/>
      <c r="Z31" s="475"/>
      <c r="AA31" s="1104"/>
      <c r="AB31" s="475"/>
      <c r="AC31" s="475"/>
      <c r="AD31" s="475"/>
      <c r="AE31" s="475"/>
      <c r="AF31" s="475"/>
      <c r="AG31" s="720"/>
      <c r="AH31" s="720"/>
      <c r="AI31" s="475"/>
      <c r="AJ31" s="718"/>
      <c r="AK31" s="718"/>
      <c r="AL31" s="722"/>
      <c r="AM31" s="722"/>
      <c r="AN31" s="722"/>
    </row>
    <row r="32" spans="1:40" ht="13.2" customHeight="1" x14ac:dyDescent="0.25">
      <c r="A32" s="1125" t="s">
        <v>536</v>
      </c>
      <c r="B32" s="1126"/>
      <c r="C32" s="1126"/>
      <c r="D32" s="1126"/>
      <c r="E32" s="1126"/>
      <c r="F32" s="1127"/>
      <c r="G32" s="1353">
        <f>DATOS!F41</f>
        <v>0</v>
      </c>
      <c r="H32" s="1353"/>
      <c r="I32" s="991"/>
      <c r="J32" s="330"/>
      <c r="K32" s="478"/>
      <c r="L32" s="972"/>
      <c r="N32" s="992"/>
      <c r="O32" s="380"/>
      <c r="Y32" s="1104"/>
      <c r="Z32" s="475"/>
      <c r="AA32" s="1104"/>
      <c r="AB32" s="475"/>
      <c r="AC32" s="475"/>
      <c r="AD32" s="475"/>
      <c r="AE32" s="475"/>
      <c r="AF32" s="475"/>
      <c r="AG32" s="720"/>
      <c r="AH32" s="720"/>
      <c r="AI32" s="475"/>
      <c r="AJ32" s="718"/>
      <c r="AK32" s="718"/>
      <c r="AL32" s="722"/>
      <c r="AM32" s="722"/>
      <c r="AN32" s="722"/>
    </row>
    <row r="33" spans="1:40" ht="17.399999999999999" customHeight="1" x14ac:dyDescent="0.25">
      <c r="A33" s="1074" t="s">
        <v>558</v>
      </c>
      <c r="B33" s="974"/>
      <c r="C33" s="974"/>
      <c r="D33" s="975"/>
      <c r="E33" s="976"/>
      <c r="F33" s="704"/>
      <c r="G33" s="704"/>
      <c r="H33" s="704"/>
      <c r="I33" s="978"/>
      <c r="J33" s="330"/>
      <c r="K33" s="478"/>
      <c r="L33" s="972"/>
      <c r="N33" s="1102"/>
      <c r="Y33" s="1104"/>
      <c r="Z33" s="475"/>
      <c r="AA33" s="1104"/>
      <c r="AB33" s="475"/>
      <c r="AC33" s="475"/>
      <c r="AD33" s="475"/>
      <c r="AE33" s="475"/>
      <c r="AF33" s="475"/>
      <c r="AG33" s="720"/>
      <c r="AH33" s="720"/>
      <c r="AI33" s="475"/>
      <c r="AJ33" s="718"/>
      <c r="AK33" s="718"/>
      <c r="AL33" s="722"/>
      <c r="AM33" s="722"/>
      <c r="AN33" s="722"/>
    </row>
    <row r="34" spans="1:40" ht="16.5" customHeight="1" x14ac:dyDescent="0.25">
      <c r="A34" s="1078" t="s">
        <v>23</v>
      </c>
      <c r="B34" s="1079"/>
      <c r="C34" s="1079"/>
      <c r="D34" s="1079"/>
      <c r="E34" s="1079"/>
      <c r="F34" s="1079"/>
      <c r="G34" s="1079"/>
      <c r="H34" s="1079"/>
      <c r="I34" s="1079"/>
      <c r="J34" s="1080"/>
      <c r="K34" s="1080"/>
      <c r="L34" s="1081"/>
      <c r="M34" s="1102"/>
      <c r="N34" s="993"/>
      <c r="Y34" s="475"/>
      <c r="Z34" s="719"/>
      <c r="AA34" s="475"/>
      <c r="AB34" s="475"/>
      <c r="AC34" s="475"/>
      <c r="AD34" s="475"/>
      <c r="AE34" s="720"/>
      <c r="AF34" s="720"/>
      <c r="AG34" s="720"/>
      <c r="AH34" s="720"/>
      <c r="AI34" s="475"/>
      <c r="AJ34" s="718"/>
      <c r="AK34" s="718"/>
      <c r="AL34" s="722"/>
      <c r="AM34" s="722"/>
      <c r="AN34" s="722"/>
    </row>
    <row r="35" spans="1:40" ht="16.5" customHeight="1" x14ac:dyDescent="0.25">
      <c r="A35" s="1349" t="s">
        <v>24</v>
      </c>
      <c r="B35" s="1349"/>
      <c r="C35" s="1349"/>
      <c r="D35" s="1349"/>
      <c r="E35" s="1349"/>
      <c r="F35" s="1082">
        <v>1</v>
      </c>
      <c r="G35" s="1082">
        <v>2</v>
      </c>
      <c r="H35" s="1082">
        <v>3</v>
      </c>
      <c r="I35" s="1082">
        <v>4</v>
      </c>
      <c r="J35" s="1354"/>
      <c r="K35" s="1354"/>
      <c r="L35" s="1354"/>
      <c r="M35" s="1102"/>
      <c r="N35" s="994"/>
      <c r="Y35" s="475"/>
      <c r="Z35" s="475"/>
      <c r="AA35" s="475"/>
      <c r="AB35" s="475"/>
      <c r="AC35" s="475"/>
      <c r="AD35" s="475"/>
      <c r="AE35" s="475"/>
      <c r="AF35" s="475"/>
      <c r="AG35" s="720"/>
      <c r="AH35" s="720"/>
      <c r="AI35" s="475"/>
      <c r="AJ35" s="718"/>
      <c r="AK35" s="718"/>
      <c r="AL35" s="722"/>
      <c r="AM35" s="722"/>
      <c r="AN35" s="722"/>
    </row>
    <row r="36" spans="1:40" ht="16.5" customHeight="1" x14ac:dyDescent="0.25">
      <c r="A36" s="1349" t="s">
        <v>25</v>
      </c>
      <c r="B36" s="1349"/>
      <c r="C36" s="1349"/>
      <c r="D36" s="1349"/>
      <c r="E36" s="1349"/>
      <c r="F36" s="1083">
        <f>+DATOS!F15</f>
        <v>5</v>
      </c>
      <c r="G36" s="1083">
        <f>+DATOS!H15</f>
        <v>5</v>
      </c>
      <c r="H36" s="1083">
        <f>+DATOS!J15</f>
        <v>5</v>
      </c>
      <c r="I36" s="1084">
        <f>+DATOS!L15</f>
        <v>5</v>
      </c>
      <c r="J36" s="1354"/>
      <c r="K36" s="1354"/>
      <c r="L36" s="1354"/>
      <c r="M36" s="1102"/>
      <c r="N36" s="995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8"/>
      <c r="AK36" s="718"/>
      <c r="AL36" s="722"/>
      <c r="AM36" s="722"/>
      <c r="AN36" s="722"/>
    </row>
    <row r="37" spans="1:40" ht="16.5" customHeight="1" x14ac:dyDescent="0.25">
      <c r="A37" s="1349" t="s">
        <v>26</v>
      </c>
      <c r="B37" s="1349"/>
      <c r="C37" s="1349"/>
      <c r="D37" s="1349"/>
      <c r="E37" s="1349"/>
      <c r="F37" s="1083">
        <f>+DATOS!F16</f>
        <v>0</v>
      </c>
      <c r="G37" s="1083">
        <f>+DATOS!H16</f>
        <v>0</v>
      </c>
      <c r="H37" s="1083">
        <f>+DATOS!J16</f>
        <v>0</v>
      </c>
      <c r="I37" s="1084">
        <f>+DATOS!L16</f>
        <v>0</v>
      </c>
      <c r="J37" s="1354"/>
      <c r="K37" s="1354"/>
      <c r="L37" s="1354"/>
      <c r="M37" s="1107"/>
      <c r="N37" s="995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8"/>
      <c r="AK37" s="718"/>
      <c r="AL37" s="722"/>
      <c r="AM37" s="722"/>
      <c r="AN37" s="722"/>
    </row>
    <row r="38" spans="1:40" ht="16.5" customHeight="1" x14ac:dyDescent="0.25">
      <c r="A38" s="1349" t="s">
        <v>28</v>
      </c>
      <c r="B38" s="1349"/>
      <c r="C38" s="1349"/>
      <c r="D38" s="1349"/>
      <c r="E38" s="1349"/>
      <c r="F38" s="1085" t="e">
        <f>+DATOS!F21</f>
        <v>#DIV/0!</v>
      </c>
      <c r="G38" s="1085" t="e">
        <f>+DATOS!H21</f>
        <v>#DIV/0!</v>
      </c>
      <c r="H38" s="1085" t="e">
        <f>+DATOS!J21</f>
        <v>#DIV/0!</v>
      </c>
      <c r="I38" s="1085" t="e">
        <f>+DATOS!L21</f>
        <v>#DIV/0!</v>
      </c>
      <c r="J38" s="1354"/>
      <c r="K38" s="1354"/>
      <c r="L38" s="1354"/>
      <c r="M38" s="1102"/>
      <c r="N38" s="1102"/>
      <c r="V38" s="718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8"/>
      <c r="AK38" s="718"/>
      <c r="AL38" s="722"/>
      <c r="AM38" s="722"/>
      <c r="AN38" s="722"/>
    </row>
    <row r="39" spans="1:40" ht="16.5" customHeight="1" x14ac:dyDescent="0.25">
      <c r="A39" s="1078" t="s">
        <v>29</v>
      </c>
      <c r="B39" s="1079"/>
      <c r="C39" s="1079"/>
      <c r="D39" s="1079"/>
      <c r="E39" s="1079"/>
      <c r="F39" s="1086"/>
      <c r="G39" s="996"/>
      <c r="H39" s="996"/>
      <c r="I39" s="1086"/>
      <c r="K39" s="997"/>
      <c r="L39" s="1087"/>
      <c r="M39" s="1102"/>
      <c r="N39" s="1102"/>
      <c r="V39" s="718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8"/>
      <c r="AK39" s="718"/>
      <c r="AL39" s="722"/>
      <c r="AM39" s="722"/>
      <c r="AN39" s="722"/>
    </row>
    <row r="40" spans="1:40" ht="16.5" customHeight="1" x14ac:dyDescent="0.25">
      <c r="A40" s="1349" t="s">
        <v>33</v>
      </c>
      <c r="B40" s="1349"/>
      <c r="C40" s="1349"/>
      <c r="D40" s="1349"/>
      <c r="E40" s="1349"/>
      <c r="F40" s="1088" t="e">
        <f>+DATOS!F31</f>
        <v>#DIV/0!</v>
      </c>
      <c r="G40" s="1088" t="e">
        <f>+DATOS!H31</f>
        <v>#DIV/0!</v>
      </c>
      <c r="H40" s="1088" t="e">
        <f>+DATOS!J31</f>
        <v>#DIV/0!</v>
      </c>
      <c r="I40" s="1088" t="e">
        <f>+DATOS!L31</f>
        <v>#DIV/0!</v>
      </c>
      <c r="J40" s="1350"/>
      <c r="K40" s="1351"/>
      <c r="L40" s="1352"/>
      <c r="M40" s="1108"/>
      <c r="N40" s="1102"/>
      <c r="Q40" s="1109"/>
      <c r="V40" s="718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8"/>
      <c r="AK40" s="718"/>
      <c r="AL40" s="722"/>
      <c r="AM40" s="722"/>
      <c r="AN40" s="722"/>
    </row>
    <row r="41" spans="1:40" ht="16.5" customHeight="1" x14ac:dyDescent="0.25">
      <c r="A41" s="1349" t="s">
        <v>34</v>
      </c>
      <c r="B41" s="1349"/>
      <c r="C41" s="1349"/>
      <c r="D41" s="1349"/>
      <c r="E41" s="1349"/>
      <c r="F41" s="1085" t="e">
        <f>+DATOS!F32</f>
        <v>#DIV/0!</v>
      </c>
      <c r="G41" s="1085" t="e">
        <f>+DATOS!H32</f>
        <v>#DIV/0!</v>
      </c>
      <c r="H41" s="1085" t="e">
        <f>+DATOS!J32</f>
        <v>#DIV/0!</v>
      </c>
      <c r="I41" s="1085" t="e">
        <f>+DATOS!L32</f>
        <v>#DIV/0!</v>
      </c>
      <c r="J41" s="1350"/>
      <c r="K41" s="1351"/>
      <c r="L41" s="1352"/>
      <c r="M41" s="1110"/>
      <c r="N41" s="1102"/>
      <c r="V41" s="718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8"/>
      <c r="AK41" s="718"/>
      <c r="AL41" s="722"/>
      <c r="AM41" s="722"/>
      <c r="AN41" s="722"/>
    </row>
    <row r="42" spans="1:40" ht="16.5" customHeight="1" x14ac:dyDescent="0.25">
      <c r="A42" s="1094" t="s">
        <v>570</v>
      </c>
      <c r="B42" s="1099"/>
      <c r="C42" s="1099"/>
      <c r="D42" s="1099"/>
      <c r="E42" s="1099"/>
      <c r="F42" s="1093" t="e">
        <f>+DATOS!F33</f>
        <v>#DIV/0!</v>
      </c>
      <c r="G42" s="1093" t="e">
        <f>+DATOS!H33</f>
        <v>#DIV/0!</v>
      </c>
      <c r="H42" s="1093" t="e">
        <f>+DATOS!J33</f>
        <v>#DIV/0!</v>
      </c>
      <c r="I42" s="1093" t="e">
        <f>+DATOS!L33</f>
        <v>#DIV/0!</v>
      </c>
      <c r="J42" s="1350"/>
      <c r="K42" s="1351"/>
      <c r="L42" s="1352"/>
      <c r="M42" s="1110"/>
      <c r="N42" s="1102"/>
      <c r="V42" s="718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8"/>
      <c r="AK42" s="718"/>
      <c r="AL42" s="722"/>
      <c r="AM42" s="722"/>
      <c r="AN42" s="722"/>
    </row>
    <row r="43" spans="1:40" ht="18" customHeight="1" x14ac:dyDescent="0.25">
      <c r="A43" s="1111"/>
      <c r="B43" s="1111"/>
      <c r="C43" s="1111"/>
      <c r="D43" s="1112"/>
      <c r="E43" s="1112"/>
      <c r="F43" s="1112"/>
      <c r="G43" s="1112"/>
      <c r="H43" s="998"/>
      <c r="I43" s="998"/>
      <c r="J43" s="998"/>
      <c r="K43" s="998"/>
      <c r="L43" s="999"/>
      <c r="M43" s="1102"/>
      <c r="N43" s="1102"/>
      <c r="V43" s="718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8"/>
      <c r="AK43" s="718"/>
      <c r="AL43" s="722"/>
      <c r="AM43" s="722"/>
      <c r="AN43" s="722"/>
    </row>
    <row r="44" spans="1:40" ht="18" customHeight="1" x14ac:dyDescent="0.25">
      <c r="A44" s="1113"/>
      <c r="B44" s="1113"/>
      <c r="C44" s="1113"/>
      <c r="D44" s="480"/>
      <c r="E44" s="480"/>
      <c r="F44" s="480"/>
      <c r="G44" s="480"/>
      <c r="H44" s="407"/>
      <c r="I44" s="997"/>
      <c r="J44" s="1367" t="s">
        <v>35</v>
      </c>
      <c r="K44" s="1368"/>
      <c r="L44" s="1369"/>
      <c r="M44" s="1102"/>
      <c r="N44" s="1333" t="s">
        <v>38</v>
      </c>
      <c r="O44" s="1333"/>
      <c r="V44" s="718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8"/>
      <c r="AK44" s="718"/>
      <c r="AL44" s="722"/>
      <c r="AM44" s="722"/>
      <c r="AN44" s="722"/>
    </row>
    <row r="45" spans="1:40" ht="13.5" customHeight="1" x14ac:dyDescent="0.25">
      <c r="A45" s="1113"/>
      <c r="B45" s="1113"/>
      <c r="C45" s="1113"/>
      <c r="D45" s="480"/>
      <c r="E45" s="480"/>
      <c r="F45" s="480"/>
      <c r="G45" s="480"/>
      <c r="H45" s="407"/>
      <c r="I45" s="997"/>
      <c r="J45" s="1370" t="e">
        <f>+DATOS!C50</f>
        <v>#DIV/0!</v>
      </c>
      <c r="K45" s="1371"/>
      <c r="L45" s="1372"/>
      <c r="M45" s="1102"/>
      <c r="N45" s="680">
        <v>0</v>
      </c>
      <c r="O45" s="987" t="e">
        <f>+DATOS!J74</f>
        <v>#DIV/0!</v>
      </c>
      <c r="V45" s="718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8"/>
      <c r="AK45" s="718"/>
      <c r="AL45" s="722"/>
      <c r="AM45" s="722"/>
      <c r="AN45" s="722"/>
    </row>
    <row r="46" spans="1:40" ht="24.75" customHeight="1" x14ac:dyDescent="0.25">
      <c r="A46" s="1113"/>
      <c r="B46" s="1113"/>
      <c r="C46" s="1113"/>
      <c r="D46" s="480"/>
      <c r="E46" s="480"/>
      <c r="F46" s="480"/>
      <c r="G46" s="480"/>
      <c r="H46" s="407"/>
      <c r="I46" s="997"/>
      <c r="J46" s="1334" t="s">
        <v>36</v>
      </c>
      <c r="K46" s="1335"/>
      <c r="L46" s="1336"/>
      <c r="M46" s="1102"/>
      <c r="N46" s="680" t="e">
        <f>+DATOS!J75</f>
        <v>#DIV/0!</v>
      </c>
      <c r="O46" s="987" t="e">
        <f>+O45</f>
        <v>#DIV/0!</v>
      </c>
      <c r="V46" s="718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8"/>
      <c r="AK46" s="718"/>
      <c r="AL46" s="722"/>
      <c r="AM46" s="722"/>
      <c r="AN46" s="722"/>
    </row>
    <row r="47" spans="1:40" ht="18" customHeight="1" x14ac:dyDescent="0.25">
      <c r="A47" s="1113"/>
      <c r="B47" s="1113"/>
      <c r="C47" s="1113"/>
      <c r="D47" s="480"/>
      <c r="E47" s="480"/>
      <c r="F47" s="480"/>
      <c r="G47" s="480"/>
      <c r="H47" s="480"/>
      <c r="I47" s="997"/>
      <c r="J47" s="1337" t="e">
        <f>MROUND(N52,0.02)</f>
        <v>#DIV/0!</v>
      </c>
      <c r="K47" s="1338"/>
      <c r="L47" s="1339"/>
      <c r="M47" s="1102" t="s">
        <v>574</v>
      </c>
      <c r="N47" s="680" t="e">
        <f>+N46</f>
        <v>#DIV/0!</v>
      </c>
      <c r="O47" s="987">
        <v>0</v>
      </c>
      <c r="V47" s="718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8"/>
      <c r="AK47" s="718"/>
      <c r="AL47" s="722"/>
      <c r="AM47" s="722"/>
      <c r="AN47" s="722"/>
    </row>
    <row r="48" spans="1:40" ht="18" customHeight="1" x14ac:dyDescent="0.25">
      <c r="A48" s="1113"/>
      <c r="B48" s="1113"/>
      <c r="C48" s="1113"/>
      <c r="D48" s="480"/>
      <c r="E48" s="480"/>
      <c r="F48" s="480"/>
      <c r="G48" s="480"/>
      <c r="H48" s="480"/>
      <c r="I48" s="997"/>
      <c r="J48" s="1373" t="s">
        <v>37</v>
      </c>
      <c r="K48" s="1374"/>
      <c r="L48" s="1375"/>
      <c r="M48" s="1102"/>
      <c r="N48" s="728"/>
      <c r="O48" s="728"/>
      <c r="S48" s="348"/>
      <c r="V48" s="718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8"/>
      <c r="AK48" s="718"/>
      <c r="AL48" s="722"/>
      <c r="AM48" s="722"/>
      <c r="AN48" s="722"/>
    </row>
    <row r="49" spans="1:40" ht="13.2" customHeight="1" x14ac:dyDescent="0.25">
      <c r="A49" s="1113"/>
      <c r="B49" s="1113"/>
      <c r="C49" s="1113"/>
      <c r="D49" s="480"/>
      <c r="E49" s="480"/>
      <c r="F49" s="480"/>
      <c r="G49" s="480"/>
      <c r="H49" s="480"/>
      <c r="I49" s="997"/>
      <c r="J49" s="1376"/>
      <c r="K49" s="1377"/>
      <c r="L49" s="1378"/>
      <c r="M49" s="1102"/>
      <c r="N49" s="1333" t="s">
        <v>571</v>
      </c>
      <c r="O49" s="1333"/>
      <c r="S49" s="348"/>
      <c r="V49" s="718"/>
      <c r="W49" s="475"/>
      <c r="X49" s="475"/>
      <c r="Y49" s="475"/>
      <c r="Z49" s="475"/>
      <c r="AA49" s="1104"/>
      <c r="AB49" s="475"/>
      <c r="AC49" s="475"/>
      <c r="AD49" s="475"/>
      <c r="AE49" s="475"/>
      <c r="AF49" s="475"/>
      <c r="AG49" s="475"/>
      <c r="AH49" s="475"/>
      <c r="AI49" s="475"/>
      <c r="AJ49" s="718"/>
      <c r="AK49" s="718"/>
      <c r="AL49" s="722"/>
      <c r="AM49" s="722"/>
      <c r="AN49" s="722"/>
    </row>
    <row r="50" spans="1:40" ht="13.2" customHeight="1" x14ac:dyDescent="0.25">
      <c r="A50" s="1113"/>
      <c r="B50" s="1113"/>
      <c r="C50" s="1113"/>
      <c r="D50" s="480"/>
      <c r="E50" s="480"/>
      <c r="F50" s="480"/>
      <c r="G50" s="480"/>
      <c r="H50" s="480"/>
      <c r="I50" s="997"/>
      <c r="J50" s="1341" t="e">
        <f>+DATOS!J74</f>
        <v>#DIV/0!</v>
      </c>
      <c r="K50" s="1342"/>
      <c r="L50" s="1343"/>
      <c r="M50" s="1108"/>
      <c r="N50" s="987">
        <v>0</v>
      </c>
      <c r="O50" s="986" t="e">
        <f>+O45</f>
        <v>#DIV/0!</v>
      </c>
      <c r="V50" s="718"/>
      <c r="W50" s="475"/>
      <c r="X50" s="475"/>
      <c r="Y50" s="475"/>
      <c r="Z50" s="475"/>
      <c r="AA50" s="1104"/>
      <c r="AB50" s="475"/>
      <c r="AC50" s="475"/>
      <c r="AD50" s="475"/>
      <c r="AE50" s="475"/>
      <c r="AF50" s="475"/>
      <c r="AG50" s="475"/>
      <c r="AH50" s="475"/>
      <c r="AI50" s="475"/>
      <c r="AJ50" s="718"/>
      <c r="AK50" s="718"/>
      <c r="AL50" s="722"/>
      <c r="AM50" s="722"/>
      <c r="AN50" s="722"/>
    </row>
    <row r="51" spans="1:40" ht="10.5" customHeight="1" x14ac:dyDescent="0.25">
      <c r="A51" s="1113"/>
      <c r="B51" s="1113"/>
      <c r="C51" s="1113"/>
      <c r="D51" s="480"/>
      <c r="E51" s="480"/>
      <c r="F51" s="480"/>
      <c r="G51" s="480"/>
      <c r="H51" s="480"/>
      <c r="I51" s="997"/>
      <c r="J51" s="1344"/>
      <c r="K51" s="1345"/>
      <c r="L51" s="1346"/>
      <c r="M51" s="1102"/>
      <c r="N51" s="680" t="e">
        <f>+N46*9.8066</f>
        <v>#DIV/0!</v>
      </c>
      <c r="O51" s="986" t="e">
        <f>+O50</f>
        <v>#DIV/0!</v>
      </c>
      <c r="V51" s="718"/>
      <c r="W51" s="475"/>
      <c r="X51" s="475"/>
      <c r="Y51" s="475"/>
      <c r="Z51" s="475"/>
      <c r="AA51" s="1104"/>
      <c r="AB51" s="475"/>
      <c r="AC51" s="475"/>
      <c r="AD51" s="475"/>
      <c r="AE51" s="475"/>
      <c r="AF51" s="475"/>
      <c r="AG51" s="475"/>
      <c r="AH51" s="475"/>
      <c r="AI51" s="475"/>
      <c r="AJ51" s="718"/>
      <c r="AK51" s="718"/>
      <c r="AL51" s="722"/>
      <c r="AM51" s="722"/>
      <c r="AN51" s="722"/>
    </row>
    <row r="52" spans="1:40" ht="13.2" customHeight="1" x14ac:dyDescent="0.25">
      <c r="A52" s="1113"/>
      <c r="B52" s="1113"/>
      <c r="C52" s="1113"/>
      <c r="D52" s="480"/>
      <c r="E52" s="480"/>
      <c r="F52" s="480"/>
      <c r="G52" s="480"/>
      <c r="H52" s="480"/>
      <c r="I52" s="997"/>
      <c r="M52" s="1102"/>
      <c r="N52" s="680" t="e">
        <f>+N51</f>
        <v>#DIV/0!</v>
      </c>
      <c r="O52" s="986">
        <v>0</v>
      </c>
      <c r="V52" s="718"/>
      <c r="W52" s="475"/>
      <c r="X52" s="475"/>
      <c r="Y52" s="475"/>
      <c r="Z52" s="475"/>
      <c r="AA52" s="719"/>
      <c r="AB52" s="475"/>
      <c r="AC52" s="475"/>
      <c r="AD52" s="475"/>
      <c r="AE52" s="475"/>
      <c r="AF52" s="475"/>
      <c r="AG52" s="475"/>
      <c r="AH52" s="475"/>
      <c r="AI52" s="475"/>
      <c r="AJ52" s="718"/>
      <c r="AK52" s="718"/>
      <c r="AL52" s="722"/>
      <c r="AM52" s="722"/>
      <c r="AN52" s="722"/>
    </row>
    <row r="53" spans="1:40" ht="13.2" customHeight="1" x14ac:dyDescent="0.25">
      <c r="A53" s="1113"/>
      <c r="B53" s="1113"/>
      <c r="C53" s="1113"/>
      <c r="D53" s="480"/>
      <c r="E53" s="480"/>
      <c r="F53" s="480"/>
      <c r="G53" s="480"/>
      <c r="H53" s="480"/>
      <c r="I53" s="997"/>
      <c r="M53" s="1102"/>
      <c r="V53" s="718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8"/>
      <c r="AK53" s="718"/>
      <c r="AL53" s="722"/>
      <c r="AM53" s="722"/>
      <c r="AN53" s="722"/>
    </row>
    <row r="54" spans="1:40" ht="13.2" customHeight="1" x14ac:dyDescent="0.25">
      <c r="A54" s="1113"/>
      <c r="B54" s="1113"/>
      <c r="C54" s="1113"/>
      <c r="D54" s="480"/>
      <c r="E54" s="480"/>
      <c r="F54" s="480"/>
      <c r="G54" s="480"/>
      <c r="H54" s="480"/>
      <c r="I54" s="997"/>
      <c r="N54" s="1114"/>
      <c r="V54" s="718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8"/>
      <c r="AK54" s="718"/>
      <c r="AL54" s="722"/>
      <c r="AM54" s="722"/>
      <c r="AN54" s="722"/>
    </row>
    <row r="55" spans="1:40" ht="13.2" customHeight="1" x14ac:dyDescent="0.25">
      <c r="A55" s="1113"/>
      <c r="B55" s="1113"/>
      <c r="C55" s="1113"/>
      <c r="D55" s="480"/>
      <c r="E55" s="480"/>
      <c r="F55" s="480"/>
      <c r="G55" s="480"/>
      <c r="H55" s="480"/>
      <c r="I55" s="997"/>
      <c r="V55" s="718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8"/>
      <c r="AK55" s="718"/>
      <c r="AL55" s="722"/>
      <c r="AM55" s="722"/>
      <c r="AN55" s="722"/>
    </row>
    <row r="56" spans="1:40" ht="13.2" customHeight="1" x14ac:dyDescent="0.25">
      <c r="A56" s="1113"/>
      <c r="B56" s="1113"/>
      <c r="C56" s="1113"/>
      <c r="D56" s="480"/>
      <c r="E56" s="480"/>
      <c r="F56" s="480"/>
      <c r="G56" s="480"/>
      <c r="H56" s="480"/>
      <c r="I56" s="997"/>
      <c r="N56" s="1114"/>
      <c r="V56" s="718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8"/>
      <c r="AK56" s="718"/>
      <c r="AL56" s="722"/>
      <c r="AM56" s="722"/>
      <c r="AN56" s="722"/>
    </row>
    <row r="57" spans="1:40" ht="13.2" customHeight="1" x14ac:dyDescent="0.25">
      <c r="A57" s="1113"/>
      <c r="B57" s="1113"/>
      <c r="C57" s="1113"/>
      <c r="D57" s="480"/>
      <c r="E57" s="480"/>
      <c r="F57" s="480"/>
      <c r="G57" s="480"/>
      <c r="H57" s="480"/>
      <c r="I57" s="997"/>
      <c r="L57" s="702" t="s">
        <v>530</v>
      </c>
      <c r="N57" s="1114"/>
      <c r="O57" s="1114"/>
      <c r="V57" s="718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8"/>
      <c r="AK57" s="718"/>
      <c r="AL57" s="722"/>
      <c r="AM57" s="722"/>
      <c r="AN57" s="722"/>
    </row>
    <row r="58" spans="1:40" ht="13.2" customHeight="1" x14ac:dyDescent="0.25">
      <c r="A58" s="1113"/>
      <c r="B58" s="1113"/>
      <c r="C58" s="1113"/>
      <c r="D58" s="480"/>
      <c r="E58" s="480"/>
      <c r="F58" s="480"/>
      <c r="G58" s="480"/>
      <c r="H58" s="480"/>
      <c r="I58" s="997"/>
      <c r="M58" s="378"/>
      <c r="V58" s="718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8"/>
      <c r="AK58" s="718"/>
      <c r="AL58" s="722"/>
      <c r="AM58" s="722"/>
      <c r="AN58" s="722"/>
    </row>
    <row r="59" spans="1:40" ht="13.2" customHeight="1" x14ac:dyDescent="0.25">
      <c r="A59" s="1113"/>
      <c r="B59" s="1113"/>
      <c r="C59" s="1113"/>
      <c r="D59" s="480"/>
      <c r="E59" s="480"/>
      <c r="F59" s="480"/>
      <c r="G59" s="480"/>
      <c r="H59" s="480"/>
      <c r="I59" s="997"/>
      <c r="M59" s="1102"/>
      <c r="V59" s="718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8"/>
      <c r="AK59" s="718"/>
      <c r="AL59" s="722"/>
      <c r="AM59" s="722"/>
      <c r="AN59" s="722"/>
    </row>
    <row r="60" spans="1:40" ht="13.2" customHeight="1" x14ac:dyDescent="0.25">
      <c r="B60" s="1113"/>
      <c r="C60" s="1113"/>
      <c r="D60" s="480"/>
      <c r="E60" s="480"/>
      <c r="F60" s="480"/>
      <c r="G60" s="480"/>
      <c r="H60" s="480"/>
      <c r="I60" s="997"/>
      <c r="J60" s="1340"/>
      <c r="K60" s="1340"/>
      <c r="L60" s="1340"/>
      <c r="M60" s="1102"/>
      <c r="Q60" s="1000"/>
      <c r="R60" s="1000"/>
      <c r="V60" s="718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8"/>
      <c r="AK60" s="718"/>
      <c r="AL60" s="722"/>
      <c r="AM60" s="722"/>
      <c r="AN60" s="722"/>
    </row>
    <row r="61" spans="1:40" ht="13.2" customHeight="1" x14ac:dyDescent="0.25">
      <c r="A61" s="316" t="s">
        <v>39</v>
      </c>
      <c r="B61" s="1113"/>
      <c r="C61" s="1113"/>
      <c r="D61" s="480"/>
      <c r="E61" s="480"/>
      <c r="F61" s="480"/>
      <c r="G61" s="480"/>
      <c r="H61" s="480"/>
      <c r="I61" s="997"/>
      <c r="J61" s="1379"/>
      <c r="K61" s="1379"/>
      <c r="L61" s="1379"/>
      <c r="M61" s="1102"/>
      <c r="Q61" s="1001"/>
      <c r="R61" s="1001"/>
      <c r="V61" s="718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8"/>
      <c r="AK61" s="718"/>
      <c r="AL61" s="722"/>
      <c r="AM61" s="722"/>
      <c r="AN61" s="722"/>
    </row>
    <row r="62" spans="1:40" ht="13.2" customHeight="1" x14ac:dyDescent="0.25">
      <c r="A62" s="316" t="s">
        <v>577</v>
      </c>
      <c r="B62" s="1113"/>
      <c r="C62" s="1113"/>
      <c r="D62" s="480"/>
      <c r="E62" s="480"/>
      <c r="F62" s="480"/>
      <c r="G62" s="480"/>
      <c r="H62" s="480"/>
      <c r="I62" s="997"/>
      <c r="J62" s="1340"/>
      <c r="K62" s="1340"/>
      <c r="L62" s="1340"/>
      <c r="M62" s="1102"/>
      <c r="P62" s="1000"/>
      <c r="Q62" s="1000"/>
      <c r="R62" s="1000"/>
      <c r="V62" s="718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8"/>
      <c r="AK62" s="718"/>
      <c r="AL62" s="722"/>
      <c r="AM62" s="722"/>
      <c r="AN62" s="722"/>
    </row>
    <row r="63" spans="1:40" ht="15" customHeight="1" x14ac:dyDescent="0.25">
      <c r="B63" s="316"/>
      <c r="C63" s="316"/>
      <c r="D63" s="997"/>
      <c r="E63" s="997"/>
      <c r="F63" s="997"/>
      <c r="G63" s="997"/>
      <c r="H63" s="997"/>
      <c r="I63" s="997"/>
      <c r="J63" s="997"/>
      <c r="K63" s="997"/>
      <c r="L63" s="997"/>
      <c r="M63" s="1102"/>
      <c r="N63" s="1003"/>
      <c r="O63" s="1004"/>
      <c r="P63" s="1002"/>
      <c r="Q63" s="1002"/>
      <c r="R63" s="1002"/>
      <c r="V63" s="718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8"/>
      <c r="AK63" s="718"/>
      <c r="AL63" s="722"/>
      <c r="AM63" s="722"/>
      <c r="AN63" s="722"/>
    </row>
    <row r="64" spans="1:40" ht="9" customHeight="1" x14ac:dyDescent="0.25">
      <c r="B64" s="316"/>
      <c r="C64" s="316"/>
      <c r="D64" s="997"/>
      <c r="E64" s="997"/>
      <c r="F64" s="997"/>
      <c r="G64" s="997"/>
      <c r="H64" s="997"/>
      <c r="I64" s="997"/>
      <c r="J64" s="997"/>
      <c r="K64" s="997"/>
      <c r="L64" s="997"/>
      <c r="M64" s="1102"/>
      <c r="N64" s="1003"/>
      <c r="O64" s="1004"/>
      <c r="P64" s="1002"/>
      <c r="Q64" s="1002"/>
      <c r="R64" s="1002"/>
      <c r="V64" s="718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8"/>
      <c r="AK64" s="718"/>
      <c r="AL64" s="722"/>
      <c r="AM64" s="722"/>
      <c r="AN64" s="722"/>
    </row>
    <row r="65" spans="1:40" ht="20.25" customHeight="1" x14ac:dyDescent="0.25">
      <c r="A65" s="984" t="s">
        <v>57</v>
      </c>
      <c r="B65" s="1005"/>
      <c r="C65" s="1005"/>
      <c r="D65" s="478"/>
      <c r="E65" s="478"/>
      <c r="H65" s="478"/>
      <c r="I65" s="480"/>
      <c r="J65" s="480"/>
      <c r="K65" s="480"/>
      <c r="L65" s="478"/>
      <c r="V65" s="718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8"/>
      <c r="AK65" s="718"/>
      <c r="AL65" s="722"/>
      <c r="AM65" s="722"/>
      <c r="AN65" s="722"/>
    </row>
    <row r="66" spans="1:40" ht="15" customHeight="1" x14ac:dyDescent="0.25">
      <c r="A66" s="1006" t="s">
        <v>58</v>
      </c>
      <c r="B66" s="1115"/>
      <c r="C66" s="1115"/>
      <c r="D66" s="478"/>
      <c r="E66" s="478"/>
      <c r="F66" s="1380">
        <f>+formato!C36</f>
        <v>0</v>
      </c>
      <c r="G66" s="1380"/>
      <c r="H66" s="478"/>
      <c r="I66" s="378"/>
      <c r="J66" s="478"/>
      <c r="K66" s="478"/>
      <c r="L66" s="985"/>
      <c r="V66" s="718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8"/>
      <c r="AK66" s="718"/>
      <c r="AL66" s="722"/>
      <c r="AM66" s="722"/>
      <c r="AN66" s="722"/>
    </row>
    <row r="67" spans="1:40" ht="15" customHeight="1" x14ac:dyDescent="0.25">
      <c r="A67" s="1006" t="s">
        <v>59</v>
      </c>
      <c r="B67" s="1115"/>
      <c r="C67" s="1115"/>
      <c r="D67" s="478"/>
      <c r="E67" s="478"/>
      <c r="F67" s="1381">
        <f>+formato!C37</f>
        <v>0</v>
      </c>
      <c r="G67" s="1381"/>
      <c r="H67" s="478"/>
      <c r="I67" s="378"/>
      <c r="J67" s="1116"/>
      <c r="K67" s="478"/>
      <c r="L67" s="478"/>
      <c r="V67" s="718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8"/>
      <c r="AK67" s="718"/>
      <c r="AL67" s="722"/>
      <c r="AM67" s="722"/>
      <c r="AN67" s="722"/>
    </row>
    <row r="68" spans="1:40" ht="15" customHeight="1" x14ac:dyDescent="0.25">
      <c r="A68" s="1006" t="s">
        <v>60</v>
      </c>
      <c r="B68" s="1115"/>
      <c r="C68" s="1115"/>
      <c r="D68" s="478"/>
      <c r="E68" s="478"/>
      <c r="F68" s="1380">
        <f>+formato!C38</f>
        <v>0</v>
      </c>
      <c r="G68" s="1380"/>
      <c r="H68" s="478"/>
      <c r="I68" s="1117"/>
      <c r="J68" s="1116"/>
      <c r="K68" s="478"/>
      <c r="L68" s="478"/>
      <c r="V68" s="718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8"/>
      <c r="AK68" s="718"/>
      <c r="AL68" s="722"/>
      <c r="AM68" s="722"/>
      <c r="AN68" s="722"/>
    </row>
    <row r="69" spans="1:40" ht="13.2" customHeight="1" x14ac:dyDescent="0.25">
      <c r="A69" s="1118"/>
      <c r="B69" s="1115"/>
      <c r="C69" s="1115"/>
      <c r="D69" s="478"/>
      <c r="E69" s="478"/>
      <c r="F69" s="1007"/>
      <c r="G69" s="1007"/>
      <c r="H69" s="478"/>
      <c r="I69" s="1117"/>
      <c r="J69" s="1116"/>
      <c r="K69" s="478"/>
      <c r="L69" s="478"/>
      <c r="V69" s="718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8"/>
      <c r="AK69" s="718"/>
      <c r="AL69" s="722"/>
      <c r="AM69" s="722"/>
      <c r="AN69" s="722"/>
    </row>
    <row r="70" spans="1:40" ht="19.5" customHeight="1" x14ac:dyDescent="0.25">
      <c r="A70" s="984" t="s">
        <v>61</v>
      </c>
      <c r="B70" s="984"/>
      <c r="C70" s="984"/>
      <c r="D70" s="997"/>
      <c r="E70" s="997"/>
      <c r="F70" s="1008"/>
      <c r="G70" s="1009"/>
      <c r="H70" s="1008"/>
      <c r="I70" s="1010"/>
      <c r="J70" s="1116"/>
      <c r="K70" s="478"/>
      <c r="L70" s="478"/>
      <c r="V70" s="718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8"/>
      <c r="AK70" s="718"/>
      <c r="AL70" s="722"/>
      <c r="AM70" s="722"/>
      <c r="AN70" s="722"/>
    </row>
    <row r="71" spans="1:40" ht="16.5" customHeight="1" x14ac:dyDescent="0.25">
      <c r="A71" s="1011" t="s">
        <v>62</v>
      </c>
      <c r="B71" s="1119"/>
      <c r="C71" s="1119"/>
      <c r="D71" s="1119"/>
      <c r="E71" s="1119"/>
      <c r="F71" s="1119"/>
      <c r="G71" s="1012">
        <f>+formato!C45</f>
        <v>0</v>
      </c>
      <c r="H71" s="1113"/>
      <c r="J71" s="1116"/>
      <c r="K71" s="478"/>
      <c r="L71" s="478"/>
      <c r="V71" s="718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8"/>
      <c r="AK71" s="718"/>
      <c r="AL71" s="722"/>
      <c r="AM71" s="722"/>
      <c r="AN71" s="722"/>
    </row>
    <row r="72" spans="1:40" ht="16.5" customHeight="1" x14ac:dyDescent="0.25">
      <c r="A72" s="1011" t="s">
        <v>64</v>
      </c>
      <c r="B72" s="1119"/>
      <c r="C72" s="1119"/>
      <c r="D72" s="1119"/>
      <c r="E72" s="1119"/>
      <c r="F72" s="1119"/>
      <c r="G72" s="1012">
        <f>+formato!C42</f>
        <v>0</v>
      </c>
      <c r="H72" s="1113"/>
      <c r="J72" s="1116"/>
      <c r="K72" s="478"/>
      <c r="L72" s="478"/>
      <c r="V72" s="718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8"/>
      <c r="AK72" s="718"/>
      <c r="AL72" s="722"/>
      <c r="AM72" s="722"/>
      <c r="AN72" s="722"/>
    </row>
    <row r="73" spans="1:40" ht="16.5" customHeight="1" x14ac:dyDescent="0.25">
      <c r="A73" s="1011" t="s">
        <v>65</v>
      </c>
      <c r="B73" s="1119"/>
      <c r="C73" s="1119"/>
      <c r="D73" s="1119"/>
      <c r="E73" s="1119"/>
      <c r="F73" s="1119"/>
      <c r="G73" s="1012">
        <f>+formato!C43</f>
        <v>0</v>
      </c>
      <c r="H73" s="1113"/>
      <c r="J73" s="1116"/>
      <c r="K73" s="478"/>
      <c r="L73" s="478"/>
      <c r="V73" s="718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8"/>
      <c r="AK73" s="718"/>
      <c r="AL73" s="722"/>
      <c r="AM73" s="722"/>
      <c r="AN73" s="722"/>
    </row>
    <row r="74" spans="1:40" ht="16.5" customHeight="1" x14ac:dyDescent="0.25">
      <c r="A74" s="1013" t="s">
        <v>554</v>
      </c>
      <c r="B74" s="1018"/>
      <c r="C74" s="1018"/>
      <c r="D74" s="1018"/>
      <c r="E74" s="1018"/>
      <c r="F74" s="1018"/>
      <c r="G74" s="1014" t="s">
        <v>67</v>
      </c>
      <c r="H74" s="1382">
        <f>DATOS!F37</f>
        <v>0</v>
      </c>
      <c r="I74" s="1383"/>
      <c r="J74" s="1116"/>
      <c r="K74" s="478"/>
      <c r="L74" s="478"/>
      <c r="M74" s="1089">
        <v>8</v>
      </c>
      <c r="N74" s="1089"/>
      <c r="O74" s="1089"/>
      <c r="V74" s="718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8"/>
      <c r="AK74" s="718"/>
      <c r="AL74" s="722"/>
      <c r="AM74" s="722"/>
      <c r="AN74" s="722"/>
    </row>
    <row r="75" spans="1:40" ht="16.5" customHeight="1" x14ac:dyDescent="0.25">
      <c r="A75" s="1013" t="s">
        <v>579</v>
      </c>
      <c r="B75" s="1018"/>
      <c r="C75" s="1018"/>
      <c r="D75" s="1018"/>
      <c r="E75" s="1018"/>
      <c r="F75" s="1018"/>
      <c r="G75" s="1014" t="s">
        <v>67</v>
      </c>
      <c r="H75" s="1384">
        <f>DATOS!F38</f>
        <v>0</v>
      </c>
      <c r="I75" s="1385"/>
      <c r="J75" s="1116"/>
      <c r="K75" s="478"/>
      <c r="L75" s="478"/>
      <c r="M75" s="1090">
        <v>8</v>
      </c>
      <c r="N75" s="1090"/>
      <c r="O75" s="1090"/>
      <c r="V75" s="718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8"/>
      <c r="AK75" s="718"/>
      <c r="AL75" s="722"/>
      <c r="AM75" s="722"/>
      <c r="AN75" s="722"/>
    </row>
    <row r="76" spans="1:40" ht="16.5" customHeight="1" x14ac:dyDescent="0.25">
      <c r="A76" s="1013" t="s">
        <v>69</v>
      </c>
      <c r="B76" s="1018"/>
      <c r="C76" s="1018"/>
      <c r="D76" s="1018"/>
      <c r="E76" s="1018"/>
      <c r="F76" s="1018"/>
      <c r="G76" s="1258"/>
      <c r="H76" s="1113"/>
      <c r="J76" s="1116"/>
      <c r="K76" s="478"/>
      <c r="L76" s="478"/>
      <c r="M76" s="1102"/>
      <c r="V76" s="718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8"/>
      <c r="AK76" s="718"/>
      <c r="AL76" s="722"/>
      <c r="AM76" s="722"/>
      <c r="AN76" s="722"/>
    </row>
    <row r="77" spans="1:40" ht="12.6" customHeight="1" x14ac:dyDescent="0.25">
      <c r="A77" s="1348"/>
      <c r="B77" s="1348"/>
      <c r="C77" s="1348"/>
      <c r="D77" s="1348"/>
      <c r="E77" s="1348"/>
      <c r="F77" s="1348"/>
      <c r="G77" s="1348"/>
      <c r="H77" s="1348"/>
      <c r="I77" s="1348"/>
      <c r="J77" s="1348"/>
      <c r="K77" s="1348"/>
      <c r="L77" s="1348"/>
      <c r="V77" s="718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8"/>
      <c r="AK77" s="718"/>
      <c r="AL77" s="722"/>
      <c r="AM77" s="722"/>
      <c r="AN77" s="722"/>
    </row>
    <row r="78" spans="1:40" ht="13.5" customHeight="1" x14ac:dyDescent="0.25">
      <c r="A78" s="984" t="s">
        <v>70</v>
      </c>
      <c r="B78" s="1116"/>
      <c r="C78" s="1116"/>
      <c r="D78" s="1116"/>
      <c r="E78" s="478"/>
      <c r="F78" s="478"/>
      <c r="G78" s="1015"/>
      <c r="H78" s="985"/>
      <c r="I78" s="985"/>
      <c r="J78" s="985"/>
      <c r="K78" s="1016"/>
      <c r="L78" s="1016"/>
      <c r="M78" s="1016"/>
      <c r="N78" s="1016"/>
      <c r="V78" s="718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8"/>
      <c r="AK78" s="718"/>
      <c r="AL78" s="722"/>
      <c r="AM78" s="722"/>
      <c r="AN78" s="722"/>
    </row>
    <row r="79" spans="1:40" ht="16.5" customHeight="1" x14ac:dyDescent="0.25">
      <c r="A79" s="1013" t="s">
        <v>71</v>
      </c>
      <c r="B79" s="1116"/>
      <c r="C79" s="1116"/>
      <c r="D79" s="1116"/>
      <c r="E79" s="478"/>
      <c r="F79" s="478"/>
      <c r="G79" s="1015"/>
      <c r="H79" s="985"/>
      <c r="I79" s="985"/>
      <c r="J79" s="985"/>
      <c r="K79" s="1016"/>
      <c r="L79" s="1016"/>
      <c r="M79" s="1016"/>
      <c r="N79" s="1016"/>
      <c r="V79" s="718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8"/>
      <c r="AK79" s="718"/>
      <c r="AL79" s="722"/>
      <c r="AM79" s="722"/>
      <c r="AN79" s="722"/>
    </row>
    <row r="80" spans="1:40" ht="16.5" customHeight="1" x14ac:dyDescent="0.25">
      <c r="A80" s="1013" t="s">
        <v>72</v>
      </c>
      <c r="B80" s="1013"/>
      <c r="C80" s="1013"/>
      <c r="D80" s="1120"/>
      <c r="E80" s="1120"/>
      <c r="F80" s="1120"/>
      <c r="G80" s="1120"/>
      <c r="H80" s="1120"/>
      <c r="I80" s="1120"/>
      <c r="J80" s="1120"/>
      <c r="K80" s="1120"/>
      <c r="L80" s="1120"/>
      <c r="M80" s="1120"/>
      <c r="N80" s="1120"/>
      <c r="V80" s="718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8"/>
      <c r="AK80" s="718"/>
      <c r="AL80" s="722"/>
      <c r="AM80" s="722"/>
      <c r="AN80" s="722"/>
    </row>
    <row r="81" spans="1:40" ht="23.25" customHeight="1" x14ac:dyDescent="0.25">
      <c r="A81" s="1347" t="s">
        <v>73</v>
      </c>
      <c r="B81" s="1347"/>
      <c r="C81" s="1347"/>
      <c r="D81" s="1347"/>
      <c r="E81" s="1347"/>
      <c r="F81" s="1347"/>
      <c r="G81" s="1347"/>
      <c r="H81" s="1347"/>
      <c r="I81" s="1347"/>
      <c r="J81" s="1347"/>
      <c r="K81" s="1347"/>
      <c r="L81" s="1347"/>
      <c r="M81" s="1017"/>
      <c r="N81" s="1017"/>
      <c r="V81" s="718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8"/>
      <c r="AK81" s="718"/>
      <c r="AL81" s="722"/>
      <c r="AM81" s="722"/>
      <c r="AN81" s="722"/>
    </row>
    <row r="82" spans="1:40" ht="16.5" customHeight="1" x14ac:dyDescent="0.25">
      <c r="A82" s="1013" t="s">
        <v>74</v>
      </c>
      <c r="B82" s="1013"/>
      <c r="C82" s="1013"/>
      <c r="D82" s="1120"/>
      <c r="E82" s="1120"/>
      <c r="F82" s="1120"/>
      <c r="G82" s="1120"/>
      <c r="H82" s="1120"/>
      <c r="I82" s="1120"/>
      <c r="J82" s="1120"/>
      <c r="K82" s="1120"/>
      <c r="L82" s="1120"/>
      <c r="M82" s="1120"/>
      <c r="N82" s="1120"/>
      <c r="V82" s="718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8"/>
      <c r="AK82" s="718"/>
      <c r="AL82" s="722"/>
      <c r="AM82" s="722"/>
      <c r="AN82" s="722"/>
    </row>
    <row r="83" spans="1:40" ht="24" customHeight="1" x14ac:dyDescent="0.25">
      <c r="A83" s="1347" t="s">
        <v>537</v>
      </c>
      <c r="B83" s="1347"/>
      <c r="C83" s="1347"/>
      <c r="D83" s="1347"/>
      <c r="E83" s="1347"/>
      <c r="F83" s="1347"/>
      <c r="G83" s="1347"/>
      <c r="H83" s="1347"/>
      <c r="I83" s="1347"/>
      <c r="J83" s="1347"/>
      <c r="K83" s="1347"/>
      <c r="L83" s="1347"/>
      <c r="M83" s="1120"/>
      <c r="N83" s="1120"/>
      <c r="V83" s="718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8"/>
      <c r="AK83" s="718"/>
      <c r="AL83" s="722"/>
      <c r="AM83" s="722"/>
      <c r="AN83" s="722"/>
    </row>
    <row r="84" spans="1:40" ht="10.199999999999999" customHeight="1" x14ac:dyDescent="0.25">
      <c r="A84" s="1018"/>
      <c r="B84" s="1013"/>
      <c r="C84" s="1013"/>
      <c r="D84" s="1120"/>
      <c r="E84" s="1120"/>
      <c r="F84" s="1120"/>
      <c r="G84" s="1120"/>
      <c r="H84" s="1120"/>
      <c r="I84" s="1120"/>
      <c r="J84" s="1120"/>
      <c r="K84" s="1120"/>
      <c r="L84" s="1120"/>
      <c r="M84" s="1120"/>
      <c r="N84" s="1120"/>
      <c r="V84" s="718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8"/>
      <c r="AK84" s="718"/>
      <c r="AL84" s="722"/>
      <c r="AM84" s="722"/>
      <c r="AN84" s="722"/>
    </row>
    <row r="85" spans="1:40" ht="13.5" customHeight="1" x14ac:dyDescent="0.25">
      <c r="A85" s="984" t="s">
        <v>75</v>
      </c>
      <c r="B85" s="1013"/>
      <c r="C85" s="1019"/>
      <c r="D85" s="1120"/>
      <c r="E85" s="1120"/>
      <c r="F85" s="1120"/>
      <c r="G85" s="1120"/>
      <c r="H85" s="1120"/>
      <c r="I85" s="1120"/>
      <c r="J85" s="1120"/>
      <c r="K85" s="1120"/>
      <c r="L85" s="1120"/>
      <c r="M85" s="1120"/>
      <c r="N85" s="1120"/>
      <c r="V85" s="718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8"/>
      <c r="AK85" s="718"/>
      <c r="AL85" s="722"/>
      <c r="AM85" s="722"/>
      <c r="AN85" s="722"/>
    </row>
    <row r="86" spans="1:40" ht="17.399999999999999" customHeight="1" x14ac:dyDescent="0.25">
      <c r="A86" s="1330"/>
      <c r="B86" s="1330"/>
      <c r="C86" s="1330"/>
      <c r="D86" s="1330"/>
      <c r="E86" s="1330"/>
      <c r="F86" s="1330"/>
      <c r="G86" s="1330"/>
      <c r="H86" s="1330"/>
      <c r="I86" s="1330"/>
      <c r="J86" s="1330"/>
      <c r="K86" s="1330"/>
      <c r="L86" s="1330"/>
      <c r="M86" s="1120"/>
      <c r="N86" s="1120"/>
      <c r="V86" s="718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8"/>
      <c r="AK86" s="718"/>
      <c r="AL86" s="722"/>
      <c r="AM86" s="722"/>
      <c r="AN86" s="722"/>
    </row>
    <row r="87" spans="1:40" ht="17.399999999999999" customHeight="1" x14ac:dyDescent="0.25">
      <c r="A87" s="1131"/>
      <c r="B87" s="1131"/>
      <c r="C87" s="1131"/>
      <c r="D87" s="1131"/>
      <c r="E87" s="1131"/>
      <c r="F87" s="1131"/>
      <c r="G87" s="1131"/>
      <c r="H87" s="1131"/>
      <c r="I87" s="1131"/>
      <c r="J87" s="1131"/>
      <c r="K87" s="1131"/>
      <c r="L87" s="1131"/>
      <c r="M87" s="1120"/>
      <c r="N87" s="1120"/>
      <c r="V87" s="718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8"/>
      <c r="AK87" s="718"/>
      <c r="AL87" s="722"/>
      <c r="AM87" s="722"/>
      <c r="AN87" s="722"/>
    </row>
    <row r="88" spans="1:40" ht="17.399999999999999" customHeight="1" x14ac:dyDescent="0.25">
      <c r="A88" s="1131"/>
      <c r="B88" s="1131"/>
      <c r="C88" s="1131"/>
      <c r="D88" s="1131"/>
      <c r="E88" s="1131"/>
      <c r="F88" s="1131"/>
      <c r="G88" s="1131"/>
      <c r="H88" s="1131"/>
      <c r="I88" s="1131"/>
      <c r="J88" s="1131"/>
      <c r="K88" s="1131"/>
      <c r="L88" s="1131"/>
      <c r="M88" s="1120"/>
      <c r="N88" s="1120"/>
      <c r="V88" s="718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8"/>
      <c r="AK88" s="718"/>
      <c r="AL88" s="722"/>
      <c r="AM88" s="722"/>
      <c r="AN88" s="722"/>
    </row>
    <row r="89" spans="1:40" ht="17.399999999999999" customHeight="1" x14ac:dyDescent="0.25">
      <c r="A89" s="1131"/>
      <c r="B89" s="1131"/>
      <c r="C89" s="1131"/>
      <c r="D89" s="1131"/>
      <c r="E89" s="1131"/>
      <c r="F89" s="1131"/>
      <c r="G89" s="1131"/>
      <c r="H89" s="1131"/>
      <c r="I89" s="1131"/>
      <c r="J89" s="1131"/>
      <c r="K89" s="1131"/>
      <c r="L89" s="1131"/>
      <c r="M89" s="1120"/>
      <c r="N89" s="1120"/>
      <c r="V89" s="718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8"/>
      <c r="AK89" s="718"/>
      <c r="AL89" s="722"/>
      <c r="AM89" s="722"/>
      <c r="AN89" s="722"/>
    </row>
    <row r="90" spans="1:40" ht="17.399999999999999" customHeight="1" x14ac:dyDescent="0.25">
      <c r="A90" s="1131"/>
      <c r="B90" s="1131"/>
      <c r="C90" s="1131"/>
      <c r="D90" s="1131"/>
      <c r="E90" s="1131"/>
      <c r="F90" s="1131"/>
      <c r="G90" s="1131"/>
      <c r="H90" s="1131"/>
      <c r="I90" s="1131"/>
      <c r="J90" s="1131"/>
      <c r="K90" s="1131"/>
      <c r="L90" s="1131"/>
      <c r="M90" s="1120"/>
      <c r="N90" s="1120"/>
      <c r="V90" s="718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8"/>
      <c r="AK90" s="718"/>
      <c r="AL90" s="722"/>
      <c r="AM90" s="722"/>
      <c r="AN90" s="722"/>
    </row>
    <row r="91" spans="1:40" ht="17.399999999999999" customHeight="1" x14ac:dyDescent="0.25">
      <c r="A91" s="1131"/>
      <c r="B91" s="1131"/>
      <c r="C91" s="1131"/>
      <c r="D91" s="1131"/>
      <c r="E91" s="1131"/>
      <c r="F91" s="1131"/>
      <c r="G91" s="1131"/>
      <c r="H91" s="1131"/>
      <c r="I91" s="1131"/>
      <c r="J91" s="1131"/>
      <c r="K91" s="1131"/>
      <c r="L91" s="1131"/>
      <c r="M91" s="1120"/>
      <c r="N91" s="1120"/>
      <c r="V91" s="718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8"/>
      <c r="AK91" s="718"/>
      <c r="AL91" s="722"/>
      <c r="AM91" s="722"/>
      <c r="AN91" s="722"/>
    </row>
    <row r="92" spans="1:40" ht="17.399999999999999" customHeight="1" x14ac:dyDescent="0.25">
      <c r="A92" s="1131"/>
      <c r="B92" s="1131"/>
      <c r="C92" s="1131"/>
      <c r="D92" s="1131"/>
      <c r="E92" s="1131"/>
      <c r="F92" s="1131"/>
      <c r="G92" s="1131"/>
      <c r="H92" s="1131"/>
      <c r="I92" s="1131"/>
      <c r="J92" s="1131"/>
      <c r="K92" s="1131"/>
      <c r="L92" s="1131"/>
      <c r="M92" s="1120"/>
      <c r="N92" s="1120"/>
      <c r="V92" s="718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8"/>
      <c r="AK92" s="718"/>
      <c r="AL92" s="722"/>
      <c r="AM92" s="722"/>
      <c r="AN92" s="722"/>
    </row>
    <row r="93" spans="1:40" ht="17.399999999999999" customHeight="1" x14ac:dyDescent="0.25">
      <c r="A93" s="1131"/>
      <c r="B93" s="1131"/>
      <c r="C93" s="1131"/>
      <c r="D93" s="1131"/>
      <c r="E93" s="1131"/>
      <c r="F93" s="1131"/>
      <c r="G93" s="1131"/>
      <c r="H93" s="1131"/>
      <c r="I93" s="1131"/>
      <c r="J93" s="1131"/>
      <c r="K93" s="1131"/>
      <c r="L93" s="1131"/>
      <c r="M93" s="1120"/>
      <c r="N93" s="1120"/>
      <c r="V93" s="718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8"/>
      <c r="AK93" s="718"/>
      <c r="AL93" s="722"/>
      <c r="AM93" s="722"/>
      <c r="AN93" s="722"/>
    </row>
    <row r="94" spans="1:40" ht="17.399999999999999" customHeight="1" x14ac:dyDescent="0.25">
      <c r="A94" s="1131"/>
      <c r="B94" s="1131"/>
      <c r="C94" s="1131"/>
      <c r="D94" s="1131"/>
      <c r="E94" s="1131"/>
      <c r="F94" s="1131"/>
      <c r="G94" s="1131"/>
      <c r="H94" s="1131"/>
      <c r="I94" s="1131"/>
      <c r="J94" s="1131"/>
      <c r="K94" s="1131"/>
      <c r="L94" s="1131"/>
      <c r="M94" s="1120"/>
      <c r="N94" s="1120"/>
      <c r="V94" s="718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8"/>
      <c r="AK94" s="718"/>
      <c r="AL94" s="722"/>
      <c r="AM94" s="722"/>
      <c r="AN94" s="722"/>
    </row>
    <row r="95" spans="1:40" ht="17.399999999999999" customHeight="1" x14ac:dyDescent="0.25">
      <c r="A95" s="1131"/>
      <c r="B95" s="1131"/>
      <c r="C95" s="1131"/>
      <c r="D95" s="1131"/>
      <c r="E95" s="1131"/>
      <c r="F95" s="1131"/>
      <c r="G95" s="1131"/>
      <c r="H95" s="1131"/>
      <c r="I95" s="1131"/>
      <c r="J95" s="1131"/>
      <c r="K95" s="1131"/>
      <c r="L95" s="1131"/>
      <c r="M95" s="1120"/>
      <c r="N95" s="1120"/>
      <c r="V95" s="718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8"/>
      <c r="AK95" s="718"/>
      <c r="AL95" s="722"/>
      <c r="AM95" s="722"/>
      <c r="AN95" s="722"/>
    </row>
    <row r="96" spans="1:40" ht="17.399999999999999" customHeight="1" x14ac:dyDescent="0.25">
      <c r="A96" s="1131"/>
      <c r="B96" s="1131"/>
      <c r="C96" s="1131"/>
      <c r="D96" s="1131"/>
      <c r="E96" s="1131"/>
      <c r="F96" s="1131"/>
      <c r="G96" s="1131"/>
      <c r="H96" s="1131"/>
      <c r="I96" s="1131"/>
      <c r="J96" s="1131"/>
      <c r="K96" s="1131"/>
      <c r="L96" s="1131"/>
      <c r="M96" s="1120"/>
      <c r="N96" s="1120"/>
      <c r="V96" s="718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8"/>
      <c r="AK96" s="718"/>
      <c r="AL96" s="722"/>
      <c r="AM96" s="722"/>
      <c r="AN96" s="722"/>
    </row>
    <row r="97" spans="1:40" ht="17.399999999999999" customHeight="1" x14ac:dyDescent="0.25">
      <c r="A97" s="480"/>
      <c r="B97" s="1013"/>
      <c r="C97" s="1019"/>
      <c r="D97" s="1120"/>
      <c r="E97" s="1120"/>
      <c r="F97" s="1120"/>
      <c r="G97" s="1120"/>
      <c r="H97" s="1120"/>
      <c r="I97" s="1120"/>
      <c r="J97" s="1120"/>
      <c r="K97" s="1120"/>
      <c r="L97" s="1120"/>
      <c r="M97" s="1120"/>
      <c r="N97" s="1120"/>
      <c r="V97" s="718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8"/>
      <c r="AK97" s="718"/>
      <c r="AL97" s="722"/>
      <c r="AM97" s="722"/>
      <c r="AN97" s="722"/>
    </row>
    <row r="98" spans="1:40" ht="17.399999999999999" customHeight="1" x14ac:dyDescent="0.25">
      <c r="A98" s="480"/>
      <c r="B98" s="1013"/>
      <c r="C98" s="1019"/>
      <c r="D98" s="1120"/>
      <c r="E98" s="1120"/>
      <c r="F98" s="1120"/>
      <c r="G98" s="1120"/>
      <c r="H98" s="1120"/>
      <c r="I98" s="1120"/>
      <c r="J98" s="1120"/>
      <c r="K98" s="1120"/>
      <c r="L98" s="1120"/>
      <c r="M98" s="1120"/>
      <c r="N98" s="1120"/>
      <c r="V98" s="718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8"/>
      <c r="AK98" s="718"/>
      <c r="AL98" s="722"/>
      <c r="AM98" s="722"/>
      <c r="AN98" s="722"/>
    </row>
    <row r="99" spans="1:40" ht="119.4" customHeight="1" x14ac:dyDescent="0.25">
      <c r="A99" s="984"/>
      <c r="B99" s="1013"/>
      <c r="C99" s="1019"/>
      <c r="D99" s="1120"/>
      <c r="E99" s="1120"/>
      <c r="F99" s="1120"/>
      <c r="G99" s="1120"/>
      <c r="H99" s="1120"/>
      <c r="I99" s="1120"/>
      <c r="J99" s="1120"/>
      <c r="K99" s="1120"/>
      <c r="L99" s="1120"/>
      <c r="M99" s="1120"/>
      <c r="N99" s="1120"/>
      <c r="V99" s="718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8"/>
      <c r="AK99" s="718"/>
      <c r="AL99" s="722"/>
      <c r="AM99" s="722"/>
      <c r="AN99" s="722"/>
    </row>
    <row r="100" spans="1:40" ht="14.25" customHeight="1" x14ac:dyDescent="0.25">
      <c r="A100" s="316" t="s">
        <v>76</v>
      </c>
      <c r="B100" s="1013"/>
      <c r="C100" s="1013"/>
      <c r="D100" s="1120"/>
      <c r="E100" s="1120"/>
      <c r="F100" s="1120"/>
      <c r="G100" s="1120"/>
      <c r="H100" s="1120"/>
      <c r="I100" s="1120"/>
      <c r="J100" s="1120"/>
      <c r="K100" s="1020"/>
      <c r="M100" s="1020"/>
      <c r="N100" s="1020"/>
      <c r="V100" s="718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8"/>
      <c r="AK100" s="718"/>
      <c r="AL100" s="722"/>
      <c r="AM100" s="722"/>
      <c r="AN100" s="722"/>
    </row>
    <row r="101" spans="1:40" ht="12" customHeight="1" x14ac:dyDescent="0.25">
      <c r="A101" s="316" t="s">
        <v>577</v>
      </c>
      <c r="B101" s="316"/>
      <c r="C101" s="316"/>
      <c r="D101" s="1021"/>
      <c r="E101" s="1021"/>
      <c r="F101" s="1021"/>
      <c r="G101" s="1021"/>
      <c r="H101" s="1021"/>
      <c r="I101" s="1021"/>
      <c r="J101" s="1021"/>
      <c r="K101" s="1020" t="s">
        <v>77</v>
      </c>
      <c r="L101" s="1020"/>
      <c r="V101" s="718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8"/>
      <c r="AK101" s="718"/>
      <c r="AL101" s="722"/>
      <c r="AM101" s="722"/>
      <c r="AN101" s="722"/>
    </row>
    <row r="102" spans="1:40" x14ac:dyDescent="0.25">
      <c r="V102" s="718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9"/>
      <c r="AG102" s="720"/>
      <c r="AH102" s="721"/>
      <c r="AI102" s="475"/>
      <c r="AJ102" s="718"/>
      <c r="AK102" s="718"/>
      <c r="AL102" s="722"/>
      <c r="AM102" s="722"/>
      <c r="AN102" s="722"/>
    </row>
    <row r="103" spans="1:40" x14ac:dyDescent="0.25">
      <c r="V103" s="718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9"/>
      <c r="AG103" s="720"/>
      <c r="AH103" s="721"/>
      <c r="AI103" s="475"/>
      <c r="AJ103" s="718"/>
      <c r="AK103" s="718"/>
      <c r="AL103" s="722"/>
      <c r="AM103" s="722"/>
      <c r="AN103" s="722"/>
    </row>
    <row r="104" spans="1:40" x14ac:dyDescent="0.25">
      <c r="V104" s="718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9"/>
      <c r="AG104" s="720"/>
      <c r="AH104" s="721"/>
      <c r="AI104" s="475"/>
      <c r="AJ104" s="718"/>
      <c r="AK104" s="718"/>
      <c r="AL104" s="722"/>
      <c r="AM104" s="722"/>
      <c r="AN104" s="722"/>
    </row>
    <row r="105" spans="1:40" x14ac:dyDescent="0.25">
      <c r="V105" s="718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9"/>
      <c r="AG105" s="720"/>
      <c r="AH105" s="721"/>
      <c r="AI105" s="475"/>
      <c r="AJ105" s="718"/>
      <c r="AK105" s="718"/>
      <c r="AL105" s="722"/>
      <c r="AM105" s="722"/>
      <c r="AN105" s="722"/>
    </row>
    <row r="106" spans="1:40" x14ac:dyDescent="0.25">
      <c r="V106" s="718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9"/>
      <c r="AG106" s="720"/>
      <c r="AH106" s="721"/>
      <c r="AI106" s="475"/>
      <c r="AJ106" s="718"/>
      <c r="AK106" s="718"/>
      <c r="AL106" s="722"/>
      <c r="AM106" s="722"/>
      <c r="AN106" s="722"/>
    </row>
    <row r="107" spans="1:40" x14ac:dyDescent="0.25">
      <c r="V107" s="718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9"/>
      <c r="AG107" s="720"/>
      <c r="AH107" s="721"/>
      <c r="AI107" s="475"/>
      <c r="AJ107" s="718"/>
      <c r="AK107" s="718"/>
      <c r="AL107" s="722"/>
      <c r="AM107" s="722"/>
      <c r="AN107" s="722"/>
    </row>
    <row r="108" spans="1:40" x14ac:dyDescent="0.25">
      <c r="V108" s="718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9"/>
      <c r="AG108" s="720"/>
      <c r="AH108" s="721"/>
      <c r="AI108" s="475"/>
      <c r="AJ108" s="718"/>
      <c r="AK108" s="718"/>
      <c r="AL108" s="722"/>
      <c r="AM108" s="722"/>
      <c r="AN108" s="722"/>
    </row>
    <row r="109" spans="1:40" x14ac:dyDescent="0.25">
      <c r="V109" s="718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9"/>
      <c r="AG109" s="720"/>
      <c r="AH109" s="721"/>
      <c r="AI109" s="475"/>
      <c r="AJ109" s="718"/>
      <c r="AK109" s="718"/>
      <c r="AL109" s="722"/>
      <c r="AM109" s="722"/>
      <c r="AN109" s="722"/>
    </row>
    <row r="110" spans="1:40" x14ac:dyDescent="0.25">
      <c r="V110" s="718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9"/>
      <c r="AG110" s="720"/>
      <c r="AH110" s="721"/>
      <c r="AI110" s="475"/>
      <c r="AJ110" s="718"/>
      <c r="AK110" s="718"/>
      <c r="AL110" s="722"/>
      <c r="AM110" s="722"/>
      <c r="AN110" s="722"/>
    </row>
    <row r="111" spans="1:40" x14ac:dyDescent="0.25">
      <c r="V111" s="718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9"/>
      <c r="AG111" s="720"/>
      <c r="AH111" s="721"/>
      <c r="AI111" s="475"/>
      <c r="AJ111" s="718"/>
      <c r="AK111" s="718"/>
      <c r="AL111" s="722"/>
      <c r="AM111" s="722"/>
      <c r="AN111" s="722"/>
    </row>
    <row r="112" spans="1:40" x14ac:dyDescent="0.25">
      <c r="V112" s="718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9"/>
      <c r="AG112" s="720"/>
      <c r="AH112" s="721"/>
      <c r="AI112" s="475"/>
      <c r="AJ112" s="718"/>
      <c r="AK112" s="718"/>
      <c r="AL112" s="722"/>
      <c r="AM112" s="722"/>
      <c r="AN112" s="722"/>
    </row>
    <row r="113" spans="22:40" x14ac:dyDescent="0.25">
      <c r="V113" s="718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9"/>
      <c r="AG113" s="720"/>
      <c r="AH113" s="721"/>
      <c r="AI113" s="475"/>
      <c r="AJ113" s="718"/>
      <c r="AK113" s="718"/>
      <c r="AL113" s="722"/>
      <c r="AM113" s="722"/>
      <c r="AN113" s="722"/>
    </row>
    <row r="114" spans="22:40" x14ac:dyDescent="0.25">
      <c r="V114" s="718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9"/>
      <c r="AG114" s="720"/>
      <c r="AH114" s="721"/>
      <c r="AI114" s="475"/>
      <c r="AJ114" s="718"/>
      <c r="AK114" s="718"/>
      <c r="AL114" s="722"/>
      <c r="AM114" s="722"/>
      <c r="AN114" s="722"/>
    </row>
    <row r="115" spans="22:40" x14ac:dyDescent="0.25">
      <c r="V115" s="718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9"/>
      <c r="AG115" s="720"/>
      <c r="AH115" s="721"/>
      <c r="AI115" s="475"/>
      <c r="AJ115" s="718"/>
      <c r="AK115" s="718"/>
      <c r="AL115" s="722"/>
      <c r="AM115" s="722"/>
      <c r="AN115" s="722"/>
    </row>
    <row r="116" spans="22:40" x14ac:dyDescent="0.25">
      <c r="V116" s="718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9"/>
      <c r="AG116" s="720"/>
      <c r="AH116" s="721"/>
      <c r="AI116" s="475"/>
      <c r="AJ116" s="718"/>
      <c r="AK116" s="718"/>
      <c r="AL116" s="722"/>
      <c r="AM116" s="722"/>
      <c r="AN116" s="722"/>
    </row>
    <row r="117" spans="22:40" x14ac:dyDescent="0.25">
      <c r="V117" s="718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9"/>
      <c r="AG117" s="720"/>
      <c r="AH117" s="721"/>
      <c r="AI117" s="475"/>
      <c r="AJ117" s="718"/>
      <c r="AK117" s="718"/>
      <c r="AL117" s="722"/>
      <c r="AM117" s="722"/>
      <c r="AN117" s="722"/>
    </row>
    <row r="118" spans="22:40" x14ac:dyDescent="0.25">
      <c r="V118" s="718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9"/>
      <c r="AG118" s="720"/>
      <c r="AH118" s="721"/>
      <c r="AI118" s="475"/>
      <c r="AJ118" s="718"/>
      <c r="AK118" s="718"/>
      <c r="AL118" s="722"/>
      <c r="AM118" s="722"/>
      <c r="AN118" s="722"/>
    </row>
    <row r="119" spans="22:40" x14ac:dyDescent="0.25">
      <c r="V119" s="718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9"/>
      <c r="AG119" s="720"/>
      <c r="AH119" s="721"/>
      <c r="AI119" s="475"/>
      <c r="AJ119" s="718"/>
      <c r="AK119" s="718"/>
      <c r="AL119" s="722"/>
      <c r="AM119" s="722"/>
      <c r="AN119" s="722"/>
    </row>
    <row r="120" spans="22:40" x14ac:dyDescent="0.25">
      <c r="V120" s="718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9"/>
      <c r="AG120" s="720"/>
      <c r="AH120" s="721"/>
      <c r="AI120" s="475"/>
      <c r="AJ120" s="718"/>
      <c r="AK120" s="718"/>
      <c r="AL120" s="722"/>
      <c r="AM120" s="722"/>
      <c r="AN120" s="722"/>
    </row>
    <row r="121" spans="22:40" x14ac:dyDescent="0.25">
      <c r="V121" s="718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9"/>
      <c r="AG121" s="720"/>
      <c r="AH121" s="721"/>
      <c r="AI121" s="475"/>
      <c r="AJ121" s="718"/>
      <c r="AK121" s="718"/>
      <c r="AL121" s="722"/>
      <c r="AM121" s="722"/>
      <c r="AN121" s="722"/>
    </row>
    <row r="122" spans="22:40" x14ac:dyDescent="0.25">
      <c r="V122" s="718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9"/>
      <c r="AG122" s="720"/>
      <c r="AH122" s="721"/>
      <c r="AI122" s="475"/>
      <c r="AJ122" s="718"/>
      <c r="AK122" s="718"/>
      <c r="AL122" s="722"/>
      <c r="AM122" s="722"/>
      <c r="AN122" s="722"/>
    </row>
    <row r="123" spans="22:40" x14ac:dyDescent="0.25">
      <c r="V123" s="718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9"/>
      <c r="AG123" s="720"/>
      <c r="AH123" s="721"/>
      <c r="AI123" s="475"/>
      <c r="AJ123" s="718"/>
      <c r="AK123" s="718"/>
      <c r="AL123" s="722"/>
      <c r="AM123" s="722"/>
      <c r="AN123" s="722"/>
    </row>
    <row r="124" spans="22:40" x14ac:dyDescent="0.25">
      <c r="V124" s="718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9"/>
      <c r="AG124" s="720"/>
      <c r="AH124" s="721"/>
      <c r="AI124" s="475"/>
      <c r="AJ124" s="718"/>
      <c r="AK124" s="718"/>
      <c r="AL124" s="722"/>
      <c r="AM124" s="722"/>
      <c r="AN124" s="722"/>
    </row>
    <row r="125" spans="22:40" x14ac:dyDescent="0.25">
      <c r="V125" s="718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9"/>
      <c r="AG125" s="720"/>
      <c r="AH125" s="721"/>
      <c r="AI125" s="475"/>
      <c r="AJ125" s="718"/>
      <c r="AK125" s="718"/>
      <c r="AL125" s="722"/>
      <c r="AM125" s="722"/>
      <c r="AN125" s="722"/>
    </row>
    <row r="126" spans="22:40" x14ac:dyDescent="0.25">
      <c r="V126" s="718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8"/>
      <c r="AK126" s="718"/>
      <c r="AL126" s="722"/>
      <c r="AM126" s="722"/>
      <c r="AN126" s="722"/>
    </row>
    <row r="127" spans="22:40" x14ac:dyDescent="0.25">
      <c r="V127" s="718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20"/>
      <c r="AJ127" s="718"/>
      <c r="AK127" s="718"/>
      <c r="AL127" s="722"/>
      <c r="AM127" s="722"/>
      <c r="AN127" s="722"/>
    </row>
    <row r="128" spans="22:40" x14ac:dyDescent="0.25">
      <c r="V128" s="718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20"/>
      <c r="AJ128" s="718"/>
      <c r="AK128" s="718"/>
      <c r="AL128" s="722"/>
      <c r="AM128" s="722"/>
      <c r="AN128" s="722"/>
    </row>
    <row r="129" spans="22:40" x14ac:dyDescent="0.25">
      <c r="V129" s="718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8"/>
      <c r="AK129" s="718"/>
      <c r="AL129" s="722"/>
      <c r="AM129" s="722"/>
      <c r="AN129" s="722"/>
    </row>
    <row r="130" spans="22:40" x14ac:dyDescent="0.25">
      <c r="V130" s="718"/>
      <c r="W130" s="718"/>
      <c r="X130" s="718"/>
      <c r="Y130" s="718"/>
      <c r="Z130" s="718"/>
      <c r="AA130" s="718"/>
      <c r="AB130" s="718"/>
      <c r="AC130" s="718"/>
      <c r="AD130" s="718"/>
      <c r="AE130" s="718"/>
      <c r="AF130" s="718"/>
      <c r="AG130" s="718"/>
      <c r="AH130" s="718"/>
      <c r="AI130" s="718"/>
      <c r="AJ130" s="718"/>
      <c r="AK130" s="718"/>
      <c r="AL130" s="722"/>
      <c r="AM130" s="722"/>
      <c r="AN130" s="722"/>
    </row>
    <row r="131" spans="22:40" x14ac:dyDescent="0.25">
      <c r="V131" s="718"/>
      <c r="W131" s="718"/>
      <c r="X131" s="718"/>
      <c r="Y131" s="718"/>
      <c r="Z131" s="71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22"/>
      <c r="AM131" s="722"/>
      <c r="AN131" s="722"/>
    </row>
    <row r="132" spans="22:40" x14ac:dyDescent="0.25">
      <c r="V132" s="718"/>
      <c r="W132" s="718"/>
      <c r="X132" s="718"/>
      <c r="Y132" s="718"/>
      <c r="Z132" s="718"/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22"/>
      <c r="AM132" s="722"/>
      <c r="AN132" s="722"/>
    </row>
    <row r="133" spans="22:40" x14ac:dyDescent="0.25">
      <c r="V133" s="718"/>
      <c r="W133" s="718"/>
      <c r="X133" s="718"/>
      <c r="Y133" s="718"/>
      <c r="Z133" s="718"/>
      <c r="AA133" s="718"/>
      <c r="AB133" s="718"/>
      <c r="AC133" s="718"/>
      <c r="AD133" s="718"/>
      <c r="AE133" s="718"/>
      <c r="AF133" s="718"/>
      <c r="AG133" s="718"/>
      <c r="AH133" s="718"/>
      <c r="AI133" s="718"/>
      <c r="AJ133" s="718"/>
      <c r="AK133" s="718"/>
      <c r="AL133" s="722"/>
      <c r="AM133" s="722"/>
      <c r="AN133" s="722"/>
    </row>
    <row r="134" spans="22:40" x14ac:dyDescent="0.25">
      <c r="V134" s="718"/>
      <c r="W134" s="718"/>
      <c r="X134" s="718"/>
      <c r="Y134" s="718"/>
      <c r="Z134" s="718"/>
      <c r="AA134" s="718"/>
      <c r="AB134" s="718"/>
      <c r="AC134" s="718"/>
      <c r="AD134" s="718"/>
      <c r="AE134" s="718"/>
      <c r="AF134" s="718"/>
      <c r="AG134" s="718"/>
      <c r="AH134" s="718"/>
      <c r="AI134" s="718"/>
      <c r="AJ134" s="718"/>
      <c r="AK134" s="718"/>
      <c r="AL134" s="722"/>
      <c r="AM134" s="722"/>
      <c r="AN134" s="722"/>
    </row>
    <row r="135" spans="22:40" x14ac:dyDescent="0.25">
      <c r="V135" s="718"/>
      <c r="W135" s="718"/>
      <c r="X135" s="718"/>
      <c r="Y135" s="718"/>
      <c r="Z135" s="71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22"/>
      <c r="AM135" s="722"/>
      <c r="AN135" s="722"/>
    </row>
    <row r="136" spans="22:40" x14ac:dyDescent="0.25">
      <c r="V136" s="718"/>
      <c r="W136" s="718"/>
      <c r="X136" s="718"/>
      <c r="Y136" s="718"/>
      <c r="Z136" s="718"/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22"/>
      <c r="AM136" s="722"/>
      <c r="AN136" s="722"/>
    </row>
  </sheetData>
  <sheetProtection algorithmName="SHA-512" hashValue="kWOQ26TRWXWznh3bxtkdtdPu9qpOU3ttg6QPq4JwrPDAxw9pb2yNQsp/z8HhUsVD/xTxibHs/Sh58s/xjdtC8A==" saltValue="1qOuWR7ghIY9QHhc60sveQ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4">
    <mergeCell ref="A81:L81"/>
    <mergeCell ref="J61:L61"/>
    <mergeCell ref="J62:L62"/>
    <mergeCell ref="F66:G66"/>
    <mergeCell ref="F67:G67"/>
    <mergeCell ref="F68:G68"/>
    <mergeCell ref="H74:I74"/>
    <mergeCell ref="H75:I75"/>
    <mergeCell ref="A38:E38"/>
    <mergeCell ref="A40:E40"/>
    <mergeCell ref="J44:L44"/>
    <mergeCell ref="J45:L45"/>
    <mergeCell ref="J48:L49"/>
    <mergeCell ref="J35:L35"/>
    <mergeCell ref="J36:L36"/>
    <mergeCell ref="J37:L37"/>
    <mergeCell ref="A35:E35"/>
    <mergeCell ref="A36:E36"/>
    <mergeCell ref="A37:E37"/>
    <mergeCell ref="A6:L6"/>
    <mergeCell ref="A7:L7"/>
    <mergeCell ref="A14:L14"/>
    <mergeCell ref="A15:L15"/>
    <mergeCell ref="A17:L17"/>
    <mergeCell ref="C9:H9"/>
    <mergeCell ref="C10:H10"/>
    <mergeCell ref="C11:H11"/>
    <mergeCell ref="C12:I12"/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tabSelected="1" topLeftCell="K7" zoomScaleNormal="100" zoomScaleSheetLayoutView="100" workbookViewId="0">
      <selection activeCell="U13" sqref="U13"/>
    </sheetView>
  </sheetViews>
  <sheetFormatPr baseColWidth="10" defaultColWidth="10.33203125" defaultRowHeight="13.8" x14ac:dyDescent="0.25"/>
  <cols>
    <col min="1" max="1" width="1.33203125" style="702" customWidth="1"/>
    <col min="2" max="3" width="12.88671875" style="702" customWidth="1"/>
    <col min="4" max="4" width="10.88671875" style="702" customWidth="1"/>
    <col min="5" max="5" width="12.88671875" style="702" customWidth="1"/>
    <col min="6" max="6" width="16.109375" style="702" customWidth="1"/>
    <col min="7" max="8" width="13.5546875" style="702" customWidth="1"/>
    <col min="9" max="9" width="15.33203125" style="702" customWidth="1"/>
    <col min="10" max="10" width="13.5546875" style="702" customWidth="1"/>
    <col min="11" max="11" width="13.109375" style="702" customWidth="1"/>
    <col min="12" max="13" width="13.5546875" style="702" customWidth="1"/>
    <col min="14" max="14" width="14.33203125" style="702" customWidth="1"/>
    <col min="15" max="16" width="6" style="702" customWidth="1"/>
    <col min="17" max="17" width="16.33203125" style="702" customWidth="1"/>
    <col min="18" max="18" width="12.88671875" style="702" customWidth="1"/>
    <col min="19" max="19" width="13.6640625" style="702" customWidth="1"/>
    <col min="20" max="20" width="8.6640625" style="702" customWidth="1"/>
    <col min="21" max="21" width="9.109375" style="702" customWidth="1"/>
    <col min="22" max="28" width="8.6640625" style="702" customWidth="1"/>
    <col min="29" max="16384" width="10.33203125" style="702"/>
  </cols>
  <sheetData>
    <row r="2" spans="2:19" ht="12" customHeight="1" x14ac:dyDescent="0.25">
      <c r="B2" s="1404" t="s">
        <v>11</v>
      </c>
      <c r="C2" s="1405"/>
      <c r="D2" s="1405"/>
      <c r="E2" s="1405"/>
      <c r="F2" s="1405"/>
      <c r="G2" s="1405"/>
      <c r="H2" s="1405"/>
      <c r="I2" s="1405"/>
      <c r="J2" s="1405"/>
      <c r="K2" s="1405"/>
      <c r="L2" s="1405"/>
      <c r="M2" s="1405"/>
      <c r="N2" s="1405"/>
      <c r="O2" s="1406"/>
    </row>
    <row r="3" spans="2:19" ht="10.5" customHeight="1" x14ac:dyDescent="0.25">
      <c r="B3" s="1407" t="s">
        <v>12</v>
      </c>
      <c r="C3" s="1408"/>
      <c r="D3" s="1408"/>
      <c r="E3" s="1408"/>
      <c r="F3" s="1408"/>
      <c r="G3" s="1408"/>
      <c r="H3" s="1408"/>
      <c r="I3" s="1408"/>
      <c r="J3" s="1408"/>
      <c r="K3" s="1408"/>
      <c r="L3" s="1408"/>
      <c r="M3" s="1408"/>
      <c r="N3" s="1408"/>
      <c r="O3" s="1409"/>
    </row>
    <row r="5" spans="2:19" ht="13.5" customHeight="1" x14ac:dyDescent="0.25">
      <c r="B5" s="682" t="s">
        <v>78</v>
      </c>
      <c r="C5" s="682"/>
      <c r="D5" s="682"/>
      <c r="E5" s="682"/>
      <c r="F5" s="682"/>
      <c r="G5" s="682" t="s">
        <v>553</v>
      </c>
      <c r="H5" s="682"/>
      <c r="I5" s="682"/>
      <c r="J5" s="682"/>
      <c r="K5" s="682"/>
      <c r="L5" s="682"/>
      <c r="M5" s="682"/>
    </row>
    <row r="6" spans="2:19" ht="19.5" customHeight="1" x14ac:dyDescent="0.25">
      <c r="B6" s="1038" t="s">
        <v>529</v>
      </c>
      <c r="C6" s="1039"/>
      <c r="D6" s="1039"/>
      <c r="E6" s="1039"/>
      <c r="F6" s="1040"/>
      <c r="G6" s="1038" t="s">
        <v>79</v>
      </c>
      <c r="H6" s="1039"/>
      <c r="I6" s="1039"/>
      <c r="J6" s="1039"/>
      <c r="K6" s="1040"/>
      <c r="L6" s="1061" t="s">
        <v>563</v>
      </c>
      <c r="M6" s="1062"/>
      <c r="N6" s="1063"/>
      <c r="O6" s="1039"/>
      <c r="P6" s="1040"/>
      <c r="Q6" s="703" t="s">
        <v>80</v>
      </c>
      <c r="R6" s="945" t="s">
        <v>534</v>
      </c>
    </row>
    <row r="7" spans="2:19" ht="19.5" customHeight="1" x14ac:dyDescent="0.25">
      <c r="B7" s="1041" t="s">
        <v>81</v>
      </c>
      <c r="C7" s="723"/>
      <c r="D7" s="1042">
        <v>1</v>
      </c>
      <c r="E7" s="723" t="s">
        <v>186</v>
      </c>
      <c r="F7" s="724"/>
      <c r="G7" s="1041" t="s">
        <v>560</v>
      </c>
      <c r="H7" s="723"/>
      <c r="I7" s="723"/>
      <c r="J7" s="723"/>
      <c r="K7" s="724"/>
      <c r="L7" s="1064" t="s">
        <v>564</v>
      </c>
      <c r="M7" s="1065"/>
      <c r="N7" s="480"/>
      <c r="O7" s="723"/>
      <c r="P7" s="724"/>
      <c r="Q7" s="698" t="s">
        <v>67</v>
      </c>
      <c r="R7" s="1130" t="s">
        <v>67</v>
      </c>
    </row>
    <row r="8" spans="2:19" ht="19.5" customHeight="1" x14ac:dyDescent="0.25">
      <c r="B8" s="1041" t="s">
        <v>82</v>
      </c>
      <c r="C8" s="723"/>
      <c r="D8" s="696">
        <f>+Balanza!$C$7</f>
        <v>-2.0299999999999999E-5</v>
      </c>
      <c r="E8" s="723"/>
      <c r="F8" s="724"/>
      <c r="G8" s="1041" t="s">
        <v>82</v>
      </c>
      <c r="H8" s="723"/>
      <c r="I8" s="696">
        <f>+Balanza!M7</f>
        <v>-3.2899999999999998E-6</v>
      </c>
      <c r="J8" s="723"/>
      <c r="K8" s="724"/>
      <c r="L8" s="1064" t="s">
        <v>565</v>
      </c>
      <c r="M8" s="1065"/>
      <c r="N8" s="696">
        <f>+Balanza!U7</f>
        <v>3.7900000000000001E-6</v>
      </c>
      <c r="O8" s="723"/>
      <c r="P8" s="724"/>
    </row>
    <row r="9" spans="2:19" ht="19.5" customHeight="1" x14ac:dyDescent="0.25">
      <c r="B9" s="1041" t="s">
        <v>83</v>
      </c>
      <c r="C9" s="723"/>
      <c r="D9" s="1043" t="str">
        <f>+Balanza!C11</f>
        <v>EQP-0054</v>
      </c>
      <c r="E9" s="723"/>
      <c r="F9" s="724"/>
      <c r="G9" s="1041" t="s">
        <v>83</v>
      </c>
      <c r="H9" s="723"/>
      <c r="I9" s="1043" t="str">
        <f>+Balanza!M11</f>
        <v>EQP-0046</v>
      </c>
      <c r="J9" s="723"/>
      <c r="K9" s="724"/>
      <c r="L9" s="1066" t="s">
        <v>566</v>
      </c>
      <c r="M9" s="480"/>
      <c r="N9" s="1067" t="str">
        <f>+Balanza!U11</f>
        <v>EQP-0045</v>
      </c>
      <c r="O9" s="723"/>
      <c r="P9" s="724"/>
    </row>
    <row r="10" spans="2:19" ht="19.5" customHeight="1" x14ac:dyDescent="0.25">
      <c r="B10" s="1044" t="s">
        <v>86</v>
      </c>
      <c r="C10" s="1045"/>
      <c r="D10" s="1046">
        <f>+Balanza!D12</f>
        <v>45799</v>
      </c>
      <c r="E10" s="1045"/>
      <c r="F10" s="1047"/>
      <c r="G10" s="1044" t="s">
        <v>86</v>
      </c>
      <c r="H10" s="1045"/>
      <c r="I10" s="1046">
        <f>+Balanza!N12</f>
        <v>46132</v>
      </c>
      <c r="J10" s="1045"/>
      <c r="K10" s="1047"/>
      <c r="L10" s="1068" t="s">
        <v>567</v>
      </c>
      <c r="M10" s="1069"/>
      <c r="N10" s="1070">
        <f>+Balanza!V12</f>
        <v>46132</v>
      </c>
      <c r="O10" s="1045"/>
      <c r="P10" s="1047"/>
    </row>
    <row r="11" spans="2:19" ht="19.5" customHeight="1" x14ac:dyDescent="0.25">
      <c r="B11" s="725"/>
      <c r="C11" s="705"/>
      <c r="D11" s="494"/>
      <c r="G11" s="725"/>
      <c r="H11" s="705"/>
      <c r="I11" s="705"/>
      <c r="L11" s="725"/>
      <c r="M11" s="705"/>
      <c r="N11" s="494"/>
    </row>
    <row r="12" spans="2:19" ht="19.5" customHeight="1" x14ac:dyDescent="0.25">
      <c r="B12" s="1400" t="s">
        <v>87</v>
      </c>
      <c r="C12" s="1400"/>
      <c r="D12" s="1400"/>
      <c r="E12" s="1400">
        <v>1</v>
      </c>
      <c r="F12" s="1400"/>
      <c r="G12" s="1400">
        <v>2</v>
      </c>
      <c r="H12" s="1400"/>
      <c r="I12" s="1400">
        <v>3</v>
      </c>
      <c r="J12" s="1400"/>
      <c r="K12" s="1400">
        <v>4</v>
      </c>
      <c r="L12" s="1400"/>
      <c r="M12" s="1400">
        <v>5</v>
      </c>
      <c r="N12" s="1400"/>
      <c r="Q12" s="1139" t="s">
        <v>586</v>
      </c>
      <c r="R12" s="1139" t="s">
        <v>587</v>
      </c>
      <c r="S12" s="1139" t="s">
        <v>589</v>
      </c>
    </row>
    <row r="13" spans="2:19" ht="27.75" customHeight="1" x14ac:dyDescent="0.25">
      <c r="B13" s="1400"/>
      <c r="C13" s="1400"/>
      <c r="D13" s="1400"/>
      <c r="E13" s="730" t="s">
        <v>88</v>
      </c>
      <c r="F13" s="730" t="s">
        <v>89</v>
      </c>
      <c r="G13" s="730" t="s">
        <v>88</v>
      </c>
      <c r="H13" s="730" t="s">
        <v>89</v>
      </c>
      <c r="I13" s="730" t="s">
        <v>88</v>
      </c>
      <c r="J13" s="730" t="s">
        <v>89</v>
      </c>
      <c r="K13" s="730" t="s">
        <v>88</v>
      </c>
      <c r="L13" s="730" t="s">
        <v>89</v>
      </c>
      <c r="M13" s="730" t="s">
        <v>88</v>
      </c>
      <c r="N13" s="730" t="s">
        <v>89</v>
      </c>
      <c r="Q13" s="1138">
        <v>46112</v>
      </c>
      <c r="R13" s="1138" t="s">
        <v>666</v>
      </c>
      <c r="S13" s="1137" t="s">
        <v>592</v>
      </c>
    </row>
    <row r="14" spans="2:19" ht="19.5" customHeight="1" x14ac:dyDescent="0.25">
      <c r="B14" s="1394" t="s">
        <v>24</v>
      </c>
      <c r="C14" s="1394"/>
      <c r="D14" s="1395"/>
      <c r="E14" s="1256">
        <v>1</v>
      </c>
      <c r="F14" s="1146"/>
      <c r="G14" s="1257">
        <v>2</v>
      </c>
      <c r="H14" s="1148"/>
      <c r="I14" s="1257">
        <v>3</v>
      </c>
      <c r="J14" s="1143"/>
      <c r="K14" s="1257">
        <v>4</v>
      </c>
      <c r="L14" s="1149"/>
      <c r="M14" s="1150"/>
      <c r="N14" s="1151"/>
      <c r="Q14" s="1138"/>
      <c r="R14" s="1138"/>
      <c r="S14" s="1137" t="s">
        <v>593</v>
      </c>
    </row>
    <row r="15" spans="2:19" ht="19.5" customHeight="1" x14ac:dyDescent="0.25">
      <c r="B15" s="1389" t="s">
        <v>25</v>
      </c>
      <c r="C15" s="1389"/>
      <c r="D15" s="1390"/>
      <c r="E15" s="1140">
        <v>5</v>
      </c>
      <c r="F15" s="1143">
        <f>E15</f>
        <v>5</v>
      </c>
      <c r="G15" s="1147">
        <f>+E15</f>
        <v>5</v>
      </c>
      <c r="H15" s="1143">
        <f>E15</f>
        <v>5</v>
      </c>
      <c r="I15" s="1147">
        <f>+E15</f>
        <v>5</v>
      </c>
      <c r="J15" s="1143">
        <f>E15</f>
        <v>5</v>
      </c>
      <c r="K15" s="1147">
        <f>+E15</f>
        <v>5</v>
      </c>
      <c r="L15" s="1143">
        <f>E15</f>
        <v>5</v>
      </c>
      <c r="M15" s="1150"/>
      <c r="N15" s="1146"/>
      <c r="Q15" s="1137" t="s">
        <v>584</v>
      </c>
      <c r="R15" s="1137" t="s">
        <v>585</v>
      </c>
      <c r="S15" s="1137" t="s">
        <v>588</v>
      </c>
    </row>
    <row r="16" spans="2:19" ht="19.5" customHeight="1" x14ac:dyDescent="0.25">
      <c r="B16" s="1389" t="s">
        <v>26</v>
      </c>
      <c r="C16" s="1389"/>
      <c r="D16" s="1390"/>
      <c r="E16" s="1140">
        <f>+formato!D17</f>
        <v>0</v>
      </c>
      <c r="F16" s="1143">
        <f>E16</f>
        <v>0</v>
      </c>
      <c r="G16" s="1147">
        <f>+formato!F17</f>
        <v>0</v>
      </c>
      <c r="H16" s="1143">
        <f>E16</f>
        <v>0</v>
      </c>
      <c r="I16" s="1147">
        <f>+formato!G17</f>
        <v>0</v>
      </c>
      <c r="J16" s="1143">
        <f>E16</f>
        <v>0</v>
      </c>
      <c r="K16" s="1147">
        <f>+formato!H17</f>
        <v>0</v>
      </c>
      <c r="L16" s="1143">
        <f>E16</f>
        <v>0</v>
      </c>
      <c r="M16" s="1150"/>
      <c r="N16" s="1146"/>
      <c r="Q16" s="1160">
        <v>6819</v>
      </c>
      <c r="R16" s="1160">
        <v>3876</v>
      </c>
      <c r="S16" s="1137" t="s">
        <v>590</v>
      </c>
    </row>
    <row r="17" spans="2:21" ht="19.5" customHeight="1" x14ac:dyDescent="0.25">
      <c r="B17" s="1389" t="s">
        <v>90</v>
      </c>
      <c r="C17" s="1389"/>
      <c r="D17" s="1390"/>
      <c r="E17" s="1140">
        <f>+formato!D18</f>
        <v>0</v>
      </c>
      <c r="F17" s="1143">
        <f>E17+($D$8*E17)</f>
        <v>0</v>
      </c>
      <c r="G17" s="1140">
        <f>+formato!F18</f>
        <v>0</v>
      </c>
      <c r="H17" s="1143">
        <f>G17+($D$8*G17)</f>
        <v>0</v>
      </c>
      <c r="I17" s="1140">
        <f>+formato!G18</f>
        <v>0</v>
      </c>
      <c r="J17" s="1143">
        <f>I17+($D$8*I17)</f>
        <v>0</v>
      </c>
      <c r="K17" s="1140">
        <f>+formato!H18</f>
        <v>0</v>
      </c>
      <c r="L17" s="1143">
        <f>K17+($D$8*K17)</f>
        <v>0</v>
      </c>
      <c r="M17" s="1150"/>
      <c r="N17" s="1146"/>
      <c r="Q17" s="1160">
        <v>2130</v>
      </c>
      <c r="R17" s="1160">
        <v>940</v>
      </c>
      <c r="S17" s="1137" t="s">
        <v>591</v>
      </c>
    </row>
    <row r="18" spans="2:21" ht="19.5" customHeight="1" x14ac:dyDescent="0.25">
      <c r="B18" s="1389" t="s">
        <v>91</v>
      </c>
      <c r="C18" s="1389"/>
      <c r="D18" s="1390"/>
      <c r="E18" s="1140">
        <f>+formato!D19</f>
        <v>0</v>
      </c>
      <c r="F18" s="1143">
        <f>E18+($D$8*E18)</f>
        <v>0</v>
      </c>
      <c r="G18" s="1143">
        <f>+E18</f>
        <v>0</v>
      </c>
      <c r="H18" s="1143">
        <f>G18+($D$8*G18)</f>
        <v>0</v>
      </c>
      <c r="I18" s="1143">
        <f>+E18</f>
        <v>0</v>
      </c>
      <c r="J18" s="1143">
        <f>I18+($D$8*I18)</f>
        <v>0</v>
      </c>
      <c r="K18" s="1143">
        <f>+E18</f>
        <v>0</v>
      </c>
      <c r="L18" s="1143">
        <f>K18+($D$8*K18)</f>
        <v>0</v>
      </c>
      <c r="M18" s="1146"/>
      <c r="N18" s="1146"/>
    </row>
    <row r="19" spans="2:21" ht="19.5" customHeight="1" thickBot="1" x14ac:dyDescent="0.3">
      <c r="B19" s="1390" t="s">
        <v>27</v>
      </c>
      <c r="C19" s="1391"/>
      <c r="D19" s="1391"/>
      <c r="E19" s="1143">
        <f t="shared" ref="E19:K19" si="0">+E17-E18</f>
        <v>0</v>
      </c>
      <c r="F19" s="1143">
        <f t="shared" si="0"/>
        <v>0</v>
      </c>
      <c r="G19" s="1143">
        <f t="shared" si="0"/>
        <v>0</v>
      </c>
      <c r="H19" s="1143">
        <f t="shared" si="0"/>
        <v>0</v>
      </c>
      <c r="I19" s="1143">
        <f t="shared" si="0"/>
        <v>0</v>
      </c>
      <c r="J19" s="1143">
        <f>+J17-J18</f>
        <v>0</v>
      </c>
      <c r="K19" s="1143">
        <f t="shared" si="0"/>
        <v>0</v>
      </c>
      <c r="L19" s="1143">
        <f>+L17-L18</f>
        <v>0</v>
      </c>
      <c r="M19" s="1146"/>
      <c r="N19" s="1146"/>
    </row>
    <row r="20" spans="2:21" ht="19.5" customHeight="1" x14ac:dyDescent="0.25">
      <c r="B20" s="1389" t="s">
        <v>92</v>
      </c>
      <c r="C20" s="1389"/>
      <c r="D20" s="1390"/>
      <c r="E20" s="1140">
        <f>+formato!D21</f>
        <v>0</v>
      </c>
      <c r="F20" s="1143">
        <f>E20</f>
        <v>0</v>
      </c>
      <c r="G20" s="1143">
        <f>+E20</f>
        <v>0</v>
      </c>
      <c r="H20" s="1143">
        <f>E20</f>
        <v>0</v>
      </c>
      <c r="I20" s="1143">
        <f>+E20</f>
        <v>0</v>
      </c>
      <c r="J20" s="1143">
        <f>E20</f>
        <v>0</v>
      </c>
      <c r="K20" s="1143">
        <f>E20</f>
        <v>0</v>
      </c>
      <c r="L20" s="1143">
        <f>E20</f>
        <v>0</v>
      </c>
      <c r="M20" s="1146"/>
      <c r="N20" s="1146"/>
      <c r="Q20" s="946" t="s">
        <v>539</v>
      </c>
      <c r="R20" s="947" t="s">
        <v>377</v>
      </c>
      <c r="S20" s="947" t="s">
        <v>375</v>
      </c>
      <c r="T20" s="947" t="s">
        <v>373</v>
      </c>
      <c r="U20" s="948"/>
    </row>
    <row r="21" spans="2:21" ht="19.5" customHeight="1" x14ac:dyDescent="0.25">
      <c r="B21" s="1392" t="s">
        <v>93</v>
      </c>
      <c r="C21" s="1392"/>
      <c r="D21" s="1393"/>
      <c r="E21" s="1143" t="e">
        <f t="shared" ref="E21:K21" si="1">+E19/E20</f>
        <v>#DIV/0!</v>
      </c>
      <c r="F21" s="1143" t="e">
        <f t="shared" si="1"/>
        <v>#DIV/0!</v>
      </c>
      <c r="G21" s="1143" t="e">
        <f t="shared" si="1"/>
        <v>#DIV/0!</v>
      </c>
      <c r="H21" s="1143" t="e">
        <f>+H19/H20</f>
        <v>#DIV/0!</v>
      </c>
      <c r="I21" s="1143" t="e">
        <f t="shared" si="1"/>
        <v>#DIV/0!</v>
      </c>
      <c r="J21" s="1143" t="e">
        <f t="shared" si="1"/>
        <v>#DIV/0!</v>
      </c>
      <c r="K21" s="1143" t="e">
        <f t="shared" si="1"/>
        <v>#DIV/0!</v>
      </c>
      <c r="L21" s="1143" t="e">
        <f>+L19/L20</f>
        <v>#DIV/0!</v>
      </c>
      <c r="M21" s="1146"/>
      <c r="N21" s="1146"/>
      <c r="O21" s="477" t="s">
        <v>94</v>
      </c>
      <c r="Q21" s="949"/>
      <c r="R21" s="1048" t="s">
        <v>540</v>
      </c>
      <c r="S21" s="1048" t="s">
        <v>541</v>
      </c>
      <c r="T21" s="1049" t="s">
        <v>542</v>
      </c>
      <c r="U21" s="950"/>
    </row>
    <row r="22" spans="2:21" ht="19.5" customHeight="1" x14ac:dyDescent="0.25">
      <c r="B22" s="682" t="s">
        <v>95</v>
      </c>
      <c r="C22" s="741"/>
      <c r="D22" s="741"/>
      <c r="E22" s="1152"/>
      <c r="F22" s="1152"/>
      <c r="G22" s="1152"/>
      <c r="H22" s="1152"/>
      <c r="I22" s="1152"/>
      <c r="J22" s="1152"/>
      <c r="K22" s="1152"/>
      <c r="L22" s="1153"/>
      <c r="M22" s="1154"/>
      <c r="N22" s="1155"/>
      <c r="Q22" s="949" t="s">
        <v>543</v>
      </c>
      <c r="R22" s="1161" t="s">
        <v>544</v>
      </c>
      <c r="S22" s="1161" t="s">
        <v>545</v>
      </c>
      <c r="T22" s="1161" t="s">
        <v>546</v>
      </c>
      <c r="U22" s="950"/>
    </row>
    <row r="23" spans="2:21" ht="19.5" customHeight="1" thickBot="1" x14ac:dyDescent="0.3">
      <c r="B23" s="1394" t="s">
        <v>96</v>
      </c>
      <c r="C23" s="1394"/>
      <c r="D23" s="1395"/>
      <c r="E23" s="1140">
        <f>+formato!D24</f>
        <v>0</v>
      </c>
      <c r="F23" s="1148"/>
      <c r="G23" s="1140">
        <f>+formato!F24</f>
        <v>0</v>
      </c>
      <c r="H23" s="1148"/>
      <c r="I23" s="1140">
        <f>+formato!G24</f>
        <v>0</v>
      </c>
      <c r="J23" s="1143"/>
      <c r="K23" s="1140">
        <f>+formato!H24</f>
        <v>0</v>
      </c>
      <c r="L23" s="1143"/>
      <c r="M23" s="1150"/>
      <c r="N23" s="1146"/>
      <c r="O23" s="495"/>
      <c r="Q23" s="951" t="s">
        <v>547</v>
      </c>
      <c r="R23" s="952" t="s">
        <v>548</v>
      </c>
      <c r="S23" s="952" t="s">
        <v>559</v>
      </c>
      <c r="T23" s="952" t="s">
        <v>549</v>
      </c>
      <c r="U23" s="953"/>
    </row>
    <row r="24" spans="2:21" ht="19.5" customHeight="1" x14ac:dyDescent="0.25">
      <c r="B24" s="1389" t="s">
        <v>97</v>
      </c>
      <c r="C24" s="1389"/>
      <c r="D24" s="1390"/>
      <c r="E24" s="1140">
        <f>+formato!D25</f>
        <v>0</v>
      </c>
      <c r="F24" s="1143" t="e">
        <f>IF($C$50="A",E24+($I$8*E24),E24+($N$8*E24))</f>
        <v>#DIV/0!</v>
      </c>
      <c r="G24" s="1140">
        <f>+formato!F25</f>
        <v>0</v>
      </c>
      <c r="H24" s="1143" t="e">
        <f>IF($C$50="A",G24+($I$8*G24),G24+($N$8*G24))</f>
        <v>#DIV/0!</v>
      </c>
      <c r="I24" s="1140">
        <f>+formato!G25</f>
        <v>0</v>
      </c>
      <c r="J24" s="1143" t="e">
        <f>IF($C$50="A",I24+($I$8*I24),I24+($N$8*I24))</f>
        <v>#DIV/0!</v>
      </c>
      <c r="K24" s="1140">
        <f>+formato!H25</f>
        <v>0</v>
      </c>
      <c r="L24" s="1143" t="e">
        <f>IF($C$50="A",K24+($I$8*K24),K24+($N$8*K24))</f>
        <v>#DIV/0!</v>
      </c>
      <c r="M24" s="1150"/>
      <c r="N24" s="1146"/>
      <c r="Q24" s="949" t="s">
        <v>552</v>
      </c>
      <c r="R24" s="1161">
        <f>+E24-E29</f>
        <v>0</v>
      </c>
      <c r="S24" s="1161">
        <f>+G24-G29</f>
        <v>0</v>
      </c>
      <c r="T24" s="1161">
        <f>+I24-I29</f>
        <v>0</v>
      </c>
      <c r="U24" s="1162">
        <f>+K24-K29</f>
        <v>0</v>
      </c>
    </row>
    <row r="25" spans="2:21" ht="19.5" customHeight="1" x14ac:dyDescent="0.25">
      <c r="B25" s="1389" t="s">
        <v>98</v>
      </c>
      <c r="C25" s="1389"/>
      <c r="D25" s="1390"/>
      <c r="E25" s="1140">
        <f>+formato!D26</f>
        <v>0</v>
      </c>
      <c r="F25" s="1143" t="e">
        <f t="shared" ref="F25:F27" si="2">IF($C$50="A",E25+($I$8*E25),E25+($N$8*E25))</f>
        <v>#DIV/0!</v>
      </c>
      <c r="G25" s="1140">
        <f>+formato!F26</f>
        <v>0</v>
      </c>
      <c r="H25" s="1143" t="e">
        <f t="shared" ref="H25:H27" si="3">IF($C$50="A",G25+($I$8*G25),G25+($N$8*G25))</f>
        <v>#DIV/0!</v>
      </c>
      <c r="I25" s="1140">
        <f>+formato!G26</f>
        <v>0</v>
      </c>
      <c r="J25" s="1143" t="e">
        <f t="shared" ref="J25:J27" si="4">IF($C$50="A",I25+($I$8*I25),I25+($N$8*I25))</f>
        <v>#DIV/0!</v>
      </c>
      <c r="K25" s="1140">
        <f>+formato!H26</f>
        <v>0</v>
      </c>
      <c r="L25" s="1143" t="e">
        <f t="shared" ref="L25:L27" si="5">IF($C$50="A",K25+($I$8*K25),K25+($N$8*K25))</f>
        <v>#DIV/0!</v>
      </c>
      <c r="M25" s="1150"/>
      <c r="N25" s="1146"/>
      <c r="Q25" s="949" t="s">
        <v>550</v>
      </c>
      <c r="R25" s="1161">
        <v>3.9</v>
      </c>
      <c r="S25" s="1161">
        <v>5.8</v>
      </c>
      <c r="T25" s="1161">
        <v>7.7</v>
      </c>
      <c r="U25" s="1162">
        <v>8.9</v>
      </c>
    </row>
    <row r="26" spans="2:21" ht="19.5" customHeight="1" thickBot="1" x14ac:dyDescent="0.3">
      <c r="B26" s="1389" t="s">
        <v>99</v>
      </c>
      <c r="C26" s="1389"/>
      <c r="D26" s="1390"/>
      <c r="E26" s="1140">
        <f>+formato!D27</f>
        <v>0</v>
      </c>
      <c r="F26" s="1143" t="e">
        <f t="shared" si="2"/>
        <v>#DIV/0!</v>
      </c>
      <c r="G26" s="1140">
        <f>+formato!F27</f>
        <v>0</v>
      </c>
      <c r="H26" s="1143" t="e">
        <f t="shared" si="3"/>
        <v>#DIV/0!</v>
      </c>
      <c r="I26" s="1140">
        <f>+formato!G27</f>
        <v>0</v>
      </c>
      <c r="J26" s="1143" t="e">
        <f t="shared" si="4"/>
        <v>#DIV/0!</v>
      </c>
      <c r="K26" s="1140">
        <f>+formato!H27</f>
        <v>0</v>
      </c>
      <c r="L26" s="1143" t="e">
        <f t="shared" si="5"/>
        <v>#DIV/0!</v>
      </c>
      <c r="M26" s="1150"/>
      <c r="N26" s="1146"/>
      <c r="Q26" s="949" t="s">
        <v>551</v>
      </c>
      <c r="R26" s="1161">
        <f>+(E24+(R25*E29/100))/(R25/100+1)</f>
        <v>0</v>
      </c>
      <c r="S26" s="1163">
        <f>+(G24+(S25*G29/100))/(S25/100+1)</f>
        <v>0</v>
      </c>
      <c r="T26" s="1163">
        <f>+(I24+(T25*I29/100))/(T25/100+1)</f>
        <v>0</v>
      </c>
      <c r="U26" s="1164">
        <f>+(K24+(U25*K29/100))/(U25/100+1)</f>
        <v>0</v>
      </c>
    </row>
    <row r="27" spans="2:21" ht="19.5" customHeight="1" thickBot="1" x14ac:dyDescent="0.3">
      <c r="B27" s="1389" t="s">
        <v>100</v>
      </c>
      <c r="C27" s="1389"/>
      <c r="D27" s="1390"/>
      <c r="E27" s="1140">
        <f>+formato!D28</f>
        <v>0</v>
      </c>
      <c r="F27" s="1143" t="e">
        <f t="shared" si="2"/>
        <v>#DIV/0!</v>
      </c>
      <c r="G27" s="1140">
        <f>+formato!F28</f>
        <v>0</v>
      </c>
      <c r="H27" s="1143" t="e">
        <f t="shared" si="3"/>
        <v>#DIV/0!</v>
      </c>
      <c r="I27" s="1140">
        <f>+formato!G28</f>
        <v>0</v>
      </c>
      <c r="J27" s="1143" t="e">
        <f t="shared" si="4"/>
        <v>#DIV/0!</v>
      </c>
      <c r="K27" s="1140">
        <f>+formato!H28</f>
        <v>0</v>
      </c>
      <c r="L27" s="1143" t="e">
        <f t="shared" si="5"/>
        <v>#DIV/0!</v>
      </c>
      <c r="M27" s="1150"/>
      <c r="N27" s="1146"/>
      <c r="Q27" s="1097" t="s">
        <v>572</v>
      </c>
      <c r="R27" s="1098" t="e">
        <f>IF(C50="C",2500,IF(C50="B",500,100))</f>
        <v>#DIV/0!</v>
      </c>
    </row>
    <row r="28" spans="2:21" ht="19.5" customHeight="1" x14ac:dyDescent="0.25">
      <c r="B28" s="1389" t="s">
        <v>31</v>
      </c>
      <c r="C28" s="1389"/>
      <c r="D28" s="1390"/>
      <c r="E28" s="1156">
        <f t="shared" ref="E28:L28" si="6">+E24-E27</f>
        <v>0</v>
      </c>
      <c r="F28" s="1143" t="e">
        <f t="shared" si="6"/>
        <v>#DIV/0!</v>
      </c>
      <c r="G28" s="1156">
        <f t="shared" si="6"/>
        <v>0</v>
      </c>
      <c r="H28" s="1143" t="e">
        <f t="shared" si="6"/>
        <v>#DIV/0!</v>
      </c>
      <c r="I28" s="1143">
        <f t="shared" si="6"/>
        <v>0</v>
      </c>
      <c r="J28" s="1143" t="e">
        <f t="shared" si="6"/>
        <v>#DIV/0!</v>
      </c>
      <c r="K28" s="1143">
        <f t="shared" si="6"/>
        <v>0</v>
      </c>
      <c r="L28" s="1143" t="e">
        <f t="shared" si="6"/>
        <v>#DIV/0!</v>
      </c>
      <c r="M28" s="1157"/>
      <c r="N28" s="1146"/>
    </row>
    <row r="29" spans="2:21" ht="19.5" customHeight="1" x14ac:dyDescent="0.25">
      <c r="B29" s="1389" t="s">
        <v>101</v>
      </c>
      <c r="C29" s="1389"/>
      <c r="D29" s="1390"/>
      <c r="E29" s="1140">
        <f>+formato!D30</f>
        <v>0</v>
      </c>
      <c r="F29" s="1143" t="e">
        <f>IF($C$50="A",E29+($I$8*E29),E29+($N$8*E29))</f>
        <v>#DIV/0!</v>
      </c>
      <c r="G29" s="1140">
        <f>+formato!F30</f>
        <v>0</v>
      </c>
      <c r="H29" s="1143" t="e">
        <f>IF($C$50="A",G29+($I$8*G29),G29+($N$8*G29))</f>
        <v>#DIV/0!</v>
      </c>
      <c r="I29" s="1140">
        <f>+formato!G30</f>
        <v>0</v>
      </c>
      <c r="J29" s="1143" t="e">
        <f>IF($C$50="A",I29+($I$8*I29),I29+($N$8*I29))</f>
        <v>#DIV/0!</v>
      </c>
      <c r="K29" s="1140">
        <f>+formato!H30</f>
        <v>0</v>
      </c>
      <c r="L29" s="1143" t="e">
        <f>IF($C$50="A",K29+($I$8*K29),K29+($N$8*K29))</f>
        <v>#DIV/0!</v>
      </c>
      <c r="M29" s="1150"/>
      <c r="N29" s="1146"/>
    </row>
    <row r="30" spans="2:21" ht="19.5" customHeight="1" x14ac:dyDescent="0.25">
      <c r="B30" s="1390" t="s">
        <v>32</v>
      </c>
      <c r="C30" s="1391"/>
      <c r="D30" s="1391"/>
      <c r="E30" s="1143"/>
      <c r="F30" s="1143" t="e">
        <f t="shared" ref="F30:L30" si="7">+F27-F29</f>
        <v>#DIV/0!</v>
      </c>
      <c r="G30" s="1143"/>
      <c r="H30" s="1143" t="e">
        <f t="shared" si="7"/>
        <v>#DIV/0!</v>
      </c>
      <c r="I30" s="1143"/>
      <c r="J30" s="1143" t="e">
        <f t="shared" si="7"/>
        <v>#DIV/0!</v>
      </c>
      <c r="K30" s="1143"/>
      <c r="L30" s="1143" t="e">
        <f t="shared" si="7"/>
        <v>#DIV/0!</v>
      </c>
      <c r="M30" s="1146"/>
      <c r="N30" s="1146"/>
    </row>
    <row r="31" spans="2:21" ht="19.5" customHeight="1" x14ac:dyDescent="0.25">
      <c r="B31" s="1390" t="s">
        <v>102</v>
      </c>
      <c r="C31" s="1391"/>
      <c r="D31" s="1391"/>
      <c r="E31" s="1143"/>
      <c r="F31" s="1143" t="e">
        <f t="shared" ref="F31:L31" si="8">+F28/F30*100</f>
        <v>#DIV/0!</v>
      </c>
      <c r="G31" s="1143"/>
      <c r="H31" s="1143" t="e">
        <f t="shared" si="8"/>
        <v>#DIV/0!</v>
      </c>
      <c r="I31" s="1143"/>
      <c r="J31" s="1143" t="e">
        <f t="shared" si="8"/>
        <v>#DIV/0!</v>
      </c>
      <c r="K31" s="1143"/>
      <c r="L31" s="1143" t="e">
        <f t="shared" si="8"/>
        <v>#DIV/0!</v>
      </c>
      <c r="M31" s="1146"/>
      <c r="N31" s="1146"/>
      <c r="O31" s="477" t="s">
        <v>103</v>
      </c>
    </row>
    <row r="32" spans="2:21" ht="19.2" customHeight="1" x14ac:dyDescent="0.25">
      <c r="B32" s="1393" t="s">
        <v>104</v>
      </c>
      <c r="C32" s="1396"/>
      <c r="D32" s="1396"/>
      <c r="E32" s="1143"/>
      <c r="F32" s="1143" t="e">
        <f t="shared" ref="F32:L32" si="9">+F21/(1+F31/100)</f>
        <v>#DIV/0!</v>
      </c>
      <c r="G32" s="1143"/>
      <c r="H32" s="1143" t="e">
        <f t="shared" si="9"/>
        <v>#DIV/0!</v>
      </c>
      <c r="I32" s="1143"/>
      <c r="J32" s="1143" t="e">
        <f t="shared" si="9"/>
        <v>#DIV/0!</v>
      </c>
      <c r="K32" s="1143"/>
      <c r="L32" s="1143" t="e">
        <f t="shared" si="9"/>
        <v>#DIV/0!</v>
      </c>
      <c r="M32" s="1146"/>
      <c r="N32" s="1146"/>
      <c r="O32" s="477" t="s">
        <v>94</v>
      </c>
    </row>
    <row r="33" spans="2:15" ht="19.2" customHeight="1" x14ac:dyDescent="0.25">
      <c r="B33" s="1091" t="s">
        <v>568</v>
      </c>
      <c r="C33" s="1092"/>
      <c r="D33" s="1092"/>
      <c r="E33" s="1158"/>
      <c r="F33" s="1158" t="e">
        <f>+F32*9.8066</f>
        <v>#DIV/0!</v>
      </c>
      <c r="G33" s="1158"/>
      <c r="H33" s="1158" t="e">
        <f>+H32*9.8066</f>
        <v>#DIV/0!</v>
      </c>
      <c r="I33" s="1158"/>
      <c r="J33" s="1158" t="e">
        <f>+J32*9.8066</f>
        <v>#DIV/0!</v>
      </c>
      <c r="K33" s="1158"/>
      <c r="L33" s="1158" t="e">
        <f>+L32*9.8066</f>
        <v>#DIV/0!</v>
      </c>
      <c r="M33" s="1159"/>
      <c r="N33" s="1159"/>
      <c r="O33" s="477"/>
    </row>
    <row r="34" spans="2:15" ht="12.75" customHeight="1" x14ac:dyDescent="0.25">
      <c r="B34" s="684" t="s">
        <v>573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399999999999999" customHeight="1" x14ac:dyDescent="0.25">
      <c r="B35" s="684" t="s">
        <v>105</v>
      </c>
      <c r="C35" s="729"/>
      <c r="D35" s="729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5"/>
    <row r="37" spans="2:15" ht="19.5" customHeight="1" x14ac:dyDescent="0.25">
      <c r="C37" s="678" t="s">
        <v>66</v>
      </c>
      <c r="D37" s="706"/>
      <c r="E37" s="707"/>
      <c r="F37" s="1397">
        <v>0</v>
      </c>
      <c r="G37" s="1397"/>
      <c r="H37" s="1397"/>
    </row>
    <row r="38" spans="2:15" ht="19.5" customHeight="1" x14ac:dyDescent="0.25">
      <c r="C38" s="678" t="s">
        <v>68</v>
      </c>
      <c r="D38" s="706"/>
      <c r="E38" s="707"/>
      <c r="F38" s="1398">
        <v>0</v>
      </c>
      <c r="G38" s="1398"/>
      <c r="H38" s="1398"/>
    </row>
    <row r="39" spans="2:15" ht="9" customHeight="1" x14ac:dyDescent="0.25"/>
    <row r="40" spans="2:15" ht="7.5" customHeight="1" x14ac:dyDescent="0.25">
      <c r="B40" s="1022"/>
      <c r="C40" s="1023"/>
      <c r="D40" s="1023"/>
      <c r="E40" s="1024"/>
      <c r="F40" s="1024"/>
      <c r="G40" s="1023"/>
      <c r="H40" s="1025"/>
      <c r="I40" s="1025"/>
      <c r="J40" s="1025"/>
      <c r="K40" s="1025"/>
      <c r="L40" s="1025"/>
      <c r="M40" s="1025"/>
      <c r="N40" s="1026"/>
    </row>
    <row r="41" spans="2:15" ht="19.5" customHeight="1" x14ac:dyDescent="0.25">
      <c r="B41" s="1027"/>
      <c r="C41" s="1028" t="s">
        <v>56</v>
      </c>
      <c r="D41" s="1029"/>
      <c r="E41" s="1030"/>
      <c r="F41" s="1399">
        <v>0</v>
      </c>
      <c r="G41" s="1399"/>
      <c r="H41" s="1399"/>
      <c r="K41" s="1412" t="s">
        <v>49</v>
      </c>
      <c r="L41" s="1412"/>
      <c r="M41" s="478"/>
      <c r="N41" s="1410" t="s">
        <v>106</v>
      </c>
    </row>
    <row r="42" spans="2:15" ht="19.5" customHeight="1" x14ac:dyDescent="0.25">
      <c r="B42" s="1027"/>
      <c r="K42" s="1031" t="s">
        <v>51</v>
      </c>
      <c r="L42" s="1031" t="s">
        <v>52</v>
      </c>
      <c r="M42" s="478"/>
      <c r="N42" s="1411"/>
    </row>
    <row r="43" spans="2:15" ht="19.5" customHeight="1" x14ac:dyDescent="0.25">
      <c r="B43" s="1027"/>
      <c r="C43" s="1032" t="s">
        <v>107</v>
      </c>
      <c r="D43" s="1033"/>
      <c r="E43" s="1031" t="s">
        <v>569</v>
      </c>
      <c r="F43" s="1096">
        <v>9.8065999999999995</v>
      </c>
      <c r="G43" s="1095">
        <f>+F43</f>
        <v>9.8065999999999995</v>
      </c>
      <c r="H43" s="1095">
        <f>+F43</f>
        <v>9.8065999999999995</v>
      </c>
      <c r="I43" s="1095">
        <f>+F43</f>
        <v>9.8065999999999995</v>
      </c>
      <c r="K43" s="1034" t="e">
        <f>LARGE($F$44:$I$44,N43)</f>
        <v>#DIV/0!</v>
      </c>
      <c r="L43" s="1034" t="e">
        <f>SMALL($F$46:$I$46,N43)</f>
        <v>#DIV/0!</v>
      </c>
      <c r="M43" s="478"/>
      <c r="N43" s="1035">
        <v>1</v>
      </c>
    </row>
    <row r="44" spans="2:15" ht="19.5" customHeight="1" x14ac:dyDescent="0.25">
      <c r="B44" s="1027"/>
      <c r="C44" s="1032" t="s">
        <v>108</v>
      </c>
      <c r="D44" s="1033"/>
      <c r="E44" s="1031" t="s">
        <v>569</v>
      </c>
      <c r="F44" s="957" t="e">
        <f>+F33</f>
        <v>#DIV/0!</v>
      </c>
      <c r="G44" s="957" t="e">
        <f>+H33</f>
        <v>#DIV/0!</v>
      </c>
      <c r="H44" s="957" t="e">
        <f>+J33</f>
        <v>#DIV/0!</v>
      </c>
      <c r="I44" s="957" t="e">
        <f>+L33</f>
        <v>#DIV/0!</v>
      </c>
      <c r="K44" s="1034" t="e">
        <f>LARGE($F$44:$I$44,N44)</f>
        <v>#DIV/0!</v>
      </c>
      <c r="L44" s="1034" t="e">
        <f>SMALL($F$46:$I$46,N44)</f>
        <v>#DIV/0!</v>
      </c>
      <c r="M44" s="478"/>
      <c r="N44" s="1035">
        <v>2</v>
      </c>
    </row>
    <row r="45" spans="2:15" ht="19.5" customHeight="1" x14ac:dyDescent="0.25">
      <c r="B45" s="1027"/>
      <c r="C45" s="1032" t="s">
        <v>109</v>
      </c>
      <c r="D45" s="1033"/>
      <c r="E45" s="1031" t="s">
        <v>67</v>
      </c>
      <c r="F45" s="1036">
        <v>2.81</v>
      </c>
      <c r="G45" s="956">
        <f>+$F$45</f>
        <v>2.81</v>
      </c>
      <c r="H45" s="956">
        <f>+$F$45</f>
        <v>2.81</v>
      </c>
      <c r="I45" s="956">
        <f>+$F$45</f>
        <v>2.81</v>
      </c>
      <c r="K45" s="1034" t="e">
        <f>LARGE($F$44:$I$44,N45)</f>
        <v>#DIV/0!</v>
      </c>
      <c r="L45" s="1034" t="e">
        <f>SMALL($F$46:$I$46,N45)</f>
        <v>#DIV/0!</v>
      </c>
      <c r="M45" s="478"/>
      <c r="N45" s="1035">
        <v>3</v>
      </c>
    </row>
    <row r="46" spans="2:15" ht="19.5" customHeight="1" x14ac:dyDescent="0.25">
      <c r="B46" s="1027"/>
      <c r="C46" s="1032" t="s">
        <v>110</v>
      </c>
      <c r="D46" s="1033"/>
      <c r="E46" s="1031" t="s">
        <v>111</v>
      </c>
      <c r="F46" s="957" t="e">
        <f>+(F43*F45-F44)/F44/F45*100</f>
        <v>#DIV/0!</v>
      </c>
      <c r="G46" s="957" t="e">
        <f>+(G43*G45-G44)/G44/G45*100</f>
        <v>#DIV/0!</v>
      </c>
      <c r="H46" s="957" t="e">
        <f>+(H43*H45-H44)/H44/H45*100</f>
        <v>#DIV/0!</v>
      </c>
      <c r="I46" s="957" t="e">
        <f t="shared" ref="I46" si="10">+(I43*I45-I44)/I44/I45*100</f>
        <v>#DIV/0!</v>
      </c>
      <c r="K46" s="1034" t="e">
        <f>LARGE($F$44:$I$44,N46)</f>
        <v>#DIV/0!</v>
      </c>
      <c r="L46" s="1034" t="e">
        <f>SMALL($F$46:$I$46,N46)</f>
        <v>#DIV/0!</v>
      </c>
      <c r="M46" s="478"/>
      <c r="N46" s="1035">
        <v>4</v>
      </c>
    </row>
    <row r="47" spans="2:15" ht="5.25" customHeight="1" x14ac:dyDescent="0.25">
      <c r="B47" s="742"/>
      <c r="C47" s="704"/>
      <c r="D47" s="704"/>
      <c r="E47" s="704"/>
      <c r="F47" s="704"/>
      <c r="G47" s="704"/>
      <c r="H47" s="704"/>
      <c r="I47" s="704"/>
      <c r="J47" s="704"/>
      <c r="K47" s="704"/>
      <c r="L47" s="704"/>
      <c r="M47" s="704"/>
      <c r="N47" s="1037"/>
    </row>
    <row r="48" spans="2:15" ht="19.5" customHeight="1" x14ac:dyDescent="0.25">
      <c r="B48" s="711"/>
      <c r="N48" s="712"/>
    </row>
    <row r="49" spans="2:15" ht="15" customHeight="1" x14ac:dyDescent="0.25">
      <c r="B49" s="711"/>
      <c r="C49" s="1401" t="s">
        <v>35</v>
      </c>
      <c r="D49" s="1402"/>
      <c r="E49" s="1403"/>
      <c r="N49" s="712"/>
    </row>
    <row r="50" spans="2:15" ht="10.5" customHeight="1" x14ac:dyDescent="0.25">
      <c r="B50" s="711"/>
      <c r="C50" s="1386" t="e">
        <f>IF(G54="","",IF(AND(G54&lt;=25),"A",IF(AND(G54&gt;25,G53&lt;=25),"B",IF(AND(G53&gt;25,G52&lt;30),"C"))))</f>
        <v>#DIV/0!</v>
      </c>
      <c r="D50" s="1387"/>
      <c r="E50" s="1388"/>
      <c r="F50" s="475"/>
      <c r="N50" s="712"/>
      <c r="O50" s="713"/>
    </row>
    <row r="51" spans="2:15" ht="34.5" customHeight="1" x14ac:dyDescent="0.25">
      <c r="B51" s="711"/>
      <c r="C51" s="493" t="s">
        <v>40</v>
      </c>
      <c r="D51" s="493" t="s">
        <v>41</v>
      </c>
      <c r="E51" s="493" t="s">
        <v>580</v>
      </c>
      <c r="F51" s="493" t="s">
        <v>42</v>
      </c>
      <c r="G51" s="493" t="s">
        <v>43</v>
      </c>
      <c r="H51" s="493" t="s">
        <v>44</v>
      </c>
      <c r="N51" s="712"/>
      <c r="O51" s="713"/>
    </row>
    <row r="52" spans="2:15" ht="19.5" customHeight="1" x14ac:dyDescent="0.25">
      <c r="B52" s="711"/>
      <c r="C52" s="479" t="s">
        <v>112</v>
      </c>
      <c r="D52" s="1140">
        <f>+formato!G37</f>
        <v>0</v>
      </c>
      <c r="E52" s="1142">
        <f>+D52+D52*$I$8</f>
        <v>0</v>
      </c>
      <c r="F52" s="1143" t="e">
        <f>E52/E56*100</f>
        <v>#DIV/0!</v>
      </c>
      <c r="G52" s="1143" t="e">
        <f>F52</f>
        <v>#DIV/0!</v>
      </c>
      <c r="H52" s="1141" t="e">
        <f>100-G52</f>
        <v>#DIV/0!</v>
      </c>
      <c r="N52" s="712"/>
    </row>
    <row r="53" spans="2:15" ht="19.5" customHeight="1" x14ac:dyDescent="0.25">
      <c r="B53" s="711"/>
      <c r="C53" s="479" t="s">
        <v>113</v>
      </c>
      <c r="D53" s="1140">
        <f>+formato!G38</f>
        <v>0</v>
      </c>
      <c r="E53" s="1142">
        <f t="shared" ref="E53:E55" si="11">+D53+D53*$I$8</f>
        <v>0</v>
      </c>
      <c r="F53" s="1143" t="e">
        <f>E53/E56*100</f>
        <v>#DIV/0!</v>
      </c>
      <c r="G53" s="1143" t="e">
        <f>G52+F53</f>
        <v>#DIV/0!</v>
      </c>
      <c r="H53" s="1141" t="e">
        <f t="shared" ref="H53:H55" si="12">100-G53</f>
        <v>#DIV/0!</v>
      </c>
      <c r="N53" s="712"/>
    </row>
    <row r="54" spans="2:15" ht="19.5" customHeight="1" x14ac:dyDescent="0.25">
      <c r="B54" s="711"/>
      <c r="C54" s="479" t="s">
        <v>114</v>
      </c>
      <c r="D54" s="1140">
        <f>+formato!G39</f>
        <v>0</v>
      </c>
      <c r="E54" s="1142">
        <f>+D54+D54*$I$8</f>
        <v>0</v>
      </c>
      <c r="F54" s="1143" t="e">
        <f>E54/E56*100</f>
        <v>#DIV/0!</v>
      </c>
      <c r="G54" s="1143" t="e">
        <f>G53+F54</f>
        <v>#DIV/0!</v>
      </c>
      <c r="H54" s="1141" t="e">
        <f t="shared" si="12"/>
        <v>#DIV/0!</v>
      </c>
      <c r="N54" s="712"/>
    </row>
    <row r="55" spans="2:15" ht="19.5" customHeight="1" x14ac:dyDescent="0.25">
      <c r="B55" s="711"/>
      <c r="C55" s="479" t="s">
        <v>48</v>
      </c>
      <c r="D55" s="1140">
        <f>+formato!G40</f>
        <v>0</v>
      </c>
      <c r="E55" s="1142">
        <f t="shared" si="11"/>
        <v>0</v>
      </c>
      <c r="F55" s="1143" t="e">
        <f>E55/E56*100</f>
        <v>#DIV/0!</v>
      </c>
      <c r="G55" s="1143" t="e">
        <f>G54+F55</f>
        <v>#DIV/0!</v>
      </c>
      <c r="H55" s="1141" t="e">
        <f t="shared" si="12"/>
        <v>#DIV/0!</v>
      </c>
      <c r="N55" s="712"/>
    </row>
    <row r="56" spans="2:15" ht="19.5" customHeight="1" x14ac:dyDescent="0.25">
      <c r="B56" s="711"/>
      <c r="C56" s="729" t="s">
        <v>50</v>
      </c>
      <c r="D56" s="1141">
        <f>SUM(D52:D55)</f>
        <v>0</v>
      </c>
      <c r="E56" s="1141">
        <f>SUM(E52:E55)</f>
        <v>0</v>
      </c>
      <c r="F56" s="1144"/>
      <c r="G56" s="1144"/>
      <c r="H56" s="1145"/>
      <c r="N56" s="712"/>
    </row>
    <row r="57" spans="2:15" ht="19.5" customHeight="1" x14ac:dyDescent="0.25">
      <c r="B57" s="742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40"/>
    </row>
    <row r="58" spans="2:15" ht="19.5" customHeight="1" x14ac:dyDescent="0.25">
      <c r="B58" s="708"/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10"/>
    </row>
    <row r="59" spans="2:15" ht="19.5" customHeight="1" x14ac:dyDescent="0.25">
      <c r="B59" s="711"/>
      <c r="C59" s="729" t="s">
        <v>115</v>
      </c>
      <c r="D59" s="729" t="s">
        <v>116</v>
      </c>
      <c r="E59" s="729" t="s">
        <v>117</v>
      </c>
      <c r="F59" s="729" t="s">
        <v>118</v>
      </c>
      <c r="G59" s="729" t="s">
        <v>119</v>
      </c>
      <c r="H59" s="729" t="s">
        <v>120</v>
      </c>
      <c r="I59" s="729" t="s">
        <v>121</v>
      </c>
      <c r="J59" s="729" t="s">
        <v>122</v>
      </c>
      <c r="K59" s="729" t="s">
        <v>123</v>
      </c>
      <c r="L59" s="729" t="s">
        <v>124</v>
      </c>
      <c r="M59" s="723"/>
      <c r="N59" s="712"/>
    </row>
    <row r="60" spans="2:15" ht="19.5" customHeight="1" x14ac:dyDescent="0.25">
      <c r="B60" s="711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3"/>
      <c r="N60" s="712"/>
    </row>
    <row r="61" spans="2:15" ht="19.5" customHeight="1" x14ac:dyDescent="0.25">
      <c r="B61" s="711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3"/>
      <c r="N61" s="712"/>
    </row>
    <row r="62" spans="2:15" ht="19.5" customHeight="1" x14ac:dyDescent="0.25">
      <c r="B62" s="711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3"/>
      <c r="N62" s="712"/>
    </row>
    <row r="63" spans="2:15" ht="19.5" customHeight="1" x14ac:dyDescent="0.25">
      <c r="B63" s="711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3"/>
      <c r="N63" s="712"/>
    </row>
    <row r="64" spans="2:15" ht="19.5" customHeight="1" x14ac:dyDescent="0.25">
      <c r="B64" s="711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3"/>
      <c r="N64" s="712"/>
    </row>
    <row r="65" spans="2:14" ht="19.5" customHeight="1" x14ac:dyDescent="0.25">
      <c r="B65" s="711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3"/>
      <c r="N65" s="712"/>
    </row>
    <row r="66" spans="2:14" ht="19.5" customHeight="1" x14ac:dyDescent="0.25">
      <c r="B66" s="711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12"/>
    </row>
    <row r="67" spans="2:14" ht="19.5" customHeight="1" x14ac:dyDescent="0.25">
      <c r="B67" s="711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3"/>
      <c r="I67" s="723"/>
      <c r="J67" s="723"/>
      <c r="K67" s="723"/>
      <c r="L67" s="723"/>
      <c r="M67" s="723"/>
      <c r="N67" s="712"/>
    </row>
    <row r="68" spans="2:14" ht="19.5" customHeight="1" x14ac:dyDescent="0.25">
      <c r="B68" s="711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3"/>
      <c r="I68" s="723"/>
      <c r="J68" s="723"/>
      <c r="K68" s="723"/>
      <c r="L68" s="723"/>
      <c r="M68" s="723"/>
      <c r="N68" s="712"/>
    </row>
    <row r="69" spans="2:14" ht="19.5" customHeight="1" x14ac:dyDescent="0.25">
      <c r="B69" s="711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3"/>
      <c r="I69" s="729" t="s">
        <v>125</v>
      </c>
      <c r="J69" s="683" t="e">
        <f t="array" ref="J69:J72">MMULT(C72:F75,G72:G75)</f>
        <v>#DIV/0!</v>
      </c>
      <c r="K69" s="683"/>
      <c r="L69" s="723"/>
      <c r="M69" s="723"/>
      <c r="N69" s="712"/>
    </row>
    <row r="70" spans="2:14" ht="19.5" customHeight="1" x14ac:dyDescent="0.25">
      <c r="B70" s="711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3"/>
      <c r="I70" s="729" t="s">
        <v>126</v>
      </c>
      <c r="J70" s="683" t="e">
        <v>#DIV/0!</v>
      </c>
      <c r="K70" s="683" t="e">
        <f>+J70</f>
        <v>#DIV/0!</v>
      </c>
      <c r="L70" s="723"/>
      <c r="M70" s="723"/>
      <c r="N70" s="712"/>
    </row>
    <row r="71" spans="2:14" ht="19.5" customHeight="1" x14ac:dyDescent="0.25">
      <c r="B71" s="711"/>
      <c r="C71" s="723"/>
      <c r="D71" s="723"/>
      <c r="E71" s="723"/>
      <c r="F71" s="723"/>
      <c r="G71" s="723"/>
      <c r="H71" s="723"/>
      <c r="I71" s="729" t="s">
        <v>127</v>
      </c>
      <c r="J71" s="683" t="e">
        <v>#DIV/0!</v>
      </c>
      <c r="K71" s="683" t="e">
        <f>2*J71</f>
        <v>#DIV/0!</v>
      </c>
      <c r="L71" s="723"/>
      <c r="M71" s="723"/>
      <c r="N71" s="712"/>
    </row>
    <row r="72" spans="2:14" ht="19.5" customHeight="1" x14ac:dyDescent="0.25">
      <c r="B72" s="711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3"/>
      <c r="I72" s="729" t="s">
        <v>128</v>
      </c>
      <c r="J72" s="683" t="e">
        <v>#DIV/0!</v>
      </c>
      <c r="K72" s="683" t="e">
        <f>3*J72</f>
        <v>#DIV/0!</v>
      </c>
      <c r="L72" s="723"/>
      <c r="M72" s="723"/>
      <c r="N72" s="712"/>
    </row>
    <row r="73" spans="2:14" ht="19.5" customHeight="1" x14ac:dyDescent="0.25">
      <c r="B73" s="711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3"/>
      <c r="I73" s="723"/>
      <c r="J73" s="723"/>
      <c r="K73" s="723"/>
      <c r="L73" s="723"/>
      <c r="M73" s="723"/>
      <c r="N73" s="712"/>
    </row>
    <row r="74" spans="2:14" ht="19.5" customHeight="1" x14ac:dyDescent="0.25">
      <c r="B74" s="711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3"/>
      <c r="I74" s="728" t="s">
        <v>129</v>
      </c>
      <c r="J74" s="680" t="e">
        <f>+(-K71-SQRT((K71^2)-4*K72*K70))/(2*K72)</f>
        <v>#DIV/0!</v>
      </c>
      <c r="K74" s="726" t="s">
        <v>130</v>
      </c>
      <c r="L74" s="728"/>
      <c r="M74" s="728"/>
      <c r="N74" s="712"/>
    </row>
    <row r="75" spans="2:14" ht="19.5" customHeight="1" x14ac:dyDescent="0.25">
      <c r="B75" s="711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3"/>
      <c r="I75" s="728" t="s">
        <v>131</v>
      </c>
      <c r="J75" s="680" t="e">
        <f>J72*J74^3+J71*J74^2+J70*J74+J69</f>
        <v>#DIV/0!</v>
      </c>
      <c r="K75" s="726" t="s">
        <v>36</v>
      </c>
      <c r="L75" s="728"/>
      <c r="M75" s="728"/>
      <c r="N75" s="712"/>
    </row>
    <row r="76" spans="2:14" ht="19.5" customHeight="1" x14ac:dyDescent="0.25">
      <c r="B76" s="743"/>
      <c r="C76" s="714"/>
      <c r="D76" s="714"/>
      <c r="E76" s="714"/>
      <c r="F76" s="714"/>
      <c r="G76" s="714"/>
      <c r="H76" s="714"/>
      <c r="I76" s="715"/>
      <c r="J76" s="714"/>
      <c r="K76" s="714"/>
      <c r="L76" s="704"/>
      <c r="M76" s="704"/>
      <c r="N76" s="740"/>
    </row>
    <row r="77" spans="2:14" x14ac:dyDescent="0.25">
      <c r="B77" s="716"/>
      <c r="C77" s="716"/>
      <c r="G77" s="716"/>
      <c r="H77" s="716"/>
      <c r="I77" s="717"/>
      <c r="J77" s="716"/>
      <c r="K77" s="716"/>
    </row>
    <row r="78" spans="2:14" x14ac:dyDescent="0.25">
      <c r="B78" s="716"/>
      <c r="C78" s="716"/>
      <c r="G78" s="716"/>
      <c r="H78" s="716"/>
      <c r="I78" s="717"/>
      <c r="J78" s="716"/>
      <c r="K78" s="716"/>
    </row>
    <row r="79" spans="2:14" x14ac:dyDescent="0.25">
      <c r="B79" s="716"/>
      <c r="C79" s="716"/>
      <c r="G79" s="716"/>
      <c r="H79" s="716"/>
      <c r="I79" s="717"/>
      <c r="J79" s="716"/>
      <c r="K79" s="716"/>
    </row>
    <row r="80" spans="2:14" x14ac:dyDescent="0.25">
      <c r="B80" s="716"/>
      <c r="C80" s="716"/>
      <c r="G80" s="716"/>
      <c r="H80" s="716"/>
      <c r="I80" s="717"/>
      <c r="J80" s="716"/>
      <c r="K80" s="716"/>
    </row>
    <row r="81" spans="1:29" x14ac:dyDescent="0.25">
      <c r="B81" s="716"/>
      <c r="C81" s="716"/>
      <c r="G81" s="716"/>
      <c r="H81" s="716"/>
      <c r="I81" s="717"/>
      <c r="J81" s="716"/>
      <c r="K81" s="716"/>
    </row>
    <row r="82" spans="1:29" x14ac:dyDescent="0.25">
      <c r="A82" s="478"/>
      <c r="B82" s="716"/>
      <c r="C82" s="716"/>
      <c r="G82" s="716"/>
      <c r="H82" s="716"/>
      <c r="I82" s="717"/>
      <c r="J82" s="716"/>
      <c r="K82" s="716"/>
    </row>
    <row r="83" spans="1:29" x14ac:dyDescent="0.25">
      <c r="A83" s="478"/>
      <c r="B83" s="716"/>
      <c r="C83" s="716"/>
      <c r="G83" s="716"/>
      <c r="H83" s="716"/>
      <c r="I83" s="717"/>
      <c r="J83" s="716"/>
      <c r="K83" s="716"/>
      <c r="L83" s="727"/>
    </row>
    <row r="84" spans="1:29" x14ac:dyDescent="0.25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7"/>
    </row>
    <row r="85" spans="1:29" x14ac:dyDescent="0.25">
      <c r="P85" s="475"/>
      <c r="Q85" s="475"/>
      <c r="R85" s="475"/>
      <c r="S85" s="475"/>
      <c r="T85" s="475"/>
      <c r="U85" s="719"/>
      <c r="V85" s="720"/>
      <c r="W85" s="721"/>
      <c r="X85" s="475"/>
      <c r="Y85" s="718"/>
      <c r="Z85" s="718"/>
      <c r="AA85" s="722"/>
      <c r="AB85" s="722"/>
      <c r="AC85" s="722"/>
    </row>
    <row r="86" spans="1:29" x14ac:dyDescent="0.25">
      <c r="P86" s="475"/>
      <c r="Q86" s="475"/>
      <c r="R86" s="475"/>
      <c r="S86" s="475"/>
      <c r="T86" s="475"/>
      <c r="U86" s="719"/>
      <c r="V86" s="720"/>
      <c r="W86" s="721"/>
      <c r="X86" s="475"/>
      <c r="Y86" s="718"/>
      <c r="Z86" s="718"/>
      <c r="AA86" s="722"/>
      <c r="AB86" s="722"/>
      <c r="AC86" s="722"/>
    </row>
    <row r="87" spans="1:29" x14ac:dyDescent="0.25">
      <c r="P87" s="475"/>
      <c r="Q87" s="475"/>
      <c r="R87" s="475"/>
      <c r="S87" s="475"/>
      <c r="T87" s="475"/>
      <c r="U87" s="719"/>
      <c r="V87" s="720"/>
      <c r="W87" s="721"/>
      <c r="X87" s="475"/>
      <c r="Y87" s="718"/>
      <c r="Z87" s="718"/>
      <c r="AA87" s="722"/>
      <c r="AB87" s="722"/>
      <c r="AC87" s="722"/>
    </row>
    <row r="88" spans="1:29" x14ac:dyDescent="0.25">
      <c r="P88" s="475"/>
      <c r="Q88" s="475"/>
      <c r="R88" s="475"/>
      <c r="S88" s="475"/>
      <c r="T88" s="475"/>
      <c r="U88" s="719"/>
      <c r="V88" s="720"/>
      <c r="W88" s="721"/>
      <c r="X88" s="475"/>
      <c r="Y88" s="718"/>
      <c r="Z88" s="718"/>
      <c r="AA88" s="722"/>
      <c r="AB88" s="722"/>
      <c r="AC88" s="722"/>
    </row>
    <row r="89" spans="1:29" x14ac:dyDescent="0.25">
      <c r="P89" s="475"/>
      <c r="Q89" s="475"/>
      <c r="R89" s="475"/>
      <c r="S89" s="475"/>
      <c r="T89" s="475"/>
      <c r="U89" s="719"/>
      <c r="V89" s="720"/>
      <c r="W89" s="721"/>
      <c r="X89" s="475"/>
      <c r="Y89" s="718"/>
      <c r="Z89" s="718"/>
      <c r="AA89" s="722"/>
      <c r="AB89" s="722"/>
      <c r="AC89" s="722"/>
    </row>
    <row r="90" spans="1:29" x14ac:dyDescent="0.25">
      <c r="P90" s="475"/>
      <c r="Q90" s="475"/>
      <c r="R90" s="475"/>
      <c r="S90" s="475"/>
      <c r="T90" s="475"/>
      <c r="U90" s="719"/>
      <c r="V90" s="720"/>
      <c r="W90" s="721"/>
      <c r="X90" s="475"/>
      <c r="Y90" s="718"/>
      <c r="Z90" s="718"/>
      <c r="AA90" s="722"/>
      <c r="AB90" s="722"/>
      <c r="AC90" s="722"/>
    </row>
    <row r="91" spans="1:29" x14ac:dyDescent="0.25">
      <c r="P91" s="475"/>
      <c r="Q91" s="475"/>
      <c r="R91" s="475"/>
      <c r="S91" s="475"/>
      <c r="T91" s="475"/>
      <c r="U91" s="719"/>
      <c r="V91" s="720"/>
      <c r="W91" s="721"/>
      <c r="X91" s="475"/>
      <c r="Y91" s="718"/>
      <c r="Z91" s="718"/>
      <c r="AA91" s="722"/>
      <c r="AB91" s="722"/>
      <c r="AC91" s="722"/>
    </row>
    <row r="92" spans="1:29" x14ac:dyDescent="0.25">
      <c r="P92" s="475"/>
      <c r="Q92" s="475"/>
      <c r="R92" s="475"/>
      <c r="S92" s="475"/>
      <c r="T92" s="475"/>
      <c r="U92" s="719"/>
      <c r="V92" s="720"/>
      <c r="W92" s="721"/>
      <c r="X92" s="475"/>
      <c r="Y92" s="718"/>
      <c r="Z92" s="718"/>
      <c r="AA92" s="722"/>
      <c r="AB92" s="722"/>
      <c r="AC92" s="722"/>
    </row>
    <row r="93" spans="1:29" x14ac:dyDescent="0.25">
      <c r="P93" s="475"/>
      <c r="Q93" s="475"/>
      <c r="R93" s="475"/>
      <c r="S93" s="475"/>
      <c r="T93" s="475"/>
      <c r="U93" s="719"/>
      <c r="V93" s="720"/>
      <c r="W93" s="721"/>
      <c r="X93" s="475"/>
      <c r="Y93" s="718"/>
      <c r="Z93" s="718"/>
      <c r="AA93" s="722"/>
      <c r="AB93" s="722"/>
      <c r="AC93" s="722"/>
    </row>
    <row r="94" spans="1:29" x14ac:dyDescent="0.25">
      <c r="P94" s="475"/>
      <c r="Q94" s="475"/>
      <c r="R94" s="475"/>
      <c r="S94" s="475"/>
      <c r="T94" s="475"/>
      <c r="U94" s="719"/>
      <c r="V94" s="720"/>
      <c r="W94" s="721"/>
      <c r="X94" s="475"/>
      <c r="Y94" s="718"/>
      <c r="Z94" s="718"/>
      <c r="AA94" s="722"/>
      <c r="AB94" s="722"/>
      <c r="AC94" s="722"/>
    </row>
    <row r="95" spans="1:29" x14ac:dyDescent="0.25">
      <c r="P95" s="475"/>
      <c r="Q95" s="475"/>
      <c r="R95" s="475"/>
      <c r="S95" s="475"/>
      <c r="T95" s="475"/>
      <c r="U95" s="719"/>
      <c r="V95" s="720"/>
      <c r="W95" s="721"/>
      <c r="X95" s="475"/>
      <c r="Y95" s="718"/>
      <c r="Z95" s="718"/>
      <c r="AA95" s="722"/>
      <c r="AB95" s="722"/>
      <c r="AC95" s="722"/>
    </row>
    <row r="96" spans="1:29" x14ac:dyDescent="0.25">
      <c r="P96" s="475"/>
      <c r="Q96" s="475"/>
      <c r="R96" s="475"/>
      <c r="S96" s="475"/>
      <c r="T96" s="475"/>
      <c r="U96" s="719"/>
      <c r="V96" s="720"/>
      <c r="W96" s="721"/>
      <c r="X96" s="475"/>
      <c r="Y96" s="718"/>
      <c r="Z96" s="718"/>
      <c r="AA96" s="722"/>
      <c r="AB96" s="722"/>
      <c r="AC96" s="722"/>
    </row>
    <row r="97" spans="16:29" x14ac:dyDescent="0.25">
      <c r="P97" s="475"/>
      <c r="Q97" s="475"/>
      <c r="R97" s="475"/>
      <c r="S97" s="475"/>
      <c r="T97" s="475"/>
      <c r="U97" s="719"/>
      <c r="V97" s="720"/>
      <c r="W97" s="721"/>
      <c r="X97" s="475"/>
      <c r="Y97" s="718"/>
      <c r="Z97" s="718"/>
      <c r="AA97" s="722"/>
      <c r="AB97" s="722"/>
      <c r="AC97" s="722"/>
    </row>
    <row r="98" spans="16:29" x14ac:dyDescent="0.25">
      <c r="P98" s="475"/>
      <c r="Q98" s="475"/>
      <c r="R98" s="475"/>
      <c r="S98" s="475"/>
      <c r="T98" s="475"/>
      <c r="U98" s="719"/>
      <c r="V98" s="720"/>
      <c r="W98" s="721"/>
      <c r="X98" s="475"/>
      <c r="Y98" s="718"/>
      <c r="Z98" s="718"/>
      <c r="AA98" s="722"/>
      <c r="AB98" s="722"/>
      <c r="AC98" s="722"/>
    </row>
    <row r="99" spans="16:29" x14ac:dyDescent="0.25">
      <c r="P99" s="475"/>
      <c r="Q99" s="475"/>
      <c r="R99" s="475"/>
      <c r="S99" s="475"/>
      <c r="T99" s="475"/>
      <c r="U99" s="719"/>
      <c r="V99" s="720"/>
      <c r="W99" s="721"/>
      <c r="X99" s="475"/>
      <c r="Y99" s="718"/>
      <c r="Z99" s="718"/>
      <c r="AA99" s="722"/>
      <c r="AB99" s="722"/>
      <c r="AC99" s="722"/>
    </row>
    <row r="100" spans="16:29" x14ac:dyDescent="0.25">
      <c r="P100" s="475"/>
      <c r="Q100" s="475"/>
      <c r="R100" s="475"/>
      <c r="S100" s="475"/>
      <c r="T100" s="475"/>
      <c r="U100" s="719"/>
      <c r="V100" s="720"/>
      <c r="W100" s="721"/>
      <c r="X100" s="475"/>
      <c r="Y100" s="718"/>
      <c r="Z100" s="718"/>
      <c r="AA100" s="722"/>
      <c r="AB100" s="722"/>
      <c r="AC100" s="722"/>
    </row>
    <row r="101" spans="16:29" x14ac:dyDescent="0.25">
      <c r="P101" s="475"/>
      <c r="Q101" s="475"/>
      <c r="R101" s="475"/>
      <c r="S101" s="475"/>
      <c r="T101" s="475"/>
      <c r="U101" s="719"/>
      <c r="V101" s="720"/>
      <c r="W101" s="721"/>
      <c r="X101" s="475"/>
      <c r="Y101" s="718"/>
      <c r="Z101" s="718"/>
      <c r="AA101" s="722"/>
      <c r="AB101" s="722"/>
      <c r="AC101" s="722"/>
    </row>
    <row r="102" spans="16:29" x14ac:dyDescent="0.25">
      <c r="P102" s="475"/>
      <c r="Q102" s="475"/>
      <c r="R102" s="475"/>
      <c r="S102" s="475"/>
      <c r="T102" s="475"/>
      <c r="U102" s="719"/>
      <c r="V102" s="720"/>
      <c r="W102" s="721"/>
      <c r="X102" s="475"/>
      <c r="Y102" s="718"/>
      <c r="Z102" s="718"/>
      <c r="AA102" s="722"/>
      <c r="AB102" s="722"/>
      <c r="AC102" s="722"/>
    </row>
    <row r="103" spans="16:29" x14ac:dyDescent="0.25">
      <c r="P103" s="475"/>
      <c r="Q103" s="475"/>
      <c r="R103" s="475"/>
      <c r="S103" s="475"/>
      <c r="T103" s="475"/>
      <c r="U103" s="719"/>
      <c r="V103" s="720"/>
      <c r="W103" s="721"/>
      <c r="X103" s="475"/>
      <c r="Y103" s="718"/>
      <c r="Z103" s="718"/>
      <c r="AA103" s="722"/>
      <c r="AB103" s="722"/>
      <c r="AC103" s="722"/>
    </row>
    <row r="104" spans="16:29" x14ac:dyDescent="0.25">
      <c r="P104" s="475"/>
      <c r="Q104" s="475"/>
      <c r="R104" s="475"/>
      <c r="S104" s="475"/>
      <c r="T104" s="475"/>
      <c r="U104" s="719"/>
      <c r="V104" s="720"/>
      <c r="W104" s="721"/>
      <c r="X104" s="475"/>
      <c r="Y104" s="718"/>
      <c r="Z104" s="718"/>
      <c r="AA104" s="722"/>
      <c r="AB104" s="722"/>
      <c r="AC104" s="722"/>
    </row>
    <row r="105" spans="16:29" x14ac:dyDescent="0.25">
      <c r="P105" s="475"/>
      <c r="Q105" s="475"/>
      <c r="R105" s="475"/>
      <c r="S105" s="475"/>
      <c r="T105" s="475"/>
      <c r="U105" s="719"/>
      <c r="V105" s="720"/>
      <c r="W105" s="721"/>
      <c r="X105" s="475"/>
      <c r="Y105" s="718"/>
      <c r="Z105" s="718"/>
      <c r="AA105" s="722"/>
      <c r="AB105" s="722"/>
      <c r="AC105" s="722"/>
    </row>
    <row r="106" spans="16:29" x14ac:dyDescent="0.25">
      <c r="P106" s="475"/>
      <c r="Q106" s="475"/>
      <c r="R106" s="475"/>
      <c r="S106" s="475"/>
      <c r="T106" s="475"/>
      <c r="U106" s="719"/>
      <c r="V106" s="720"/>
      <c r="W106" s="721"/>
      <c r="X106" s="475"/>
      <c r="Y106" s="718"/>
      <c r="Z106" s="718"/>
      <c r="AA106" s="722"/>
      <c r="AB106" s="722"/>
      <c r="AC106" s="722"/>
    </row>
    <row r="107" spans="16:29" x14ac:dyDescent="0.25">
      <c r="P107" s="475"/>
      <c r="Q107" s="475"/>
      <c r="R107" s="475"/>
      <c r="S107" s="475"/>
      <c r="T107" s="475"/>
      <c r="U107" s="719"/>
      <c r="V107" s="720"/>
      <c r="W107" s="721"/>
      <c r="X107" s="475"/>
      <c r="Y107" s="718"/>
      <c r="Z107" s="718"/>
      <c r="AA107" s="722"/>
      <c r="AB107" s="722"/>
      <c r="AC107" s="722"/>
    </row>
    <row r="108" spans="16:29" x14ac:dyDescent="0.25">
      <c r="P108" s="475"/>
      <c r="Q108" s="475"/>
      <c r="R108" s="475"/>
      <c r="S108" s="475"/>
      <c r="T108" s="475"/>
      <c r="U108" s="719"/>
      <c r="V108" s="720"/>
      <c r="W108" s="721"/>
      <c r="X108" s="475"/>
      <c r="Y108" s="718"/>
      <c r="Z108" s="718"/>
      <c r="AA108" s="722"/>
      <c r="AB108" s="722"/>
      <c r="AC108" s="722"/>
    </row>
    <row r="109" spans="16:29" x14ac:dyDescent="0.25">
      <c r="P109" s="475"/>
      <c r="Q109" s="475"/>
      <c r="R109" s="475"/>
      <c r="S109" s="475"/>
      <c r="T109" s="475"/>
      <c r="U109" s="719"/>
      <c r="V109" s="720"/>
      <c r="W109" s="721"/>
      <c r="X109" s="475"/>
      <c r="Y109" s="718"/>
      <c r="Z109" s="718"/>
      <c r="AA109" s="722"/>
      <c r="AB109" s="722"/>
      <c r="AC109" s="722"/>
    </row>
    <row r="110" spans="16:29" x14ac:dyDescent="0.25">
      <c r="P110" s="475"/>
      <c r="Q110" s="475"/>
      <c r="R110" s="475"/>
      <c r="S110" s="475"/>
      <c r="T110" s="475"/>
      <c r="U110" s="719"/>
      <c r="V110" s="720"/>
      <c r="W110" s="721"/>
      <c r="X110" s="475"/>
      <c r="Y110" s="718"/>
      <c r="Z110" s="718"/>
      <c r="AA110" s="722"/>
      <c r="AB110" s="722"/>
      <c r="AC110" s="722"/>
    </row>
    <row r="111" spans="16:29" x14ac:dyDescent="0.25">
      <c r="P111" s="475"/>
      <c r="Q111" s="475"/>
      <c r="R111" s="475"/>
      <c r="S111" s="475"/>
      <c r="T111" s="475"/>
      <c r="U111" s="719"/>
      <c r="V111" s="720"/>
      <c r="W111" s="721"/>
      <c r="X111" s="475"/>
      <c r="Y111" s="718"/>
      <c r="Z111" s="718"/>
      <c r="AA111" s="722"/>
      <c r="AB111" s="722"/>
      <c r="AC111" s="722"/>
    </row>
    <row r="112" spans="16:29" x14ac:dyDescent="0.25">
      <c r="P112" s="475"/>
      <c r="Q112" s="475"/>
      <c r="R112" s="475"/>
      <c r="S112" s="475"/>
      <c r="T112" s="475"/>
      <c r="U112" s="719"/>
      <c r="V112" s="720"/>
      <c r="W112" s="721"/>
      <c r="X112" s="475"/>
      <c r="Y112" s="718"/>
      <c r="Z112" s="718"/>
      <c r="AA112" s="722"/>
      <c r="AB112" s="722"/>
      <c r="AC112" s="722"/>
    </row>
    <row r="113" spans="16:29" x14ac:dyDescent="0.25">
      <c r="P113" s="475"/>
      <c r="Q113" s="475"/>
      <c r="R113" s="475"/>
      <c r="S113" s="475"/>
      <c r="T113" s="475"/>
      <c r="U113" s="719"/>
      <c r="V113" s="720"/>
      <c r="W113" s="721"/>
      <c r="X113" s="475"/>
      <c r="Y113" s="718"/>
      <c r="Z113" s="718"/>
      <c r="AA113" s="722"/>
      <c r="AB113" s="722"/>
      <c r="AC113" s="722"/>
    </row>
    <row r="114" spans="16:29" x14ac:dyDescent="0.25">
      <c r="P114" s="475"/>
      <c r="Q114" s="475"/>
      <c r="R114" s="475"/>
      <c r="S114" s="475"/>
      <c r="T114" s="475"/>
      <c r="U114" s="719"/>
      <c r="V114" s="720"/>
      <c r="W114" s="721"/>
      <c r="X114" s="475"/>
      <c r="Y114" s="718"/>
      <c r="Z114" s="718"/>
      <c r="AA114" s="722"/>
      <c r="AB114" s="722"/>
      <c r="AC114" s="722"/>
    </row>
    <row r="115" spans="16:29" x14ac:dyDescent="0.25">
      <c r="P115" s="475"/>
      <c r="Q115" s="475"/>
      <c r="R115" s="475"/>
      <c r="S115" s="475"/>
      <c r="T115" s="475"/>
      <c r="U115" s="719"/>
      <c r="V115" s="720"/>
      <c r="W115" s="721"/>
      <c r="X115" s="475"/>
      <c r="Y115" s="718"/>
      <c r="Z115" s="718"/>
      <c r="AA115" s="722"/>
      <c r="AB115" s="722"/>
      <c r="AC115" s="722"/>
    </row>
    <row r="116" spans="16:29" x14ac:dyDescent="0.25">
      <c r="P116" s="475"/>
      <c r="Q116" s="475"/>
      <c r="R116" s="475"/>
      <c r="S116" s="475"/>
      <c r="T116" s="475"/>
      <c r="U116" s="719"/>
      <c r="V116" s="720"/>
      <c r="W116" s="721"/>
      <c r="X116" s="475"/>
      <c r="Y116" s="718"/>
      <c r="Z116" s="718"/>
      <c r="AA116" s="722"/>
      <c r="AB116" s="722"/>
      <c r="AC116" s="722"/>
    </row>
    <row r="117" spans="16:29" x14ac:dyDescent="0.25">
      <c r="P117" s="475"/>
      <c r="Q117" s="475"/>
      <c r="R117" s="475"/>
      <c r="S117" s="475"/>
      <c r="T117" s="475"/>
      <c r="U117" s="719"/>
      <c r="V117" s="720"/>
      <c r="W117" s="721"/>
      <c r="X117" s="475"/>
      <c r="Y117" s="718"/>
      <c r="Z117" s="718"/>
      <c r="AA117" s="722"/>
      <c r="AB117" s="722"/>
      <c r="AC117" s="722"/>
    </row>
    <row r="118" spans="16:29" x14ac:dyDescent="0.25">
      <c r="P118" s="475"/>
      <c r="Q118" s="475"/>
      <c r="R118" s="475"/>
      <c r="S118" s="475"/>
      <c r="T118" s="475"/>
      <c r="U118" s="719"/>
      <c r="V118" s="720"/>
      <c r="W118" s="721"/>
      <c r="X118" s="475"/>
      <c r="Y118" s="718"/>
      <c r="Z118" s="718"/>
      <c r="AA118" s="722"/>
      <c r="AB118" s="722"/>
      <c r="AC118" s="722"/>
    </row>
    <row r="119" spans="16:29" x14ac:dyDescent="0.25">
      <c r="P119" s="475"/>
      <c r="Q119" s="475"/>
      <c r="R119" s="475"/>
      <c r="S119" s="475"/>
      <c r="T119" s="475"/>
      <c r="U119" s="719"/>
      <c r="V119" s="720"/>
      <c r="W119" s="721"/>
      <c r="X119" s="475"/>
      <c r="Y119" s="718"/>
      <c r="Z119" s="718"/>
      <c r="AA119" s="722"/>
      <c r="AB119" s="722"/>
      <c r="AC119" s="722"/>
    </row>
    <row r="120" spans="16:29" x14ac:dyDescent="0.25">
      <c r="P120" s="475"/>
      <c r="Q120" s="475"/>
      <c r="R120" s="475"/>
      <c r="S120" s="475"/>
      <c r="T120" s="475"/>
      <c r="U120" s="719"/>
      <c r="V120" s="720"/>
      <c r="W120" s="721"/>
      <c r="X120" s="475"/>
      <c r="Y120" s="718"/>
      <c r="Z120" s="718"/>
      <c r="AA120" s="722"/>
      <c r="AB120" s="722"/>
      <c r="AC120" s="722"/>
    </row>
    <row r="121" spans="16:29" x14ac:dyDescent="0.25">
      <c r="P121" s="475"/>
      <c r="Q121" s="475"/>
      <c r="R121" s="475"/>
      <c r="S121" s="475"/>
      <c r="T121" s="475"/>
      <c r="U121" s="719"/>
      <c r="V121" s="720"/>
      <c r="W121" s="721"/>
      <c r="X121" s="475"/>
      <c r="Y121" s="718"/>
      <c r="Z121" s="718"/>
      <c r="AA121" s="722"/>
      <c r="AB121" s="722"/>
      <c r="AC121" s="722"/>
    </row>
    <row r="122" spans="16:29" x14ac:dyDescent="0.25">
      <c r="P122" s="475"/>
      <c r="Q122" s="475"/>
      <c r="R122" s="475"/>
      <c r="S122" s="475"/>
      <c r="T122" s="475"/>
      <c r="U122" s="719"/>
      <c r="V122" s="720"/>
      <c r="W122" s="721"/>
      <c r="X122" s="475"/>
      <c r="Y122" s="718"/>
      <c r="Z122" s="718"/>
      <c r="AA122" s="722"/>
      <c r="AB122" s="722"/>
      <c r="AC122" s="722"/>
    </row>
    <row r="123" spans="16:29" x14ac:dyDescent="0.25">
      <c r="P123" s="475"/>
      <c r="Q123" s="475"/>
      <c r="R123" s="475"/>
      <c r="S123" s="475"/>
      <c r="T123" s="475"/>
      <c r="U123" s="475"/>
      <c r="V123" s="475"/>
      <c r="W123" s="475"/>
      <c r="X123" s="475"/>
      <c r="Y123" s="718"/>
      <c r="Z123" s="718"/>
      <c r="AA123" s="722"/>
      <c r="AB123" s="722"/>
      <c r="AC123" s="722"/>
    </row>
    <row r="124" spans="16:29" x14ac:dyDescent="0.25">
      <c r="P124" s="475"/>
      <c r="Q124" s="475"/>
      <c r="R124" s="475"/>
      <c r="S124" s="475"/>
      <c r="T124" s="475"/>
      <c r="U124" s="475"/>
      <c r="V124" s="475"/>
      <c r="W124" s="475"/>
      <c r="X124" s="720"/>
      <c r="Y124" s="718"/>
      <c r="Z124" s="718"/>
      <c r="AA124" s="722"/>
      <c r="AB124" s="722"/>
      <c r="AC124" s="722"/>
    </row>
    <row r="125" spans="16:29" x14ac:dyDescent="0.25">
      <c r="P125" s="475"/>
      <c r="Q125" s="475"/>
      <c r="R125" s="475"/>
      <c r="S125" s="475"/>
      <c r="T125" s="475"/>
      <c r="U125" s="475"/>
      <c r="V125" s="475"/>
      <c r="W125" s="475"/>
      <c r="X125" s="720"/>
      <c r="Y125" s="718"/>
      <c r="Z125" s="718"/>
      <c r="AA125" s="722"/>
      <c r="AB125" s="722"/>
      <c r="AC125" s="722"/>
    </row>
    <row r="126" spans="16:29" x14ac:dyDescent="0.25">
      <c r="P126" s="475"/>
      <c r="Q126" s="475"/>
      <c r="R126" s="475"/>
      <c r="S126" s="475"/>
      <c r="T126" s="475"/>
      <c r="U126" s="475"/>
      <c r="V126" s="475"/>
      <c r="W126" s="475"/>
      <c r="X126" s="475"/>
      <c r="Y126" s="718"/>
      <c r="Z126" s="718"/>
      <c r="AA126" s="722"/>
      <c r="AB126" s="722"/>
      <c r="AC126" s="722"/>
    </row>
    <row r="127" spans="16:29" x14ac:dyDescent="0.25">
      <c r="P127" s="718"/>
      <c r="Q127" s="718"/>
      <c r="R127" s="718"/>
      <c r="S127" s="718"/>
      <c r="T127" s="718"/>
      <c r="U127" s="718"/>
      <c r="V127" s="718"/>
      <c r="W127" s="718"/>
      <c r="X127" s="718"/>
      <c r="Y127" s="718"/>
      <c r="Z127" s="718"/>
      <c r="AA127" s="722"/>
      <c r="AB127" s="722"/>
      <c r="AC127" s="722"/>
    </row>
    <row r="128" spans="16:29" x14ac:dyDescent="0.25">
      <c r="P128" s="718"/>
      <c r="Q128" s="718"/>
      <c r="R128" s="718"/>
      <c r="S128" s="718"/>
      <c r="T128" s="718"/>
      <c r="U128" s="718"/>
      <c r="V128" s="718"/>
      <c r="W128" s="718"/>
      <c r="X128" s="718"/>
      <c r="Y128" s="718"/>
      <c r="Z128" s="718"/>
      <c r="AA128" s="722"/>
      <c r="AB128" s="722"/>
      <c r="AC128" s="722"/>
    </row>
    <row r="129" spans="16:29" x14ac:dyDescent="0.25">
      <c r="P129" s="718"/>
      <c r="Q129" s="718"/>
      <c r="R129" s="718"/>
      <c r="S129" s="718"/>
      <c r="T129" s="718"/>
      <c r="U129" s="718"/>
      <c r="V129" s="718"/>
      <c r="W129" s="718"/>
      <c r="X129" s="718"/>
      <c r="Y129" s="718"/>
      <c r="Z129" s="718"/>
      <c r="AA129" s="722"/>
      <c r="AB129" s="722"/>
      <c r="AC129" s="722"/>
    </row>
    <row r="130" spans="16:29" x14ac:dyDescent="0.25">
      <c r="P130" s="718"/>
      <c r="Q130" s="718"/>
      <c r="R130" s="718"/>
      <c r="S130" s="718"/>
      <c r="T130" s="718"/>
      <c r="U130" s="718"/>
      <c r="V130" s="718"/>
      <c r="W130" s="718"/>
      <c r="X130" s="718"/>
      <c r="Y130" s="718"/>
      <c r="Z130" s="718"/>
      <c r="AA130" s="722"/>
      <c r="AB130" s="722"/>
      <c r="AC130" s="722"/>
    </row>
    <row r="131" spans="16:29" x14ac:dyDescent="0.25">
      <c r="P131" s="718"/>
      <c r="Q131" s="718"/>
      <c r="R131" s="718"/>
      <c r="S131" s="718"/>
      <c r="T131" s="718"/>
      <c r="U131" s="718"/>
      <c r="V131" s="718"/>
      <c r="W131" s="718"/>
      <c r="X131" s="718"/>
      <c r="Y131" s="718"/>
      <c r="Z131" s="718"/>
      <c r="AA131" s="722"/>
      <c r="AB131" s="722"/>
      <c r="AC131" s="722"/>
    </row>
    <row r="132" spans="16:29" x14ac:dyDescent="0.25">
      <c r="P132" s="718"/>
      <c r="Q132" s="718"/>
      <c r="R132" s="718"/>
      <c r="S132" s="718"/>
      <c r="T132" s="718"/>
      <c r="U132" s="718"/>
      <c r="V132" s="718"/>
      <c r="W132" s="718"/>
      <c r="X132" s="718"/>
      <c r="Y132" s="718"/>
      <c r="Z132" s="718"/>
      <c r="AA132" s="722"/>
      <c r="AB132" s="722"/>
      <c r="AC132" s="722"/>
    </row>
    <row r="133" spans="16:29" x14ac:dyDescent="0.25">
      <c r="P133" s="718"/>
      <c r="Q133" s="718"/>
      <c r="R133" s="718"/>
      <c r="S133" s="718"/>
      <c r="T133" s="718"/>
      <c r="U133" s="718"/>
      <c r="V133" s="718"/>
      <c r="W133" s="718"/>
      <c r="X133" s="718"/>
      <c r="Y133" s="718"/>
      <c r="Z133" s="718"/>
      <c r="AA133" s="722"/>
      <c r="AB133" s="722"/>
      <c r="AC133" s="722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  <mergeCell ref="F37:H37"/>
    <mergeCell ref="F38:H38"/>
    <mergeCell ref="F41:H41"/>
    <mergeCell ref="B20:D20"/>
    <mergeCell ref="B29:D29"/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82" zoomScale="90" zoomScaleNormal="90" workbookViewId="0">
      <selection activeCell="O104" sqref="O104"/>
    </sheetView>
  </sheetViews>
  <sheetFormatPr baseColWidth="10" defaultColWidth="11.44140625" defaultRowHeight="13.2" x14ac:dyDescent="0.25"/>
  <cols>
    <col min="1" max="1" width="25.44140625" style="413" customWidth="1"/>
    <col min="2" max="2" width="9.44140625" style="413" customWidth="1"/>
    <col min="3" max="3" width="13.109375" style="413" customWidth="1"/>
    <col min="4" max="4" width="15.109375" style="413" customWidth="1"/>
    <col min="5" max="5" width="15.6640625" style="413" customWidth="1"/>
    <col min="6" max="6" width="14.44140625" style="413" customWidth="1"/>
    <col min="7" max="8" width="12.109375" style="413" customWidth="1"/>
    <col min="9" max="9" width="9.88671875" style="413" customWidth="1"/>
    <col min="10" max="10" width="14.44140625" style="413" customWidth="1"/>
    <col min="11" max="11" width="16" style="413" customWidth="1"/>
    <col min="12" max="12" width="12.88671875" style="413" customWidth="1"/>
    <col min="13" max="13" width="13.6640625" style="413" customWidth="1"/>
    <col min="14" max="14" width="12.109375" style="413" customWidth="1"/>
    <col min="15" max="15" width="10.109375" style="413" customWidth="1"/>
    <col min="16" max="16" width="14.88671875" style="413" customWidth="1"/>
    <col min="17" max="17" width="16" style="413" customWidth="1"/>
    <col min="18" max="18" width="12.88671875" style="413" customWidth="1"/>
    <col min="19" max="19" width="11.44140625" style="413" customWidth="1"/>
    <col min="20" max="20" width="13.88671875" style="413" customWidth="1"/>
    <col min="21" max="21" width="10.109375" style="413" customWidth="1"/>
    <col min="22" max="22" width="12.33203125" style="413" customWidth="1"/>
    <col min="23" max="23" width="16.5546875" style="413" customWidth="1"/>
    <col min="24" max="24" width="12.88671875" style="413" customWidth="1"/>
    <col min="25" max="25" width="12.5546875" style="413" customWidth="1"/>
    <col min="26" max="26" width="12" style="413" customWidth="1"/>
    <col min="27" max="16384" width="11.44140625" style="413"/>
  </cols>
  <sheetData>
    <row r="1" spans="1:10" ht="12.75" customHeight="1" x14ac:dyDescent="0.25">
      <c r="A1" s="1421"/>
      <c r="B1" s="1421"/>
      <c r="C1" s="1421"/>
      <c r="D1" s="1422" t="s">
        <v>132</v>
      </c>
      <c r="E1" s="1422"/>
      <c r="F1" s="1422"/>
      <c r="G1" s="1422"/>
      <c r="H1" s="1422"/>
      <c r="I1" s="484" t="s">
        <v>133</v>
      </c>
      <c r="J1" s="1267" t="s">
        <v>134</v>
      </c>
    </row>
    <row r="2" spans="1:10" ht="12.75" customHeight="1" x14ac:dyDescent="0.25">
      <c r="A2" s="1421"/>
      <c r="B2" s="1421"/>
      <c r="C2" s="1421"/>
      <c r="D2" s="1422"/>
      <c r="E2" s="1422"/>
      <c r="F2" s="1422"/>
      <c r="G2" s="1422"/>
      <c r="H2" s="1422"/>
      <c r="I2" s="484" t="s">
        <v>135</v>
      </c>
      <c r="J2" s="1268">
        <v>3</v>
      </c>
    </row>
    <row r="3" spans="1:10" ht="12.75" customHeight="1" x14ac:dyDescent="0.25">
      <c r="A3" s="1421"/>
      <c r="B3" s="1421"/>
      <c r="C3" s="1421"/>
      <c r="D3" s="1422"/>
      <c r="E3" s="1422"/>
      <c r="F3" s="1422"/>
      <c r="G3" s="1422"/>
      <c r="H3" s="1422"/>
      <c r="I3" s="484" t="s">
        <v>136</v>
      </c>
      <c r="J3" s="1269">
        <v>46146</v>
      </c>
    </row>
    <row r="4" spans="1:10" ht="12.75" customHeight="1" x14ac:dyDescent="0.25">
      <c r="A4" s="1421"/>
      <c r="B4" s="1421"/>
      <c r="C4" s="1421"/>
      <c r="D4" s="1422"/>
      <c r="E4" s="1422"/>
      <c r="F4" s="1422"/>
      <c r="G4" s="1422"/>
      <c r="H4" s="1422"/>
      <c r="I4" s="484" t="s">
        <v>137</v>
      </c>
      <c r="J4" s="1267" t="s">
        <v>138</v>
      </c>
    </row>
    <row r="6" spans="1:10" ht="32.25" customHeight="1" x14ac:dyDescent="0.25">
      <c r="A6" s="744" t="s">
        <v>139</v>
      </c>
      <c r="B6" s="1432" t="s">
        <v>140</v>
      </c>
      <c r="C6" s="1433"/>
      <c r="D6" s="1433"/>
      <c r="E6" s="1433"/>
      <c r="F6" s="1433"/>
      <c r="G6" s="1433"/>
      <c r="H6" s="1433"/>
      <c r="I6" s="1433"/>
      <c r="J6" s="1434"/>
    </row>
    <row r="7" spans="1:10" ht="21" customHeight="1" x14ac:dyDescent="0.25">
      <c r="A7" s="744" t="s">
        <v>141</v>
      </c>
      <c r="B7" s="476" t="s">
        <v>535</v>
      </c>
      <c r="C7" s="469"/>
      <c r="D7" s="469"/>
      <c r="E7" s="469"/>
      <c r="F7" s="468"/>
      <c r="G7" s="468"/>
      <c r="H7" s="468"/>
      <c r="I7" s="468"/>
      <c r="J7" s="745"/>
    </row>
    <row r="8" spans="1:10" ht="21" customHeight="1" x14ac:dyDescent="0.25">
      <c r="A8" s="744" t="s">
        <v>142</v>
      </c>
      <c r="B8" s="476" t="s">
        <v>143</v>
      </c>
      <c r="C8" s="469"/>
      <c r="D8" s="469"/>
      <c r="E8" s="469"/>
      <c r="F8" s="468"/>
      <c r="G8" s="468"/>
      <c r="H8" s="468"/>
      <c r="I8" s="468"/>
      <c r="J8" s="745"/>
    </row>
    <row r="9" spans="1:10" ht="21" customHeight="1" x14ac:dyDescent="0.25">
      <c r="A9" s="746" t="s">
        <v>661</v>
      </c>
      <c r="B9" s="476" t="s">
        <v>650</v>
      </c>
      <c r="C9" s="469"/>
      <c r="D9" s="469"/>
      <c r="E9" s="469"/>
      <c r="F9" s="468"/>
      <c r="G9" s="468"/>
      <c r="H9" s="468"/>
      <c r="I9" s="468"/>
      <c r="J9" s="745"/>
    </row>
    <row r="11" spans="1:10" ht="15" customHeight="1" x14ac:dyDescent="0.25">
      <c r="A11" s="111" t="s">
        <v>651</v>
      </c>
      <c r="B11" s="940"/>
      <c r="C11" s="940"/>
      <c r="D11" s="940"/>
      <c r="E11" s="940"/>
      <c r="F11" s="940"/>
      <c r="G11" s="940"/>
      <c r="H11" s="940"/>
    </row>
    <row r="12" spans="1:10" ht="15" customHeight="1" x14ac:dyDescent="0.25">
      <c r="A12" s="111"/>
      <c r="B12" s="940"/>
      <c r="C12" s="940"/>
      <c r="D12" s="940"/>
      <c r="E12" s="940"/>
      <c r="F12" s="940"/>
      <c r="G12" s="940"/>
      <c r="H12" s="940"/>
    </row>
    <row r="13" spans="1:10" ht="15" customHeight="1" x14ac:dyDescent="0.25">
      <c r="A13" s="941" t="s">
        <v>144</v>
      </c>
      <c r="B13" s="940"/>
      <c r="C13" s="940"/>
      <c r="D13" s="940"/>
      <c r="E13" s="940"/>
      <c r="F13" s="941" t="s">
        <v>153</v>
      </c>
      <c r="G13" s="940"/>
      <c r="H13" s="940"/>
    </row>
    <row r="14" spans="1:10" ht="15" customHeight="1" x14ac:dyDescent="0.25">
      <c r="A14" s="940"/>
      <c r="B14" s="940"/>
      <c r="C14" s="940"/>
      <c r="D14" s="940"/>
      <c r="E14" s="940"/>
      <c r="F14" s="940"/>
      <c r="G14" s="940"/>
      <c r="H14" s="940"/>
    </row>
    <row r="15" spans="1:10" ht="15" customHeight="1" x14ac:dyDescent="0.25">
      <c r="A15" s="943" t="s">
        <v>146</v>
      </c>
      <c r="B15" s="940"/>
      <c r="C15" s="940"/>
      <c r="D15" s="940" t="s">
        <v>147</v>
      </c>
      <c r="E15" s="940"/>
      <c r="F15" s="940"/>
      <c r="G15" s="940"/>
      <c r="H15" s="940"/>
    </row>
    <row r="16" spans="1:10" ht="15" customHeight="1" x14ac:dyDescent="0.25">
      <c r="A16" s="943" t="s">
        <v>148</v>
      </c>
      <c r="B16" s="940"/>
      <c r="C16" s="940"/>
      <c r="D16" s="940" t="s">
        <v>149</v>
      </c>
      <c r="E16" s="940"/>
      <c r="F16" s="940"/>
      <c r="G16" s="942"/>
      <c r="H16" s="940"/>
    </row>
    <row r="17" spans="1:21" ht="15" customHeight="1" x14ac:dyDescent="0.25">
      <c r="A17" s="943" t="s">
        <v>150</v>
      </c>
      <c r="B17" s="940"/>
      <c r="C17" s="940"/>
      <c r="D17" s="940" t="s">
        <v>151</v>
      </c>
      <c r="E17" s="940"/>
      <c r="F17" s="940"/>
      <c r="G17" s="940"/>
      <c r="H17" s="940"/>
    </row>
    <row r="18" spans="1:21" ht="15" customHeight="1" x14ac:dyDescent="0.25">
      <c r="A18" s="944" t="s">
        <v>152</v>
      </c>
      <c r="B18" s="940"/>
      <c r="C18" s="940"/>
      <c r="D18" s="940"/>
      <c r="E18" s="940"/>
      <c r="F18" s="940"/>
      <c r="G18" s="940"/>
      <c r="H18" s="940"/>
    </row>
    <row r="19" spans="1:21" ht="15" customHeight="1" x14ac:dyDescent="0.25">
      <c r="A19" s="243"/>
      <c r="B19" s="940"/>
      <c r="C19" s="940"/>
      <c r="D19" s="940"/>
      <c r="E19" s="940"/>
      <c r="F19" s="940"/>
      <c r="G19" s="940"/>
      <c r="H19" s="940"/>
    </row>
    <row r="20" spans="1:21" ht="15" customHeight="1" x14ac:dyDescent="0.25">
      <c r="A20" s="941" t="s">
        <v>155</v>
      </c>
      <c r="B20" s="940"/>
      <c r="C20" s="940"/>
      <c r="D20" s="940"/>
      <c r="E20" s="940"/>
      <c r="F20" s="940"/>
      <c r="G20" s="942"/>
      <c r="H20" s="940"/>
    </row>
    <row r="21" spans="1:21" x14ac:dyDescent="0.25">
      <c r="A21" s="940"/>
      <c r="B21" s="940"/>
      <c r="C21" s="940"/>
      <c r="D21" s="940"/>
      <c r="E21" s="940"/>
      <c r="F21" s="940"/>
      <c r="G21" s="940"/>
      <c r="H21" s="940"/>
    </row>
    <row r="22" spans="1:21" ht="15" customHeight="1" x14ac:dyDescent="0.25">
      <c r="A22" s="944" t="s">
        <v>156</v>
      </c>
      <c r="B22" s="940"/>
      <c r="C22" s="940"/>
      <c r="D22" s="940"/>
      <c r="E22" s="940"/>
      <c r="F22" s="940"/>
      <c r="G22" s="942"/>
      <c r="H22" s="940"/>
    </row>
    <row r="23" spans="1:21" x14ac:dyDescent="0.25">
      <c r="A23" s="940"/>
      <c r="B23" s="940"/>
      <c r="C23" s="940"/>
      <c r="D23" s="940"/>
      <c r="E23" s="940"/>
      <c r="F23" s="940"/>
      <c r="G23" s="940"/>
      <c r="H23" s="940"/>
    </row>
    <row r="24" spans="1:21" ht="15" customHeight="1" x14ac:dyDescent="0.25">
      <c r="A24" s="111" t="s">
        <v>157</v>
      </c>
      <c r="B24" s="940"/>
      <c r="C24" s="940"/>
      <c r="D24" s="940"/>
      <c r="E24" s="940"/>
      <c r="F24" s="940"/>
      <c r="G24" s="940"/>
      <c r="H24" s="940"/>
    </row>
    <row r="25" spans="1:21" ht="12" customHeight="1" x14ac:dyDescent="0.25">
      <c r="A25" s="940"/>
      <c r="B25" s="940"/>
      <c r="C25" s="940"/>
      <c r="D25" s="940"/>
      <c r="E25" s="940"/>
      <c r="F25" s="940"/>
      <c r="G25" s="940"/>
      <c r="H25" s="940"/>
    </row>
    <row r="26" spans="1:21" ht="12" customHeight="1" x14ac:dyDescent="0.25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5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5">
      <c r="A28" s="471"/>
      <c r="B28" s="471"/>
      <c r="C28" s="471"/>
      <c r="D28" s="471"/>
      <c r="E28" s="471"/>
      <c r="F28" s="471"/>
      <c r="G28" s="471"/>
      <c r="H28" s="471"/>
    </row>
    <row r="29" spans="1:21" x14ac:dyDescent="0.25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5">
      <c r="A30" s="471"/>
      <c r="B30"/>
      <c r="C30" s="471"/>
      <c r="D30" s="471"/>
      <c r="E30" s="471"/>
      <c r="F30" s="470"/>
      <c r="G30" s="471"/>
      <c r="H30" s="470"/>
      <c r="L30" s="1423"/>
      <c r="R30" s="1435"/>
      <c r="S30" s="1435"/>
      <c r="T30" s="674"/>
      <c r="U30" s="675"/>
    </row>
    <row r="31" spans="1:21" ht="16.5" customHeight="1" x14ac:dyDescent="0.25">
      <c r="A31" s="471"/>
      <c r="B31" s="471"/>
      <c r="C31" s="471"/>
      <c r="D31" s="471"/>
      <c r="E31" s="471"/>
      <c r="F31" s="470"/>
      <c r="G31" s="471"/>
      <c r="H31" s="471"/>
      <c r="L31" s="1423"/>
      <c r="R31" s="1435"/>
      <c r="S31" s="1435"/>
      <c r="T31" s="674"/>
      <c r="U31" s="675"/>
    </row>
    <row r="32" spans="1:21" ht="16.5" customHeight="1" x14ac:dyDescent="0.25">
      <c r="A32" s="471"/>
      <c r="B32" s="471"/>
      <c r="C32" s="471"/>
      <c r="D32" s="471"/>
      <c r="E32" s="471"/>
      <c r="F32" s="471"/>
      <c r="G32" s="471"/>
      <c r="H32" s="471"/>
      <c r="L32" s="1423"/>
      <c r="R32" s="1435"/>
      <c r="S32" s="1435"/>
      <c r="T32" s="674"/>
      <c r="U32" s="675"/>
    </row>
    <row r="33" spans="1:26" ht="16.5" customHeight="1" x14ac:dyDescent="0.25">
      <c r="A33" s="471"/>
      <c r="B33" s="471"/>
      <c r="C33" s="471"/>
      <c r="D33" s="471"/>
      <c r="E33" s="471"/>
      <c r="F33" s="471"/>
      <c r="G33" s="471"/>
      <c r="H33" s="471"/>
      <c r="L33" s="1423"/>
      <c r="O33" s="673"/>
      <c r="R33" s="1435"/>
      <c r="S33" s="1435"/>
      <c r="T33" s="488"/>
      <c r="U33" s="675"/>
    </row>
    <row r="34" spans="1:26" ht="21.75" customHeight="1" x14ac:dyDescent="0.25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4"/>
      <c r="M34" s="1424"/>
      <c r="N34" s="1424"/>
      <c r="O34" s="1424"/>
      <c r="P34" s="1424"/>
      <c r="Q34" s="1424"/>
      <c r="R34" s="1424"/>
      <c r="S34" s="1424"/>
      <c r="T34" s="1424"/>
      <c r="U34" s="1424"/>
    </row>
    <row r="35" spans="1:26" ht="17.25" customHeight="1" x14ac:dyDescent="0.25">
      <c r="B35"/>
      <c r="F35" s="470"/>
      <c r="I35" s="467"/>
      <c r="J35" s="467"/>
      <c r="L35" s="1425"/>
      <c r="M35" s="1425"/>
      <c r="N35" s="676"/>
      <c r="P35" s="1426"/>
      <c r="Q35" s="676"/>
      <c r="S35" s="1427"/>
      <c r="T35" s="1428"/>
      <c r="U35" s="1428"/>
    </row>
    <row r="36" spans="1:26" ht="17.25" customHeight="1" x14ac:dyDescent="0.25">
      <c r="I36" s="467"/>
      <c r="J36" s="467"/>
      <c r="L36" s="1425"/>
      <c r="M36" s="1425"/>
      <c r="N36" s="677"/>
      <c r="P36" s="1427"/>
      <c r="Q36" s="677"/>
      <c r="S36" s="1427"/>
      <c r="T36" s="1428"/>
      <c r="U36" s="1428"/>
    </row>
    <row r="37" spans="1:26" ht="22.5" customHeight="1" thickBot="1" x14ac:dyDescent="0.3">
      <c r="A37" s="534" t="s">
        <v>652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3">
      <c r="A38" s="528" t="s">
        <v>158</v>
      </c>
      <c r="B38" s="529" t="s">
        <v>159</v>
      </c>
      <c r="C38" s="528" t="s">
        <v>160</v>
      </c>
      <c r="D38" s="530" t="s">
        <v>161</v>
      </c>
      <c r="E38" s="530" t="s">
        <v>162</v>
      </c>
      <c r="F38" s="530" t="s">
        <v>163</v>
      </c>
      <c r="G38" s="530" t="s">
        <v>164</v>
      </c>
      <c r="H38" s="531" t="s">
        <v>165</v>
      </c>
      <c r="I38" s="528" t="s">
        <v>160</v>
      </c>
      <c r="J38" s="530" t="s">
        <v>161</v>
      </c>
      <c r="K38" s="530" t="s">
        <v>162</v>
      </c>
      <c r="L38" s="530" t="s">
        <v>163</v>
      </c>
      <c r="M38" s="530" t="s">
        <v>164</v>
      </c>
      <c r="N38" s="531" t="s">
        <v>165</v>
      </c>
      <c r="O38" s="528" t="s">
        <v>160</v>
      </c>
      <c r="P38" s="530" t="s">
        <v>161</v>
      </c>
      <c r="Q38" s="530" t="s">
        <v>162</v>
      </c>
      <c r="R38" s="530" t="s">
        <v>163</v>
      </c>
      <c r="S38" s="530" t="s">
        <v>164</v>
      </c>
      <c r="T38" s="531" t="s">
        <v>165</v>
      </c>
      <c r="U38" s="532" t="s">
        <v>160</v>
      </c>
      <c r="V38" s="530" t="s">
        <v>161</v>
      </c>
      <c r="W38" s="530" t="s">
        <v>162</v>
      </c>
      <c r="X38" s="530" t="s">
        <v>163</v>
      </c>
      <c r="Y38" s="530" t="s">
        <v>164</v>
      </c>
      <c r="Z38" s="531" t="s">
        <v>165</v>
      </c>
    </row>
    <row r="39" spans="1:26" ht="28.5" customHeight="1" x14ac:dyDescent="0.25">
      <c r="A39" s="540" t="s">
        <v>166</v>
      </c>
      <c r="B39" s="554" t="s">
        <v>167</v>
      </c>
      <c r="C39" s="908" t="e">
        <f>100*(C40-C44)/C48/(100+C49)</f>
        <v>#DIV/0!</v>
      </c>
      <c r="D39" s="541" t="s">
        <v>168</v>
      </c>
      <c r="E39" s="541" t="s">
        <v>168</v>
      </c>
      <c r="F39" s="541" t="s">
        <v>168</v>
      </c>
      <c r="G39" s="541" t="s">
        <v>168</v>
      </c>
      <c r="H39" s="542" t="s">
        <v>168</v>
      </c>
      <c r="I39" s="909" t="e">
        <f>100*(I40-I44)/I48/(100+I49)</f>
        <v>#DIV/0!</v>
      </c>
      <c r="J39" s="541" t="s">
        <v>168</v>
      </c>
      <c r="K39" s="541" t="s">
        <v>168</v>
      </c>
      <c r="L39" s="541" t="s">
        <v>168</v>
      </c>
      <c r="M39" s="541" t="s">
        <v>168</v>
      </c>
      <c r="N39" s="554" t="s">
        <v>168</v>
      </c>
      <c r="O39" s="908" t="e">
        <f>100*(O40-O44)/O48/(100+O49)</f>
        <v>#DIV/0!</v>
      </c>
      <c r="P39" s="541" t="s">
        <v>168</v>
      </c>
      <c r="Q39" s="541" t="s">
        <v>168</v>
      </c>
      <c r="R39" s="541" t="s">
        <v>168</v>
      </c>
      <c r="S39" s="541" t="s">
        <v>168</v>
      </c>
      <c r="T39" s="542" t="s">
        <v>168</v>
      </c>
      <c r="U39" s="909" t="e">
        <f>100*(U40-U44)/U48/(100+U49)</f>
        <v>#DIV/0!</v>
      </c>
      <c r="V39" s="541" t="s">
        <v>168</v>
      </c>
      <c r="W39" s="541" t="s">
        <v>168</v>
      </c>
      <c r="X39" s="541" t="s">
        <v>168</v>
      </c>
      <c r="Y39" s="541" t="s">
        <v>168</v>
      </c>
      <c r="Z39" s="542" t="s">
        <v>168</v>
      </c>
    </row>
    <row r="40" spans="1:26" ht="22.5" customHeight="1" x14ac:dyDescent="0.25">
      <c r="A40" s="543" t="s">
        <v>169</v>
      </c>
      <c r="B40" s="555" t="s">
        <v>170</v>
      </c>
      <c r="C40" s="562">
        <f>Balanza!D25</f>
        <v>0</v>
      </c>
      <c r="D40" s="513" t="s">
        <v>168</v>
      </c>
      <c r="E40" s="514" t="s">
        <v>168</v>
      </c>
      <c r="F40" s="515">
        <f>SQRT((F41*F41)+(F42*F42)+(F43*F43))</f>
        <v>1.0832051206181281</v>
      </c>
      <c r="G40" s="544" t="e">
        <f>100/(100*C48+C49*C48)</f>
        <v>#DIV/0!</v>
      </c>
      <c r="H40" s="906" t="e">
        <f>+G40*F40</f>
        <v>#DIV/0!</v>
      </c>
      <c r="I40" s="558">
        <f>Balanza!F25</f>
        <v>0</v>
      </c>
      <c r="J40" s="513" t="s">
        <v>168</v>
      </c>
      <c r="K40" s="514" t="s">
        <v>168</v>
      </c>
      <c r="L40" s="515">
        <f>SQRT((L41*L41)+(L42*L42)+(L43*L43))</f>
        <v>1.0832051206181281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168</v>
      </c>
      <c r="Q40" s="514" t="s">
        <v>168</v>
      </c>
      <c r="R40" s="515">
        <f>SQRT((R41*R41)+(R42*R42)+(R43*R43))</f>
        <v>1.0832051206181281</v>
      </c>
      <c r="S40" s="544" t="e">
        <f>100/(100*O48+O49*O48)</f>
        <v>#DIV/0!</v>
      </c>
      <c r="T40" s="906" t="e">
        <f>+S40*R40</f>
        <v>#DIV/0!</v>
      </c>
      <c r="U40" s="558">
        <f>Balanza!J25</f>
        <v>0</v>
      </c>
      <c r="V40" s="513" t="s">
        <v>168</v>
      </c>
      <c r="W40" s="514" t="s">
        <v>168</v>
      </c>
      <c r="X40" s="515">
        <f>SQRT((X41*X41)+(X42*X42)+(X43*X43))</f>
        <v>1.0832051206181281</v>
      </c>
      <c r="Y40" s="544" t="e">
        <f>100/(100*U48+U49*U48)</f>
        <v>#DIV/0!</v>
      </c>
      <c r="Z40" s="906" t="e">
        <f>+Y40*X40</f>
        <v>#DIV/0!</v>
      </c>
    </row>
    <row r="41" spans="1:26" ht="22.5" customHeight="1" x14ac:dyDescent="0.25">
      <c r="A41" s="545" t="s">
        <v>171</v>
      </c>
      <c r="B41" s="556" t="s">
        <v>170</v>
      </c>
      <c r="C41" s="563"/>
      <c r="D41" s="516">
        <f>+Balanza!E25</f>
        <v>0</v>
      </c>
      <c r="E41" s="517" t="s">
        <v>172</v>
      </c>
      <c r="F41" s="518">
        <f>+D41</f>
        <v>0</v>
      </c>
      <c r="G41" s="519" t="s">
        <v>168</v>
      </c>
      <c r="H41" s="546" t="s">
        <v>168</v>
      </c>
      <c r="I41" s="559"/>
      <c r="J41" s="516">
        <f>Balanza!G25</f>
        <v>0</v>
      </c>
      <c r="K41" s="517" t="s">
        <v>172</v>
      </c>
      <c r="L41" s="518">
        <f>+J41</f>
        <v>0</v>
      </c>
      <c r="M41" s="519" t="s">
        <v>168</v>
      </c>
      <c r="N41" s="569" t="s">
        <v>168</v>
      </c>
      <c r="O41" s="563"/>
      <c r="P41" s="516">
        <f>Balanza!I25</f>
        <v>0</v>
      </c>
      <c r="Q41" s="517" t="s">
        <v>172</v>
      </c>
      <c r="R41" s="518">
        <f>+P41</f>
        <v>0</v>
      </c>
      <c r="S41" s="519" t="s">
        <v>168</v>
      </c>
      <c r="T41" s="546" t="s">
        <v>168</v>
      </c>
      <c r="U41" s="559"/>
      <c r="V41" s="516">
        <f>Balanza!K25</f>
        <v>0</v>
      </c>
      <c r="W41" s="517" t="s">
        <v>172</v>
      </c>
      <c r="X41" s="518">
        <f>+V41</f>
        <v>0</v>
      </c>
      <c r="Y41" s="519" t="s">
        <v>168</v>
      </c>
      <c r="Z41" s="546" t="s">
        <v>168</v>
      </c>
    </row>
    <row r="42" spans="1:26" ht="22.5" customHeight="1" x14ac:dyDescent="0.25">
      <c r="A42" s="545" t="s">
        <v>173</v>
      </c>
      <c r="B42" s="556" t="s">
        <v>170</v>
      </c>
      <c r="C42" s="563"/>
      <c r="D42" s="520">
        <f>2*(SQRT(Balanza!$C$8+Balanza!$D$8*(POWER(C40,2))))</f>
        <v>2.0880613017821101</v>
      </c>
      <c r="E42" s="517" t="s">
        <v>174</v>
      </c>
      <c r="F42" s="518">
        <f>+D42/2</f>
        <v>1.0440306508910551</v>
      </c>
      <c r="G42" s="519" t="s">
        <v>168</v>
      </c>
      <c r="H42" s="546" t="s">
        <v>168</v>
      </c>
      <c r="I42" s="559"/>
      <c r="J42" s="520">
        <f>2*(SQRT(Balanza!$C$8+Balanza!$D$8*(POWER(I40,2))))</f>
        <v>2.0880613017821101</v>
      </c>
      <c r="K42" s="517" t="s">
        <v>174</v>
      </c>
      <c r="L42" s="518">
        <f>+J42/2</f>
        <v>1.0440306508910551</v>
      </c>
      <c r="M42" s="519" t="s">
        <v>168</v>
      </c>
      <c r="N42" s="569" t="s">
        <v>168</v>
      </c>
      <c r="O42" s="563"/>
      <c r="P42" s="520">
        <f>2*(SQRT(Balanza!$C$8+Balanza!$D$8*(POWER(O40,2))))</f>
        <v>2.0880613017821101</v>
      </c>
      <c r="Q42" s="517" t="s">
        <v>174</v>
      </c>
      <c r="R42" s="518">
        <f>+P42/2</f>
        <v>1.0440306508910551</v>
      </c>
      <c r="S42" s="519" t="s">
        <v>168</v>
      </c>
      <c r="T42" s="546" t="s">
        <v>168</v>
      </c>
      <c r="U42" s="559"/>
      <c r="V42" s="520">
        <f>2*(SQRT(Balanza!$C$8+Balanza!$D$8*(POWER(U40,2))))</f>
        <v>2.0880613017821101</v>
      </c>
      <c r="W42" s="517" t="s">
        <v>174</v>
      </c>
      <c r="X42" s="518">
        <f>+V42/2</f>
        <v>1.0440306508910551</v>
      </c>
      <c r="Y42" s="519" t="s">
        <v>168</v>
      </c>
      <c r="Z42" s="546" t="s">
        <v>168</v>
      </c>
    </row>
    <row r="43" spans="1:26" ht="22.5" customHeight="1" x14ac:dyDescent="0.25">
      <c r="A43" s="545" t="s">
        <v>175</v>
      </c>
      <c r="B43" s="556" t="s">
        <v>170</v>
      </c>
      <c r="C43" s="563"/>
      <c r="D43" s="512">
        <f>Balanza!$C$10</f>
        <v>1</v>
      </c>
      <c r="E43" s="521" t="s">
        <v>176</v>
      </c>
      <c r="F43" s="518">
        <f>+D43/SQRT(3)/2</f>
        <v>0.28867513459481292</v>
      </c>
      <c r="G43" s="519" t="s">
        <v>168</v>
      </c>
      <c r="H43" s="546" t="s">
        <v>168</v>
      </c>
      <c r="I43" s="559"/>
      <c r="J43" s="512">
        <f>Balanza!$C$10</f>
        <v>1</v>
      </c>
      <c r="K43" s="521" t="s">
        <v>176</v>
      </c>
      <c r="L43" s="518">
        <f>+J43/SQRT(3)/2</f>
        <v>0.28867513459481292</v>
      </c>
      <c r="M43" s="519" t="s">
        <v>168</v>
      </c>
      <c r="N43" s="569" t="s">
        <v>168</v>
      </c>
      <c r="O43" s="563"/>
      <c r="P43" s="512">
        <f>Balanza!$C$10</f>
        <v>1</v>
      </c>
      <c r="Q43" s="521" t="s">
        <v>176</v>
      </c>
      <c r="R43" s="518">
        <f>+P43/SQRT(3)/2</f>
        <v>0.28867513459481292</v>
      </c>
      <c r="S43" s="519" t="s">
        <v>168</v>
      </c>
      <c r="T43" s="546" t="s">
        <v>168</v>
      </c>
      <c r="U43" s="559"/>
      <c r="V43" s="512">
        <f>Balanza!$C$10</f>
        <v>1</v>
      </c>
      <c r="W43" s="521" t="s">
        <v>176</v>
      </c>
      <c r="X43" s="518">
        <f>+V43/SQRT(3)/2</f>
        <v>0.28867513459481292</v>
      </c>
      <c r="Y43" s="519" t="s">
        <v>168</v>
      </c>
      <c r="Z43" s="546" t="s">
        <v>168</v>
      </c>
    </row>
    <row r="44" spans="1:26" ht="22.5" customHeight="1" x14ac:dyDescent="0.25">
      <c r="A44" s="547" t="s">
        <v>177</v>
      </c>
      <c r="B44" s="556" t="s">
        <v>170</v>
      </c>
      <c r="C44" s="562">
        <f>Balanza!D26</f>
        <v>0</v>
      </c>
      <c r="D44" s="522"/>
      <c r="E44" s="523" t="s">
        <v>168</v>
      </c>
      <c r="F44" s="515">
        <f>SQRT((F45*F45)+(F46*F46)+(F47*F47))</f>
        <v>1.0832051206181281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168</v>
      </c>
      <c r="L44" s="515">
        <f>SQRT((L45*L45)+(L46*L46)+(L47*L47))</f>
        <v>1.0832051206181281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168</v>
      </c>
      <c r="R44" s="515">
        <f>SQRT((R45*R45)+(R46*R46)+(R47*R47))</f>
        <v>1.0832051206181281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168</v>
      </c>
      <c r="X44" s="515">
        <f>SQRT((X45*X45)+(X46*X46)+(X47*X47))</f>
        <v>1.0832051206181281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5">
      <c r="A45" s="545" t="s">
        <v>171</v>
      </c>
      <c r="B45" s="556" t="s">
        <v>170</v>
      </c>
      <c r="C45" s="563"/>
      <c r="D45" s="516">
        <f>Balanza!E26</f>
        <v>0</v>
      </c>
      <c r="E45" s="517" t="s">
        <v>172</v>
      </c>
      <c r="F45" s="518">
        <f>+D45</f>
        <v>0</v>
      </c>
      <c r="G45" s="519" t="s">
        <v>168</v>
      </c>
      <c r="H45" s="546" t="s">
        <v>168</v>
      </c>
      <c r="I45" s="559"/>
      <c r="J45" s="516">
        <f>Balanza!G26</f>
        <v>0</v>
      </c>
      <c r="K45" s="517" t="s">
        <v>172</v>
      </c>
      <c r="L45" s="518">
        <f>+J45</f>
        <v>0</v>
      </c>
      <c r="M45" s="519" t="s">
        <v>168</v>
      </c>
      <c r="N45" s="569" t="s">
        <v>168</v>
      </c>
      <c r="O45" s="563"/>
      <c r="P45" s="516">
        <f>Balanza!I26</f>
        <v>0</v>
      </c>
      <c r="Q45" s="517" t="s">
        <v>172</v>
      </c>
      <c r="R45" s="518">
        <f>+P45</f>
        <v>0</v>
      </c>
      <c r="S45" s="519" t="s">
        <v>168</v>
      </c>
      <c r="T45" s="546" t="s">
        <v>168</v>
      </c>
      <c r="U45" s="559"/>
      <c r="V45" s="516">
        <f>Balanza!K26</f>
        <v>0</v>
      </c>
      <c r="W45" s="517" t="s">
        <v>172</v>
      </c>
      <c r="X45" s="518">
        <f>+V45</f>
        <v>0</v>
      </c>
      <c r="Y45" s="519" t="s">
        <v>168</v>
      </c>
      <c r="Z45" s="546" t="s">
        <v>168</v>
      </c>
    </row>
    <row r="46" spans="1:26" ht="22.5" customHeight="1" x14ac:dyDescent="0.25">
      <c r="A46" s="545" t="s">
        <v>173</v>
      </c>
      <c r="B46" s="556" t="s">
        <v>170</v>
      </c>
      <c r="C46" s="563"/>
      <c r="D46" s="520">
        <f>2*(SQRT(Balanza!$C$8+Balanza!$D$8*(POWER(C44,2))))</f>
        <v>2.0880613017821101</v>
      </c>
      <c r="E46" s="517" t="s">
        <v>174</v>
      </c>
      <c r="F46" s="518">
        <f>+D46/2</f>
        <v>1.0440306508910551</v>
      </c>
      <c r="G46" s="519" t="s">
        <v>168</v>
      </c>
      <c r="H46" s="546" t="s">
        <v>168</v>
      </c>
      <c r="I46" s="559"/>
      <c r="J46" s="520">
        <f>2*(SQRT(Balanza!$C$8+Balanza!$D$8*(POWER(I44,2))))</f>
        <v>2.0880613017821101</v>
      </c>
      <c r="K46" s="517" t="s">
        <v>174</v>
      </c>
      <c r="L46" s="518">
        <f>+J46/2</f>
        <v>1.0440306508910551</v>
      </c>
      <c r="M46" s="519" t="s">
        <v>168</v>
      </c>
      <c r="N46" s="569" t="s">
        <v>168</v>
      </c>
      <c r="O46" s="563"/>
      <c r="P46" s="520">
        <f>2*(SQRT(Balanza!$C$8+Balanza!$D$8*(POWER(O44,2))))</f>
        <v>2.0880613017821101</v>
      </c>
      <c r="Q46" s="517" t="s">
        <v>174</v>
      </c>
      <c r="R46" s="518">
        <f>+P46/2</f>
        <v>1.0440306508910551</v>
      </c>
      <c r="S46" s="519" t="s">
        <v>168</v>
      </c>
      <c r="T46" s="546" t="s">
        <v>168</v>
      </c>
      <c r="U46" s="559"/>
      <c r="V46" s="520">
        <f>2*(SQRT(Balanza!$C$8+Balanza!$D$8*(POWER(U44,2))))</f>
        <v>2.0880613017821101</v>
      </c>
      <c r="W46" s="517" t="s">
        <v>174</v>
      </c>
      <c r="X46" s="518">
        <f>+V46/2</f>
        <v>1.0440306508910551</v>
      </c>
      <c r="Y46" s="519" t="s">
        <v>168</v>
      </c>
      <c r="Z46" s="546" t="s">
        <v>168</v>
      </c>
    </row>
    <row r="47" spans="1:26" ht="22.5" customHeight="1" x14ac:dyDescent="0.25">
      <c r="A47" s="545" t="s">
        <v>175</v>
      </c>
      <c r="B47" s="556" t="s">
        <v>170</v>
      </c>
      <c r="C47" s="563"/>
      <c r="D47" s="512">
        <f>Balanza!$C$10</f>
        <v>1</v>
      </c>
      <c r="E47" s="521" t="s">
        <v>176</v>
      </c>
      <c r="F47" s="518">
        <f>+D47/SQRT(3)/2</f>
        <v>0.28867513459481292</v>
      </c>
      <c r="G47" s="519" t="s">
        <v>168</v>
      </c>
      <c r="H47" s="546" t="s">
        <v>168</v>
      </c>
      <c r="I47" s="559"/>
      <c r="J47" s="512">
        <f>Balanza!$C$10</f>
        <v>1</v>
      </c>
      <c r="K47" s="521" t="s">
        <v>176</v>
      </c>
      <c r="L47" s="518">
        <f>+J47/SQRT(3)/2</f>
        <v>0.28867513459481292</v>
      </c>
      <c r="M47" s="519" t="s">
        <v>168</v>
      </c>
      <c r="N47" s="569" t="s">
        <v>168</v>
      </c>
      <c r="O47" s="563"/>
      <c r="P47" s="512">
        <f>Balanza!$C$10</f>
        <v>1</v>
      </c>
      <c r="Q47" s="521" t="s">
        <v>176</v>
      </c>
      <c r="R47" s="518">
        <f>+P47/SQRT(3)/2</f>
        <v>0.28867513459481292</v>
      </c>
      <c r="S47" s="519" t="s">
        <v>168</v>
      </c>
      <c r="T47" s="546" t="s">
        <v>168</v>
      </c>
      <c r="U47" s="559"/>
      <c r="V47" s="512">
        <f>Balanza!$C$10</f>
        <v>1</v>
      </c>
      <c r="W47" s="521" t="s">
        <v>176</v>
      </c>
      <c r="X47" s="518">
        <f>+V47/SQRT(3)/2</f>
        <v>0.28867513459481292</v>
      </c>
      <c r="Y47" s="519" t="s">
        <v>168</v>
      </c>
      <c r="Z47" s="546" t="s">
        <v>168</v>
      </c>
    </row>
    <row r="48" spans="1:26" ht="22.5" customHeight="1" x14ac:dyDescent="0.25">
      <c r="A48" s="547" t="s">
        <v>178</v>
      </c>
      <c r="B48" s="556" t="s">
        <v>179</v>
      </c>
      <c r="C48" s="562">
        <f>+Balanza!D27</f>
        <v>0</v>
      </c>
      <c r="D48" s="522"/>
      <c r="E48" s="523" t="s">
        <v>168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168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168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168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5">
      <c r="A49" s="543" t="s">
        <v>180</v>
      </c>
      <c r="B49" s="556" t="s">
        <v>111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3">
      <c r="A50" s="548" t="s">
        <v>181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3">
      <c r="A51" s="593" t="s">
        <v>182</v>
      </c>
      <c r="B51" s="594"/>
      <c r="C51" s="594"/>
      <c r="D51" s="595"/>
      <c r="E51" s="594"/>
      <c r="F51" s="490"/>
      <c r="G51" s="489"/>
      <c r="H51" s="922" t="e">
        <f>SQRT((H40*H40)+(H44*H44)+(H48*H48)+(H49*H49)+(H50*H50))</f>
        <v>#DIV/0!</v>
      </c>
      <c r="I51" s="925"/>
      <c r="J51" s="926"/>
      <c r="K51" s="927"/>
      <c r="L51" s="927"/>
      <c r="M51" s="927"/>
      <c r="N51" s="924" t="e">
        <f>SQRT((N40*N40)+(N44*N44)+(N48*N48)+(N49*N49)+(N50*N50))</f>
        <v>#DIV/0!</v>
      </c>
      <c r="O51" s="923"/>
      <c r="P51" s="923"/>
      <c r="Q51" s="923"/>
      <c r="R51" s="923"/>
      <c r="S51" s="923"/>
      <c r="T51" s="924" t="e">
        <f>SQRT((T40*T40)+(T44*T44)+(T48*T48)+(T49*T49)+(T50*T50))</f>
        <v>#DIV/0!</v>
      </c>
      <c r="U51" s="923"/>
      <c r="V51" s="923"/>
      <c r="W51" s="923"/>
      <c r="X51" s="923"/>
      <c r="Y51" s="923"/>
      <c r="Z51" s="924" t="e">
        <f>SQRT((Z40*Z40)+(Z44*Z44)+(Z48*Z48)+(Z49*Z49)+(Z50*Z50))</f>
        <v>#DIV/0!</v>
      </c>
    </row>
    <row r="52" spans="1:26" ht="22.5" customHeight="1" thickBot="1" x14ac:dyDescent="0.3">
      <c r="A52" s="915" t="s">
        <v>184</v>
      </c>
      <c r="B52" s="490"/>
      <c r="C52" s="490"/>
      <c r="D52" s="490"/>
      <c r="E52" s="489"/>
      <c r="F52" s="490"/>
      <c r="G52" s="595" t="s">
        <v>183</v>
      </c>
      <c r="H52" s="928" t="e">
        <f>+(IF(I52=I39,N51,T51))*2</f>
        <v>#DIV/0!</v>
      </c>
      <c r="I52" s="929" t="e">
        <f>+MAX(I39,O39)</f>
        <v>#DIV/0!</v>
      </c>
      <c r="J52" s="588"/>
    </row>
    <row r="53" spans="1:26" ht="22.5" customHeight="1" thickBot="1" x14ac:dyDescent="0.3">
      <c r="A53" s="917" t="s">
        <v>184</v>
      </c>
      <c r="B53" s="918"/>
      <c r="C53" s="918"/>
      <c r="D53" s="487"/>
      <c r="E53" s="919"/>
      <c r="F53" s="487"/>
      <c r="G53" s="920" t="s">
        <v>583</v>
      </c>
      <c r="H53" s="916" t="e">
        <f>+H52*9.8066</f>
        <v>#DIV/0!</v>
      </c>
      <c r="I53" s="381"/>
      <c r="J53" s="914"/>
      <c r="K53" s="910"/>
      <c r="L53" s="910"/>
      <c r="M53" s="910"/>
      <c r="N53" s="474"/>
      <c r="P53" s="911"/>
    </row>
    <row r="54" spans="1:26" ht="21.75" customHeight="1" x14ac:dyDescent="0.25">
      <c r="I54" s="467"/>
      <c r="J54" s="907"/>
      <c r="K54" s="910"/>
      <c r="L54" s="910"/>
      <c r="M54" s="910"/>
    </row>
    <row r="55" spans="1:26" ht="21" customHeight="1" thickBot="1" x14ac:dyDescent="0.3">
      <c r="A55" s="536" t="s">
        <v>653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3">
      <c r="A56" s="620" t="s">
        <v>158</v>
      </c>
      <c r="B56" s="621" t="s">
        <v>159</v>
      </c>
      <c r="C56" s="620" t="s">
        <v>160</v>
      </c>
      <c r="D56" s="622" t="s">
        <v>161</v>
      </c>
      <c r="E56" s="622" t="s">
        <v>162</v>
      </c>
      <c r="F56" s="622" t="s">
        <v>163</v>
      </c>
      <c r="G56" s="622" t="s">
        <v>164</v>
      </c>
      <c r="H56" s="623" t="s">
        <v>165</v>
      </c>
      <c r="I56" s="620" t="s">
        <v>160</v>
      </c>
      <c r="J56" s="622" t="s">
        <v>161</v>
      </c>
      <c r="K56" s="622" t="s">
        <v>162</v>
      </c>
      <c r="L56" s="622" t="s">
        <v>163</v>
      </c>
      <c r="M56" s="622" t="s">
        <v>164</v>
      </c>
      <c r="N56" s="623" t="s">
        <v>165</v>
      </c>
      <c r="O56" s="620" t="s">
        <v>160</v>
      </c>
      <c r="P56" s="622" t="s">
        <v>161</v>
      </c>
      <c r="Q56" s="622" t="s">
        <v>162</v>
      </c>
      <c r="R56" s="622" t="s">
        <v>163</v>
      </c>
      <c r="S56" s="622" t="s">
        <v>164</v>
      </c>
      <c r="T56" s="623" t="s">
        <v>165</v>
      </c>
      <c r="U56" s="624" t="s">
        <v>160</v>
      </c>
      <c r="V56" s="622" t="s">
        <v>161</v>
      </c>
      <c r="W56" s="622" t="s">
        <v>162</v>
      </c>
      <c r="X56" s="622" t="s">
        <v>163</v>
      </c>
      <c r="Y56" s="622" t="s">
        <v>164</v>
      </c>
      <c r="Z56" s="623" t="s">
        <v>165</v>
      </c>
    </row>
    <row r="57" spans="1:26" s="474" customFormat="1" ht="21.75" customHeight="1" x14ac:dyDescent="0.2">
      <c r="A57" s="578" t="s">
        <v>95</v>
      </c>
      <c r="B57" s="580"/>
      <c r="C57" s="585" t="e">
        <f>+((C58-C62)/(C62-C66)*100)</f>
        <v>#DIV/0!</v>
      </c>
      <c r="D57" s="527" t="s">
        <v>168</v>
      </c>
      <c r="E57" s="527" t="s">
        <v>168</v>
      </c>
      <c r="F57" s="527" t="s">
        <v>168</v>
      </c>
      <c r="G57" s="527" t="s">
        <v>168</v>
      </c>
      <c r="H57" s="579" t="s">
        <v>168</v>
      </c>
      <c r="I57" s="585" t="e">
        <f>+((I58-I62)/(I62-I66)*100)</f>
        <v>#DIV/0!</v>
      </c>
      <c r="J57" s="527" t="s">
        <v>168</v>
      </c>
      <c r="K57" s="527" t="s">
        <v>168</v>
      </c>
      <c r="L57" s="527" t="s">
        <v>168</v>
      </c>
      <c r="M57" s="527" t="s">
        <v>168</v>
      </c>
      <c r="N57" s="579" t="s">
        <v>168</v>
      </c>
      <c r="O57" s="585" t="e">
        <f>+((O58-O62)/(O62-O66)*100)</f>
        <v>#DIV/0!</v>
      </c>
      <c r="P57" s="527" t="s">
        <v>168</v>
      </c>
      <c r="Q57" s="527" t="s">
        <v>168</v>
      </c>
      <c r="R57" s="527" t="s">
        <v>168</v>
      </c>
      <c r="S57" s="527" t="s">
        <v>168</v>
      </c>
      <c r="T57" s="579" t="s">
        <v>168</v>
      </c>
      <c r="U57" s="582" t="e">
        <f>+((U58-U62)/(U62-U66)*100)</f>
        <v>#DIV/0!</v>
      </c>
      <c r="V57" s="527" t="s">
        <v>168</v>
      </c>
      <c r="W57" s="527" t="s">
        <v>168</v>
      </c>
      <c r="X57" s="527" t="s">
        <v>168</v>
      </c>
      <c r="Y57" s="527" t="s">
        <v>168</v>
      </c>
      <c r="Z57" s="579" t="s">
        <v>168</v>
      </c>
    </row>
    <row r="58" spans="1:26" s="474" customFormat="1" ht="21.75" customHeight="1" x14ac:dyDescent="0.2">
      <c r="A58" s="596" t="s">
        <v>185</v>
      </c>
      <c r="B58" s="597" t="s">
        <v>186</v>
      </c>
      <c r="C58" s="598" t="e">
        <f>Balanza!O26</f>
        <v>#DIV/0!</v>
      </c>
      <c r="D58" s="599" t="s">
        <v>168</v>
      </c>
      <c r="E58" s="600" t="s">
        <v>168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168</v>
      </c>
      <c r="K58" s="600" t="s">
        <v>168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168</v>
      </c>
      <c r="Q58" s="600" t="s">
        <v>168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168</v>
      </c>
      <c r="W58" s="600" t="s">
        <v>168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171</v>
      </c>
      <c r="B59" s="597" t="s">
        <v>186</v>
      </c>
      <c r="C59" s="605"/>
      <c r="D59" s="606" t="e">
        <f>+Balanza!P26</f>
        <v>#DIV/0!</v>
      </c>
      <c r="E59" s="607" t="s">
        <v>172</v>
      </c>
      <c r="F59" s="608" t="e">
        <f>+D59</f>
        <v>#DIV/0!</v>
      </c>
      <c r="G59" s="609" t="s">
        <v>168</v>
      </c>
      <c r="H59" s="610" t="s">
        <v>168</v>
      </c>
      <c r="I59" s="605"/>
      <c r="J59" s="606" t="e">
        <f>+Balanza!R26</f>
        <v>#DIV/0!</v>
      </c>
      <c r="K59" s="607" t="s">
        <v>172</v>
      </c>
      <c r="L59" s="608" t="e">
        <f>+J59</f>
        <v>#DIV/0!</v>
      </c>
      <c r="M59" s="609" t="s">
        <v>168</v>
      </c>
      <c r="N59" s="610" t="s">
        <v>168</v>
      </c>
      <c r="O59" s="605"/>
      <c r="P59" s="606" t="e">
        <f>+Balanza!T26</f>
        <v>#DIV/0!</v>
      </c>
      <c r="Q59" s="607" t="s">
        <v>172</v>
      </c>
      <c r="R59" s="608" t="e">
        <f>+P59</f>
        <v>#DIV/0!</v>
      </c>
      <c r="S59" s="609" t="s">
        <v>168</v>
      </c>
      <c r="T59" s="610" t="s">
        <v>168</v>
      </c>
      <c r="U59" s="611"/>
      <c r="V59" s="606" t="e">
        <f>+Balanza!V26</f>
        <v>#DIV/0!</v>
      </c>
      <c r="W59" s="607" t="s">
        <v>172</v>
      </c>
      <c r="X59" s="608" t="e">
        <f>+V59</f>
        <v>#DIV/0!</v>
      </c>
      <c r="Y59" s="609" t="s">
        <v>168</v>
      </c>
      <c r="Z59" s="546" t="s">
        <v>168</v>
      </c>
    </row>
    <row r="60" spans="1:26" s="474" customFormat="1" ht="21.75" customHeight="1" x14ac:dyDescent="0.2">
      <c r="A60" s="604" t="s">
        <v>173</v>
      </c>
      <c r="B60" s="597" t="s">
        <v>186</v>
      </c>
      <c r="C60" s="605"/>
      <c r="D60" s="612" t="e">
        <f>2*(SQRT(Balanza!$M$8+Balanza!$N$8*(POWER(C58,2))))</f>
        <v>#DIV/0!</v>
      </c>
      <c r="E60" s="607" t="s">
        <v>174</v>
      </c>
      <c r="F60" s="608" t="e">
        <f>+D60/2</f>
        <v>#DIV/0!</v>
      </c>
      <c r="G60" s="609" t="s">
        <v>168</v>
      </c>
      <c r="H60" s="610" t="s">
        <v>168</v>
      </c>
      <c r="I60" s="605"/>
      <c r="J60" s="612" t="e">
        <f>2*(SQRT(Balanza!$M$8+Balanza!$N$8*(POWER(I58,2))))</f>
        <v>#DIV/0!</v>
      </c>
      <c r="K60" s="607" t="s">
        <v>174</v>
      </c>
      <c r="L60" s="608" t="e">
        <f>+J60/2</f>
        <v>#DIV/0!</v>
      </c>
      <c r="M60" s="609" t="s">
        <v>168</v>
      </c>
      <c r="N60" s="610" t="s">
        <v>168</v>
      </c>
      <c r="O60" s="605"/>
      <c r="P60" s="612" t="e">
        <f>2*(SQRT(Balanza!$M$8+Balanza!$N$8*(POWER(O58,2))))</f>
        <v>#DIV/0!</v>
      </c>
      <c r="Q60" s="607" t="s">
        <v>174</v>
      </c>
      <c r="R60" s="608" t="e">
        <f>+P60/2</f>
        <v>#DIV/0!</v>
      </c>
      <c r="S60" s="609" t="s">
        <v>168</v>
      </c>
      <c r="T60" s="610" t="s">
        <v>168</v>
      </c>
      <c r="U60" s="611"/>
      <c r="V60" s="612" t="e">
        <f>2*(SQRT(Balanza!$M$8+Balanza!$N$8*(POWER(U58,2))))</f>
        <v>#DIV/0!</v>
      </c>
      <c r="W60" s="607" t="s">
        <v>174</v>
      </c>
      <c r="X60" s="608" t="e">
        <f>+V60/2</f>
        <v>#DIV/0!</v>
      </c>
      <c r="Y60" s="609" t="s">
        <v>168</v>
      </c>
      <c r="Z60" s="546" t="s">
        <v>168</v>
      </c>
    </row>
    <row r="61" spans="1:26" s="474" customFormat="1" ht="21.75" customHeight="1" x14ac:dyDescent="0.2">
      <c r="A61" s="604" t="s">
        <v>175</v>
      </c>
      <c r="B61" s="597" t="s">
        <v>186</v>
      </c>
      <c r="C61" s="605"/>
      <c r="D61" s="656">
        <f>+Balanza!$M$10</f>
        <v>0.1</v>
      </c>
      <c r="E61" s="613" t="s">
        <v>176</v>
      </c>
      <c r="F61" s="608">
        <f>+D61/SQRT(3)/2</f>
        <v>2.8867513459481291E-2</v>
      </c>
      <c r="G61" s="609" t="s">
        <v>168</v>
      </c>
      <c r="H61" s="610" t="s">
        <v>168</v>
      </c>
      <c r="I61" s="605"/>
      <c r="J61" s="656">
        <f>+Balanza!$M$10</f>
        <v>0.1</v>
      </c>
      <c r="K61" s="613" t="s">
        <v>176</v>
      </c>
      <c r="L61" s="608">
        <f>+J61/SQRT(3)/2</f>
        <v>2.8867513459481291E-2</v>
      </c>
      <c r="M61" s="609" t="s">
        <v>168</v>
      </c>
      <c r="N61" s="610" t="s">
        <v>168</v>
      </c>
      <c r="O61" s="605"/>
      <c r="P61" s="656">
        <f>+Balanza!$M$10</f>
        <v>0.1</v>
      </c>
      <c r="Q61" s="613" t="s">
        <v>176</v>
      </c>
      <c r="R61" s="608">
        <f>+P61/SQRT(3)/2</f>
        <v>2.8867513459481291E-2</v>
      </c>
      <c r="S61" s="609" t="s">
        <v>168</v>
      </c>
      <c r="T61" s="610" t="s">
        <v>168</v>
      </c>
      <c r="U61" s="611"/>
      <c r="V61" s="656">
        <f>+Balanza!$M$10</f>
        <v>0.1</v>
      </c>
      <c r="W61" s="613" t="s">
        <v>176</v>
      </c>
      <c r="X61" s="608">
        <f>+V61/SQRT(3)/2</f>
        <v>2.8867513459481291E-2</v>
      </c>
      <c r="Y61" s="609" t="s">
        <v>168</v>
      </c>
      <c r="Z61" s="546" t="s">
        <v>168</v>
      </c>
    </row>
    <row r="62" spans="1:26" s="474" customFormat="1" ht="21.75" customHeight="1" x14ac:dyDescent="0.2">
      <c r="A62" s="614" t="s">
        <v>187</v>
      </c>
      <c r="B62" s="597" t="s">
        <v>186</v>
      </c>
      <c r="C62" s="598" t="e">
        <f>Balanza!O27</f>
        <v>#DIV/0!</v>
      </c>
      <c r="D62" s="615"/>
      <c r="E62" s="616" t="s">
        <v>168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168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168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168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171</v>
      </c>
      <c r="B63" s="597" t="s">
        <v>186</v>
      </c>
      <c r="C63" s="605"/>
      <c r="D63" s="606" t="e">
        <f>+Balanza!P27</f>
        <v>#DIV/0!</v>
      </c>
      <c r="E63" s="607" t="s">
        <v>172</v>
      </c>
      <c r="F63" s="608" t="e">
        <f>+D63</f>
        <v>#DIV/0!</v>
      </c>
      <c r="G63" s="609" t="s">
        <v>168</v>
      </c>
      <c r="H63" s="610" t="s">
        <v>168</v>
      </c>
      <c r="I63" s="605"/>
      <c r="J63" s="606" t="e">
        <f>+Balanza!R27</f>
        <v>#DIV/0!</v>
      </c>
      <c r="K63" s="607" t="s">
        <v>172</v>
      </c>
      <c r="L63" s="608" t="e">
        <f>+J63</f>
        <v>#DIV/0!</v>
      </c>
      <c r="M63" s="609" t="s">
        <v>168</v>
      </c>
      <c r="N63" s="610" t="s">
        <v>168</v>
      </c>
      <c r="O63" s="605"/>
      <c r="P63" s="606" t="e">
        <f>+Balanza!T27</f>
        <v>#DIV/0!</v>
      </c>
      <c r="Q63" s="607" t="s">
        <v>172</v>
      </c>
      <c r="R63" s="608" t="e">
        <f>+P63</f>
        <v>#DIV/0!</v>
      </c>
      <c r="S63" s="609" t="s">
        <v>168</v>
      </c>
      <c r="T63" s="610" t="s">
        <v>168</v>
      </c>
      <c r="U63" s="611"/>
      <c r="V63" s="606" t="e">
        <f>+Balanza!V27</f>
        <v>#DIV/0!</v>
      </c>
      <c r="W63" s="607" t="s">
        <v>172</v>
      </c>
      <c r="X63" s="608" t="e">
        <f>+V63</f>
        <v>#DIV/0!</v>
      </c>
      <c r="Y63" s="609" t="s">
        <v>168</v>
      </c>
      <c r="Z63" s="546" t="s">
        <v>168</v>
      </c>
    </row>
    <row r="64" spans="1:26" s="474" customFormat="1" ht="21.75" customHeight="1" x14ac:dyDescent="0.2">
      <c r="A64" s="604" t="s">
        <v>173</v>
      </c>
      <c r="B64" s="597" t="s">
        <v>186</v>
      </c>
      <c r="C64" s="605"/>
      <c r="D64" s="612" t="e">
        <f>2*(SQRT(Balanza!$M$8+Balanza!$N$8*(POWER(C62,2))))</f>
        <v>#DIV/0!</v>
      </c>
      <c r="E64" s="607" t="s">
        <v>174</v>
      </c>
      <c r="F64" s="608" t="e">
        <f>+D64/2</f>
        <v>#DIV/0!</v>
      </c>
      <c r="G64" s="609" t="s">
        <v>168</v>
      </c>
      <c r="H64" s="610" t="s">
        <v>168</v>
      </c>
      <c r="I64" s="605"/>
      <c r="J64" s="612" t="e">
        <f>2*(SQRT(Balanza!$M$8+Balanza!$N$8*(POWER(I62,2))))</f>
        <v>#DIV/0!</v>
      </c>
      <c r="K64" s="607" t="s">
        <v>174</v>
      </c>
      <c r="L64" s="608" t="e">
        <f>+J64/2</f>
        <v>#DIV/0!</v>
      </c>
      <c r="M64" s="609" t="s">
        <v>168</v>
      </c>
      <c r="N64" s="610" t="s">
        <v>168</v>
      </c>
      <c r="O64" s="605"/>
      <c r="P64" s="612" t="e">
        <f>2*(SQRT(Balanza!$M$8+Balanza!$N$8*(POWER(O62,2))))</f>
        <v>#DIV/0!</v>
      </c>
      <c r="Q64" s="607" t="s">
        <v>174</v>
      </c>
      <c r="R64" s="608" t="e">
        <f>+P64/2</f>
        <v>#DIV/0!</v>
      </c>
      <c r="S64" s="609" t="s">
        <v>168</v>
      </c>
      <c r="T64" s="610" t="s">
        <v>168</v>
      </c>
      <c r="U64" s="611"/>
      <c r="V64" s="612" t="e">
        <f>2*(SQRT(Balanza!$M$8+Balanza!$N$8*(POWER(U62,2))))</f>
        <v>#DIV/0!</v>
      </c>
      <c r="W64" s="607" t="s">
        <v>174</v>
      </c>
      <c r="X64" s="608" t="e">
        <f>+V64/2</f>
        <v>#DIV/0!</v>
      </c>
      <c r="Y64" s="609" t="s">
        <v>168</v>
      </c>
      <c r="Z64" s="546" t="s">
        <v>168</v>
      </c>
    </row>
    <row r="65" spans="1:26" s="474" customFormat="1" ht="21.75" customHeight="1" x14ac:dyDescent="0.2">
      <c r="A65" s="604" t="s">
        <v>175</v>
      </c>
      <c r="B65" s="597" t="s">
        <v>186</v>
      </c>
      <c r="C65" s="605"/>
      <c r="D65" s="656">
        <f>+Balanza!$M$10</f>
        <v>0.1</v>
      </c>
      <c r="E65" s="613" t="s">
        <v>176</v>
      </c>
      <c r="F65" s="608">
        <f>+D65/SQRT(3)/2</f>
        <v>2.8867513459481291E-2</v>
      </c>
      <c r="G65" s="609" t="s">
        <v>168</v>
      </c>
      <c r="H65" s="610" t="s">
        <v>168</v>
      </c>
      <c r="I65" s="605"/>
      <c r="J65" s="656">
        <f>+Balanza!$M$10</f>
        <v>0.1</v>
      </c>
      <c r="K65" s="613" t="s">
        <v>176</v>
      </c>
      <c r="L65" s="608">
        <f>+J65/SQRT(3)/2</f>
        <v>2.8867513459481291E-2</v>
      </c>
      <c r="M65" s="609" t="s">
        <v>168</v>
      </c>
      <c r="N65" s="610" t="s">
        <v>168</v>
      </c>
      <c r="O65" s="605"/>
      <c r="P65" s="656">
        <f>+Balanza!$M$10</f>
        <v>0.1</v>
      </c>
      <c r="Q65" s="613" t="s">
        <v>176</v>
      </c>
      <c r="R65" s="608">
        <f>+P65/SQRT(3)/2</f>
        <v>2.8867513459481291E-2</v>
      </c>
      <c r="S65" s="609" t="s">
        <v>168</v>
      </c>
      <c r="T65" s="610" t="s">
        <v>168</v>
      </c>
      <c r="U65" s="611"/>
      <c r="V65" s="656">
        <f>+Balanza!$M$10</f>
        <v>0.1</v>
      </c>
      <c r="W65" s="613" t="s">
        <v>176</v>
      </c>
      <c r="X65" s="608">
        <f>+V65/SQRT(3)/2</f>
        <v>2.8867513459481291E-2</v>
      </c>
      <c r="Y65" s="609" t="s">
        <v>168</v>
      </c>
      <c r="Z65" s="546" t="s">
        <v>168</v>
      </c>
    </row>
    <row r="66" spans="1:26" s="474" customFormat="1" ht="21.75" customHeight="1" x14ac:dyDescent="0.2">
      <c r="A66" s="614" t="s">
        <v>188</v>
      </c>
      <c r="B66" s="597" t="s">
        <v>186</v>
      </c>
      <c r="C66" s="598" t="e">
        <f>Balanza!O28</f>
        <v>#DIV/0!</v>
      </c>
      <c r="D66" s="615"/>
      <c r="E66" s="616" t="s">
        <v>168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168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168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168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171</v>
      </c>
      <c r="B67" s="581" t="s">
        <v>186</v>
      </c>
      <c r="C67" s="586"/>
      <c r="D67" s="516" t="e">
        <f>+Balanza!P28</f>
        <v>#DIV/0!</v>
      </c>
      <c r="E67" s="517" t="s">
        <v>172</v>
      </c>
      <c r="F67" s="518" t="e">
        <f>+D67</f>
        <v>#DIV/0!</v>
      </c>
      <c r="G67" s="519" t="s">
        <v>168</v>
      </c>
      <c r="H67" s="546" t="s">
        <v>168</v>
      </c>
      <c r="I67" s="586"/>
      <c r="J67" s="606" t="e">
        <f>+Balanza!R28</f>
        <v>#DIV/0!</v>
      </c>
      <c r="K67" s="517" t="s">
        <v>172</v>
      </c>
      <c r="L67" s="518" t="e">
        <f>+J67</f>
        <v>#DIV/0!</v>
      </c>
      <c r="M67" s="519" t="s">
        <v>168</v>
      </c>
      <c r="N67" s="546" t="s">
        <v>168</v>
      </c>
      <c r="O67" s="586"/>
      <c r="P67" s="516" t="e">
        <f>+Balanza!T28</f>
        <v>#DIV/0!</v>
      </c>
      <c r="Q67" s="517" t="s">
        <v>172</v>
      </c>
      <c r="R67" s="518" t="e">
        <f>+P67</f>
        <v>#DIV/0!</v>
      </c>
      <c r="S67" s="519" t="s">
        <v>168</v>
      </c>
      <c r="T67" s="546" t="s">
        <v>168</v>
      </c>
      <c r="U67" s="583"/>
      <c r="V67" s="516" t="e">
        <f>+Balanza!V28</f>
        <v>#DIV/0!</v>
      </c>
      <c r="W67" s="517" t="s">
        <v>172</v>
      </c>
      <c r="X67" s="518" t="e">
        <f>+V67</f>
        <v>#DIV/0!</v>
      </c>
      <c r="Y67" s="519" t="s">
        <v>168</v>
      </c>
      <c r="Z67" s="546" t="s">
        <v>168</v>
      </c>
    </row>
    <row r="68" spans="1:26" s="474" customFormat="1" ht="21.75" customHeight="1" x14ac:dyDescent="0.2">
      <c r="A68" s="545" t="s">
        <v>173</v>
      </c>
      <c r="B68" s="581" t="s">
        <v>186</v>
      </c>
      <c r="C68" s="586"/>
      <c r="D68" s="612" t="e">
        <f>2*(SQRT(Balanza!$M$8+Balanza!$N$8*(POWER(C66,2))))</f>
        <v>#DIV/0!</v>
      </c>
      <c r="E68" s="517" t="s">
        <v>174</v>
      </c>
      <c r="F68" s="518" t="e">
        <f>+D68/2</f>
        <v>#DIV/0!</v>
      </c>
      <c r="G68" s="519" t="s">
        <v>168</v>
      </c>
      <c r="H68" s="546" t="s">
        <v>168</v>
      </c>
      <c r="I68" s="586"/>
      <c r="J68" s="612" t="e">
        <f>2*(SQRT(Balanza!$M$8+Balanza!$N$8*(POWER(I66,2))))</f>
        <v>#DIV/0!</v>
      </c>
      <c r="K68" s="517" t="s">
        <v>174</v>
      </c>
      <c r="L68" s="518" t="e">
        <f>+J68/2</f>
        <v>#DIV/0!</v>
      </c>
      <c r="M68" s="519" t="s">
        <v>168</v>
      </c>
      <c r="N68" s="546" t="s">
        <v>168</v>
      </c>
      <c r="O68" s="586"/>
      <c r="P68" s="612" t="e">
        <f>2*(SQRT(Balanza!$M$8+Balanza!$N$8*(POWER(O66,2))))</f>
        <v>#DIV/0!</v>
      </c>
      <c r="Q68" s="517" t="s">
        <v>174</v>
      </c>
      <c r="R68" s="518" t="e">
        <f>+P68/2</f>
        <v>#DIV/0!</v>
      </c>
      <c r="S68" s="519" t="s">
        <v>168</v>
      </c>
      <c r="T68" s="546" t="s">
        <v>168</v>
      </c>
      <c r="U68" s="583"/>
      <c r="V68" s="612" t="e">
        <f>2*(SQRT(Balanza!$M$8+Balanza!$N$8*(POWER(U66,2))))</f>
        <v>#DIV/0!</v>
      </c>
      <c r="W68" s="517" t="s">
        <v>174</v>
      </c>
      <c r="X68" s="518" t="e">
        <f>+V68/2</f>
        <v>#DIV/0!</v>
      </c>
      <c r="Y68" s="519" t="s">
        <v>168</v>
      </c>
      <c r="Z68" s="546" t="s">
        <v>168</v>
      </c>
    </row>
    <row r="69" spans="1:26" s="474" customFormat="1" ht="21.75" customHeight="1" x14ac:dyDescent="0.2">
      <c r="A69" s="545" t="s">
        <v>175</v>
      </c>
      <c r="B69" s="581" t="s">
        <v>186</v>
      </c>
      <c r="C69" s="586"/>
      <c r="D69" s="656">
        <f>+Balanza!$M$10</f>
        <v>0.1</v>
      </c>
      <c r="E69" s="521" t="s">
        <v>176</v>
      </c>
      <c r="F69" s="518">
        <f>+D69/SQRT(3)/2</f>
        <v>2.8867513459481291E-2</v>
      </c>
      <c r="G69" s="519" t="s">
        <v>168</v>
      </c>
      <c r="H69" s="546" t="s">
        <v>168</v>
      </c>
      <c r="I69" s="586"/>
      <c r="J69" s="656">
        <f>+Balanza!$M$10</f>
        <v>0.1</v>
      </c>
      <c r="K69" s="521" t="s">
        <v>176</v>
      </c>
      <c r="L69" s="518">
        <f>+J69/SQRT(3)/2</f>
        <v>2.8867513459481291E-2</v>
      </c>
      <c r="M69" s="519" t="s">
        <v>168</v>
      </c>
      <c r="N69" s="546" t="s">
        <v>168</v>
      </c>
      <c r="O69" s="586"/>
      <c r="P69" s="656">
        <f>+Balanza!$M$10</f>
        <v>0.1</v>
      </c>
      <c r="Q69" s="521" t="s">
        <v>176</v>
      </c>
      <c r="R69" s="518">
        <f>+P69/SQRT(3)/2</f>
        <v>2.8867513459481291E-2</v>
      </c>
      <c r="S69" s="519" t="s">
        <v>168</v>
      </c>
      <c r="T69" s="546" t="s">
        <v>168</v>
      </c>
      <c r="U69" s="583"/>
      <c r="V69" s="656">
        <f>+Balanza!$M$10</f>
        <v>0.1</v>
      </c>
      <c r="W69" s="521" t="s">
        <v>176</v>
      </c>
      <c r="X69" s="518">
        <f>+V69/SQRT(3)/2</f>
        <v>2.8867513459481291E-2</v>
      </c>
      <c r="Y69" s="519" t="s">
        <v>168</v>
      </c>
      <c r="Z69" s="546" t="s">
        <v>168</v>
      </c>
    </row>
    <row r="70" spans="1:26" s="474" customFormat="1" ht="21.75" customHeight="1" thickBot="1" x14ac:dyDescent="0.25">
      <c r="A70" s="589" t="s">
        <v>189</v>
      </c>
      <c r="B70" s="625" t="s">
        <v>111</v>
      </c>
      <c r="C70" s="590">
        <f>+precision!H7</f>
        <v>0.11030261405182915</v>
      </c>
      <c r="D70" s="626"/>
      <c r="E70" s="627" t="s">
        <v>190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190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190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190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3">
      <c r="A71" s="629" t="s">
        <v>533</v>
      </c>
      <c r="B71" s="630"/>
      <c r="C71" s="491"/>
      <c r="D71" s="491"/>
      <c r="E71" s="492"/>
      <c r="F71" s="491"/>
      <c r="G71" s="631" t="s">
        <v>111</v>
      </c>
      <c r="H71" s="653" t="e">
        <f>SQRT((H58*H58)+(H62*H62)+(H66*H66)+(H70*H70))</f>
        <v>#DIV/0!</v>
      </c>
      <c r="I71" s="931"/>
      <c r="J71" s="932"/>
      <c r="K71" s="918"/>
      <c r="L71" s="919"/>
      <c r="M71" s="933"/>
      <c r="N71" s="587" t="e">
        <f>SQRT((N58*N58)+(N62*N62)+(N66*N66)+(N70*N70))</f>
        <v>#DIV/0!</v>
      </c>
      <c r="O71" s="934"/>
      <c r="P71" s="932"/>
      <c r="Q71" s="918"/>
      <c r="R71" s="919"/>
      <c r="S71" s="933"/>
      <c r="T71" s="587" t="e">
        <f>SQRT((T58*T58)+(T62*T62)+(T66*T66)+(T70*T70))</f>
        <v>#DIV/0!</v>
      </c>
      <c r="U71" s="934"/>
      <c r="V71" s="932"/>
      <c r="W71" s="918"/>
      <c r="X71" s="919"/>
      <c r="Y71" s="933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184</v>
      </c>
      <c r="B72" s="935"/>
      <c r="C72" s="935"/>
      <c r="D72" s="630"/>
      <c r="E72" s="935"/>
      <c r="F72" s="630"/>
      <c r="G72" s="936" t="s">
        <v>111</v>
      </c>
      <c r="H72" s="937" t="e">
        <f>+(IF(I72=I39,N71,T71))*2</f>
        <v>#DIV/0!</v>
      </c>
      <c r="I72" s="930" t="e">
        <f>+MAX(I57,O57)</f>
        <v>#DIV/0!</v>
      </c>
      <c r="J72" s="467"/>
    </row>
    <row r="73" spans="1:26" ht="18" customHeight="1" x14ac:dyDescent="0.25">
      <c r="D73" s="467"/>
      <c r="E73" s="467"/>
      <c r="F73" s="467"/>
      <c r="G73" s="467"/>
      <c r="H73" s="473"/>
      <c r="I73" s="467"/>
      <c r="J73" s="467"/>
    </row>
    <row r="74" spans="1:26" ht="24" customHeight="1" x14ac:dyDescent="0.25">
      <c r="D74" s="467"/>
      <c r="E74" s="467"/>
      <c r="F74" s="467"/>
      <c r="G74" s="467"/>
      <c r="H74" s="473"/>
      <c r="I74" s="467"/>
      <c r="J74" s="467"/>
      <c r="M74" s="471"/>
    </row>
    <row r="75" spans="1:26" x14ac:dyDescent="0.25">
      <c r="A75" s="1431" t="s">
        <v>192</v>
      </c>
      <c r="B75" s="1431"/>
      <c r="C75" s="1431"/>
      <c r="D75" s="1431"/>
      <c r="E75" s="467"/>
      <c r="F75" s="467"/>
      <c r="G75" s="467"/>
      <c r="H75" s="467"/>
      <c r="I75" s="467"/>
      <c r="J75" s="467"/>
      <c r="M75" s="471"/>
    </row>
    <row r="76" spans="1:26" ht="24" customHeight="1" x14ac:dyDescent="0.25">
      <c r="A76" s="1430" t="s">
        <v>193</v>
      </c>
      <c r="B76" s="1430"/>
      <c r="C76" s="641" t="s">
        <v>194</v>
      </c>
      <c r="D76" s="641" t="s">
        <v>111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5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5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5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5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5">
      <c r="B81" s="488"/>
      <c r="C81" s="921" t="e">
        <f>SUM(C77:C80)</f>
        <v>#DIV/0!</v>
      </c>
      <c r="D81" s="644" t="e">
        <f>+C81/$C$81</f>
        <v>#DIV/0!</v>
      </c>
    </row>
    <row r="85" spans="1:25" ht="13.8" thickBot="1" x14ac:dyDescent="0.3">
      <c r="A85" s="672" t="s">
        <v>654</v>
      </c>
    </row>
    <row r="86" spans="1:25" ht="40.200000000000003" thickBot="1" x14ac:dyDescent="0.3">
      <c r="A86" s="620" t="s">
        <v>158</v>
      </c>
      <c r="B86" s="621" t="s">
        <v>159</v>
      </c>
      <c r="C86" s="620" t="s">
        <v>160</v>
      </c>
      <c r="D86" s="622" t="s">
        <v>161</v>
      </c>
      <c r="E86" s="622" t="s">
        <v>162</v>
      </c>
      <c r="F86" s="622" t="s">
        <v>163</v>
      </c>
      <c r="G86" s="622" t="s">
        <v>164</v>
      </c>
      <c r="H86" s="623" t="s">
        <v>165</v>
      </c>
      <c r="J86" s="671" t="s">
        <v>195</v>
      </c>
      <c r="K86" s="486" t="str">
        <f>+DATOS!Q7</f>
        <v>-</v>
      </c>
    </row>
    <row r="87" spans="1:25" ht="19.5" customHeight="1" x14ac:dyDescent="0.25">
      <c r="A87" s="578" t="s">
        <v>196</v>
      </c>
      <c r="B87" s="660" t="s">
        <v>197</v>
      </c>
      <c r="C87" s="585">
        <f>3.14159*C88*C92*C92/4</f>
        <v>939517.41613012517</v>
      </c>
      <c r="D87" s="527" t="s">
        <v>168</v>
      </c>
      <c r="E87" s="527" t="s">
        <v>168</v>
      </c>
      <c r="F87" s="527" t="s">
        <v>168</v>
      </c>
      <c r="G87" s="527" t="s">
        <v>168</v>
      </c>
      <c r="H87" s="579" t="s">
        <v>168</v>
      </c>
      <c r="J87" s="413" t="s">
        <v>198</v>
      </c>
      <c r="N87" s="486"/>
      <c r="O87" s="486" t="s">
        <v>199</v>
      </c>
      <c r="P87" s="486" t="s">
        <v>200</v>
      </c>
      <c r="Q87" s="486" t="s">
        <v>201</v>
      </c>
      <c r="R87" s="486" t="s">
        <v>202</v>
      </c>
      <c r="T87" s="1429" t="s">
        <v>531</v>
      </c>
      <c r="U87" s="1429"/>
      <c r="V87" s="1429"/>
      <c r="W87" s="1429" t="s">
        <v>532</v>
      </c>
      <c r="X87" s="1429"/>
      <c r="Y87" s="1429"/>
    </row>
    <row r="88" spans="1:25" ht="19.5" customHeight="1" x14ac:dyDescent="0.25">
      <c r="A88" s="596" t="s">
        <v>203</v>
      </c>
      <c r="B88" s="597" t="s">
        <v>204</v>
      </c>
      <c r="C88" s="598">
        <f>+IF($K$86="M6",L89,L90)</f>
        <v>116.78</v>
      </c>
      <c r="D88" s="599" t="s">
        <v>168</v>
      </c>
      <c r="E88" s="600" t="s">
        <v>168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80</v>
      </c>
      <c r="K88" s="657" t="s">
        <v>205</v>
      </c>
      <c r="L88" s="657" t="s">
        <v>206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12">
        <v>152.28</v>
      </c>
      <c r="U88" s="912">
        <v>152.06</v>
      </c>
      <c r="V88" s="913">
        <f>+AVERAGE(T88:U88)</f>
        <v>152.17000000000002</v>
      </c>
      <c r="W88" s="912">
        <v>101</v>
      </c>
      <c r="X88" s="912">
        <v>101.34</v>
      </c>
      <c r="Y88" s="913">
        <f>+AVERAGE(W88:X88)</f>
        <v>101.17</v>
      </c>
    </row>
    <row r="89" spans="1:25" ht="19.5" customHeight="1" x14ac:dyDescent="0.25">
      <c r="A89" s="604" t="s">
        <v>207</v>
      </c>
      <c r="B89" s="597" t="s">
        <v>204</v>
      </c>
      <c r="C89" s="605"/>
      <c r="D89" s="606">
        <f>+IF($K$86="M6",P94,R94)</f>
        <v>5.0310149185934627E-2</v>
      </c>
      <c r="E89" s="607" t="s">
        <v>172</v>
      </c>
      <c r="F89" s="608">
        <f>+D89</f>
        <v>5.0310149185934627E-2</v>
      </c>
      <c r="G89" s="609" t="s">
        <v>168</v>
      </c>
      <c r="H89" s="610" t="s">
        <v>168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12">
        <v>152.01</v>
      </c>
      <c r="U89" s="912">
        <v>152.52000000000001</v>
      </c>
      <c r="V89" s="913">
        <f t="shared" ref="V89:V93" si="2">+AVERAGE(T89:U89)</f>
        <v>152.26499999999999</v>
      </c>
      <c r="W89" s="912">
        <v>101.17</v>
      </c>
      <c r="X89" s="912">
        <v>101.22</v>
      </c>
      <c r="Y89" s="913">
        <f t="shared" ref="Y89:Y93" si="3">+AVERAGE(W89:X89)</f>
        <v>101.19499999999999</v>
      </c>
    </row>
    <row r="90" spans="1:25" ht="19.5" customHeight="1" x14ac:dyDescent="0.25">
      <c r="A90" s="604" t="s">
        <v>173</v>
      </c>
      <c r="B90" s="597" t="s">
        <v>204</v>
      </c>
      <c r="C90" s="605"/>
      <c r="D90" s="659">
        <f>+SQRT(11.156^2+(0.006^2)*((C88/1000)^2))/1000</f>
        <v>1.1156000022003966E-2</v>
      </c>
      <c r="E90" s="607" t="s">
        <v>174</v>
      </c>
      <c r="F90" s="608">
        <f>+D90/2</f>
        <v>5.5780000110019828E-3</v>
      </c>
      <c r="G90" s="609" t="s">
        <v>168</v>
      </c>
      <c r="H90" s="610" t="s">
        <v>168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12">
        <v>152.38</v>
      </c>
      <c r="U90" s="912">
        <v>152.31</v>
      </c>
      <c r="V90" s="913">
        <f t="shared" si="2"/>
        <v>152.345</v>
      </c>
      <c r="W90" s="912">
        <v>101.19</v>
      </c>
      <c r="X90" s="912">
        <v>101.06</v>
      </c>
      <c r="Y90" s="913">
        <f t="shared" si="3"/>
        <v>101.125</v>
      </c>
    </row>
    <row r="91" spans="1:25" ht="19.5" customHeight="1" x14ac:dyDescent="0.25">
      <c r="A91" s="604" t="s">
        <v>175</v>
      </c>
      <c r="B91" s="597" t="s">
        <v>204</v>
      </c>
      <c r="C91" s="605"/>
      <c r="D91" s="656">
        <v>0.01</v>
      </c>
      <c r="E91" s="613" t="s">
        <v>176</v>
      </c>
      <c r="F91" s="608">
        <f>+D91/SQRT(3)/2</f>
        <v>2.886751345948129E-3</v>
      </c>
      <c r="G91" s="609" t="s">
        <v>168</v>
      </c>
      <c r="H91" s="610" t="s">
        <v>168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12">
        <v>151.9</v>
      </c>
      <c r="U91" s="912">
        <v>152.01</v>
      </c>
      <c r="V91" s="913">
        <f t="shared" si="2"/>
        <v>151.95499999999998</v>
      </c>
      <c r="W91" s="912">
        <v>101.47</v>
      </c>
      <c r="X91" s="912">
        <v>101.25</v>
      </c>
      <c r="Y91" s="913">
        <f t="shared" si="3"/>
        <v>101.36</v>
      </c>
    </row>
    <row r="92" spans="1:25" ht="19.5" customHeight="1" x14ac:dyDescent="0.25">
      <c r="A92" s="614" t="s">
        <v>208</v>
      </c>
      <c r="B92" s="597" t="s">
        <v>204</v>
      </c>
      <c r="C92" s="598">
        <f>+IF($K$86="M6",K89,K90)</f>
        <v>101.21</v>
      </c>
      <c r="D92" s="615"/>
      <c r="E92" s="616" t="s">
        <v>168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12">
        <v>152.25</v>
      </c>
      <c r="U92" s="912">
        <v>152.52000000000001</v>
      </c>
      <c r="V92" s="913">
        <f t="shared" si="2"/>
        <v>152.38499999999999</v>
      </c>
      <c r="W92" s="912">
        <v>101.24</v>
      </c>
      <c r="X92" s="912">
        <v>101.2</v>
      </c>
      <c r="Y92" s="913">
        <f t="shared" si="3"/>
        <v>101.22</v>
      </c>
    </row>
    <row r="93" spans="1:25" ht="19.5" customHeight="1" x14ac:dyDescent="0.25">
      <c r="A93" s="604" t="s">
        <v>207</v>
      </c>
      <c r="B93" s="597" t="s">
        <v>204</v>
      </c>
      <c r="C93" s="605"/>
      <c r="D93" s="606">
        <f>+IF($K$86="M6",O94,Q94)</f>
        <v>3.4148369084204939E-2</v>
      </c>
      <c r="E93" s="607" t="s">
        <v>172</v>
      </c>
      <c r="F93" s="608">
        <f>+D93</f>
        <v>3.4148369084204939E-2</v>
      </c>
      <c r="G93" s="609" t="s">
        <v>168</v>
      </c>
      <c r="H93" s="610" t="s">
        <v>168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12">
        <v>152.13999999999999</v>
      </c>
      <c r="U93" s="912">
        <v>152.32</v>
      </c>
      <c r="V93" s="913">
        <f t="shared" si="2"/>
        <v>152.22999999999999</v>
      </c>
      <c r="W93" s="912">
        <v>101.1</v>
      </c>
      <c r="X93" s="912">
        <v>101.2</v>
      </c>
      <c r="Y93" s="913">
        <f t="shared" si="3"/>
        <v>101.15</v>
      </c>
    </row>
    <row r="94" spans="1:25" ht="19.5" customHeight="1" x14ac:dyDescent="0.25">
      <c r="A94" s="604" t="s">
        <v>173</v>
      </c>
      <c r="B94" s="597" t="s">
        <v>204</v>
      </c>
      <c r="C94" s="605"/>
      <c r="D94" s="659">
        <f>+SQRT((11.156^2)+(0.006^2)*((C92/1000)^2))/1000</f>
        <v>1.115600001652764E-2</v>
      </c>
      <c r="E94" s="607" t="s">
        <v>174</v>
      </c>
      <c r="F94" s="608">
        <f>+D94/2</f>
        <v>5.5780000082638198E-3</v>
      </c>
      <c r="G94" s="609" t="s">
        <v>168</v>
      </c>
      <c r="H94" s="610" t="s">
        <v>168</v>
      </c>
      <c r="M94" s="731" t="s">
        <v>209</v>
      </c>
      <c r="N94" s="731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3">
      <c r="A95" s="604" t="s">
        <v>175</v>
      </c>
      <c r="B95" s="597" t="s">
        <v>204</v>
      </c>
      <c r="C95" s="605"/>
      <c r="D95" s="656">
        <v>0.01</v>
      </c>
      <c r="E95" s="613" t="s">
        <v>176</v>
      </c>
      <c r="F95" s="608">
        <f>+D95/SQRT(3)/2</f>
        <v>2.886751345948129E-3</v>
      </c>
      <c r="G95" s="609" t="s">
        <v>168</v>
      </c>
      <c r="H95" s="610" t="s">
        <v>168</v>
      </c>
    </row>
    <row r="96" spans="1:25" ht="19.5" customHeight="1" x14ac:dyDescent="0.25">
      <c r="A96" s="661" t="s">
        <v>191</v>
      </c>
      <c r="B96" s="662"/>
      <c r="C96" s="662"/>
      <c r="D96" s="663"/>
      <c r="E96" s="662"/>
      <c r="F96" s="663"/>
      <c r="G96" s="664" t="s">
        <v>197</v>
      </c>
      <c r="H96" s="632">
        <f>+SQRT(H88*H88+H92*H92)</f>
        <v>762.83550513170735</v>
      </c>
    </row>
    <row r="97" spans="1:8" ht="19.5" customHeight="1" thickBot="1" x14ac:dyDescent="0.3">
      <c r="A97" s="665" t="s">
        <v>184</v>
      </c>
      <c r="B97" s="666"/>
      <c r="C97" s="666"/>
      <c r="D97" s="667"/>
      <c r="E97" s="666"/>
      <c r="F97" s="667"/>
      <c r="G97" s="668" t="s">
        <v>197</v>
      </c>
      <c r="H97" s="633">
        <f>H96*2</f>
        <v>1525.6710102634147</v>
      </c>
    </row>
    <row r="100" spans="1:8" x14ac:dyDescent="0.25">
      <c r="A100" s="1270" t="s">
        <v>655</v>
      </c>
      <c r="B100" s="1413" t="s">
        <v>656</v>
      </c>
      <c r="C100" s="1414"/>
      <c r="D100" s="1271"/>
      <c r="E100" s="1415" t="s">
        <v>657</v>
      </c>
      <c r="F100" s="1415"/>
      <c r="G100" s="1416" t="s">
        <v>658</v>
      </c>
      <c r="H100" s="1417"/>
    </row>
    <row r="101" spans="1:8" x14ac:dyDescent="0.25">
      <c r="A101" s="940"/>
      <c r="B101" s="940"/>
      <c r="C101" s="940"/>
      <c r="D101" s="940"/>
      <c r="E101" s="940"/>
      <c r="F101" s="940"/>
      <c r="G101" s="940"/>
      <c r="H101" s="940"/>
    </row>
    <row r="102" spans="1:8" x14ac:dyDescent="0.25">
      <c r="A102" s="1272" t="s">
        <v>659</v>
      </c>
      <c r="B102" s="1418">
        <v>44944</v>
      </c>
      <c r="C102" s="1419"/>
      <c r="D102" s="940"/>
      <c r="E102" s="1420" t="s">
        <v>660</v>
      </c>
      <c r="F102" s="1420"/>
      <c r="G102" s="1418">
        <v>44944</v>
      </c>
      <c r="H102" s="1419"/>
    </row>
    <row r="103" spans="1:8" x14ac:dyDescent="0.25">
      <c r="A103" s="940"/>
      <c r="B103" s="940"/>
      <c r="C103" s="940"/>
      <c r="D103" s="940"/>
      <c r="E103" s="940"/>
      <c r="F103" s="940"/>
      <c r="G103" s="940"/>
      <c r="H103" s="940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T87:V87"/>
    <mergeCell ref="W87:Y87"/>
    <mergeCell ref="A76:B76"/>
    <mergeCell ref="A75:D75"/>
    <mergeCell ref="B6:J6"/>
    <mergeCell ref="R30:S33"/>
    <mergeCell ref="A1:C4"/>
    <mergeCell ref="D1:H4"/>
    <mergeCell ref="L30:L33"/>
    <mergeCell ref="L34:U34"/>
    <mergeCell ref="L35:M36"/>
    <mergeCell ref="P35:P36"/>
    <mergeCell ref="S35:S36"/>
    <mergeCell ref="T35:U36"/>
    <mergeCell ref="B100:C100"/>
    <mergeCell ref="E100:F100"/>
    <mergeCell ref="G100:H100"/>
    <mergeCell ref="B102:C102"/>
    <mergeCell ref="E102:F102"/>
    <mergeCell ref="G102:H10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861060</xdr:colOff>
                <xdr:row>16</xdr:row>
                <xdr:rowOff>175260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zoomScaleNormal="100" workbookViewId="0">
      <selection activeCell="D25" sqref="D25"/>
    </sheetView>
  </sheetViews>
  <sheetFormatPr baseColWidth="10" defaultColWidth="11.44140625" defaultRowHeight="13.2" x14ac:dyDescent="0.25"/>
  <cols>
    <col min="1" max="1" width="11.44140625" style="470"/>
    <col min="2" max="2" width="13.88671875" style="470" customWidth="1"/>
    <col min="3" max="3" width="11.109375" style="470" customWidth="1"/>
    <col min="4" max="4" width="12" style="470" customWidth="1"/>
    <col min="5" max="7" width="11.44140625" style="470"/>
    <col min="8" max="10" width="14.44140625" style="470" customWidth="1"/>
    <col min="11" max="11" width="11.44140625" style="470"/>
    <col min="12" max="12" width="11.88671875" style="470" customWidth="1"/>
    <col min="13" max="13" width="11.109375" style="470" customWidth="1"/>
    <col min="14" max="16384" width="11.44140625" style="470"/>
  </cols>
  <sheetData>
    <row r="2" spans="2:27" x14ac:dyDescent="0.25">
      <c r="B2" s="1436" t="s">
        <v>210</v>
      </c>
      <c r="C2" s="1436"/>
      <c r="D2" s="1436"/>
      <c r="E2" s="1436"/>
      <c r="F2" s="1436"/>
      <c r="G2" s="1436"/>
      <c r="L2" s="1436" t="s">
        <v>210</v>
      </c>
      <c r="M2" s="1436"/>
      <c r="N2" s="1436"/>
      <c r="O2" s="1436"/>
      <c r="P2" s="1436"/>
      <c r="Q2" s="1436"/>
      <c r="T2" s="471"/>
      <c r="U2" s="471"/>
      <c r="V2" s="1050" t="s">
        <v>210</v>
      </c>
      <c r="W2" s="471"/>
      <c r="X2" s="471"/>
      <c r="Y2" s="471"/>
      <c r="Z2" s="471"/>
      <c r="AA2" s="471"/>
    </row>
    <row r="3" spans="2:27" x14ac:dyDescent="0.25">
      <c r="T3" s="471"/>
      <c r="U3" s="471"/>
      <c r="V3" s="471"/>
      <c r="W3" s="471"/>
      <c r="X3" s="471"/>
      <c r="Y3" s="471"/>
      <c r="Z3" s="471"/>
      <c r="AA3" s="471"/>
    </row>
    <row r="4" spans="2:27" x14ac:dyDescent="0.25">
      <c r="T4" s="471"/>
      <c r="U4" s="471"/>
      <c r="V4" s="471"/>
      <c r="W4" s="471"/>
      <c r="X4" s="471"/>
      <c r="Y4" s="471"/>
      <c r="Z4" s="471"/>
      <c r="AA4" s="471"/>
    </row>
    <row r="5" spans="2:27" x14ac:dyDescent="0.25">
      <c r="T5" s="471"/>
      <c r="U5" s="471"/>
      <c r="V5" s="471"/>
      <c r="W5" s="471"/>
      <c r="X5" s="471"/>
      <c r="Y5" s="471"/>
      <c r="Z5" s="471"/>
      <c r="AA5" s="471"/>
    </row>
    <row r="6" spans="2:27" x14ac:dyDescent="0.25">
      <c r="I6" s="1437" t="s">
        <v>211</v>
      </c>
      <c r="J6" s="1438"/>
      <c r="T6" s="471"/>
      <c r="U6" s="471"/>
      <c r="V6" s="471"/>
      <c r="W6" s="471"/>
      <c r="X6" s="471"/>
      <c r="Y6" s="471"/>
      <c r="Z6" s="471"/>
      <c r="AA6" s="471"/>
    </row>
    <row r="7" spans="2:27" x14ac:dyDescent="0.25">
      <c r="B7" s="508" t="s">
        <v>82</v>
      </c>
      <c r="C7" s="1121">
        <v>-2.0299999999999999E-5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565</v>
      </c>
      <c r="M7" s="696">
        <v>-3.2899999999999998E-6</v>
      </c>
      <c r="N7" s="471"/>
      <c r="O7" s="471"/>
      <c r="T7" s="508" t="s">
        <v>565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5">
      <c r="B8" s="509" t="s">
        <v>212</v>
      </c>
      <c r="C8" s="1122">
        <v>1.0900000000000001</v>
      </c>
      <c r="D8" s="1123">
        <v>3.1000000000000002E-10</v>
      </c>
      <c r="E8" s="471"/>
      <c r="F8" s="471"/>
      <c r="G8" s="471"/>
      <c r="H8" s="471"/>
      <c r="I8" s="471"/>
      <c r="J8" s="471"/>
      <c r="L8" s="509" t="s">
        <v>212</v>
      </c>
      <c r="M8" s="472">
        <v>4.1599999999999996E-3</v>
      </c>
      <c r="N8" s="696">
        <v>2.4299999999999999E-10</v>
      </c>
      <c r="O8" s="471"/>
      <c r="T8" s="509" t="s">
        <v>212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5">
      <c r="B9" s="509" t="s">
        <v>213</v>
      </c>
      <c r="C9" s="1124" t="s">
        <v>578</v>
      </c>
      <c r="D9" s="472"/>
      <c r="E9" s="471"/>
      <c r="F9" s="646" t="s">
        <v>186</v>
      </c>
      <c r="G9" s="471"/>
      <c r="H9" s="471"/>
      <c r="I9" s="471"/>
      <c r="J9" s="471"/>
      <c r="L9" s="509" t="s">
        <v>644</v>
      </c>
      <c r="M9" s="647" t="s">
        <v>643</v>
      </c>
      <c r="N9" s="472"/>
      <c r="O9" s="471"/>
      <c r="T9" s="509" t="s">
        <v>644</v>
      </c>
      <c r="U9" s="647" t="s">
        <v>642</v>
      </c>
      <c r="V9" s="472"/>
      <c r="W9" s="471"/>
      <c r="X9" s="471"/>
      <c r="Y9" s="471"/>
      <c r="Z9" s="471"/>
      <c r="AA9" s="471"/>
    </row>
    <row r="10" spans="2:27" x14ac:dyDescent="0.25">
      <c r="B10" s="509" t="s">
        <v>214</v>
      </c>
      <c r="C10" s="647">
        <v>1</v>
      </c>
      <c r="D10" s="472" t="s">
        <v>186</v>
      </c>
      <c r="E10" s="471"/>
      <c r="F10" s="471"/>
      <c r="G10" s="471"/>
      <c r="H10" s="471"/>
      <c r="I10" s="471"/>
      <c r="J10" s="471"/>
      <c r="L10" s="509" t="s">
        <v>175</v>
      </c>
      <c r="M10" s="647">
        <v>0.1</v>
      </c>
      <c r="N10" s="472" t="s">
        <v>186</v>
      </c>
      <c r="T10" s="509" t="s">
        <v>175</v>
      </c>
      <c r="U10" s="647" t="s">
        <v>561</v>
      </c>
      <c r="V10" s="472"/>
      <c r="W10" s="471"/>
      <c r="X10" s="471"/>
      <c r="Y10" s="471"/>
      <c r="Z10" s="471"/>
      <c r="AA10" s="471"/>
    </row>
    <row r="11" spans="2:27" x14ac:dyDescent="0.25">
      <c r="B11" s="509" t="s">
        <v>215</v>
      </c>
      <c r="C11" s="472" t="s">
        <v>84</v>
      </c>
      <c r="D11" s="471"/>
      <c r="E11" s="471"/>
      <c r="F11" s="471"/>
      <c r="G11" s="471"/>
      <c r="H11" s="471"/>
      <c r="I11" s="471"/>
      <c r="J11" s="471"/>
      <c r="L11" s="509" t="s">
        <v>645</v>
      </c>
      <c r="M11" s="472" t="s">
        <v>85</v>
      </c>
      <c r="N11" s="471"/>
      <c r="T11" s="509" t="s">
        <v>645</v>
      </c>
      <c r="U11" s="472" t="s">
        <v>562</v>
      </c>
      <c r="V11" s="471"/>
      <c r="W11" s="471"/>
      <c r="X11" s="471"/>
      <c r="Y11" s="471"/>
      <c r="Z11" s="471"/>
      <c r="AA11" s="471"/>
    </row>
    <row r="12" spans="2:27" x14ac:dyDescent="0.25">
      <c r="B12" s="509" t="s">
        <v>575</v>
      </c>
      <c r="C12" s="508"/>
      <c r="D12" s="1100">
        <v>45799</v>
      </c>
      <c r="E12" s="471"/>
      <c r="F12" s="471"/>
      <c r="G12" s="471"/>
      <c r="H12" s="471"/>
      <c r="I12" s="471"/>
      <c r="J12" s="471"/>
      <c r="L12" s="509" t="s">
        <v>575</v>
      </c>
      <c r="N12" s="1259">
        <v>46132</v>
      </c>
      <c r="T12" s="509" t="s">
        <v>646</v>
      </c>
      <c r="V12" s="1259">
        <v>46132</v>
      </c>
      <c r="W12" s="471"/>
      <c r="X12" s="471"/>
      <c r="Y12" s="471"/>
      <c r="Z12" s="471"/>
      <c r="AA12" s="471"/>
    </row>
    <row r="13" spans="2:27" x14ac:dyDescent="0.25">
      <c r="B13" s="693" t="s">
        <v>216</v>
      </c>
      <c r="C13" s="695" t="s">
        <v>217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216</v>
      </c>
      <c r="M13" s="695" t="s">
        <v>217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216</v>
      </c>
      <c r="U13" s="695" t="s">
        <v>217</v>
      </c>
      <c r="V13" s="1052">
        <v>20</v>
      </c>
      <c r="W13" s="1052">
        <v>200</v>
      </c>
      <c r="X13" s="1052">
        <v>500</v>
      </c>
      <c r="Y13" s="1052">
        <v>1000</v>
      </c>
      <c r="Z13" s="471"/>
      <c r="AA13" s="471"/>
    </row>
    <row r="14" spans="2:27" ht="14.25" customHeight="1" x14ac:dyDescent="0.25">
      <c r="B14" s="954"/>
      <c r="C14" s="955"/>
      <c r="D14" s="939"/>
      <c r="E14" s="939"/>
      <c r="F14" s="939"/>
      <c r="G14" s="939"/>
      <c r="H14" s="939"/>
      <c r="I14" s="1165"/>
      <c r="J14" s="694"/>
      <c r="L14" s="954"/>
      <c r="M14" s="955"/>
      <c r="N14" s="938"/>
      <c r="O14" s="938"/>
      <c r="P14" s="938"/>
      <c r="Q14" s="938"/>
      <c r="R14" s="938"/>
      <c r="T14" s="954"/>
      <c r="U14" s="955"/>
      <c r="V14" s="1053"/>
      <c r="W14" s="1053"/>
      <c r="X14" s="1053"/>
      <c r="Y14" s="1054"/>
      <c r="Z14" s="471"/>
      <c r="AA14" s="471"/>
    </row>
    <row r="15" spans="2:27" ht="14.25" customHeight="1" x14ac:dyDescent="0.25">
      <c r="B15" s="954"/>
      <c r="C15" s="955"/>
      <c r="D15" s="939"/>
      <c r="E15" s="939"/>
      <c r="F15" s="939"/>
      <c r="G15" s="939"/>
      <c r="H15" s="939"/>
      <c r="I15" s="694"/>
      <c r="J15" s="694"/>
      <c r="L15" s="954"/>
      <c r="M15" s="955"/>
      <c r="N15" s="938"/>
      <c r="O15" s="938"/>
      <c r="P15" s="938"/>
      <c r="Q15" s="938"/>
      <c r="R15" s="938"/>
      <c r="T15" s="954"/>
      <c r="U15" s="955"/>
      <c r="V15" s="1053"/>
      <c r="W15" s="1053"/>
      <c r="X15" s="1053"/>
      <c r="Y15" s="1054"/>
      <c r="Z15" s="471"/>
      <c r="AA15" s="471"/>
    </row>
    <row r="16" spans="2:27" x14ac:dyDescent="0.25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5">
      <c r="B17" s="498"/>
      <c r="C17" s="497" t="s">
        <v>218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218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5"/>
      <c r="U17" s="1056" t="s">
        <v>218</v>
      </c>
      <c r="V17" s="500">
        <v>0</v>
      </c>
      <c r="W17" s="500">
        <v>0</v>
      </c>
      <c r="X17" s="500">
        <v>0</v>
      </c>
      <c r="Y17" s="1057"/>
      <c r="Z17" s="471"/>
      <c r="AA17" s="471"/>
    </row>
    <row r="18" spans="2:29" x14ac:dyDescent="0.25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5">
      <c r="B19" s="481" t="s">
        <v>219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5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8"/>
      <c r="U20" s="1060"/>
      <c r="V20" s="1051">
        <f>+V13</f>
        <v>20</v>
      </c>
      <c r="W20" s="1051">
        <f>+W13</f>
        <v>200</v>
      </c>
      <c r="X20" s="1051">
        <f>+X13</f>
        <v>500</v>
      </c>
      <c r="Y20" s="1051"/>
      <c r="Z20" s="471"/>
      <c r="AA20" s="471"/>
    </row>
    <row r="21" spans="2:29" x14ac:dyDescent="0.25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7">
        <f>V17</f>
        <v>0</v>
      </c>
      <c r="W21" s="1057">
        <f>W17</f>
        <v>0</v>
      </c>
      <c r="X21" s="1057">
        <f>X17</f>
        <v>0</v>
      </c>
      <c r="Y21" s="1057"/>
      <c r="Z21" s="471"/>
      <c r="AA21" s="471"/>
    </row>
    <row r="22" spans="2:29" ht="14.4" x14ac:dyDescent="0.25">
      <c r="B22" s="111"/>
      <c r="C22" s="111"/>
      <c r="G22" s="471"/>
      <c r="H22" s="471"/>
      <c r="I22" s="471"/>
      <c r="J22" s="471"/>
      <c r="K22" s="471"/>
      <c r="L22" s="471"/>
      <c r="T22" s="940"/>
      <c r="U22" s="1059"/>
      <c r="Z22" s="471"/>
      <c r="AA22" s="471"/>
    </row>
    <row r="23" spans="2:29" x14ac:dyDescent="0.25">
      <c r="B23" s="511" t="s">
        <v>220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5">
      <c r="B24" s="510" t="s">
        <v>221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5">
      <c r="B25" s="687" t="s">
        <v>90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223</v>
      </c>
      <c r="O25" s="655"/>
    </row>
    <row r="26" spans="2:29" ht="18.75" customHeight="1" x14ac:dyDescent="0.25">
      <c r="B26" s="691" t="s">
        <v>91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97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5">
      <c r="B27" s="687" t="s">
        <v>222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100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5">
      <c r="B28" s="481"/>
      <c r="D28" s="655"/>
      <c r="M28" s="747" t="s">
        <v>101</v>
      </c>
      <c r="N28" s="748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5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5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223</v>
      </c>
      <c r="V30" s="655"/>
    </row>
    <row r="31" spans="2:29" ht="18.75" customHeight="1" x14ac:dyDescent="0.25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97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5">
      <c r="T32" s="689" t="s">
        <v>100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5">
      <c r="B33" s="649" t="s">
        <v>224</v>
      </c>
      <c r="C33" s="650"/>
      <c r="D33" s="650"/>
      <c r="E33" s="650"/>
      <c r="F33" s="413"/>
      <c r="T33" s="747" t="s">
        <v>101</v>
      </c>
      <c r="U33" s="748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5">
      <c r="B34" s="506" t="s">
        <v>225</v>
      </c>
      <c r="C34" s="651"/>
      <c r="D34" s="699">
        <v>4540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H34" s="535"/>
      <c r="I34" s="535"/>
      <c r="J34" s="535"/>
    </row>
    <row r="35" spans="2:29" ht="15" customHeight="1" x14ac:dyDescent="0.25">
      <c r="B35" s="649" t="s">
        <v>226</v>
      </c>
      <c r="C35" s="650"/>
      <c r="D35" s="650"/>
      <c r="E35" s="650"/>
      <c r="F35" s="413"/>
    </row>
    <row r="36" spans="2:29" ht="15" customHeight="1" x14ac:dyDescent="0.25">
      <c r="B36" s="506" t="s">
        <v>227</v>
      </c>
      <c r="C36" s="652"/>
      <c r="D36" s="700">
        <v>2126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</row>
    <row r="37" spans="2:29" ht="15" customHeight="1" x14ac:dyDescent="0.25">
      <c r="B37" s="649" t="s">
        <v>228</v>
      </c>
      <c r="C37" s="650"/>
      <c r="D37" s="701"/>
      <c r="E37" s="650"/>
      <c r="F37" s="413"/>
    </row>
    <row r="38" spans="2:29" ht="15" customHeight="1" x14ac:dyDescent="0.25">
      <c r="B38" s="506" t="s">
        <v>227</v>
      </c>
      <c r="C38" s="652"/>
      <c r="D38" s="700">
        <v>937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</row>
    <row r="39" spans="2:29" x14ac:dyDescent="0.25">
      <c r="B39" s="413"/>
      <c r="C39" s="413"/>
      <c r="D39" s="413"/>
      <c r="E39" s="413"/>
      <c r="F39" s="413"/>
    </row>
    <row r="41" spans="2:29" x14ac:dyDescent="0.25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5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5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5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5">
      <c r="S45" s="481"/>
      <c r="T45" s="481"/>
      <c r="U45" s="481"/>
      <c r="V45" s="481"/>
    </row>
    <row r="46" spans="2:29" x14ac:dyDescent="0.25">
      <c r="S46" s="481"/>
      <c r="T46" s="481"/>
      <c r="U46" s="481"/>
      <c r="V46" s="481"/>
    </row>
    <row r="47" spans="2:29" x14ac:dyDescent="0.25">
      <c r="S47" s="538"/>
      <c r="T47" s="538"/>
      <c r="U47" s="538"/>
      <c r="V47" s="538"/>
      <c r="W47" s="538"/>
    </row>
    <row r="48" spans="2:29" x14ac:dyDescent="0.25">
      <c r="S48" s="538"/>
      <c r="T48" s="538"/>
      <c r="U48" s="538"/>
      <c r="V48" s="538"/>
      <c r="W48" s="538"/>
    </row>
    <row r="49" spans="19:23" x14ac:dyDescent="0.25">
      <c r="S49" s="538"/>
      <c r="T49" s="538"/>
      <c r="U49" s="538"/>
      <c r="V49" s="538"/>
      <c r="W49" s="538"/>
    </row>
    <row r="50" spans="19:23" x14ac:dyDescent="0.25">
      <c r="S50" s="538"/>
      <c r="T50" s="538"/>
      <c r="U50" s="538"/>
      <c r="V50" s="538"/>
      <c r="W50" s="538"/>
    </row>
    <row r="51" spans="19:23" x14ac:dyDescent="0.25">
      <c r="S51" s="538"/>
      <c r="T51" s="538"/>
      <c r="U51" s="538"/>
      <c r="V51" s="538"/>
      <c r="W51" s="538"/>
    </row>
    <row r="52" spans="19:23" x14ac:dyDescent="0.25">
      <c r="S52" s="538"/>
      <c r="T52" s="538"/>
      <c r="U52" s="538"/>
      <c r="V52" s="538"/>
      <c r="W52" s="538"/>
    </row>
    <row r="53" spans="19:23" x14ac:dyDescent="0.25">
      <c r="S53" s="538"/>
      <c r="T53" s="538"/>
      <c r="U53" s="538"/>
      <c r="V53" s="538"/>
      <c r="W53" s="538"/>
    </row>
    <row r="54" spans="19:23" x14ac:dyDescent="0.25">
      <c r="S54" s="538"/>
      <c r="T54" s="538"/>
      <c r="U54" s="538"/>
      <c r="V54" s="538"/>
      <c r="W54" s="538"/>
    </row>
    <row r="55" spans="19:23" x14ac:dyDescent="0.25">
      <c r="S55" s="481"/>
      <c r="T55" s="481"/>
      <c r="U55" s="481"/>
      <c r="V55" s="481"/>
    </row>
    <row r="56" spans="19:23" x14ac:dyDescent="0.25">
      <c r="S56" s="481"/>
      <c r="T56" s="481"/>
      <c r="U56" s="481"/>
      <c r="V56" s="481"/>
    </row>
    <row r="57" spans="19:23" x14ac:dyDescent="0.25">
      <c r="S57" s="481"/>
      <c r="T57" s="481"/>
      <c r="U57" s="481"/>
      <c r="V57" s="481"/>
    </row>
    <row r="58" spans="19:23" x14ac:dyDescent="0.25">
      <c r="S58" s="481"/>
      <c r="T58" s="481"/>
      <c r="U58" s="481"/>
      <c r="V58" s="481"/>
    </row>
    <row r="59" spans="19:23" x14ac:dyDescent="0.25">
      <c r="S59" s="481"/>
      <c r="T59" s="481"/>
      <c r="U59" s="481"/>
      <c r="V59" s="481"/>
    </row>
    <row r="60" spans="19:23" x14ac:dyDescent="0.25">
      <c r="S60" s="481"/>
      <c r="T60" s="481"/>
      <c r="U60" s="481"/>
      <c r="V60" s="481"/>
    </row>
    <row r="61" spans="19:23" x14ac:dyDescent="0.25">
      <c r="S61" s="539"/>
      <c r="T61" s="539"/>
      <c r="U61" s="539"/>
      <c r="V61" s="539"/>
    </row>
    <row r="62" spans="19:23" x14ac:dyDescent="0.25">
      <c r="S62" s="539"/>
      <c r="T62" s="539"/>
      <c r="U62" s="539"/>
      <c r="V62" s="539"/>
    </row>
    <row r="63" spans="19:23" x14ac:dyDescent="0.25">
      <c r="S63" s="539"/>
      <c r="T63" s="539"/>
      <c r="U63" s="539"/>
      <c r="V63" s="539"/>
    </row>
    <row r="64" spans="19:23" x14ac:dyDescent="0.25">
      <c r="S64" s="539"/>
      <c r="T64" s="539"/>
      <c r="U64" s="539"/>
      <c r="V64" s="539"/>
    </row>
    <row r="65" spans="19:22" x14ac:dyDescent="0.25">
      <c r="S65" s="539"/>
      <c r="T65" s="539"/>
      <c r="U65" s="539"/>
      <c r="V65" s="539"/>
    </row>
  </sheetData>
  <sheetProtection algorithmName="SHA-512" hashValue="b26uPYeXbaLgxfjG/xpH/WaeFKi3dHACEhlIZRbJPF+F2aPMX06OAHkwfJ8Om//10DRrsO2J78gn/FeeEAG9oQ==" saltValue="hJxBOmLKAh5QKoaQb5WXtw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4140625" defaultRowHeight="13.2" x14ac:dyDescent="0.25"/>
  <cols>
    <col min="1" max="1" width="37" style="1133" customWidth="1"/>
    <col min="2" max="6" width="11.44140625" style="1133"/>
    <col min="7" max="7" width="36" style="1133" customWidth="1"/>
    <col min="8" max="16384" width="11.44140625" style="1133"/>
  </cols>
  <sheetData>
    <row r="2" spans="1:10" ht="14.4" x14ac:dyDescent="0.3">
      <c r="A2" s="1132"/>
    </row>
    <row r="3" spans="1:10" ht="13.8" x14ac:dyDescent="0.25">
      <c r="A3" s="496" t="s">
        <v>662</v>
      </c>
      <c r="G3" s="496" t="s">
        <v>665</v>
      </c>
    </row>
    <row r="4" spans="1:10" ht="13.8" x14ac:dyDescent="0.25">
      <c r="A4" s="496" t="s">
        <v>229</v>
      </c>
      <c r="B4" s="1134">
        <v>45807</v>
      </c>
      <c r="G4" s="496" t="s">
        <v>229</v>
      </c>
      <c r="H4" s="1134">
        <v>46064</v>
      </c>
    </row>
    <row r="5" spans="1:10" ht="13.8" x14ac:dyDescent="0.25">
      <c r="A5" s="496"/>
      <c r="B5" s="1273"/>
    </row>
    <row r="6" spans="1:10" ht="13.8" x14ac:dyDescent="0.25">
      <c r="A6" s="496" t="s">
        <v>663</v>
      </c>
      <c r="B6" s="1135"/>
      <c r="G6" s="1133" t="s">
        <v>664</v>
      </c>
    </row>
    <row r="7" spans="1:10" ht="15" customHeight="1" x14ac:dyDescent="0.3">
      <c r="A7" s="1136" t="s">
        <v>581</v>
      </c>
      <c r="B7" s="1439">
        <v>2.0947951371589977E-2</v>
      </c>
      <c r="C7" s="1439"/>
      <c r="D7" s="1439"/>
      <c r="E7" s="482"/>
      <c r="G7" s="1136" t="s">
        <v>581</v>
      </c>
      <c r="H7" s="1439">
        <v>0.11030261405182915</v>
      </c>
      <c r="I7" s="1439"/>
      <c r="J7" s="1439"/>
    </row>
    <row r="8" spans="1:10" ht="15" customHeight="1" x14ac:dyDescent="0.3">
      <c r="A8" s="1136" t="s">
        <v>582</v>
      </c>
      <c r="B8" s="1439">
        <v>2.1813476975842898E-2</v>
      </c>
      <c r="C8" s="1439"/>
      <c r="D8" s="1439"/>
      <c r="E8" s="482"/>
      <c r="G8" s="1136" t="s">
        <v>582</v>
      </c>
      <c r="H8" s="1439">
        <v>0.11377365443927613</v>
      </c>
      <c r="I8" s="1439"/>
      <c r="J8" s="1439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33203125" defaultRowHeight="13.8" x14ac:dyDescent="0.25"/>
  <cols>
    <col min="1" max="1" width="16" style="28" customWidth="1"/>
    <col min="2" max="2" width="3.6640625" style="28" customWidth="1"/>
    <col min="3" max="5" width="11.6640625" style="28" customWidth="1"/>
    <col min="6" max="8" width="8.33203125" style="28" customWidth="1"/>
    <col min="9" max="9" width="2.33203125" style="28" customWidth="1"/>
    <col min="10" max="10" width="14.5546875" style="28" customWidth="1"/>
    <col min="11" max="12" width="10.33203125" style="28" customWidth="1"/>
    <col min="13" max="22" width="11.33203125" style="28" customWidth="1"/>
    <col min="23" max="37" width="8.6640625" style="28" customWidth="1"/>
    <col min="38" max="16384" width="10.33203125" style="28"/>
  </cols>
  <sheetData>
    <row r="2" spans="1:38" x14ac:dyDescent="0.25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5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5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5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5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5">
      <c r="A7" s="1355" t="s">
        <v>0</v>
      </c>
      <c r="B7" s="1355"/>
      <c r="C7" s="1355"/>
      <c r="D7" s="1355"/>
      <c r="E7" s="1355"/>
      <c r="F7" s="1355"/>
      <c r="G7" s="1355"/>
      <c r="H7" s="1355"/>
      <c r="I7" s="1355"/>
      <c r="J7" s="1355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3">
        <v>1</v>
      </c>
      <c r="B8" s="1443"/>
      <c r="C8" s="1443"/>
      <c r="D8" s="1443"/>
      <c r="E8" s="1443"/>
      <c r="F8" s="1443"/>
      <c r="G8" s="1443"/>
      <c r="H8" s="1443"/>
      <c r="I8" s="1443"/>
      <c r="J8" s="1443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5" customHeight="1" x14ac:dyDescent="0.25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5" customHeight="1" x14ac:dyDescent="0.25">
      <c r="A10" s="424" t="s">
        <v>1</v>
      </c>
      <c r="B10" s="425" t="s">
        <v>2</v>
      </c>
      <c r="C10" s="316">
        <f>+Proctor!E9</f>
        <v>0</v>
      </c>
      <c r="D10" s="735"/>
      <c r="E10" s="735"/>
      <c r="F10" s="735"/>
      <c r="G10" s="735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5" customHeight="1" x14ac:dyDescent="0.25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5" customHeight="1" x14ac:dyDescent="0.25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230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5" customHeight="1" x14ac:dyDescent="0.25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5" customHeight="1" x14ac:dyDescent="0.25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5">
      <c r="A15" s="1444" t="s">
        <v>231</v>
      </c>
      <c r="B15" s="1445"/>
      <c r="C15" s="1445"/>
      <c r="D15" s="1445"/>
      <c r="E15" s="1445"/>
      <c r="F15" s="1445"/>
      <c r="G15" s="1445"/>
      <c r="H15" s="1445"/>
      <c r="I15" s="1445"/>
      <c r="J15" s="1446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5" customHeight="1" x14ac:dyDescent="0.25">
      <c r="A16" s="1447" t="s">
        <v>232</v>
      </c>
      <c r="B16" s="1448"/>
      <c r="C16" s="1448"/>
      <c r="D16" s="1448"/>
      <c r="E16" s="1448"/>
      <c r="F16" s="1448"/>
      <c r="G16" s="1448"/>
      <c r="H16" s="1448"/>
      <c r="I16" s="1448"/>
      <c r="J16" s="1449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5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5" customHeight="1" x14ac:dyDescent="0.25">
      <c r="A18" s="1363" t="s">
        <v>13</v>
      </c>
      <c r="B18" s="1364"/>
      <c r="C18" s="1364"/>
      <c r="D18" s="1364"/>
      <c r="E18" s="1364"/>
      <c r="F18" s="1364"/>
      <c r="G18" s="1364"/>
      <c r="H18" s="1364"/>
      <c r="I18" s="1364"/>
      <c r="J18" s="1365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5" customHeight="1" x14ac:dyDescent="0.25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233</v>
      </c>
      <c r="I19" s="457" t="s">
        <v>2</v>
      </c>
      <c r="J19" s="331">
        <f>+Proctor!L18</f>
        <v>0</v>
      </c>
      <c r="L19" s="341"/>
      <c r="M19" s="361"/>
      <c r="N19" s="1441" t="s">
        <v>234</v>
      </c>
      <c r="O19" s="1441" t="s">
        <v>235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5" customHeight="1" x14ac:dyDescent="0.25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2"/>
      <c r="O20" s="1442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5" customHeight="1" x14ac:dyDescent="0.25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236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5" customHeight="1" x14ac:dyDescent="0.25">
      <c r="A22" s="358" t="s">
        <v>21</v>
      </c>
      <c r="B22" s="457" t="s">
        <v>2</v>
      </c>
      <c r="C22" s="316" t="s">
        <v>237</v>
      </c>
      <c r="H22" s="330"/>
      <c r="I22" s="29"/>
      <c r="J22" s="332"/>
      <c r="L22" s="341"/>
      <c r="M22" s="361"/>
      <c r="N22" s="434" t="s">
        <v>238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5" customHeight="1" x14ac:dyDescent="0.25">
      <c r="A23" s="1450" t="s">
        <v>239</v>
      </c>
      <c r="B23" s="1450"/>
      <c r="C23" s="1450"/>
      <c r="D23" s="1450"/>
      <c r="E23" s="1450"/>
      <c r="F23" s="1450"/>
      <c r="G23" s="1450"/>
      <c r="H23" s="1450"/>
      <c r="I23" s="1450"/>
      <c r="J23" s="1450"/>
      <c r="K23" s="341"/>
      <c r="L23" s="344"/>
      <c r="M23" s="361"/>
      <c r="N23" s="434" t="s">
        <v>240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5" customHeight="1" x14ac:dyDescent="0.25">
      <c r="A24" s="749"/>
      <c r="B24" s="460">
        <v>1.1000000000000001</v>
      </c>
      <c r="C24" s="750" t="s">
        <v>241</v>
      </c>
      <c r="D24" s="751"/>
      <c r="E24" s="751"/>
      <c r="F24" s="752"/>
      <c r="G24" s="752"/>
      <c r="H24" s="753" t="e">
        <f>+Proctor!J45</f>
        <v>#DIV/0!</v>
      </c>
      <c r="I24" s="751"/>
      <c r="J24" s="754"/>
      <c r="K24" s="341"/>
      <c r="L24" s="345"/>
      <c r="M24" s="361"/>
      <c r="N24" s="435" t="s">
        <v>242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5" customHeight="1" x14ac:dyDescent="0.25">
      <c r="A25" s="438"/>
      <c r="B25" s="460">
        <v>1.2</v>
      </c>
      <c r="C25" s="123" t="s">
        <v>243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5" customHeight="1" x14ac:dyDescent="0.25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244</v>
      </c>
      <c r="G26" s="357" t="s">
        <v>111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5" customHeight="1" x14ac:dyDescent="0.25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245</v>
      </c>
      <c r="G27" s="357" t="s">
        <v>111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5" customHeight="1" x14ac:dyDescent="0.25">
      <c r="A28" s="438"/>
      <c r="B28" s="460">
        <v>1.5</v>
      </c>
      <c r="C28" s="123" t="s">
        <v>246</v>
      </c>
      <c r="D28" s="336"/>
      <c r="F28" s="123" t="s">
        <v>247</v>
      </c>
      <c r="G28" s="357" t="s">
        <v>111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5" customHeight="1" x14ac:dyDescent="0.25">
      <c r="A29" s="438"/>
      <c r="B29" s="460">
        <v>1.6</v>
      </c>
      <c r="C29" s="123" t="s">
        <v>248</v>
      </c>
      <c r="D29" s="336"/>
      <c r="F29" s="123" t="s">
        <v>249</v>
      </c>
      <c r="G29" s="357" t="s">
        <v>250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5" customHeight="1" x14ac:dyDescent="0.25">
      <c r="A30" s="438"/>
      <c r="B30" s="460">
        <v>1.7</v>
      </c>
      <c r="C30" s="123" t="s">
        <v>251</v>
      </c>
      <c r="D30" s="336"/>
      <c r="F30" s="336" t="s">
        <v>252</v>
      </c>
      <c r="G30" s="357" t="s">
        <v>111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5" customHeight="1" x14ac:dyDescent="0.25">
      <c r="A31" s="438"/>
      <c r="B31" s="460">
        <v>1.8</v>
      </c>
      <c r="C31" s="123" t="s">
        <v>253</v>
      </c>
      <c r="D31" s="423"/>
      <c r="F31" s="423" t="s">
        <v>254</v>
      </c>
      <c r="G31" s="357" t="s">
        <v>250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5" customHeight="1" x14ac:dyDescent="0.25">
      <c r="A32" s="755"/>
      <c r="B32" s="460">
        <v>1.9</v>
      </c>
      <c r="C32" s="439" t="s">
        <v>255</v>
      </c>
      <c r="D32" s="440"/>
      <c r="E32" s="441"/>
      <c r="F32" s="440" t="s">
        <v>256</v>
      </c>
      <c r="G32" s="442" t="s">
        <v>250</v>
      </c>
      <c r="H32" s="455">
        <v>1</v>
      </c>
      <c r="I32" s="440"/>
      <c r="J32" s="756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5" customHeight="1" x14ac:dyDescent="0.25">
      <c r="A33" s="1450" t="s">
        <v>257</v>
      </c>
      <c r="B33" s="1450"/>
      <c r="C33" s="1450"/>
      <c r="D33" s="1450"/>
      <c r="E33" s="1450"/>
      <c r="F33" s="1450"/>
      <c r="G33" s="1450"/>
      <c r="H33" s="1450"/>
      <c r="I33" s="1450"/>
      <c r="J33" s="1450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5" customHeight="1" x14ac:dyDescent="0.25">
      <c r="A34" s="749"/>
      <c r="B34" s="1440" t="s">
        <v>258</v>
      </c>
      <c r="C34" s="1440"/>
      <c r="D34" s="1440"/>
      <c r="E34" s="1440"/>
      <c r="F34" s="1440"/>
      <c r="G34" s="1440"/>
      <c r="H34" s="1440"/>
      <c r="I34" s="757"/>
      <c r="J34" s="758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5" customHeight="1" x14ac:dyDescent="0.25">
      <c r="A35" s="759"/>
      <c r="B35" s="461">
        <v>2.1</v>
      </c>
      <c r="C35" s="456" t="s">
        <v>259</v>
      </c>
      <c r="D35" s="443"/>
      <c r="E35" s="444"/>
      <c r="F35" s="443" t="s">
        <v>260</v>
      </c>
      <c r="G35" s="445" t="s">
        <v>111</v>
      </c>
      <c r="H35" s="446" t="e">
        <f>(H26*H30+H27*H28)/100</f>
        <v>#DIV/0!</v>
      </c>
      <c r="I35" s="447"/>
      <c r="J35" s="760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5" customHeight="1" x14ac:dyDescent="0.25">
      <c r="A36" s="1450" t="s">
        <v>261</v>
      </c>
      <c r="B36" s="1450"/>
      <c r="C36" s="1450"/>
      <c r="D36" s="1450"/>
      <c r="E36" s="1450"/>
      <c r="F36" s="1450"/>
      <c r="G36" s="1450"/>
      <c r="H36" s="1450"/>
      <c r="I36" s="1450"/>
      <c r="J36" s="1450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5" customHeight="1" x14ac:dyDescent="0.25">
      <c r="A37" s="749"/>
      <c r="B37" s="1440" t="s">
        <v>262</v>
      </c>
      <c r="C37" s="1440"/>
      <c r="D37" s="1440"/>
      <c r="E37" s="1440"/>
      <c r="F37" s="1440"/>
      <c r="G37" s="1440"/>
      <c r="H37" s="1440"/>
      <c r="I37" s="757"/>
      <c r="J37" s="758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5" customHeight="1" x14ac:dyDescent="0.25">
      <c r="A38" s="759"/>
      <c r="B38" s="462">
        <v>3.1</v>
      </c>
      <c r="C38" s="456" t="s">
        <v>263</v>
      </c>
      <c r="D38" s="439"/>
      <c r="E38" s="439"/>
      <c r="F38" s="443" t="s">
        <v>264</v>
      </c>
      <c r="G38" s="445" t="s">
        <v>250</v>
      </c>
      <c r="H38" s="448" t="e">
        <f>100*H31*H29*H32/(H31*H27+H29*H32*H26)</f>
        <v>#REF!</v>
      </c>
      <c r="I38" s="449"/>
      <c r="J38" s="761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5" customHeight="1" x14ac:dyDescent="0.25">
      <c r="A39" s="123"/>
      <c r="B39" s="123"/>
      <c r="C39" s="123"/>
      <c r="D39" s="340"/>
      <c r="E39" s="340"/>
      <c r="F39" s="733"/>
      <c r="G39" s="733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" customHeight="1" x14ac:dyDescent="0.25">
      <c r="A40" s="1454" t="s">
        <v>265</v>
      </c>
      <c r="B40" s="1454"/>
      <c r="C40" s="1454"/>
      <c r="D40" s="1454"/>
      <c r="E40" s="1454"/>
      <c r="F40" s="1454"/>
      <c r="G40" s="1454"/>
      <c r="H40" s="1454"/>
      <c r="I40" s="1454"/>
      <c r="J40" s="1454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5" customHeight="1" x14ac:dyDescent="0.25">
      <c r="A41" s="1454"/>
      <c r="B41" s="1454"/>
      <c r="C41" s="1454"/>
      <c r="D41" s="1454"/>
      <c r="E41" s="1454"/>
      <c r="F41" s="1454"/>
      <c r="G41" s="1454"/>
      <c r="H41" s="1454"/>
      <c r="I41" s="1454"/>
      <c r="J41" s="1454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399999999999999" customHeight="1" x14ac:dyDescent="0.25">
      <c r="A42" s="1454"/>
      <c r="B42" s="1454"/>
      <c r="C42" s="1454"/>
      <c r="D42" s="1454"/>
      <c r="E42" s="1454"/>
      <c r="F42" s="1454"/>
      <c r="G42" s="1454"/>
      <c r="H42" s="1454"/>
      <c r="I42" s="1454"/>
      <c r="J42" s="1454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5" customHeight="1" x14ac:dyDescent="0.25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266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5" customHeight="1" x14ac:dyDescent="0.25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40"/>
      <c r="O44" s="1340"/>
      <c r="P44" s="1340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5" customHeight="1" x14ac:dyDescent="0.25">
      <c r="A45" s="451"/>
      <c r="B45" s="197"/>
      <c r="C45" s="197"/>
      <c r="D45" s="197"/>
      <c r="E45" s="197"/>
      <c r="F45" s="197"/>
      <c r="G45" s="200"/>
      <c r="H45" s="1379"/>
      <c r="I45" s="1379"/>
      <c r="J45" s="1379"/>
      <c r="K45" s="341"/>
      <c r="L45" s="384"/>
      <c r="M45" s="385"/>
      <c r="N45" s="1451"/>
      <c r="O45" s="1451"/>
      <c r="P45" s="1451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5" customHeight="1" x14ac:dyDescent="0.25">
      <c r="A46" s="451"/>
      <c r="B46" s="197"/>
      <c r="C46" s="197"/>
      <c r="D46" s="197"/>
      <c r="E46" s="197"/>
      <c r="F46" s="197"/>
      <c r="G46" s="200"/>
      <c r="H46" s="1340"/>
      <c r="I46" s="1340"/>
      <c r="J46" s="1340"/>
      <c r="K46" s="341"/>
      <c r="L46" s="386"/>
      <c r="M46" s="387"/>
      <c r="N46" s="1340"/>
      <c r="O46" s="1340"/>
      <c r="P46" s="1340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5" customHeight="1" x14ac:dyDescent="0.25">
      <c r="A47" s="451"/>
      <c r="B47" s="197"/>
      <c r="C47" s="197"/>
      <c r="D47" s="197"/>
      <c r="E47" s="197"/>
      <c r="F47" s="197"/>
      <c r="G47" s="200"/>
      <c r="H47" s="1451"/>
      <c r="I47" s="1451"/>
      <c r="J47" s="1451"/>
      <c r="K47" s="341"/>
      <c r="L47" s="386"/>
      <c r="M47" s="387"/>
      <c r="N47" s="1379"/>
      <c r="O47" s="1379"/>
      <c r="P47" s="1379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5" customHeight="1" x14ac:dyDescent="0.25">
      <c r="A48" s="451"/>
      <c r="B48" s="197"/>
      <c r="C48" s="197"/>
      <c r="D48" s="197"/>
      <c r="E48" s="197"/>
      <c r="F48" s="197"/>
      <c r="G48" s="200"/>
      <c r="H48" s="1340"/>
      <c r="I48" s="1340"/>
      <c r="J48" s="1340"/>
      <c r="K48" s="341"/>
      <c r="L48" s="386"/>
      <c r="M48" s="387"/>
      <c r="N48" s="1453"/>
      <c r="O48" s="1453"/>
      <c r="P48" s="1453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5" customHeight="1" x14ac:dyDescent="0.25">
      <c r="A49" s="451"/>
      <c r="B49" s="200"/>
      <c r="C49" s="200"/>
      <c r="D49" s="200"/>
      <c r="E49" s="200"/>
      <c r="F49" s="200"/>
      <c r="G49" s="200"/>
      <c r="H49" s="1379"/>
      <c r="I49" s="1379"/>
      <c r="J49" s="1379"/>
      <c r="K49" s="341"/>
      <c r="L49" s="386"/>
      <c r="M49" s="387"/>
      <c r="N49" s="1451"/>
      <c r="O49" s="1451"/>
      <c r="P49" s="1451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5" customHeight="1" x14ac:dyDescent="0.25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5" customHeight="1" x14ac:dyDescent="0.25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2" customHeight="1" x14ac:dyDescent="0.25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399999999999999" customHeight="1" x14ac:dyDescent="0.25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399999999999999" customHeight="1" x14ac:dyDescent="0.25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5" customHeight="1" x14ac:dyDescent="0.25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5" customHeight="1" x14ac:dyDescent="0.25">
      <c r="A56" s="359" t="s">
        <v>267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5">
      <c r="A57" s="359" t="s">
        <v>268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5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5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5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5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5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5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5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5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5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5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5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5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5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5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5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5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5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5">
      <c r="A75" s="1454"/>
      <c r="B75" s="1454"/>
      <c r="C75" s="1454"/>
      <c r="D75" s="1454"/>
      <c r="E75" s="1454"/>
      <c r="F75" s="1454"/>
      <c r="G75" s="1454"/>
      <c r="H75" s="1454"/>
      <c r="I75" s="1454"/>
      <c r="J75" s="1454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5">
      <c r="A76" s="1454"/>
      <c r="B76" s="1454"/>
      <c r="C76" s="1454"/>
      <c r="D76" s="1454"/>
      <c r="E76" s="1454"/>
      <c r="F76" s="1454"/>
      <c r="G76" s="1454"/>
      <c r="H76" s="1454"/>
      <c r="I76" s="1454"/>
      <c r="J76" s="1454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5">
      <c r="A77" s="1454"/>
      <c r="B77" s="1454"/>
      <c r="C77" s="1454"/>
      <c r="D77" s="1454"/>
      <c r="E77" s="1454"/>
      <c r="F77" s="1454"/>
      <c r="G77" s="1454"/>
      <c r="H77" s="1454"/>
      <c r="I77" s="1454"/>
      <c r="J77" s="1454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5">
      <c r="A78" s="732"/>
      <c r="B78" s="732"/>
      <c r="C78" s="732"/>
      <c r="D78" s="732"/>
      <c r="E78" s="732"/>
      <c r="F78" s="732"/>
      <c r="G78" s="732"/>
      <c r="H78" s="732"/>
      <c r="I78" s="732"/>
      <c r="J78" s="732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5">
      <c r="A79" s="732"/>
      <c r="B79" s="732"/>
      <c r="C79" s="732"/>
      <c r="D79" s="732"/>
      <c r="E79" s="732"/>
      <c r="F79" s="732"/>
      <c r="G79" s="732"/>
      <c r="H79" s="732"/>
      <c r="I79" s="732"/>
      <c r="J79" s="732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5">
      <c r="A80" s="732"/>
      <c r="B80" s="732"/>
      <c r="C80" s="732"/>
      <c r="D80" s="732"/>
      <c r="E80" s="732"/>
      <c r="F80" s="732"/>
      <c r="G80" s="732"/>
      <c r="H80" s="732"/>
      <c r="I80" s="732"/>
      <c r="J80" s="732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5">
      <c r="G81" s="1452"/>
      <c r="H81" s="1452"/>
      <c r="I81" s="1452"/>
      <c r="J81" s="1452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5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5">
      <c r="A83" s="313"/>
      <c r="G83" s="1452"/>
      <c r="H83" s="1452"/>
      <c r="I83" s="1452"/>
      <c r="J83" s="1452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5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5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5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5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5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5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5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5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5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5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5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5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5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5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5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5">
      <c r="J99" s="123"/>
      <c r="K99" s="123"/>
      <c r="L99" s="123"/>
      <c r="M99" s="734"/>
      <c r="N99" s="390"/>
      <c r="O99" s="734"/>
      <c r="P99" s="390"/>
      <c r="Q99" s="734"/>
      <c r="R99" s="357"/>
      <c r="S99" s="734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5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5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5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5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5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5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5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5">
      <c r="J107" s="123"/>
      <c r="K107" s="123"/>
      <c r="L107" s="123"/>
      <c r="M107" s="733"/>
      <c r="N107" s="399"/>
      <c r="O107" s="733"/>
      <c r="P107" s="399"/>
      <c r="Q107" s="733"/>
      <c r="R107" s="399"/>
      <c r="S107" s="733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5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5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5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5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5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5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5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5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5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5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5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5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5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5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5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5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5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5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5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5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5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5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5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5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5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5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5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5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5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5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5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5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5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5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5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5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5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5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5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5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5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5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5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5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5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5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5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5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5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5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5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5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5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5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5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5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5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5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5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5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5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5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5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5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5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5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5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5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5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5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5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5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5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5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5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5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5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5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5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5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5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5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5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5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A40:J40"/>
    <mergeCell ref="A41:J42"/>
    <mergeCell ref="A75:J75"/>
    <mergeCell ref="A76:J77"/>
    <mergeCell ref="G81:J81"/>
    <mergeCell ref="H47:J47"/>
    <mergeCell ref="N47:P47"/>
    <mergeCell ref="G83:J83"/>
    <mergeCell ref="H48:J48"/>
    <mergeCell ref="N48:P48"/>
    <mergeCell ref="H49:J49"/>
    <mergeCell ref="N49:P49"/>
    <mergeCell ref="N44:P44"/>
    <mergeCell ref="H45:J45"/>
    <mergeCell ref="N45:P45"/>
    <mergeCell ref="H46:J46"/>
    <mergeCell ref="N46:P46"/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62" t="s">
        <v>269</v>
      </c>
      <c r="O2" s="763" t="s">
        <v>270</v>
      </c>
      <c r="P2" s="25"/>
      <c r="Q2" s="25"/>
      <c r="R2" s="25"/>
      <c r="S2" s="25"/>
      <c r="T2" s="25"/>
      <c r="U2" s="25"/>
      <c r="V2" s="25"/>
      <c r="W2" s="37"/>
      <c r="X2" s="764" t="s">
        <v>271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62" t="s">
        <v>272</v>
      </c>
      <c r="O3" s="763" t="s">
        <v>63</v>
      </c>
      <c r="P3" s="25"/>
      <c r="Q3" s="25"/>
      <c r="R3" s="25"/>
      <c r="S3" s="25"/>
      <c r="T3" s="25"/>
      <c r="U3" s="25"/>
      <c r="V3" s="25"/>
      <c r="W3" s="37"/>
      <c r="X3" s="765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62" t="s">
        <v>269</v>
      </c>
      <c r="O4" s="763" t="s">
        <v>273</v>
      </c>
      <c r="P4" s="25"/>
      <c r="Q4" s="25"/>
      <c r="R4" s="25"/>
      <c r="S4" s="25"/>
      <c r="T4" s="25"/>
      <c r="U4" s="25"/>
      <c r="V4" s="25"/>
      <c r="W4" s="37"/>
      <c r="X4" s="766" t="s">
        <v>270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5" t="s">
        <v>274</v>
      </c>
      <c r="Z5" s="37"/>
    </row>
    <row r="6" spans="1:26" ht="10.199999999999999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7" t="s">
        <v>275</v>
      </c>
      <c r="O6" s="308">
        <f>SUM(P18:P27)</f>
        <v>8182</v>
      </c>
      <c r="P6" s="768">
        <f>O6</f>
        <v>8182</v>
      </c>
      <c r="Q6" s="25"/>
      <c r="R6" s="25"/>
      <c r="S6" s="25"/>
      <c r="T6" s="25"/>
      <c r="U6" s="25"/>
      <c r="V6" s="25"/>
      <c r="W6" s="37"/>
      <c r="X6" s="766" t="s">
        <v>273</v>
      </c>
      <c r="Y6" s="37"/>
      <c r="Z6" s="37"/>
    </row>
    <row r="7" spans="1:26" ht="15.9" customHeight="1" x14ac:dyDescent="0.25">
      <c r="A7" s="1462" t="s">
        <v>0</v>
      </c>
      <c r="B7" s="1462"/>
      <c r="C7" s="1462"/>
      <c r="D7" s="1462"/>
      <c r="E7" s="1462"/>
      <c r="F7" s="1462"/>
      <c r="G7" s="1462"/>
      <c r="H7" s="1462"/>
      <c r="I7" s="1462"/>
      <c r="J7" s="1462"/>
      <c r="K7" s="1462"/>
      <c r="N7" s="309" t="s">
        <v>276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277</v>
      </c>
      <c r="Y7" s="37"/>
      <c r="Z7" s="37"/>
    </row>
    <row r="8" spans="1:26" ht="15.9" customHeight="1" x14ac:dyDescent="0.25">
      <c r="A8" s="1463">
        <f>+K12</f>
        <v>1</v>
      </c>
      <c r="B8" s="1463"/>
      <c r="C8" s="1463"/>
      <c r="D8" s="1463"/>
      <c r="E8" s="1463"/>
      <c r="F8" s="1463"/>
      <c r="G8" s="1463"/>
      <c r="H8" s="1463"/>
      <c r="I8" s="1463"/>
      <c r="J8" s="1463"/>
      <c r="K8" s="1463"/>
      <c r="N8" s="769" t="s">
        <v>278</v>
      </c>
      <c r="O8" s="310"/>
      <c r="P8" s="770">
        <f>SUM(P6:P7)</f>
        <v>17868.996386927247</v>
      </c>
      <c r="Q8" s="25"/>
      <c r="R8" s="25"/>
      <c r="S8" s="25"/>
      <c r="T8" s="25"/>
      <c r="U8" s="25"/>
      <c r="V8" s="25"/>
      <c r="W8" s="37"/>
      <c r="X8" s="765" t="s">
        <v>279</v>
      </c>
      <c r="Y8" s="37"/>
      <c r="Z8" s="37"/>
    </row>
    <row r="9" spans="1:26" ht="10.199999999999999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" customHeight="1" x14ac:dyDescent="0.25">
      <c r="A10" s="21" t="s">
        <v>280</v>
      </c>
      <c r="B10" s="22" t="s">
        <v>2</v>
      </c>
      <c r="C10" s="1486" t="s">
        <v>281</v>
      </c>
      <c r="D10" s="1486"/>
      <c r="E10" s="1486"/>
      <c r="F10" s="1486"/>
      <c r="G10" s="1486"/>
      <c r="H10" s="1486"/>
      <c r="I10" s="23" t="s">
        <v>3</v>
      </c>
      <c r="J10" s="24" t="s">
        <v>2</v>
      </c>
      <c r="K10" s="243" t="s">
        <v>282</v>
      </c>
      <c r="L10" s="3"/>
      <c r="M10" s="3"/>
      <c r="N10" s="213" t="s">
        <v>283</v>
      </c>
      <c r="O10" s="214"/>
      <c r="P10" s="215"/>
      <c r="Q10" s="215"/>
      <c r="R10" s="216"/>
      <c r="S10" s="217" t="s">
        <v>284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" customHeight="1" x14ac:dyDescent="0.25">
      <c r="A11" s="21" t="s">
        <v>285</v>
      </c>
      <c r="B11" s="22" t="s">
        <v>2</v>
      </c>
      <c r="C11" s="1486" t="s">
        <v>286</v>
      </c>
      <c r="D11" s="1486"/>
      <c r="E11" s="1486"/>
      <c r="F11" s="1486"/>
      <c r="G11" s="1486"/>
      <c r="H11" s="1486"/>
      <c r="I11" s="26" t="s">
        <v>6</v>
      </c>
      <c r="J11" s="22" t="s">
        <v>2</v>
      </c>
      <c r="K11" s="25" t="s">
        <v>287</v>
      </c>
      <c r="L11" s="3"/>
      <c r="M11" s="3"/>
      <c r="N11" s="771" t="s">
        <v>288</v>
      </c>
      <c r="O11" s="221"/>
      <c r="P11" s="25"/>
      <c r="Q11" s="25"/>
      <c r="R11" s="222"/>
      <c r="S11" s="309" t="s">
        <v>289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" customHeight="1" x14ac:dyDescent="0.25">
      <c r="A12" s="21" t="s">
        <v>290</v>
      </c>
      <c r="B12" s="22" t="s">
        <v>2</v>
      </c>
      <c r="C12" s="1486" t="s">
        <v>291</v>
      </c>
      <c r="D12" s="1486"/>
      <c r="E12" s="1486"/>
      <c r="F12" s="1486"/>
      <c r="G12" s="1486"/>
      <c r="H12" s="1486"/>
      <c r="I12" s="26" t="s">
        <v>292</v>
      </c>
      <c r="J12" s="22" t="s">
        <v>2</v>
      </c>
      <c r="K12" s="241">
        <v>1</v>
      </c>
      <c r="L12" s="3"/>
      <c r="M12" s="3"/>
      <c r="N12" s="309" t="s">
        <v>293</v>
      </c>
      <c r="O12" s="221"/>
      <c r="P12" s="25"/>
      <c r="Q12" s="223">
        <f>IF(O2="Global",T12,IF(O2="Fraccionada",P8))</f>
        <v>17868.996386927247</v>
      </c>
      <c r="R12" s="224"/>
      <c r="S12" s="309" t="s">
        <v>294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99999999999999" customHeight="1" x14ac:dyDescent="0.25">
      <c r="A13" s="21"/>
      <c r="B13" s="22"/>
      <c r="C13" s="736"/>
      <c r="D13" s="736"/>
      <c r="E13" s="736"/>
      <c r="F13" s="736"/>
      <c r="G13" s="736"/>
      <c r="H13" s="736"/>
      <c r="I13" s="26"/>
      <c r="J13" s="22"/>
      <c r="K13" s="27"/>
      <c r="L13" s="3"/>
      <c r="M13" s="3"/>
      <c r="N13" s="309" t="s">
        <v>295</v>
      </c>
      <c r="O13" s="25"/>
      <c r="P13" s="25"/>
      <c r="Q13" s="223">
        <f>IF(O2="Global","--",IF(O2="Fraccionada",T12))</f>
        <v>578.9</v>
      </c>
      <c r="R13" s="227"/>
      <c r="S13" s="309" t="s">
        <v>296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95" customHeight="1" x14ac:dyDescent="0.25">
      <c r="A14" s="1444" t="s">
        <v>297</v>
      </c>
      <c r="B14" s="1445"/>
      <c r="C14" s="1445"/>
      <c r="D14" s="1445"/>
      <c r="E14" s="1445"/>
      <c r="F14" s="1445"/>
      <c r="G14" s="1445"/>
      <c r="H14" s="1445"/>
      <c r="I14" s="1445"/>
      <c r="J14" s="1445"/>
      <c r="K14" s="1446"/>
      <c r="L14" s="3"/>
      <c r="M14" s="3"/>
      <c r="N14" s="769" t="s">
        <v>298</v>
      </c>
      <c r="O14" s="310"/>
      <c r="P14" s="310"/>
      <c r="Q14" s="772">
        <f>IF(O2="Fraccionada",(X13+Y10),IF(O2="Global",SUM(P18:P35)))</f>
        <v>15464.399080308754</v>
      </c>
      <c r="R14" s="229"/>
      <c r="S14" s="769"/>
      <c r="T14" s="310"/>
      <c r="U14" s="310"/>
      <c r="V14" s="230"/>
      <c r="W14" s="37"/>
      <c r="X14" s="42"/>
      <c r="Y14" s="37"/>
      <c r="Z14" s="37"/>
    </row>
    <row r="15" spans="1:26" ht="19.95" customHeight="1" x14ac:dyDescent="0.25">
      <c r="A15" s="1447" t="s">
        <v>299</v>
      </c>
      <c r="B15" s="1448"/>
      <c r="C15" s="1448"/>
      <c r="D15" s="1448"/>
      <c r="E15" s="1448"/>
      <c r="F15" s="1448"/>
      <c r="G15" s="1448"/>
      <c r="H15" s="1448"/>
      <c r="I15" s="1448"/>
      <c r="J15" s="1448"/>
      <c r="K15" s="1449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99999999999999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3" t="s">
        <v>300</v>
      </c>
      <c r="O16" s="774"/>
      <c r="P16" s="231" t="s">
        <v>301</v>
      </c>
      <c r="Q16" s="231" t="s">
        <v>302</v>
      </c>
      <c r="R16" s="231" t="s">
        <v>302</v>
      </c>
      <c r="S16" s="232" t="s">
        <v>303</v>
      </c>
      <c r="T16" s="1490" t="s">
        <v>304</v>
      </c>
      <c r="U16" s="1491"/>
      <c r="V16" s="1492"/>
      <c r="W16" s="37"/>
      <c r="X16" s="37"/>
      <c r="Y16" s="37"/>
      <c r="Z16" s="37"/>
    </row>
    <row r="17" spans="1:26" ht="15.9" customHeight="1" x14ac:dyDescent="0.25">
      <c r="A17" s="1483" t="s">
        <v>13</v>
      </c>
      <c r="B17" s="1484"/>
      <c r="C17" s="1484"/>
      <c r="D17" s="1484"/>
      <c r="E17" s="1484"/>
      <c r="F17" s="1484"/>
      <c r="G17" s="1484"/>
      <c r="H17" s="1484"/>
      <c r="I17" s="1484"/>
      <c r="J17" s="1484"/>
      <c r="K17" s="1485"/>
      <c r="M17" s="3"/>
      <c r="N17" s="775" t="s">
        <v>234</v>
      </c>
      <c r="O17" s="775" t="s">
        <v>305</v>
      </c>
      <c r="P17" s="775" t="s">
        <v>306</v>
      </c>
      <c r="Q17" s="775" t="s">
        <v>307</v>
      </c>
      <c r="R17" s="775" t="s">
        <v>308</v>
      </c>
      <c r="S17" s="776" t="s">
        <v>309</v>
      </c>
      <c r="T17" s="1487" t="s">
        <v>310</v>
      </c>
      <c r="U17" s="1488"/>
      <c r="V17" s="1489"/>
      <c r="W17" s="37"/>
      <c r="X17" s="37"/>
      <c r="Y17" s="37"/>
      <c r="Z17" s="37"/>
    </row>
    <row r="18" spans="1:26" ht="15.9" customHeight="1" x14ac:dyDescent="0.25">
      <c r="A18" s="133" t="s">
        <v>311</v>
      </c>
      <c r="B18" s="32" t="s">
        <v>2</v>
      </c>
      <c r="C18" s="25" t="s">
        <v>312</v>
      </c>
      <c r="D18" s="32"/>
      <c r="E18" s="28"/>
      <c r="F18" s="25"/>
      <c r="G18" s="25"/>
      <c r="H18" s="28"/>
      <c r="I18" s="33" t="s">
        <v>313</v>
      </c>
      <c r="J18" s="29" t="s">
        <v>2</v>
      </c>
      <c r="K18" s="187"/>
      <c r="M18" s="3"/>
      <c r="N18" s="777" t="s">
        <v>314</v>
      </c>
      <c r="O18" s="777">
        <v>76.2</v>
      </c>
      <c r="P18" s="307">
        <v>0</v>
      </c>
      <c r="Q18" s="778">
        <f t="shared" ref="Q18:Q27" si="0">P18/$Q$12*100</f>
        <v>0</v>
      </c>
      <c r="R18" s="233">
        <f>Q18</f>
        <v>0</v>
      </c>
      <c r="S18" s="779">
        <f t="shared" ref="S18:S36" si="1">100-R18</f>
        <v>100</v>
      </c>
      <c r="T18" s="299"/>
      <c r="U18" s="780"/>
      <c r="V18" s="300"/>
      <c r="W18" s="37"/>
      <c r="X18" s="37"/>
      <c r="Y18" s="37"/>
      <c r="Z18" s="37"/>
    </row>
    <row r="19" spans="1:26" ht="15.9" customHeight="1" x14ac:dyDescent="0.25">
      <c r="A19" s="133" t="s">
        <v>315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316</v>
      </c>
      <c r="J19" s="29" t="s">
        <v>2</v>
      </c>
      <c r="K19" s="40">
        <v>43831</v>
      </c>
      <c r="M19" s="3"/>
      <c r="N19" s="777" t="s">
        <v>317</v>
      </c>
      <c r="O19" s="777">
        <v>63.5</v>
      </c>
      <c r="P19" s="307">
        <v>0</v>
      </c>
      <c r="Q19" s="778">
        <f t="shared" si="0"/>
        <v>0</v>
      </c>
      <c r="R19" s="233">
        <f>+R18+Q19</f>
        <v>0</v>
      </c>
      <c r="S19" s="779">
        <f t="shared" si="1"/>
        <v>100</v>
      </c>
      <c r="T19" s="301"/>
      <c r="U19" s="781"/>
      <c r="V19" s="302"/>
      <c r="W19" s="44"/>
      <c r="X19" s="44"/>
      <c r="Y19" s="44"/>
      <c r="Z19" s="37"/>
    </row>
    <row r="20" spans="1:26" ht="15.9" customHeight="1" x14ac:dyDescent="0.25">
      <c r="A20" s="133" t="s">
        <v>318</v>
      </c>
      <c r="B20" s="32" t="s">
        <v>2</v>
      </c>
      <c r="C20" s="25" t="s">
        <v>319</v>
      </c>
      <c r="D20" s="32"/>
      <c r="E20" s="28"/>
      <c r="F20" s="25"/>
      <c r="G20" s="25"/>
      <c r="H20" s="28"/>
      <c r="I20" s="33" t="s">
        <v>320</v>
      </c>
      <c r="J20" s="29" t="s">
        <v>2</v>
      </c>
      <c r="K20" s="40">
        <v>43844</v>
      </c>
      <c r="M20" s="3"/>
      <c r="N20" s="777" t="s">
        <v>321</v>
      </c>
      <c r="O20" s="777">
        <v>50.6</v>
      </c>
      <c r="P20" s="307">
        <v>583</v>
      </c>
      <c r="Q20" s="778">
        <f t="shared" si="0"/>
        <v>3.2626342709796288</v>
      </c>
      <c r="R20" s="233">
        <f t="shared" ref="R20:R36" si="2">+R19+Q20</f>
        <v>3.2626342709796288</v>
      </c>
      <c r="S20" s="779">
        <f t="shared" si="1"/>
        <v>96.737365729020368</v>
      </c>
      <c r="T20" s="299"/>
      <c r="U20" s="782">
        <v>100</v>
      </c>
      <c r="V20" s="300"/>
      <c r="W20" s="37"/>
      <c r="X20" s="37"/>
      <c r="Y20" s="37"/>
      <c r="Z20" s="37"/>
    </row>
    <row r="21" spans="1:26" ht="10.199999999999999" customHeight="1" x14ac:dyDescent="0.25">
      <c r="A21" s="783"/>
      <c r="B21" s="784"/>
      <c r="C21" s="784"/>
      <c r="D21" s="784"/>
      <c r="E21" s="784"/>
      <c r="F21" s="784"/>
      <c r="G21" s="784"/>
      <c r="H21" s="784"/>
      <c r="I21" s="784"/>
      <c r="J21" s="784"/>
      <c r="K21" s="41"/>
      <c r="M21" s="3"/>
      <c r="N21" s="777" t="s">
        <v>322</v>
      </c>
      <c r="O21" s="777">
        <v>38.1</v>
      </c>
      <c r="P21" s="307">
        <v>1146</v>
      </c>
      <c r="Q21" s="778">
        <f t="shared" si="0"/>
        <v>6.4133428379805402</v>
      </c>
      <c r="R21" s="233">
        <f t="shared" si="2"/>
        <v>9.6759771089601685</v>
      </c>
      <c r="S21" s="779">
        <f t="shared" si="1"/>
        <v>90.324022891039832</v>
      </c>
      <c r="T21" s="303"/>
      <c r="U21" s="782">
        <v>100</v>
      </c>
      <c r="V21" s="304"/>
      <c r="W21" s="37"/>
      <c r="X21" s="37"/>
      <c r="Y21" s="37"/>
      <c r="Z21" s="37"/>
    </row>
    <row r="22" spans="1:26" ht="10.199999999999999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7" t="s">
        <v>323</v>
      </c>
      <c r="O22" s="777">
        <v>25.4</v>
      </c>
      <c r="P22" s="307">
        <v>974</v>
      </c>
      <c r="Q22" s="778">
        <f t="shared" si="0"/>
        <v>5.4507817837635653</v>
      </c>
      <c r="R22" s="233">
        <f t="shared" si="2"/>
        <v>15.126758892723734</v>
      </c>
      <c r="S22" s="779">
        <f t="shared" si="1"/>
        <v>84.873241107276272</v>
      </c>
      <c r="T22" s="303">
        <v>90</v>
      </c>
      <c r="U22" s="782"/>
      <c r="V22" s="304">
        <v>100</v>
      </c>
      <c r="W22" s="44"/>
      <c r="X22" s="44"/>
      <c r="Y22" s="44"/>
      <c r="Z22" s="37"/>
    </row>
    <row r="23" spans="1:26" ht="13.2" customHeight="1" x14ac:dyDescent="0.25">
      <c r="A23" s="1466" t="s">
        <v>234</v>
      </c>
      <c r="B23" s="1467"/>
      <c r="C23" s="1468"/>
      <c r="D23" s="1494" t="s">
        <v>324</v>
      </c>
      <c r="E23" s="197"/>
      <c r="F23" s="1470" t="s">
        <v>325</v>
      </c>
      <c r="G23" s="1471"/>
      <c r="H23" s="1472"/>
      <c r="I23" s="1476" t="s">
        <v>321</v>
      </c>
      <c r="J23" s="191"/>
      <c r="K23" s="192"/>
      <c r="L23" s="3"/>
      <c r="M23" s="52"/>
      <c r="N23" s="777" t="s">
        <v>326</v>
      </c>
      <c r="O23" s="777">
        <v>19.05</v>
      </c>
      <c r="P23" s="307">
        <v>2040</v>
      </c>
      <c r="Q23" s="778">
        <f t="shared" si="0"/>
        <v>11.416421805829232</v>
      </c>
      <c r="R23" s="233">
        <f t="shared" si="2"/>
        <v>26.543180698552966</v>
      </c>
      <c r="S23" s="779">
        <f t="shared" si="1"/>
        <v>73.456819301447041</v>
      </c>
      <c r="T23" s="303">
        <v>65</v>
      </c>
      <c r="U23" s="782"/>
      <c r="V23" s="304">
        <v>100</v>
      </c>
      <c r="W23" s="44"/>
      <c r="X23" s="44"/>
      <c r="Y23" s="45"/>
      <c r="Z23" s="37"/>
    </row>
    <row r="24" spans="1:26" ht="13.2" customHeight="1" x14ac:dyDescent="0.25">
      <c r="A24" s="785" t="s">
        <v>327</v>
      </c>
      <c r="B24" s="1465" t="s">
        <v>305</v>
      </c>
      <c r="C24" s="1465"/>
      <c r="D24" s="1495"/>
      <c r="E24" s="197"/>
      <c r="F24" s="1473"/>
      <c r="G24" s="1474"/>
      <c r="H24" s="1475"/>
      <c r="I24" s="1477"/>
      <c r="J24" s="191"/>
      <c r="K24" s="192"/>
      <c r="L24" s="3"/>
      <c r="M24" s="20"/>
      <c r="N24" s="777" t="s">
        <v>328</v>
      </c>
      <c r="O24" s="777">
        <v>12.7</v>
      </c>
      <c r="P24" s="307">
        <v>1277</v>
      </c>
      <c r="Q24" s="778">
        <f t="shared" si="0"/>
        <v>7.1464561990411433</v>
      </c>
      <c r="R24" s="233">
        <f t="shared" si="2"/>
        <v>33.689636897594113</v>
      </c>
      <c r="S24" s="779">
        <f t="shared" si="1"/>
        <v>66.310363102405887</v>
      </c>
      <c r="T24" s="303"/>
      <c r="U24" s="782"/>
      <c r="V24" s="304"/>
      <c r="W24" s="44"/>
      <c r="X24" s="44"/>
      <c r="Y24" s="44"/>
      <c r="Z24" s="37"/>
    </row>
    <row r="25" spans="1:26" ht="13.2" customHeight="1" x14ac:dyDescent="0.25">
      <c r="A25" s="786" t="s">
        <v>314</v>
      </c>
      <c r="B25" s="1464">
        <v>76.2</v>
      </c>
      <c r="C25" s="1464"/>
      <c r="D25" s="787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7" t="s">
        <v>329</v>
      </c>
      <c r="O25" s="777">
        <v>9.5250000000000004</v>
      </c>
      <c r="P25" s="307">
        <v>652</v>
      </c>
      <c r="Q25" s="778">
        <f t="shared" si="0"/>
        <v>3.6487779497062056</v>
      </c>
      <c r="R25" s="233">
        <f t="shared" si="2"/>
        <v>37.338414847300321</v>
      </c>
      <c r="S25" s="779">
        <f t="shared" si="1"/>
        <v>62.661585152699679</v>
      </c>
      <c r="T25" s="303">
        <v>45</v>
      </c>
      <c r="U25" s="782"/>
      <c r="V25" s="304">
        <v>80</v>
      </c>
      <c r="W25" s="44"/>
      <c r="X25" s="44"/>
      <c r="Y25" s="44"/>
      <c r="Z25" s="37"/>
    </row>
    <row r="26" spans="1:26" ht="13.2" customHeight="1" x14ac:dyDescent="0.25">
      <c r="A26" s="198" t="s">
        <v>321</v>
      </c>
      <c r="B26" s="1469">
        <v>50.6</v>
      </c>
      <c r="C26" s="1469"/>
      <c r="D26" s="199">
        <f>+S20</f>
        <v>96.737365729020368</v>
      </c>
      <c r="E26" s="197"/>
      <c r="F26" s="1466" t="s">
        <v>330</v>
      </c>
      <c r="G26" s="1467"/>
      <c r="H26" s="1467"/>
      <c r="I26" s="1468"/>
      <c r="J26" s="200"/>
      <c r="K26" s="201"/>
      <c r="L26" s="3"/>
      <c r="M26" s="3"/>
      <c r="N26" s="777" t="s">
        <v>331</v>
      </c>
      <c r="O26" s="777">
        <v>6.35</v>
      </c>
      <c r="P26" s="307">
        <v>877</v>
      </c>
      <c r="Q26" s="778">
        <f t="shared" si="0"/>
        <v>4.9079421194667825</v>
      </c>
      <c r="R26" s="233">
        <f t="shared" si="2"/>
        <v>42.246356966767102</v>
      </c>
      <c r="S26" s="779">
        <f t="shared" si="1"/>
        <v>57.753643033232898</v>
      </c>
      <c r="T26" s="303"/>
      <c r="U26" s="782"/>
      <c r="V26" s="304"/>
      <c r="W26" s="44"/>
      <c r="X26" s="44"/>
      <c r="Y26" s="46"/>
      <c r="Z26" s="37"/>
    </row>
    <row r="27" spans="1:26" ht="13.2" customHeight="1" x14ac:dyDescent="0.25">
      <c r="A27" s="202" t="s">
        <v>322</v>
      </c>
      <c r="B27" s="1469">
        <v>38.1</v>
      </c>
      <c r="C27" s="1469"/>
      <c r="D27" s="199">
        <f>+S21</f>
        <v>90.324022891039832</v>
      </c>
      <c r="E27" s="197"/>
      <c r="F27" s="1478"/>
      <c r="G27" s="1479"/>
      <c r="H27" s="1479"/>
      <c r="I27" s="1480"/>
      <c r="J27" s="200"/>
      <c r="K27" s="201"/>
      <c r="L27" s="3"/>
      <c r="M27" s="3"/>
      <c r="N27" s="777" t="s">
        <v>332</v>
      </c>
      <c r="O27" s="777">
        <v>4.76</v>
      </c>
      <c r="P27" s="307">
        <v>633</v>
      </c>
      <c r="Q27" s="778">
        <f t="shared" si="0"/>
        <v>3.542448530926424</v>
      </c>
      <c r="R27" s="233">
        <f t="shared" si="2"/>
        <v>45.788805497693524</v>
      </c>
      <c r="S27" s="779">
        <f t="shared" si="1"/>
        <v>54.211194502306476</v>
      </c>
      <c r="T27" s="303">
        <v>30</v>
      </c>
      <c r="U27" s="782"/>
      <c r="V27" s="304">
        <v>65</v>
      </c>
      <c r="W27" s="44"/>
      <c r="X27" s="44"/>
      <c r="Y27" s="47"/>
      <c r="Z27" s="37"/>
    </row>
    <row r="28" spans="1:26" ht="13.2" customHeight="1" x14ac:dyDescent="0.25">
      <c r="A28" s="198" t="s">
        <v>323</v>
      </c>
      <c r="B28" s="1469">
        <v>25.4</v>
      </c>
      <c r="C28" s="1469"/>
      <c r="D28" s="199">
        <f>+S22</f>
        <v>84.873241107276272</v>
      </c>
      <c r="E28" s="197"/>
      <c r="F28" s="1481" t="s">
        <v>333</v>
      </c>
      <c r="G28" s="1482">
        <f>R27</f>
        <v>45.788805497693524</v>
      </c>
      <c r="H28" s="788" t="s">
        <v>334</v>
      </c>
      <c r="I28" s="789">
        <f>SUM(Q18:Q23)</f>
        <v>26.543180698552966</v>
      </c>
      <c r="J28" s="200"/>
      <c r="K28" s="201"/>
      <c r="L28" s="3"/>
      <c r="M28" s="3"/>
      <c r="N28" s="777">
        <v>8</v>
      </c>
      <c r="O28" s="777">
        <v>2.36</v>
      </c>
      <c r="P28" s="307">
        <v>55.3</v>
      </c>
      <c r="Q28" s="778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9">
        <f t="shared" si="1"/>
        <v>49.032616067382399</v>
      </c>
      <c r="T28" s="303"/>
      <c r="U28" s="782"/>
      <c r="V28" s="304"/>
      <c r="W28" s="37"/>
      <c r="X28" s="37"/>
      <c r="Y28" s="37"/>
      <c r="Z28" s="37"/>
    </row>
    <row r="29" spans="1:26" ht="13.2" customHeight="1" x14ac:dyDescent="0.25">
      <c r="A29" s="198" t="s">
        <v>326</v>
      </c>
      <c r="B29" s="1469">
        <v>19.05</v>
      </c>
      <c r="C29" s="1469"/>
      <c r="D29" s="199">
        <f>+S23</f>
        <v>73.456819301447041</v>
      </c>
      <c r="E29" s="197"/>
      <c r="F29" s="1457"/>
      <c r="G29" s="1460"/>
      <c r="H29" s="203" t="s">
        <v>335</v>
      </c>
      <c r="I29" s="204">
        <f>SUM(Q24:Q27)</f>
        <v>19.245624799140558</v>
      </c>
      <c r="J29" s="200"/>
      <c r="K29" s="201"/>
      <c r="L29" s="3"/>
      <c r="M29" s="3"/>
      <c r="N29" s="777">
        <v>10</v>
      </c>
      <c r="O29" s="777">
        <v>2</v>
      </c>
      <c r="P29" s="307">
        <v>17.899999999999999</v>
      </c>
      <c r="Q29" s="778">
        <f t="shared" si="3"/>
        <v>1.6762487158253341</v>
      </c>
      <c r="R29" s="233">
        <f t="shared" si="2"/>
        <v>52.643632648442932</v>
      </c>
      <c r="S29" s="779">
        <f t="shared" si="1"/>
        <v>47.356367351557068</v>
      </c>
      <c r="T29" s="303">
        <v>22</v>
      </c>
      <c r="U29" s="782"/>
      <c r="V29" s="304">
        <v>52</v>
      </c>
      <c r="W29" s="37"/>
      <c r="X29" s="37"/>
      <c r="Y29" s="37"/>
      <c r="Z29" s="37"/>
    </row>
    <row r="30" spans="1:26" ht="13.2" customHeight="1" x14ac:dyDescent="0.25">
      <c r="A30" s="198" t="s">
        <v>329</v>
      </c>
      <c r="B30" s="1469">
        <v>9.5250000000000004</v>
      </c>
      <c r="C30" s="1469"/>
      <c r="D30" s="199">
        <f>+S25</f>
        <v>62.661585152699679</v>
      </c>
      <c r="E30" s="197"/>
      <c r="F30" s="1455" t="s">
        <v>336</v>
      </c>
      <c r="G30" s="1458">
        <f>100-(G28+G33)</f>
        <v>40.754382185876274</v>
      </c>
      <c r="H30" s="203" t="s">
        <v>334</v>
      </c>
      <c r="I30" s="204">
        <f>SUM(Q28:Q29)</f>
        <v>6.8548271507494114</v>
      </c>
      <c r="J30" s="200"/>
      <c r="K30" s="201"/>
      <c r="L30" s="3"/>
      <c r="M30" s="3"/>
      <c r="N30" s="777">
        <v>16</v>
      </c>
      <c r="O30" s="777">
        <v>1.19</v>
      </c>
      <c r="P30" s="307">
        <v>74.8</v>
      </c>
      <c r="Q30" s="778">
        <f t="shared" si="3"/>
        <v>7.0046594381974856</v>
      </c>
      <c r="R30" s="233">
        <f t="shared" si="2"/>
        <v>59.648292086640417</v>
      </c>
      <c r="S30" s="779">
        <f t="shared" si="1"/>
        <v>40.351707913359583</v>
      </c>
      <c r="T30" s="303"/>
      <c r="U30" s="782"/>
      <c r="V30" s="304"/>
      <c r="W30" s="48"/>
      <c r="X30" s="48"/>
      <c r="Y30" s="49"/>
      <c r="Z30" s="37"/>
    </row>
    <row r="31" spans="1:26" ht="13.2" customHeight="1" x14ac:dyDescent="0.25">
      <c r="A31" s="198" t="s">
        <v>332</v>
      </c>
      <c r="B31" s="1469">
        <v>4.76</v>
      </c>
      <c r="C31" s="1469"/>
      <c r="D31" s="199">
        <f>+S27</f>
        <v>54.211194502306476</v>
      </c>
      <c r="E31" s="197"/>
      <c r="F31" s="1456"/>
      <c r="G31" s="1459"/>
      <c r="H31" s="203" t="s">
        <v>337</v>
      </c>
      <c r="I31" s="204">
        <f>SUM(Q30:Q32)</f>
        <v>20.180536215662542</v>
      </c>
      <c r="J31" s="200"/>
      <c r="K31" s="201"/>
      <c r="L31" s="3"/>
      <c r="M31" s="3"/>
      <c r="N31" s="777">
        <v>30</v>
      </c>
      <c r="O31" s="777">
        <v>0.6</v>
      </c>
      <c r="P31" s="307">
        <v>95.5</v>
      </c>
      <c r="Q31" s="778">
        <f t="shared" si="3"/>
        <v>8.9431146570569506</v>
      </c>
      <c r="R31" s="233">
        <f t="shared" si="2"/>
        <v>68.591406743697362</v>
      </c>
      <c r="S31" s="779">
        <f t="shared" si="1"/>
        <v>31.408593256302638</v>
      </c>
      <c r="T31" s="303"/>
      <c r="U31" s="782"/>
      <c r="V31" s="304"/>
      <c r="W31" s="37"/>
      <c r="X31" s="37"/>
      <c r="Y31" s="37"/>
      <c r="Z31" s="42">
        <f>SUM(P18:P26)</f>
        <v>7549</v>
      </c>
    </row>
    <row r="32" spans="1:26" ht="13.2" customHeight="1" x14ac:dyDescent="0.25">
      <c r="A32" s="198">
        <v>8</v>
      </c>
      <c r="B32" s="1469">
        <v>2.36</v>
      </c>
      <c r="C32" s="1469"/>
      <c r="D32" s="199">
        <f>+S28</f>
        <v>49.032616067382399</v>
      </c>
      <c r="E32" s="197"/>
      <c r="F32" s="1457"/>
      <c r="G32" s="1460"/>
      <c r="H32" s="203" t="s">
        <v>335</v>
      </c>
      <c r="I32" s="204">
        <f>SUM(Q33:Q35)</f>
        <v>13.719018819464328</v>
      </c>
      <c r="J32" s="200"/>
      <c r="K32" s="201"/>
      <c r="L32" s="3"/>
      <c r="M32" s="3"/>
      <c r="N32" s="777">
        <v>40</v>
      </c>
      <c r="O32" s="777">
        <v>0.42</v>
      </c>
      <c r="P32" s="307">
        <v>45.2</v>
      </c>
      <c r="Q32" s="778">
        <f t="shared" si="3"/>
        <v>4.2327621204081067</v>
      </c>
      <c r="R32" s="233">
        <f t="shared" si="2"/>
        <v>72.824168864105474</v>
      </c>
      <c r="S32" s="779">
        <f t="shared" si="1"/>
        <v>27.175831135894526</v>
      </c>
      <c r="T32" s="305">
        <v>15</v>
      </c>
      <c r="U32" s="790"/>
      <c r="V32" s="306">
        <v>35</v>
      </c>
      <c r="W32" s="37"/>
      <c r="X32" s="37"/>
      <c r="Y32" s="37"/>
      <c r="Z32" s="42">
        <f>SUM(P27:P35)</f>
        <v>1068.2</v>
      </c>
    </row>
    <row r="33" spans="1:26" ht="13.2" customHeight="1" x14ac:dyDescent="0.25">
      <c r="A33" s="198">
        <v>16</v>
      </c>
      <c r="B33" s="1469">
        <v>1.19</v>
      </c>
      <c r="C33" s="1469"/>
      <c r="D33" s="199">
        <f t="shared" ref="D33:D38" si="4">+S30</f>
        <v>40.351707913359583</v>
      </c>
      <c r="E33" s="197"/>
      <c r="F33" s="240" t="s">
        <v>338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7">
        <v>50</v>
      </c>
      <c r="O33" s="777">
        <v>0.3</v>
      </c>
      <c r="P33" s="307">
        <v>36.200000000000003</v>
      </c>
      <c r="Q33" s="778">
        <f t="shared" si="3"/>
        <v>3.3899555035126872</v>
      </c>
      <c r="R33" s="233">
        <f t="shared" si="2"/>
        <v>76.214124367618155</v>
      </c>
      <c r="S33" s="779">
        <f t="shared" si="1"/>
        <v>23.785875632381845</v>
      </c>
      <c r="T33" s="303"/>
      <c r="U33" s="782"/>
      <c r="V33" s="304"/>
      <c r="W33" s="37"/>
      <c r="X33" s="37"/>
      <c r="Y33" s="50"/>
      <c r="Z33" s="37"/>
    </row>
    <row r="34" spans="1:26" ht="13.2" customHeight="1" x14ac:dyDescent="0.25">
      <c r="A34" s="198">
        <v>30</v>
      </c>
      <c r="B34" s="1469">
        <v>0.6</v>
      </c>
      <c r="C34" s="1469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7">
        <v>100</v>
      </c>
      <c r="O34" s="777">
        <v>0.14899999999999999</v>
      </c>
      <c r="P34" s="307">
        <v>63.7</v>
      </c>
      <c r="Q34" s="778">
        <f t="shared" si="3"/>
        <v>5.9651979440264693</v>
      </c>
      <c r="R34" s="233">
        <f t="shared" si="2"/>
        <v>82.179322311644626</v>
      </c>
      <c r="S34" s="779">
        <f t="shared" si="1"/>
        <v>17.820677688355374</v>
      </c>
      <c r="T34" s="303"/>
      <c r="U34" s="782"/>
      <c r="V34" s="304"/>
      <c r="W34" s="37"/>
      <c r="X34" s="37"/>
      <c r="Y34" s="42"/>
      <c r="Z34" s="37"/>
    </row>
    <row r="35" spans="1:26" ht="13.2" customHeight="1" x14ac:dyDescent="0.25">
      <c r="A35" s="198">
        <v>40</v>
      </c>
      <c r="B35" s="1469">
        <v>0.42</v>
      </c>
      <c r="C35" s="1469"/>
      <c r="D35" s="199">
        <f t="shared" si="4"/>
        <v>27.175831135894526</v>
      </c>
      <c r="E35" s="197"/>
      <c r="F35" s="1496" t="str">
        <f>IF(O3="No","","Clasificacion SUCS")</f>
        <v/>
      </c>
      <c r="G35" s="1496"/>
      <c r="H35" s="1476" t="str">
        <f>IF(O3="No","",'Sucs '!G4)</f>
        <v/>
      </c>
      <c r="I35" s="1476"/>
      <c r="J35" s="200"/>
      <c r="K35" s="201"/>
      <c r="L35" s="3"/>
      <c r="M35" s="3"/>
      <c r="N35" s="777">
        <v>200</v>
      </c>
      <c r="O35" s="777">
        <v>7.3999999999999996E-2</v>
      </c>
      <c r="P35" s="307">
        <v>46.6</v>
      </c>
      <c r="Q35" s="778">
        <f t="shared" si="3"/>
        <v>4.3638653719251721</v>
      </c>
      <c r="R35" s="233">
        <f t="shared" si="2"/>
        <v>86.543187683569798</v>
      </c>
      <c r="S35" s="779">
        <f t="shared" si="1"/>
        <v>13.456812316430202</v>
      </c>
      <c r="T35" s="305">
        <v>5</v>
      </c>
      <c r="U35" s="790"/>
      <c r="V35" s="306">
        <v>20</v>
      </c>
      <c r="W35" s="37"/>
      <c r="X35" s="37"/>
      <c r="Y35" s="42"/>
      <c r="Z35" s="43"/>
    </row>
    <row r="36" spans="1:26" ht="13.2" customHeight="1" x14ac:dyDescent="0.25">
      <c r="A36" s="198">
        <v>50</v>
      </c>
      <c r="B36" s="1469">
        <v>0.3</v>
      </c>
      <c r="C36" s="1469"/>
      <c r="D36" s="199">
        <f t="shared" si="4"/>
        <v>23.785875632381845</v>
      </c>
      <c r="E36" s="197"/>
      <c r="F36" s="1497"/>
      <c r="G36" s="1497"/>
      <c r="H36" s="1499"/>
      <c r="I36" s="1499"/>
      <c r="J36" s="200"/>
      <c r="K36" s="201"/>
      <c r="L36" s="3"/>
      <c r="M36" s="3"/>
      <c r="N36" s="791" t="s">
        <v>339</v>
      </c>
      <c r="O36" s="791">
        <v>0.01</v>
      </c>
      <c r="P36" s="791">
        <f>IF(O2="Fraccionada",(Q13-(SUM(P28:P35))),IF(O2="Global",(Q12-Q14)))</f>
        <v>143.69999999999999</v>
      </c>
      <c r="Q36" s="778">
        <f t="shared" si="3"/>
        <v>13.456812316430195</v>
      </c>
      <c r="R36" s="233">
        <f t="shared" si="2"/>
        <v>100</v>
      </c>
      <c r="S36" s="779">
        <f t="shared" si="1"/>
        <v>0</v>
      </c>
      <c r="T36" s="299"/>
      <c r="U36" s="792"/>
      <c r="V36" s="300"/>
      <c r="W36" s="37"/>
      <c r="X36" s="37"/>
      <c r="Y36" s="42"/>
      <c r="Z36" s="37"/>
    </row>
    <row r="37" spans="1:26" ht="13.2" customHeight="1" x14ac:dyDescent="0.25">
      <c r="A37" s="198">
        <v>100</v>
      </c>
      <c r="B37" s="1469">
        <v>0.14899999999999999</v>
      </c>
      <c r="C37" s="1469"/>
      <c r="D37" s="199">
        <f t="shared" si="4"/>
        <v>17.820677688355374</v>
      </c>
      <c r="E37" s="197"/>
      <c r="F37" s="1497" t="str">
        <f>IF(O3="No","","Clasificacion AASHTO")</f>
        <v/>
      </c>
      <c r="G37" s="1497"/>
      <c r="H37" s="1499" t="str">
        <f>IF(O3="No","",Aashto!J26)</f>
        <v/>
      </c>
      <c r="I37" s="1499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2" customHeight="1" x14ac:dyDescent="0.25">
      <c r="A38" s="208">
        <v>200</v>
      </c>
      <c r="B38" s="1493">
        <v>7.3999999999999996E-2</v>
      </c>
      <c r="C38" s="1493"/>
      <c r="D38" s="209">
        <f t="shared" si="4"/>
        <v>13.456812316430202</v>
      </c>
      <c r="E38" s="197"/>
      <c r="F38" s="1498"/>
      <c r="G38" s="1498"/>
      <c r="H38" s="1500"/>
      <c r="I38" s="1500"/>
      <c r="J38" s="200"/>
      <c r="K38" s="201"/>
      <c r="L38" s="3"/>
      <c r="M38" s="3"/>
      <c r="N38" s="793" t="s">
        <v>340</v>
      </c>
      <c r="O38" s="793" t="s">
        <v>341</v>
      </c>
      <c r="P38" s="793" t="s">
        <v>342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4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5" t="str">
        <f t="shared" ref="N39:N56" si="5">IF(AND(S18=60,S19=60),((O18+O19)/2),IF(AND(S18&gt;=60,S19&lt;=60),FORECAST(60,O18:O19,S18:S19),""))</f>
        <v/>
      </c>
      <c r="O39" s="796" t="str">
        <f t="shared" ref="O39:O56" si="6">IF(AND(S18=30,S19=30),((O18+O19)/2),IF(AND(S18&gt;=30,S19&lt;=30),FORECAST(30,O18:O19,S18:S19),""))</f>
        <v/>
      </c>
      <c r="P39" s="796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2" customHeight="1" x14ac:dyDescent="0.25">
      <c r="A40" s="794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5" t="str">
        <f t="shared" si="5"/>
        <v/>
      </c>
      <c r="O40" s="796" t="str">
        <f t="shared" si="6"/>
        <v/>
      </c>
      <c r="P40" s="796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2" customHeight="1" x14ac:dyDescent="0.25">
      <c r="A41" s="794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5" t="str">
        <f t="shared" si="5"/>
        <v/>
      </c>
      <c r="O41" s="796" t="str">
        <f t="shared" si="6"/>
        <v/>
      </c>
      <c r="P41" s="796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2" customHeight="1" x14ac:dyDescent="0.25">
      <c r="A42" s="794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5" t="str">
        <f t="shared" si="5"/>
        <v/>
      </c>
      <c r="O42" s="796" t="str">
        <f t="shared" si="6"/>
        <v/>
      </c>
      <c r="P42" s="796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2" customHeight="1" x14ac:dyDescent="0.25">
      <c r="A43" s="794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5" t="str">
        <f t="shared" si="5"/>
        <v/>
      </c>
      <c r="O43" s="796" t="str">
        <f t="shared" si="6"/>
        <v/>
      </c>
      <c r="P43" s="796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2" customHeight="1" x14ac:dyDescent="0.25">
      <c r="A44" s="794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5" t="str">
        <f t="shared" si="5"/>
        <v/>
      </c>
      <c r="O44" s="796" t="str">
        <f t="shared" si="6"/>
        <v/>
      </c>
      <c r="P44" s="796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2" customHeight="1" x14ac:dyDescent="0.25">
      <c r="A45" s="794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5" t="str">
        <f t="shared" si="5"/>
        <v/>
      </c>
      <c r="O45" s="796" t="str">
        <f t="shared" si="6"/>
        <v/>
      </c>
      <c r="P45" s="796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2" customHeight="1" x14ac:dyDescent="0.25">
      <c r="A46" s="794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5">
        <f t="shared" si="5"/>
        <v>7.8031922332980628</v>
      </c>
      <c r="O46" s="796" t="str">
        <f t="shared" si="6"/>
        <v/>
      </c>
      <c r="P46" s="796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2" customHeight="1" x14ac:dyDescent="0.25">
      <c r="A47" s="794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5" t="str">
        <f t="shared" si="5"/>
        <v/>
      </c>
      <c r="O47" s="796" t="str">
        <f t="shared" si="6"/>
        <v/>
      </c>
      <c r="P47" s="796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2" customHeight="1" x14ac:dyDescent="0.25">
      <c r="A48" s="794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5" t="str">
        <f t="shared" si="5"/>
        <v/>
      </c>
      <c r="O48" s="796" t="str">
        <f t="shared" si="6"/>
        <v/>
      </c>
      <c r="P48" s="796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2" customHeight="1" x14ac:dyDescent="0.25">
      <c r="A49" s="794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5" t="str">
        <f t="shared" si="5"/>
        <v/>
      </c>
      <c r="O49" s="796" t="str">
        <f t="shared" si="6"/>
        <v/>
      </c>
      <c r="P49" s="796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2" customHeight="1" x14ac:dyDescent="0.25">
      <c r="A50" s="794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5" t="str">
        <f t="shared" si="5"/>
        <v/>
      </c>
      <c r="O50" s="796" t="str">
        <f t="shared" si="6"/>
        <v/>
      </c>
      <c r="P50" s="796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2" customHeight="1" x14ac:dyDescent="0.25">
      <c r="A51" s="794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5" t="str">
        <f t="shared" si="5"/>
        <v/>
      </c>
      <c r="O51" s="796" t="str">
        <f t="shared" si="6"/>
        <v/>
      </c>
      <c r="P51" s="796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2" customHeight="1" x14ac:dyDescent="0.25">
      <c r="A52" s="794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5" t="str">
        <f t="shared" si="5"/>
        <v/>
      </c>
      <c r="O52" s="796">
        <f t="shared" si="6"/>
        <v>0.54009897581723099</v>
      </c>
      <c r="P52" s="796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2" customHeight="1" x14ac:dyDescent="0.25">
      <c r="A53" s="794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5" t="str">
        <f t="shared" si="5"/>
        <v/>
      </c>
      <c r="O53" s="796" t="str">
        <f t="shared" si="6"/>
        <v/>
      </c>
      <c r="P53" s="796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2" customHeight="1" x14ac:dyDescent="0.25">
      <c r="A54" s="794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5" t="str">
        <f t="shared" si="5"/>
        <v/>
      </c>
      <c r="O54" s="796" t="str">
        <f t="shared" si="6"/>
        <v/>
      </c>
      <c r="P54" s="796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2" customHeight="1" x14ac:dyDescent="0.25">
      <c r="A55" s="794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5" t="str">
        <f t="shared" si="5"/>
        <v/>
      </c>
      <c r="O55" s="796" t="str">
        <f t="shared" si="6"/>
        <v/>
      </c>
      <c r="P55" s="796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2" customHeight="1" x14ac:dyDescent="0.25">
      <c r="A56" s="797"/>
      <c r="B56" s="798"/>
      <c r="C56" s="798"/>
      <c r="D56" s="798"/>
      <c r="E56" s="798"/>
      <c r="F56" s="798"/>
      <c r="G56" s="798"/>
      <c r="H56" s="798"/>
      <c r="I56" s="798"/>
      <c r="J56" s="798"/>
      <c r="K56" s="210"/>
      <c r="L56" s="3"/>
      <c r="M56" s="3"/>
      <c r="N56" s="795" t="str">
        <f t="shared" si="5"/>
        <v/>
      </c>
      <c r="O56" s="796" t="str">
        <f t="shared" si="6"/>
        <v/>
      </c>
      <c r="P56" s="796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" customHeight="1" x14ac:dyDescent="0.25">
      <c r="A57" s="30" t="s">
        <v>343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3" t="s">
        <v>344</v>
      </c>
      <c r="O57" s="793"/>
      <c r="P57" s="793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" customHeight="1" x14ac:dyDescent="0.25">
      <c r="A58" s="311" t="s">
        <v>345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9" t="s">
        <v>340</v>
      </c>
      <c r="O58" s="799" t="s">
        <v>341</v>
      </c>
      <c r="P58" s="799" t="s">
        <v>342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800">
        <f>AVERAGE(N39:N56)</f>
        <v>7.8031922332980628</v>
      </c>
      <c r="O59" s="800">
        <f>AVERAGE(O39:O56)</f>
        <v>0.54009897581723099</v>
      </c>
      <c r="P59" s="800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" customHeight="1" x14ac:dyDescent="0.25">
      <c r="A60" s="313" t="s">
        <v>267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346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" customHeight="1" x14ac:dyDescent="0.25">
      <c r="A61" s="313" t="s">
        <v>347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801" t="s">
        <v>348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" customHeight="1" x14ac:dyDescent="0.25">
      <c r="W63" s="37"/>
      <c r="X63" s="37"/>
      <c r="Y63" s="37"/>
      <c r="Z63" s="37"/>
    </row>
    <row r="64" spans="1:26" ht="30.75" customHeight="1" x14ac:dyDescent="0.25">
      <c r="A64" s="1461" t="s">
        <v>349</v>
      </c>
      <c r="B64" s="1461"/>
      <c r="C64" s="1461"/>
      <c r="D64" s="1461"/>
      <c r="E64" s="1461"/>
      <c r="F64" s="1461"/>
      <c r="G64" s="1461"/>
      <c r="H64" s="1461"/>
      <c r="I64" s="1461"/>
      <c r="J64" s="1461"/>
      <c r="K64" s="1461"/>
      <c r="W64" s="37"/>
      <c r="X64" s="37"/>
      <c r="Y64" s="37"/>
      <c r="Z64" s="37"/>
    </row>
    <row r="65" spans="23:26" ht="15.9" customHeight="1" x14ac:dyDescent="0.25">
      <c r="W65" s="37"/>
      <c r="X65" s="37"/>
      <c r="Y65" s="37"/>
      <c r="Z65" s="37"/>
    </row>
    <row r="66" spans="23:26" ht="15.9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33203125" defaultRowHeight="13.8" x14ac:dyDescent="0.25"/>
  <cols>
    <col min="1" max="1" width="16.33203125" style="109" customWidth="1"/>
    <col min="2" max="2" width="2" style="109" customWidth="1"/>
    <col min="3" max="3" width="11.44140625" style="109" customWidth="1"/>
    <col min="4" max="8" width="9.33203125" style="109" customWidth="1"/>
    <col min="9" max="9" width="8.88671875" style="109" customWidth="1"/>
    <col min="10" max="10" width="1.5546875" style="109" customWidth="1"/>
    <col min="11" max="11" width="13.5546875" style="109" customWidth="1"/>
    <col min="12" max="12" width="6.44140625" style="109" customWidth="1"/>
    <col min="13" max="13" width="8" style="109" customWidth="1"/>
    <col min="14" max="14" width="12.6640625" style="109" customWidth="1"/>
    <col min="15" max="15" width="10.88671875" style="109" customWidth="1"/>
    <col min="16" max="22" width="10.6640625" style="109" customWidth="1"/>
    <col min="23" max="16384" width="10.332031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" customHeight="1" x14ac:dyDescent="0.25">
      <c r="A8" s="1520" t="s">
        <v>0</v>
      </c>
      <c r="B8" s="1520"/>
      <c r="C8" s="1520"/>
      <c r="D8" s="1520"/>
      <c r="E8" s="1520"/>
      <c r="F8" s="1520"/>
      <c r="G8" s="1520"/>
      <c r="H8" s="1520"/>
      <c r="I8" s="1520"/>
      <c r="J8" s="1520"/>
      <c r="K8" s="1520"/>
    </row>
    <row r="9" spans="1:19" ht="15.9" customHeight="1" x14ac:dyDescent="0.25">
      <c r="A9" s="1521">
        <f>+K13</f>
        <v>10</v>
      </c>
      <c r="B9" s="1521"/>
      <c r="C9" s="1521"/>
      <c r="D9" s="1521"/>
      <c r="E9" s="1521"/>
      <c r="F9" s="1521"/>
      <c r="G9" s="1521"/>
      <c r="H9" s="1521"/>
      <c r="I9" s="1521"/>
      <c r="J9" s="1521"/>
      <c r="K9" s="1521"/>
      <c r="O9" s="119"/>
    </row>
    <row r="10" spans="1:19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" customHeight="1" x14ac:dyDescent="0.25">
      <c r="A11" s="21" t="s">
        <v>280</v>
      </c>
      <c r="B11" s="22" t="s">
        <v>2</v>
      </c>
      <c r="C11" s="1522" t="s">
        <v>281</v>
      </c>
      <c r="D11" s="1522"/>
      <c r="E11" s="1522"/>
      <c r="F11" s="1522"/>
      <c r="G11" s="1522"/>
      <c r="H11" s="1522"/>
      <c r="I11" s="121" t="s">
        <v>3</v>
      </c>
      <c r="J11" s="122" t="s">
        <v>2</v>
      </c>
      <c r="K11" s="123" t="s">
        <v>350</v>
      </c>
      <c r="L11" s="124"/>
      <c r="M11" s="124"/>
      <c r="O11" s="125"/>
    </row>
    <row r="12" spans="1:19" ht="15.9" customHeight="1" x14ac:dyDescent="0.25">
      <c r="A12" s="21" t="s">
        <v>285</v>
      </c>
      <c r="B12" s="22" t="s">
        <v>2</v>
      </c>
      <c r="C12" s="1522" t="s">
        <v>286</v>
      </c>
      <c r="D12" s="1522"/>
      <c r="E12" s="1522"/>
      <c r="F12" s="1522"/>
      <c r="G12" s="1522"/>
      <c r="H12" s="1522"/>
      <c r="I12" s="26" t="s">
        <v>6</v>
      </c>
      <c r="J12" s="22" t="s">
        <v>2</v>
      </c>
      <c r="K12" s="126" t="s">
        <v>287</v>
      </c>
      <c r="L12" s="124"/>
      <c r="M12" s="124"/>
      <c r="P12" s="127"/>
      <c r="Q12" s="127"/>
      <c r="R12" s="128"/>
      <c r="S12" s="129"/>
    </row>
    <row r="13" spans="1:19" ht="15.9" customHeight="1" x14ac:dyDescent="0.25">
      <c r="A13" s="21" t="s">
        <v>290</v>
      </c>
      <c r="B13" s="22" t="s">
        <v>2</v>
      </c>
      <c r="C13" s="1522" t="s">
        <v>291</v>
      </c>
      <c r="D13" s="1522"/>
      <c r="E13" s="1522"/>
      <c r="F13" s="1522"/>
      <c r="G13" s="1522"/>
      <c r="H13" s="1522"/>
      <c r="I13" s="26" t="s">
        <v>292</v>
      </c>
      <c r="J13" s="22" t="s">
        <v>2</v>
      </c>
      <c r="K13" s="242">
        <v>10</v>
      </c>
      <c r="L13" s="124"/>
      <c r="M13" s="124"/>
      <c r="P13" s="127"/>
      <c r="Q13" s="127"/>
      <c r="R13" s="1519"/>
      <c r="S13" s="1519"/>
    </row>
    <row r="14" spans="1:19" ht="15.9" customHeight="1" x14ac:dyDescent="0.25">
      <c r="A14" s="21"/>
      <c r="B14" s="22"/>
      <c r="C14" s="738"/>
      <c r="D14" s="738"/>
      <c r="E14" s="738"/>
      <c r="F14" s="738"/>
      <c r="G14" s="738"/>
      <c r="H14" s="738"/>
      <c r="I14" s="26"/>
      <c r="J14" s="22"/>
      <c r="K14" s="130"/>
      <c r="L14" s="124"/>
      <c r="M14" s="124"/>
      <c r="P14" s="127"/>
      <c r="Q14" s="127"/>
      <c r="R14" s="737"/>
      <c r="S14" s="737"/>
    </row>
    <row r="15" spans="1:19" ht="30" customHeight="1" x14ac:dyDescent="0.25">
      <c r="A15" s="1508" t="s">
        <v>351</v>
      </c>
      <c r="B15" s="1509"/>
      <c r="C15" s="1509"/>
      <c r="D15" s="1509"/>
      <c r="E15" s="1509"/>
      <c r="F15" s="1509"/>
      <c r="G15" s="1509"/>
      <c r="H15" s="1509"/>
      <c r="I15" s="1509"/>
      <c r="J15" s="1509"/>
      <c r="K15" s="1510"/>
      <c r="L15" s="124"/>
      <c r="M15" s="124"/>
      <c r="P15" s="127"/>
      <c r="Q15" s="127"/>
      <c r="R15" s="737"/>
      <c r="S15" s="737"/>
    </row>
    <row r="16" spans="1:19" ht="18" customHeight="1" x14ac:dyDescent="0.25">
      <c r="A16" s="1511" t="s">
        <v>352</v>
      </c>
      <c r="B16" s="1512"/>
      <c r="C16" s="1512"/>
      <c r="D16" s="1512"/>
      <c r="E16" s="1512"/>
      <c r="F16" s="1512"/>
      <c r="G16" s="1512"/>
      <c r="H16" s="1512"/>
      <c r="I16" s="1512"/>
      <c r="J16" s="1512"/>
      <c r="K16" s="1513"/>
      <c r="L16" s="124"/>
      <c r="M16" s="124"/>
      <c r="P16" s="127"/>
      <c r="Q16" s="127"/>
      <c r="R16" s="737"/>
      <c r="S16" s="737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802"/>
      <c r="L17" s="124"/>
      <c r="M17" s="124"/>
      <c r="P17" s="127"/>
      <c r="Q17" s="127"/>
      <c r="R17" s="737"/>
      <c r="S17" s="737"/>
    </row>
    <row r="18" spans="1:21" ht="15.9" customHeight="1" x14ac:dyDescent="0.25">
      <c r="A18" s="1483" t="s">
        <v>13</v>
      </c>
      <c r="B18" s="1484"/>
      <c r="C18" s="1484"/>
      <c r="D18" s="1484"/>
      <c r="E18" s="1484"/>
      <c r="F18" s="1484"/>
      <c r="G18" s="1484"/>
      <c r="H18" s="1484"/>
      <c r="I18" s="1484"/>
      <c r="J18" s="1484"/>
      <c r="K18" s="1485"/>
      <c r="M18" s="124"/>
      <c r="P18" s="127"/>
      <c r="Q18" s="127"/>
      <c r="R18" s="132"/>
      <c r="S18" s="132"/>
    </row>
    <row r="19" spans="1:21" ht="15.9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26"/>
      <c r="H19" s="134"/>
      <c r="I19" s="33" t="s">
        <v>313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316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3" t="s">
        <v>353</v>
      </c>
    </row>
    <row r="21" spans="1:21" ht="15.9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26"/>
      <c r="H21" s="134"/>
      <c r="I21" s="33" t="s">
        <v>320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3" t="s">
        <v>354</v>
      </c>
    </row>
    <row r="22" spans="1:21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5"/>
      <c r="I23" s="1514"/>
      <c r="J23" s="1514"/>
      <c r="K23" s="806"/>
      <c r="L23" s="124"/>
      <c r="M23" s="139"/>
      <c r="Q23" s="140"/>
    </row>
    <row r="24" spans="1:21" ht="18.75" customHeight="1" x14ac:dyDescent="0.25">
      <c r="A24" s="141"/>
      <c r="D24" s="1515" t="s">
        <v>355</v>
      </c>
      <c r="E24" s="1516"/>
      <c r="F24" s="1516"/>
      <c r="G24" s="1517" t="s">
        <v>356</v>
      </c>
      <c r="H24" s="1518"/>
      <c r="I24" s="1506"/>
      <c r="J24" s="1506"/>
      <c r="K24" s="142"/>
      <c r="L24" s="124"/>
      <c r="M24" s="143"/>
      <c r="O24" s="1501" t="s">
        <v>355</v>
      </c>
      <c r="P24" s="1502"/>
      <c r="Q24" s="807" t="s">
        <v>354</v>
      </c>
      <c r="R24" s="1501" t="s">
        <v>356</v>
      </c>
      <c r="S24" s="1503"/>
      <c r="T24" s="807" t="s">
        <v>354</v>
      </c>
    </row>
    <row r="25" spans="1:21" ht="18.75" customHeight="1" x14ac:dyDescent="0.25">
      <c r="A25" s="141"/>
      <c r="B25" s="1504" t="s">
        <v>357</v>
      </c>
      <c r="C25" s="1505"/>
      <c r="D25" s="808" t="str">
        <f>IF($Q$24="NO","",O25)</f>
        <v/>
      </c>
      <c r="E25" s="808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8" t="str">
        <f>IF($T$24="NO","",S25)</f>
        <v/>
      </c>
      <c r="I25" s="1506"/>
      <c r="J25" s="1506"/>
      <c r="K25" s="142"/>
      <c r="L25" s="124"/>
      <c r="M25" s="143"/>
      <c r="N25" s="146" t="s">
        <v>357</v>
      </c>
      <c r="O25" s="808">
        <v>1</v>
      </c>
      <c r="P25" s="808">
        <v>2</v>
      </c>
      <c r="Q25" s="144">
        <v>3</v>
      </c>
      <c r="R25" s="809">
        <v>1</v>
      </c>
      <c r="S25" s="809">
        <v>2</v>
      </c>
    </row>
    <row r="26" spans="1:21" ht="18.75" customHeight="1" x14ac:dyDescent="0.25">
      <c r="A26" s="141"/>
      <c r="B26" s="147" t="s">
        <v>30</v>
      </c>
      <c r="C26" s="148"/>
      <c r="D26" s="810" t="str">
        <f>IF($Q$24="NO","",O26)</f>
        <v/>
      </c>
      <c r="E26" s="810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10" t="str">
        <f>IF($T$24="NO","",S26)</f>
        <v/>
      </c>
      <c r="I26" s="1507"/>
      <c r="J26" s="1507"/>
      <c r="K26" s="151"/>
      <c r="L26" s="152"/>
      <c r="M26" s="143"/>
      <c r="N26" s="147" t="s">
        <v>30</v>
      </c>
      <c r="O26" s="811">
        <v>5</v>
      </c>
      <c r="P26" s="811">
        <v>3</v>
      </c>
      <c r="Q26" s="153">
        <v>4</v>
      </c>
      <c r="R26" s="812">
        <v>11</v>
      </c>
      <c r="S26" s="812">
        <v>10</v>
      </c>
    </row>
    <row r="27" spans="1:21" ht="18.75" customHeight="1" x14ac:dyDescent="0.25">
      <c r="A27" s="141"/>
      <c r="B27" s="147" t="s">
        <v>358</v>
      </c>
      <c r="C27" s="148"/>
      <c r="D27" s="810" t="str">
        <f t="shared" ref="D27:D33" si="1">IF($Q$24="NO","",O27)</f>
        <v/>
      </c>
      <c r="E27" s="810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358</v>
      </c>
      <c r="O27" s="813">
        <v>34</v>
      </c>
      <c r="P27" s="813">
        <v>23</v>
      </c>
      <c r="Q27" s="811">
        <v>14</v>
      </c>
      <c r="R27" s="158"/>
      <c r="S27" s="159"/>
    </row>
    <row r="28" spans="1:21" ht="18.75" customHeight="1" x14ac:dyDescent="0.25">
      <c r="A28" s="141"/>
      <c r="B28" s="147" t="s">
        <v>359</v>
      </c>
      <c r="C28" s="148"/>
      <c r="D28" s="810" t="str">
        <f t="shared" si="1"/>
        <v/>
      </c>
      <c r="E28" s="810" t="str">
        <f t="shared" si="0"/>
        <v/>
      </c>
      <c r="F28" s="149" t="str">
        <f t="shared" si="0"/>
        <v/>
      </c>
      <c r="G28" s="150" t="str">
        <f>IF($T$24="NO","",R28)</f>
        <v/>
      </c>
      <c r="H28" s="810" t="str">
        <f>IF($T$24="NO","",S28)</f>
        <v/>
      </c>
      <c r="I28" s="156"/>
      <c r="J28" s="156"/>
      <c r="K28" s="157"/>
      <c r="L28" s="124"/>
      <c r="M28" s="124"/>
      <c r="N28" s="147" t="s">
        <v>359</v>
      </c>
      <c r="O28" s="814">
        <v>45.75</v>
      </c>
      <c r="P28" s="814">
        <v>43.9</v>
      </c>
      <c r="Q28" s="160">
        <v>43.66</v>
      </c>
      <c r="R28" s="815">
        <v>23.05</v>
      </c>
      <c r="S28" s="815">
        <v>18.07</v>
      </c>
    </row>
    <row r="29" spans="1:21" ht="18.75" customHeight="1" x14ac:dyDescent="0.25">
      <c r="A29" s="141"/>
      <c r="B29" s="147" t="s">
        <v>360</v>
      </c>
      <c r="C29" s="148"/>
      <c r="D29" s="810" t="str">
        <f t="shared" si="1"/>
        <v/>
      </c>
      <c r="E29" s="810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10" t="str">
        <f t="shared" si="2"/>
        <v/>
      </c>
      <c r="I29" s="156"/>
      <c r="J29" s="156"/>
      <c r="K29" s="157"/>
      <c r="L29" s="124"/>
      <c r="M29" s="124"/>
      <c r="N29" s="147" t="s">
        <v>360</v>
      </c>
      <c r="O29" s="814">
        <v>41.37</v>
      </c>
      <c r="P29" s="814">
        <v>40.03</v>
      </c>
      <c r="Q29" s="160">
        <v>38.78</v>
      </c>
      <c r="R29" s="815">
        <v>22.63</v>
      </c>
      <c r="S29" s="815">
        <v>17.48</v>
      </c>
    </row>
    <row r="30" spans="1:21" ht="18.75" customHeight="1" x14ac:dyDescent="0.25">
      <c r="A30" s="141"/>
      <c r="B30" s="147" t="s">
        <v>361</v>
      </c>
      <c r="C30" s="148"/>
      <c r="D30" s="810" t="str">
        <f t="shared" si="1"/>
        <v/>
      </c>
      <c r="E30" s="810" t="str">
        <f t="shared" si="0"/>
        <v/>
      </c>
      <c r="F30" s="149" t="str">
        <f t="shared" si="0"/>
        <v/>
      </c>
      <c r="G30" s="150" t="str">
        <f t="shared" si="2"/>
        <v/>
      </c>
      <c r="H30" s="810" t="str">
        <f t="shared" si="2"/>
        <v/>
      </c>
      <c r="I30" s="156"/>
      <c r="J30" s="156"/>
      <c r="K30" s="157"/>
      <c r="L30" s="124"/>
      <c r="M30" s="124"/>
      <c r="N30" s="147" t="s">
        <v>361</v>
      </c>
      <c r="O30" s="814">
        <v>22.74</v>
      </c>
      <c r="P30" s="814">
        <v>24.18</v>
      </c>
      <c r="Q30" s="160">
        <v>19.97</v>
      </c>
      <c r="R30" s="815">
        <v>19.309999999999999</v>
      </c>
      <c r="S30" s="815">
        <v>13.01</v>
      </c>
    </row>
    <row r="31" spans="1:21" ht="18.75" customHeight="1" x14ac:dyDescent="0.25">
      <c r="A31" s="141"/>
      <c r="B31" s="147" t="s">
        <v>362</v>
      </c>
      <c r="C31" s="148"/>
      <c r="D31" s="810" t="str">
        <f t="shared" si="1"/>
        <v/>
      </c>
      <c r="E31" s="810" t="str">
        <f t="shared" si="0"/>
        <v/>
      </c>
      <c r="F31" s="149" t="str">
        <f t="shared" si="0"/>
        <v/>
      </c>
      <c r="G31" s="150" t="str">
        <f t="shared" si="2"/>
        <v/>
      </c>
      <c r="H31" s="810" t="str">
        <f t="shared" si="2"/>
        <v/>
      </c>
      <c r="I31" s="156"/>
      <c r="J31" s="156"/>
      <c r="K31" s="157"/>
      <c r="L31" s="124"/>
      <c r="M31" s="124"/>
      <c r="N31" s="147" t="s">
        <v>362</v>
      </c>
      <c r="O31" s="816">
        <f t="shared" ref="O31:Q32" si="3">+O28-O29</f>
        <v>4.3800000000000026</v>
      </c>
      <c r="P31" s="816">
        <f t="shared" si="3"/>
        <v>3.8699999999999974</v>
      </c>
      <c r="Q31" s="161">
        <f t="shared" si="3"/>
        <v>4.8799999999999955</v>
      </c>
      <c r="R31" s="817">
        <f>+R28-R29</f>
        <v>0.42000000000000171</v>
      </c>
      <c r="S31" s="817">
        <f>+S28-S29</f>
        <v>0.58999999999999986</v>
      </c>
    </row>
    <row r="32" spans="1:21" ht="18.75" customHeight="1" x14ac:dyDescent="0.25">
      <c r="A32" s="141"/>
      <c r="B32" s="147" t="s">
        <v>363</v>
      </c>
      <c r="C32" s="148"/>
      <c r="D32" s="810" t="str">
        <f t="shared" si="1"/>
        <v/>
      </c>
      <c r="E32" s="810" t="str">
        <f t="shared" si="0"/>
        <v/>
      </c>
      <c r="F32" s="149" t="str">
        <f t="shared" si="0"/>
        <v/>
      </c>
      <c r="G32" s="150" t="str">
        <f t="shared" si="2"/>
        <v/>
      </c>
      <c r="H32" s="810" t="str">
        <f t="shared" si="2"/>
        <v/>
      </c>
      <c r="I32" s="156"/>
      <c r="J32" s="156"/>
      <c r="K32" s="157"/>
      <c r="L32" s="124"/>
      <c r="M32" s="124"/>
      <c r="N32" s="147" t="s">
        <v>363</v>
      </c>
      <c r="O32" s="816">
        <f t="shared" si="3"/>
        <v>18.63</v>
      </c>
      <c r="P32" s="816">
        <f t="shared" si="3"/>
        <v>15.850000000000001</v>
      </c>
      <c r="Q32" s="161">
        <f t="shared" si="3"/>
        <v>18.810000000000002</v>
      </c>
      <c r="R32" s="817">
        <f>+R29-R30</f>
        <v>3.3200000000000003</v>
      </c>
      <c r="S32" s="817">
        <f>+S29-S30</f>
        <v>4.4700000000000006</v>
      </c>
    </row>
    <row r="33" spans="1:19" ht="18.75" customHeight="1" x14ac:dyDescent="0.25">
      <c r="A33" s="141"/>
      <c r="B33" s="147" t="s">
        <v>364</v>
      </c>
      <c r="C33" s="148"/>
      <c r="D33" s="818" t="str">
        <f t="shared" si="1"/>
        <v/>
      </c>
      <c r="E33" s="818" t="str">
        <f t="shared" si="0"/>
        <v/>
      </c>
      <c r="F33" s="162" t="str">
        <f t="shared" si="0"/>
        <v/>
      </c>
      <c r="G33" s="163" t="str">
        <f>IF($T$24="NO","",R33)</f>
        <v/>
      </c>
      <c r="H33" s="818" t="str">
        <f>IF($T$24="NO","",S33)</f>
        <v/>
      </c>
      <c r="I33" s="156"/>
      <c r="J33" s="156"/>
      <c r="K33" s="157"/>
      <c r="L33" s="124"/>
      <c r="M33" s="124"/>
      <c r="N33" s="147" t="s">
        <v>364</v>
      </c>
      <c r="O33" s="816">
        <f>+O31/O32*100</f>
        <v>23.510466988727874</v>
      </c>
      <c r="P33" s="816">
        <f>+P31/P32*100</f>
        <v>24.416403785488942</v>
      </c>
      <c r="Q33" s="161">
        <f>+Q31/Q32*100</f>
        <v>25.943646996278545</v>
      </c>
      <c r="R33" s="817">
        <f>+R31/R32*100</f>
        <v>12.650602409638603</v>
      </c>
      <c r="S33" s="817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9" t="s">
        <v>365</v>
      </c>
      <c r="H35" s="820" t="str">
        <f>+IF(Q24="NO","NP",O40)</f>
        <v>NP</v>
      </c>
      <c r="I35" s="166"/>
      <c r="J35" s="156"/>
      <c r="K35" s="157"/>
      <c r="L35" s="124"/>
      <c r="M35" s="124"/>
      <c r="N35" s="821" t="s">
        <v>366</v>
      </c>
      <c r="O35" s="821" t="s">
        <v>367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9" t="s">
        <v>368</v>
      </c>
      <c r="H38" s="820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21">
        <v>25</v>
      </c>
      <c r="O39" s="821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22" t="e">
        <f>+D33/(1.419-0.3*LOG10(D27))</f>
        <v>#VALUE!</v>
      </c>
      <c r="Q40" s="822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9" t="s">
        <v>369</v>
      </c>
      <c r="H41" s="820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22" t="e">
        <f>+AVERAGE(P40:Q40)</f>
        <v>#VALUE!</v>
      </c>
      <c r="Q41" s="822"/>
    </row>
    <row r="42" spans="1:19" ht="18.75" customHeight="1" x14ac:dyDescent="0.25">
      <c r="A42" s="823"/>
      <c r="B42" s="824"/>
      <c r="C42" s="824"/>
      <c r="D42" s="824"/>
      <c r="E42" s="824"/>
      <c r="F42" s="824"/>
      <c r="G42" s="824"/>
      <c r="H42" s="825"/>
      <c r="I42" s="825"/>
      <c r="J42" s="825"/>
      <c r="K42" s="181"/>
      <c r="L42" s="124"/>
      <c r="M42" s="124"/>
      <c r="N42" s="819" t="s">
        <v>368</v>
      </c>
      <c r="O42" s="177">
        <f>AVERAGE(R33:S33)</f>
        <v>12.924853777526234</v>
      </c>
      <c r="P42" s="165"/>
      <c r="Q42" s="182"/>
    </row>
    <row r="43" spans="1:19" ht="15.9" customHeight="1" x14ac:dyDescent="0.25">
      <c r="A43" s="169" t="s">
        <v>343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" customHeight="1" x14ac:dyDescent="0.25">
      <c r="A44" s="183" t="s">
        <v>345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" customHeight="1" x14ac:dyDescent="0.25">
      <c r="A46" s="185" t="s">
        <v>267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" customHeight="1" x14ac:dyDescent="0.25">
      <c r="A47" s="185" t="s">
        <v>347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" customHeight="1" x14ac:dyDescent="0.25"/>
    <row r="50" spans="1:11" ht="30.75" customHeight="1" x14ac:dyDescent="0.25">
      <c r="A50" s="1461" t="s">
        <v>349</v>
      </c>
      <c r="B50" s="1461"/>
      <c r="C50" s="1461"/>
      <c r="D50" s="1461"/>
      <c r="E50" s="1461"/>
      <c r="F50" s="1461"/>
      <c r="G50" s="1461"/>
      <c r="H50" s="1461"/>
      <c r="I50" s="1461"/>
      <c r="J50" s="1461"/>
      <c r="K50" s="1461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33203125" defaultRowHeight="13.8" x14ac:dyDescent="0.25"/>
  <cols>
    <col min="1" max="1" width="15.6640625" style="109" customWidth="1"/>
    <col min="2" max="2" width="2" style="109" customWidth="1"/>
    <col min="3" max="5" width="10.6640625" style="109" customWidth="1"/>
    <col min="6" max="7" width="13.6640625" style="109" customWidth="1"/>
    <col min="8" max="8" width="7.6640625" style="109" customWidth="1"/>
    <col min="9" max="9" width="1.5546875" style="109" customWidth="1"/>
    <col min="10" max="10" width="13.5546875" style="109" customWidth="1"/>
    <col min="11" max="11" width="6.44140625" style="109" customWidth="1"/>
    <col min="12" max="12" width="4.109375" style="109" customWidth="1"/>
    <col min="13" max="13" width="8" style="109" customWidth="1"/>
    <col min="14" max="14" width="10.33203125" style="109"/>
    <col min="15" max="15" width="18.33203125" style="109" customWidth="1"/>
    <col min="16" max="16384" width="10.332031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" customHeight="1" x14ac:dyDescent="0.25">
      <c r="A8" s="1520" t="s">
        <v>0</v>
      </c>
      <c r="B8" s="1520"/>
      <c r="C8" s="1520"/>
      <c r="D8" s="1520"/>
      <c r="E8" s="1520"/>
      <c r="F8" s="1520"/>
      <c r="G8" s="1520"/>
      <c r="H8" s="1520"/>
      <c r="I8" s="1520"/>
      <c r="J8" s="1520"/>
    </row>
    <row r="9" spans="1:17" ht="15.9" customHeight="1" x14ac:dyDescent="0.25">
      <c r="A9" s="1523">
        <f>J13</f>
        <v>1</v>
      </c>
      <c r="B9" s="1523"/>
      <c r="C9" s="1523"/>
      <c r="D9" s="1523"/>
      <c r="E9" s="1523"/>
      <c r="F9" s="1523"/>
      <c r="G9" s="1523"/>
      <c r="H9" s="1523"/>
      <c r="I9" s="1523"/>
      <c r="J9" s="1523"/>
      <c r="O9" s="119"/>
    </row>
    <row r="10" spans="1:17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" customHeight="1" x14ac:dyDescent="0.25">
      <c r="A11" s="21" t="s">
        <v>280</v>
      </c>
      <c r="B11" s="22" t="s">
        <v>2</v>
      </c>
      <c r="C11" s="1522" t="s">
        <v>281</v>
      </c>
      <c r="D11" s="1522"/>
      <c r="E11" s="1522"/>
      <c r="F11" s="1522"/>
      <c r="G11" s="1522"/>
      <c r="H11" s="121" t="s">
        <v>3</v>
      </c>
      <c r="I11" s="122" t="s">
        <v>2</v>
      </c>
      <c r="J11" s="126" t="s">
        <v>370</v>
      </c>
      <c r="K11" s="124"/>
      <c r="L11" s="124"/>
      <c r="M11" s="124"/>
      <c r="O11" s="125"/>
    </row>
    <row r="12" spans="1:17" ht="15.9" customHeight="1" x14ac:dyDescent="0.25">
      <c r="A12" s="21" t="s">
        <v>285</v>
      </c>
      <c r="B12" s="22" t="s">
        <v>2</v>
      </c>
      <c r="C12" s="1522" t="s">
        <v>286</v>
      </c>
      <c r="D12" s="1522"/>
      <c r="E12" s="1522"/>
      <c r="F12" s="1522"/>
      <c r="G12" s="1522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" customHeight="1" x14ac:dyDescent="0.25">
      <c r="A13" s="21" t="s">
        <v>290</v>
      </c>
      <c r="B13" s="22" t="s">
        <v>2</v>
      </c>
      <c r="C13" s="1522" t="s">
        <v>291</v>
      </c>
      <c r="D13" s="1522"/>
      <c r="E13" s="1522"/>
      <c r="F13" s="1522"/>
      <c r="G13" s="1522"/>
      <c r="H13" s="26" t="s">
        <v>292</v>
      </c>
      <c r="I13" s="22" t="s">
        <v>2</v>
      </c>
      <c r="J13" s="246">
        <v>1</v>
      </c>
      <c r="K13" s="124"/>
      <c r="L13" s="124"/>
      <c r="M13" s="124"/>
      <c r="P13" s="1519"/>
      <c r="Q13" s="1519"/>
    </row>
    <row r="14" spans="1:17" ht="15.9" customHeight="1" x14ac:dyDescent="0.25">
      <c r="A14" s="21"/>
      <c r="B14" s="22"/>
      <c r="C14" s="738"/>
      <c r="D14" s="738"/>
      <c r="E14" s="738"/>
      <c r="F14" s="738"/>
      <c r="G14" s="738"/>
      <c r="H14" s="26"/>
      <c r="I14" s="22"/>
      <c r="J14" s="130"/>
      <c r="K14" s="124"/>
      <c r="L14" s="124"/>
      <c r="M14" s="124"/>
      <c r="P14" s="737"/>
      <c r="Q14" s="737"/>
    </row>
    <row r="15" spans="1:17" ht="34.950000000000003" customHeight="1" x14ac:dyDescent="0.25">
      <c r="A15" s="1508" t="s">
        <v>371</v>
      </c>
      <c r="B15" s="1509"/>
      <c r="C15" s="1509"/>
      <c r="D15" s="1509"/>
      <c r="E15" s="1509"/>
      <c r="F15" s="1509"/>
      <c r="G15" s="1509"/>
      <c r="H15" s="1509"/>
      <c r="I15" s="1509"/>
      <c r="J15" s="1510"/>
      <c r="K15" s="124"/>
      <c r="L15" s="124"/>
    </row>
    <row r="16" spans="1:17" ht="18" customHeight="1" x14ac:dyDescent="0.25">
      <c r="A16" s="1511" t="s">
        <v>372</v>
      </c>
      <c r="B16" s="1512"/>
      <c r="C16" s="1512"/>
      <c r="D16" s="1512"/>
      <c r="E16" s="1512"/>
      <c r="F16" s="1512"/>
      <c r="G16" s="1512"/>
      <c r="H16" s="1512"/>
      <c r="I16" s="1512"/>
      <c r="J16" s="1513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802"/>
      <c r="K17" s="124"/>
      <c r="L17" s="124"/>
    </row>
    <row r="18" spans="1:18" ht="15.9" customHeight="1" x14ac:dyDescent="0.25">
      <c r="A18" s="1483" t="s">
        <v>13</v>
      </c>
      <c r="B18" s="1484"/>
      <c r="C18" s="1484"/>
      <c r="D18" s="1484"/>
      <c r="E18" s="1484"/>
      <c r="F18" s="1484"/>
      <c r="G18" s="1484"/>
      <c r="H18" s="1484"/>
      <c r="I18" s="1484"/>
      <c r="J18" s="1485"/>
      <c r="L18" s="124"/>
    </row>
    <row r="19" spans="1:18" ht="15.9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34"/>
      <c r="H19" s="33" t="s">
        <v>313</v>
      </c>
      <c r="I19" s="135" t="s">
        <v>2</v>
      </c>
      <c r="J19" s="136"/>
      <c r="L19" s="124"/>
    </row>
    <row r="20" spans="1:18" ht="15.9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316</v>
      </c>
      <c r="I20" s="135" t="s">
        <v>2</v>
      </c>
      <c r="J20" s="137">
        <v>43831</v>
      </c>
      <c r="L20" s="124"/>
    </row>
    <row r="21" spans="1:18" ht="15.9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34"/>
      <c r="H21" s="33" t="s">
        <v>320</v>
      </c>
      <c r="I21" s="135" t="s">
        <v>2</v>
      </c>
      <c r="J21" s="137">
        <v>43844</v>
      </c>
      <c r="L21" s="124"/>
    </row>
    <row r="22" spans="1:18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2" customHeight="1" x14ac:dyDescent="0.25">
      <c r="A23" s="826"/>
      <c r="B23" s="248"/>
      <c r="C23" s="248"/>
      <c r="D23" s="248"/>
      <c r="E23" s="248"/>
      <c r="F23" s="248"/>
      <c r="G23" s="248"/>
      <c r="H23" s="248"/>
      <c r="I23" s="248"/>
      <c r="J23" s="827"/>
      <c r="K23" s="249"/>
      <c r="L23" s="249"/>
      <c r="M23" s="249"/>
      <c r="N23" s="249"/>
      <c r="O23" s="249"/>
      <c r="P23" s="250"/>
      <c r="Q23" s="250"/>
      <c r="R23" s="249"/>
    </row>
    <row r="24" spans="1:18" ht="19.2" customHeight="1" x14ac:dyDescent="0.25">
      <c r="A24" s="251"/>
      <c r="B24" s="249"/>
      <c r="C24" s="1524" t="s">
        <v>88</v>
      </c>
      <c r="D24" s="1525"/>
      <c r="E24" s="1525"/>
      <c r="F24" s="1526"/>
      <c r="G24" s="249"/>
      <c r="H24" s="249"/>
      <c r="I24" s="249"/>
      <c r="J24" s="252"/>
      <c r="K24" s="249"/>
      <c r="L24" s="249"/>
      <c r="M24" s="253" t="s">
        <v>373</v>
      </c>
      <c r="N24" s="254" t="s">
        <v>374</v>
      </c>
      <c r="O24" s="255"/>
      <c r="P24" s="256"/>
      <c r="Q24" s="257"/>
      <c r="R24" s="258">
        <v>935.9</v>
      </c>
    </row>
    <row r="25" spans="1:18" ht="19.2" customHeight="1" x14ac:dyDescent="0.25">
      <c r="A25" s="251"/>
      <c r="B25" s="173"/>
      <c r="C25" s="254" t="s">
        <v>374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375</v>
      </c>
      <c r="N25" s="265" t="s">
        <v>376</v>
      </c>
      <c r="O25" s="266"/>
      <c r="P25" s="267"/>
      <c r="Q25" s="268"/>
      <c r="R25" s="269">
        <v>606.5</v>
      </c>
    </row>
    <row r="26" spans="1:18" ht="19.2" customHeight="1" x14ac:dyDescent="0.25">
      <c r="A26" s="251"/>
      <c r="B26" s="173"/>
      <c r="C26" s="265" t="s">
        <v>376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377</v>
      </c>
      <c r="N26" s="265" t="s">
        <v>378</v>
      </c>
      <c r="O26" s="266"/>
      <c r="P26" s="267"/>
      <c r="Q26" s="268"/>
      <c r="R26" s="269">
        <v>928.2</v>
      </c>
    </row>
    <row r="27" spans="1:18" ht="19.2" customHeight="1" x14ac:dyDescent="0.25">
      <c r="A27" s="251"/>
      <c r="B27" s="173"/>
      <c r="C27" s="265" t="s">
        <v>378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379</v>
      </c>
      <c r="N27" s="265" t="s">
        <v>380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7"/>
      <c r="D28" s="1527"/>
      <c r="E28" s="1527"/>
      <c r="F28" s="1527"/>
      <c r="G28" s="247"/>
      <c r="H28" s="260"/>
      <c r="I28" s="260"/>
      <c r="J28" s="273"/>
      <c r="K28" s="249"/>
      <c r="L28" s="249"/>
      <c r="M28" s="264" t="s">
        <v>381</v>
      </c>
      <c r="N28" s="265" t="s">
        <v>382</v>
      </c>
      <c r="O28" s="266"/>
      <c r="P28" s="267"/>
      <c r="Q28" s="268"/>
      <c r="R28" s="274">
        <f>R24/(R24-R25)</f>
        <v>2.8412264723740135</v>
      </c>
    </row>
    <row r="29" spans="1:18" ht="19.2" customHeight="1" x14ac:dyDescent="0.25">
      <c r="A29" s="251"/>
      <c r="B29" s="173"/>
      <c r="C29" s="1524" t="s">
        <v>383</v>
      </c>
      <c r="D29" s="1525"/>
      <c r="E29" s="1525"/>
      <c r="F29" s="1526"/>
      <c r="G29" s="275" t="s">
        <v>384</v>
      </c>
      <c r="H29" s="276"/>
      <c r="I29" s="260"/>
      <c r="J29" s="273"/>
      <c r="K29" s="249"/>
      <c r="L29" s="249"/>
      <c r="M29" s="264" t="s">
        <v>385</v>
      </c>
      <c r="N29" s="265" t="s">
        <v>386</v>
      </c>
      <c r="O29" s="266"/>
      <c r="P29" s="267"/>
      <c r="Q29" s="268"/>
      <c r="R29" s="274">
        <f>R26/(R26-R25)</f>
        <v>2.885296860428971</v>
      </c>
    </row>
    <row r="30" spans="1:18" ht="19.2" customHeight="1" x14ac:dyDescent="0.25">
      <c r="A30" s="251"/>
      <c r="B30" s="167"/>
      <c r="C30" s="277" t="s">
        <v>387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388</v>
      </c>
      <c r="N30" s="285" t="s">
        <v>389</v>
      </c>
      <c r="O30" s="286"/>
      <c r="P30" s="287"/>
      <c r="Q30" s="288"/>
      <c r="R30" s="289">
        <f>((R24-R26)/R26*100)</f>
        <v>0.82956259426846912</v>
      </c>
    </row>
    <row r="31" spans="1:18" ht="19.2" customHeight="1" x14ac:dyDescent="0.25">
      <c r="A31" s="251"/>
      <c r="B31" s="167"/>
      <c r="C31" s="265" t="s">
        <v>390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2" customHeight="1" x14ac:dyDescent="0.25">
      <c r="A32" s="251"/>
      <c r="B32" s="167"/>
      <c r="C32" s="265" t="s">
        <v>391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2" customHeight="1" x14ac:dyDescent="0.25">
      <c r="A33" s="251"/>
      <c r="B33" s="167"/>
      <c r="C33" s="285" t="s">
        <v>392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2" customHeight="1" x14ac:dyDescent="0.25">
      <c r="A34" s="828"/>
      <c r="B34" s="293"/>
      <c r="C34" s="293"/>
      <c r="D34" s="293"/>
      <c r="E34" s="293"/>
      <c r="F34" s="294"/>
      <c r="G34" s="294"/>
      <c r="H34" s="294"/>
      <c r="I34" s="294"/>
      <c r="J34" s="829"/>
      <c r="K34" s="295"/>
      <c r="L34" s="295"/>
      <c r="M34" s="295"/>
      <c r="N34" s="295"/>
      <c r="O34" s="295"/>
      <c r="P34" s="295"/>
      <c r="Q34" s="295"/>
      <c r="R34" s="295"/>
    </row>
    <row r="35" spans="1:18" ht="15.9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" customHeight="1" x14ac:dyDescent="0.25">
      <c r="A36" s="169" t="s">
        <v>343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" customHeight="1" x14ac:dyDescent="0.25">
      <c r="A37" s="297" t="s">
        <v>345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" customHeight="1" x14ac:dyDescent="0.25">
      <c r="A50" s="298" t="s">
        <v>267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" customHeight="1" x14ac:dyDescent="0.25">
      <c r="A51" s="298" t="s">
        <v>347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" customHeight="1" x14ac:dyDescent="0.25"/>
    <row r="54" spans="1:13" ht="30.75" customHeight="1" x14ac:dyDescent="0.25">
      <c r="A54" s="1461" t="s">
        <v>349</v>
      </c>
      <c r="B54" s="1461"/>
      <c r="C54" s="1461"/>
      <c r="D54" s="1461"/>
      <c r="E54" s="1461"/>
      <c r="F54" s="1461"/>
      <c r="G54" s="1461"/>
      <c r="H54" s="1461"/>
      <c r="I54" s="1461"/>
      <c r="J54" s="1461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77" customWidth="1"/>
    <col min="2" max="2" width="10.44140625" style="77" customWidth="1"/>
    <col min="3" max="3" width="18.109375" style="77" bestFit="1" customWidth="1"/>
    <col min="4" max="5" width="11.44140625" style="77"/>
    <col min="6" max="6" width="32.88671875" style="77" customWidth="1"/>
    <col min="7" max="7" width="16.88671875" style="77" customWidth="1"/>
    <col min="8" max="8" width="15.5546875" style="77" customWidth="1"/>
    <col min="9" max="15" width="11.44140625" style="77"/>
    <col min="16" max="16" width="20.5546875" style="77" customWidth="1"/>
    <col min="17" max="17" width="13.44140625" style="77" customWidth="1"/>
    <col min="18" max="16384" width="11.44140625" style="77"/>
  </cols>
  <sheetData>
    <row r="1" spans="1:17" x14ac:dyDescent="0.25">
      <c r="A1" s="82" t="s">
        <v>393</v>
      </c>
      <c r="B1" s="1545" t="s">
        <v>394</v>
      </c>
      <c r="C1" s="1545"/>
      <c r="D1" s="1545"/>
      <c r="E1" s="1545"/>
      <c r="F1" s="1545"/>
      <c r="G1" s="1545"/>
      <c r="H1" s="1545"/>
      <c r="I1" s="82"/>
    </row>
    <row r="2" spans="1:17" x14ac:dyDescent="0.25">
      <c r="A2" s="82"/>
      <c r="B2" s="739"/>
      <c r="C2" s="739"/>
      <c r="D2" s="739"/>
      <c r="E2" s="739"/>
      <c r="F2" s="739"/>
      <c r="G2" s="739"/>
      <c r="H2" s="739"/>
      <c r="I2" s="82"/>
      <c r="L2" s="83" t="str">
        <f>+A.Granul!O4</f>
        <v>Inorganico</v>
      </c>
    </row>
    <row r="3" spans="1:17" x14ac:dyDescent="0.25">
      <c r="A3" s="82"/>
      <c r="B3" s="84" t="s">
        <v>395</v>
      </c>
      <c r="C3" s="85">
        <f>+A.Granul!S35</f>
        <v>13.456812316430202</v>
      </c>
      <c r="D3" s="84" t="s">
        <v>396</v>
      </c>
      <c r="E3" s="85">
        <f>+A.Granul!P60</f>
        <v>135.56727963906141</v>
      </c>
      <c r="F3" s="82"/>
      <c r="G3" s="82"/>
      <c r="H3" s="739"/>
      <c r="I3" s="82"/>
      <c r="K3" s="83" t="s">
        <v>397</v>
      </c>
      <c r="L3" s="83">
        <f>+IF(N_10="NP",0,N_10)</f>
        <v>0</v>
      </c>
    </row>
    <row r="4" spans="1:17" ht="15.6" x14ac:dyDescent="0.3">
      <c r="A4" s="82"/>
      <c r="B4" s="84" t="s">
        <v>398</v>
      </c>
      <c r="C4" s="85">
        <f>+A.Granul!S27</f>
        <v>54.211194502306476</v>
      </c>
      <c r="D4" s="84" t="s">
        <v>399</v>
      </c>
      <c r="E4" s="85">
        <f>+A.Granul!P61</f>
        <v>0.64946683219708234</v>
      </c>
      <c r="F4" s="86" t="s">
        <v>400</v>
      </c>
      <c r="G4" s="87" t="str">
        <f>+Q9</f>
        <v>GM</v>
      </c>
      <c r="H4" s="88"/>
      <c r="I4" s="82"/>
      <c r="K4" s="83" t="s">
        <v>401</v>
      </c>
      <c r="L4" s="83">
        <f>+IF(C6="NP",0,C6)</f>
        <v>0</v>
      </c>
    </row>
    <row r="5" spans="1:17" x14ac:dyDescent="0.25">
      <c r="A5" s="82"/>
      <c r="B5" s="84" t="s">
        <v>402</v>
      </c>
      <c r="C5" s="85" t="str">
        <f>+'LL-LP'!H35</f>
        <v>NP</v>
      </c>
      <c r="D5" s="739"/>
      <c r="E5" s="739"/>
      <c r="F5" s="84"/>
      <c r="G5" s="739"/>
      <c r="H5" s="739"/>
      <c r="I5" s="82"/>
      <c r="K5" s="83" t="s">
        <v>403</v>
      </c>
      <c r="L5" s="89">
        <f>IF(OR(E3="----",E3=""),0,E3)</f>
        <v>135.56727963906141</v>
      </c>
    </row>
    <row r="6" spans="1:17" x14ac:dyDescent="0.25">
      <c r="A6" s="82"/>
      <c r="B6" s="84" t="s">
        <v>404</v>
      </c>
      <c r="C6" s="85" t="str">
        <f>+'LL-LP'!H41</f>
        <v>NP</v>
      </c>
      <c r="D6" s="739"/>
      <c r="E6" s="739"/>
      <c r="F6" s="84"/>
      <c r="G6" s="739"/>
      <c r="H6" s="739"/>
      <c r="I6" s="82"/>
      <c r="K6" s="89" t="s">
        <v>405</v>
      </c>
      <c r="L6" s="89">
        <f>IF(OR(E4="----",E4=""),0,E4)</f>
        <v>0.64946683219708234</v>
      </c>
    </row>
    <row r="7" spans="1:17" x14ac:dyDescent="0.25">
      <c r="A7" s="82"/>
      <c r="B7" s="82"/>
      <c r="C7" s="739"/>
      <c r="D7" s="82"/>
      <c r="E7" s="82"/>
      <c r="F7" s="82"/>
      <c r="G7" s="82"/>
      <c r="H7" s="82"/>
      <c r="I7" s="82"/>
    </row>
    <row r="8" spans="1:17" ht="44.25" customHeight="1" x14ac:dyDescent="0.25">
      <c r="A8" s="82"/>
      <c r="B8" s="1546" t="s">
        <v>406</v>
      </c>
      <c r="C8" s="1546"/>
      <c r="D8" s="1546"/>
      <c r="E8" s="830" t="s">
        <v>407</v>
      </c>
      <c r="F8" s="831" t="s">
        <v>408</v>
      </c>
      <c r="G8" s="1547" t="s">
        <v>409</v>
      </c>
      <c r="H8" s="1547"/>
      <c r="I8" s="82"/>
      <c r="L8" s="90" t="s">
        <v>410</v>
      </c>
      <c r="M8" s="1548" t="s">
        <v>411</v>
      </c>
      <c r="N8" s="1548"/>
      <c r="O8" s="91" t="s">
        <v>412</v>
      </c>
      <c r="P8" s="90" t="s">
        <v>413</v>
      </c>
      <c r="Q8" s="92" t="s">
        <v>414</v>
      </c>
    </row>
    <row r="9" spans="1:17" ht="36.75" customHeight="1" x14ac:dyDescent="0.25">
      <c r="A9" s="82"/>
      <c r="B9" s="1549" t="s">
        <v>415</v>
      </c>
      <c r="C9" s="1551" t="s">
        <v>416</v>
      </c>
      <c r="D9" s="1553" t="s">
        <v>417</v>
      </c>
      <c r="E9" s="832" t="s">
        <v>418</v>
      </c>
      <c r="F9" s="833" t="s">
        <v>419</v>
      </c>
      <c r="G9" s="1554" t="s">
        <v>420</v>
      </c>
      <c r="H9" s="1555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82"/>
      <c r="B10" s="1549"/>
      <c r="C10" s="1551"/>
      <c r="D10" s="1553"/>
      <c r="E10" s="834" t="s">
        <v>421</v>
      </c>
      <c r="F10" s="835" t="s">
        <v>422</v>
      </c>
      <c r="G10" s="1556" t="s">
        <v>423</v>
      </c>
      <c r="H10" s="1557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5">
      <c r="A11" s="82"/>
      <c r="B11" s="1549"/>
      <c r="C11" s="1551"/>
      <c r="D11" s="1553" t="s">
        <v>424</v>
      </c>
      <c r="E11" s="834" t="s">
        <v>425</v>
      </c>
      <c r="F11" s="836" t="s">
        <v>426</v>
      </c>
      <c r="G11" s="837" t="s">
        <v>427</v>
      </c>
      <c r="H11" s="1558" t="s">
        <v>428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5">
      <c r="A12" s="82"/>
      <c r="B12" s="1549"/>
      <c r="C12" s="1552"/>
      <c r="D12" s="1553"/>
      <c r="E12" s="93" t="s">
        <v>429</v>
      </c>
      <c r="F12" s="835" t="s">
        <v>430</v>
      </c>
      <c r="G12" s="837" t="s">
        <v>431</v>
      </c>
      <c r="H12" s="1559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5">
      <c r="A13" s="82"/>
      <c r="B13" s="1549"/>
      <c r="C13" s="1551" t="s">
        <v>432</v>
      </c>
      <c r="D13" s="1553" t="s">
        <v>433</v>
      </c>
      <c r="E13" s="838" t="s">
        <v>434</v>
      </c>
      <c r="F13" s="839" t="s">
        <v>435</v>
      </c>
      <c r="G13" s="1560" t="s">
        <v>436</v>
      </c>
      <c r="H13" s="1561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5">
      <c r="A14" s="82"/>
      <c r="B14" s="1549"/>
      <c r="C14" s="1551"/>
      <c r="D14" s="1553"/>
      <c r="E14" s="838" t="s">
        <v>437</v>
      </c>
      <c r="F14" s="839" t="s">
        <v>438</v>
      </c>
      <c r="G14" s="1560" t="s">
        <v>439</v>
      </c>
      <c r="H14" s="1561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5">
      <c r="A15" s="82"/>
      <c r="B15" s="1549"/>
      <c r="C15" s="1551"/>
      <c r="D15" s="1553" t="s">
        <v>440</v>
      </c>
      <c r="E15" s="838" t="s">
        <v>441</v>
      </c>
      <c r="F15" s="840" t="s">
        <v>442</v>
      </c>
      <c r="G15" s="841" t="s">
        <v>443</v>
      </c>
      <c r="H15" s="1528" t="s">
        <v>444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5">
      <c r="A16" s="82"/>
      <c r="B16" s="1550"/>
      <c r="C16" s="1551"/>
      <c r="D16" s="1553"/>
      <c r="E16" s="94" t="s">
        <v>445</v>
      </c>
      <c r="F16" s="840" t="s">
        <v>446</v>
      </c>
      <c r="G16" s="839" t="s">
        <v>447</v>
      </c>
      <c r="H16" s="1529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5">
      <c r="A17" s="82"/>
      <c r="B17" s="1530" t="s">
        <v>448</v>
      </c>
      <c r="C17" s="1533" t="s">
        <v>449</v>
      </c>
      <c r="D17" s="1534"/>
      <c r="E17" s="842" t="s">
        <v>450</v>
      </c>
      <c r="F17" s="843" t="s">
        <v>451</v>
      </c>
      <c r="G17" s="1539" t="s">
        <v>452</v>
      </c>
      <c r="H17" s="1540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5">
      <c r="A18" s="82"/>
      <c r="B18" s="1531"/>
      <c r="C18" s="1535"/>
      <c r="D18" s="1536"/>
      <c r="E18" s="842" t="s">
        <v>453</v>
      </c>
      <c r="F18" s="843" t="s">
        <v>454</v>
      </c>
      <c r="G18" s="1541"/>
      <c r="H18" s="1542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5">
      <c r="A19" s="82"/>
      <c r="B19" s="1531"/>
      <c r="C19" s="1537"/>
      <c r="D19" s="1538"/>
      <c r="E19" s="842" t="s">
        <v>455</v>
      </c>
      <c r="F19" s="95" t="s">
        <v>456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5">
      <c r="A20" s="82"/>
      <c r="B20" s="1531"/>
      <c r="C20" s="1535" t="s">
        <v>457</v>
      </c>
      <c r="D20" s="1543"/>
      <c r="E20" s="844" t="s">
        <v>458</v>
      </c>
      <c r="F20" s="97" t="s">
        <v>459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5">
      <c r="A21" s="82"/>
      <c r="B21" s="1531"/>
      <c r="C21" s="1535"/>
      <c r="D21" s="1543"/>
      <c r="E21" s="844" t="s">
        <v>145</v>
      </c>
      <c r="F21" s="97" t="s">
        <v>460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5">
      <c r="A22" s="82"/>
      <c r="B22" s="1531"/>
      <c r="C22" s="1537"/>
      <c r="D22" s="1544"/>
      <c r="E22" s="98" t="s">
        <v>461</v>
      </c>
      <c r="F22" s="97" t="s">
        <v>462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5">
      <c r="A23" s="82"/>
      <c r="B23" s="1531"/>
      <c r="C23" s="1533" t="s">
        <v>463</v>
      </c>
      <c r="D23" s="1534"/>
      <c r="E23" s="845" t="s">
        <v>464</v>
      </c>
      <c r="F23" s="846" t="s">
        <v>465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5">
      <c r="A24" s="82"/>
      <c r="B24" s="1532"/>
      <c r="C24" s="847"/>
      <c r="D24" s="848"/>
      <c r="E24" s="849"/>
      <c r="F24" s="850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5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5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5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5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5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5">
      <c r="F30" s="103"/>
    </row>
    <row r="31" spans="1:16" x14ac:dyDescent="0.25">
      <c r="F31" s="103"/>
    </row>
    <row r="32" spans="1:16" x14ac:dyDescent="0.25">
      <c r="F32" s="103"/>
    </row>
    <row r="33" spans="6:6" x14ac:dyDescent="0.25">
      <c r="F33" s="103"/>
    </row>
    <row r="34" spans="6:6" x14ac:dyDescent="0.25">
      <c r="F34" s="103"/>
    </row>
    <row r="35" spans="6:6" x14ac:dyDescent="0.25">
      <c r="F35" s="103"/>
    </row>
    <row r="36" spans="6:6" x14ac:dyDescent="0.25">
      <c r="F36" s="103"/>
    </row>
    <row r="37" spans="6:6" x14ac:dyDescent="0.25">
      <c r="F37" s="103"/>
    </row>
    <row r="38" spans="6:6" x14ac:dyDescent="0.25">
      <c r="F38" s="103"/>
    </row>
    <row r="39" spans="6:6" x14ac:dyDescent="0.25">
      <c r="F39" s="103"/>
    </row>
    <row r="40" spans="6:6" x14ac:dyDescent="0.25">
      <c r="F40" s="103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77" customWidth="1"/>
    <col min="2" max="2" width="18.88671875" style="77" customWidth="1"/>
    <col min="3" max="3" width="6.44140625" style="77" customWidth="1"/>
    <col min="4" max="15" width="7.88671875" style="77" customWidth="1"/>
    <col min="16" max="17" width="11.5546875" style="54"/>
    <col min="18" max="16384" width="11.5546875" style="77"/>
  </cols>
  <sheetData>
    <row r="1" spans="1:16" x14ac:dyDescent="0.25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5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3">
      <c r="A4" s="53"/>
      <c r="B4" s="1568" t="s">
        <v>466</v>
      </c>
      <c r="C4" s="1569"/>
      <c r="D4" s="1570" t="s">
        <v>467</v>
      </c>
      <c r="E4" s="1570"/>
      <c r="F4" s="1570"/>
      <c r="G4" s="1570"/>
      <c r="H4" s="1570"/>
      <c r="I4" s="1570"/>
      <c r="J4" s="1570"/>
      <c r="K4" s="1571" t="s">
        <v>468</v>
      </c>
      <c r="L4" s="1572"/>
      <c r="M4" s="1572"/>
      <c r="N4" s="1572"/>
      <c r="O4" s="1573"/>
    </row>
    <row r="5" spans="1:16" x14ac:dyDescent="0.25">
      <c r="A5" s="53"/>
      <c r="B5" s="1574" t="s">
        <v>469</v>
      </c>
      <c r="C5" s="1575"/>
      <c r="D5" s="1578" t="s">
        <v>470</v>
      </c>
      <c r="E5" s="1579"/>
      <c r="F5" s="1580" t="s">
        <v>471</v>
      </c>
      <c r="G5" s="1578" t="s">
        <v>472</v>
      </c>
      <c r="H5" s="1582"/>
      <c r="I5" s="1582"/>
      <c r="J5" s="1579"/>
      <c r="K5" s="1583" t="s">
        <v>473</v>
      </c>
      <c r="L5" s="1585" t="s">
        <v>474</v>
      </c>
      <c r="M5" s="1587" t="s">
        <v>475</v>
      </c>
      <c r="N5" s="1589" t="s">
        <v>476</v>
      </c>
      <c r="O5" s="1590"/>
    </row>
    <row r="6" spans="1:16" x14ac:dyDescent="0.25">
      <c r="A6" s="53"/>
      <c r="B6" s="1576"/>
      <c r="C6" s="1577"/>
      <c r="D6" s="851" t="s">
        <v>477</v>
      </c>
      <c r="E6" s="852" t="s">
        <v>478</v>
      </c>
      <c r="F6" s="1581"/>
      <c r="G6" s="851" t="s">
        <v>479</v>
      </c>
      <c r="H6" s="853" t="s">
        <v>480</v>
      </c>
      <c r="I6" s="854" t="s">
        <v>481</v>
      </c>
      <c r="J6" s="852" t="s">
        <v>482</v>
      </c>
      <c r="K6" s="1584"/>
      <c r="L6" s="1586"/>
      <c r="M6" s="1588"/>
      <c r="N6" s="855" t="s">
        <v>483</v>
      </c>
      <c r="O6" s="856" t="s">
        <v>484</v>
      </c>
    </row>
    <row r="7" spans="1:16" x14ac:dyDescent="0.25">
      <c r="A7" s="53"/>
      <c r="B7" s="57"/>
      <c r="C7" s="857"/>
      <c r="D7" s="58"/>
      <c r="E7" s="858"/>
      <c r="F7" s="59"/>
      <c r="G7" s="58"/>
      <c r="H7" s="859"/>
      <c r="I7" s="59"/>
      <c r="J7" s="858"/>
      <c r="K7" s="60"/>
      <c r="L7" s="61"/>
      <c r="M7" s="62"/>
      <c r="N7" s="60"/>
      <c r="O7" s="860"/>
    </row>
    <row r="8" spans="1:16" x14ac:dyDescent="0.25">
      <c r="A8" s="53"/>
      <c r="B8" s="63" t="s">
        <v>485</v>
      </c>
      <c r="C8" s="857"/>
      <c r="D8" s="58"/>
      <c r="E8" s="858"/>
      <c r="F8" s="59"/>
      <c r="G8" s="58"/>
      <c r="H8" s="859"/>
      <c r="I8" s="59"/>
      <c r="J8" s="858"/>
      <c r="K8" s="60"/>
      <c r="L8" s="61"/>
      <c r="M8" s="62"/>
      <c r="N8" s="60"/>
      <c r="O8" s="860"/>
    </row>
    <row r="9" spans="1:16" x14ac:dyDescent="0.25">
      <c r="A9" s="53"/>
      <c r="B9" s="63" t="s">
        <v>486</v>
      </c>
      <c r="C9" s="857"/>
      <c r="D9" s="58"/>
      <c r="E9" s="858"/>
      <c r="F9" s="59"/>
      <c r="G9" s="58"/>
      <c r="H9" s="859"/>
      <c r="I9" s="59"/>
      <c r="J9" s="858"/>
      <c r="K9" s="60"/>
      <c r="L9" s="61"/>
      <c r="M9" s="62"/>
      <c r="N9" s="60"/>
      <c r="O9" s="860"/>
    </row>
    <row r="10" spans="1:16" x14ac:dyDescent="0.25">
      <c r="A10" s="53"/>
      <c r="B10" s="64"/>
      <c r="C10" s="857"/>
      <c r="D10" s="58"/>
      <c r="E10" s="858"/>
      <c r="F10" s="59"/>
      <c r="G10" s="58"/>
      <c r="H10" s="859"/>
      <c r="I10" s="59"/>
      <c r="J10" s="858"/>
      <c r="K10" s="60"/>
      <c r="L10" s="61"/>
      <c r="M10" s="62"/>
      <c r="N10" s="60"/>
      <c r="O10" s="860"/>
    </row>
    <row r="11" spans="1:16" x14ac:dyDescent="0.25">
      <c r="A11" s="53"/>
      <c r="B11" s="65" t="s">
        <v>487</v>
      </c>
      <c r="C11" s="861">
        <f>+A.Granul!S29</f>
        <v>47.356367351557068</v>
      </c>
      <c r="D11" s="58" t="s">
        <v>488</v>
      </c>
      <c r="E11" s="858"/>
      <c r="F11" s="59"/>
      <c r="G11" s="58"/>
      <c r="H11" s="859"/>
      <c r="I11" s="59"/>
      <c r="J11" s="858"/>
      <c r="K11" s="60"/>
      <c r="L11" s="61"/>
      <c r="M11" s="62"/>
      <c r="N11" s="60"/>
      <c r="O11" s="860"/>
    </row>
    <row r="12" spans="1:16" x14ac:dyDescent="0.25">
      <c r="A12" s="53"/>
      <c r="B12" s="65" t="s">
        <v>489</v>
      </c>
      <c r="C12" s="861">
        <f>+A.Granul!S32</f>
        <v>27.175831135894526</v>
      </c>
      <c r="D12" s="58" t="s">
        <v>490</v>
      </c>
      <c r="E12" s="858" t="s">
        <v>488</v>
      </c>
      <c r="F12" s="59" t="s">
        <v>491</v>
      </c>
      <c r="G12" s="58"/>
      <c r="H12" s="859"/>
      <c r="I12" s="59"/>
      <c r="J12" s="858"/>
      <c r="K12" s="60"/>
      <c r="L12" s="61"/>
      <c r="M12" s="62"/>
      <c r="N12" s="60"/>
      <c r="O12" s="860"/>
    </row>
    <row r="13" spans="1:16" x14ac:dyDescent="0.25">
      <c r="A13" s="53"/>
      <c r="B13" s="65" t="s">
        <v>492</v>
      </c>
      <c r="C13" s="861">
        <f>+A.Granul!S35</f>
        <v>13.456812316430202</v>
      </c>
      <c r="D13" s="58" t="s">
        <v>493</v>
      </c>
      <c r="E13" s="858" t="s">
        <v>494</v>
      </c>
      <c r="F13" s="59" t="s">
        <v>495</v>
      </c>
      <c r="G13" s="58" t="s">
        <v>496</v>
      </c>
      <c r="H13" s="859" t="s">
        <v>496</v>
      </c>
      <c r="I13" s="59" t="s">
        <v>496</v>
      </c>
      <c r="J13" s="858" t="s">
        <v>496</v>
      </c>
      <c r="K13" s="60" t="s">
        <v>497</v>
      </c>
      <c r="L13" s="61" t="s">
        <v>497</v>
      </c>
      <c r="M13" s="62" t="s">
        <v>497</v>
      </c>
      <c r="N13" s="60" t="s">
        <v>497</v>
      </c>
      <c r="O13" s="860" t="s">
        <v>497</v>
      </c>
    </row>
    <row r="14" spans="1:16" x14ac:dyDescent="0.25">
      <c r="A14" s="53"/>
      <c r="B14" s="862"/>
      <c r="C14" s="863"/>
      <c r="D14" s="864"/>
      <c r="E14" s="865"/>
      <c r="F14" s="866"/>
      <c r="G14" s="864"/>
      <c r="H14" s="867"/>
      <c r="I14" s="866"/>
      <c r="J14" s="865"/>
      <c r="K14" s="868"/>
      <c r="L14" s="869"/>
      <c r="M14" s="870"/>
      <c r="N14" s="868"/>
      <c r="O14" s="871"/>
    </row>
    <row r="15" spans="1:16" x14ac:dyDescent="0.25">
      <c r="A15" s="53"/>
      <c r="B15" s="66"/>
      <c r="C15" s="872"/>
      <c r="D15" s="67"/>
      <c r="E15" s="873"/>
      <c r="F15" s="68"/>
      <c r="G15" s="67"/>
      <c r="H15" s="874"/>
      <c r="I15" s="68"/>
      <c r="J15" s="873"/>
      <c r="K15" s="69"/>
      <c r="L15" s="70"/>
      <c r="M15" s="71"/>
      <c r="N15" s="69"/>
      <c r="O15" s="875"/>
    </row>
    <row r="16" spans="1:16" x14ac:dyDescent="0.25">
      <c r="A16" s="53"/>
      <c r="B16" s="72" t="s">
        <v>498</v>
      </c>
      <c r="C16" s="876"/>
      <c r="D16" s="67"/>
      <c r="E16" s="873"/>
      <c r="F16" s="68"/>
      <c r="G16" s="67"/>
      <c r="H16" s="874"/>
      <c r="I16" s="68"/>
      <c r="J16" s="873"/>
      <c r="K16" s="69"/>
      <c r="L16" s="70"/>
      <c r="M16" s="71"/>
      <c r="N16" s="69"/>
      <c r="O16" s="875"/>
    </row>
    <row r="17" spans="1:15" x14ac:dyDescent="0.25">
      <c r="A17" s="53"/>
      <c r="B17" s="72" t="s">
        <v>499</v>
      </c>
      <c r="C17" s="876"/>
      <c r="D17" s="67"/>
      <c r="E17" s="873"/>
      <c r="F17" s="68"/>
      <c r="G17" s="67"/>
      <c r="H17" s="874"/>
      <c r="I17" s="68"/>
      <c r="J17" s="873"/>
      <c r="K17" s="69"/>
      <c r="L17" s="70"/>
      <c r="M17" s="71"/>
      <c r="N17" s="69"/>
      <c r="O17" s="875"/>
    </row>
    <row r="18" spans="1:15" x14ac:dyDescent="0.25">
      <c r="A18" s="53"/>
      <c r="B18" s="72" t="s">
        <v>500</v>
      </c>
      <c r="C18" s="876"/>
      <c r="D18" s="67"/>
      <c r="E18" s="873"/>
      <c r="F18" s="68"/>
      <c r="G18" s="67"/>
      <c r="H18" s="874"/>
      <c r="I18" s="68"/>
      <c r="J18" s="873"/>
      <c r="K18" s="69"/>
      <c r="L18" s="70"/>
      <c r="M18" s="71"/>
      <c r="N18" s="69"/>
      <c r="O18" s="875"/>
    </row>
    <row r="19" spans="1:15" x14ac:dyDescent="0.25">
      <c r="A19" s="53"/>
      <c r="B19" s="73"/>
      <c r="C19" s="876"/>
      <c r="D19" s="67"/>
      <c r="E19" s="873"/>
      <c r="F19" s="68"/>
      <c r="G19" s="67"/>
      <c r="H19" s="874"/>
      <c r="I19" s="68"/>
      <c r="J19" s="873"/>
      <c r="K19" s="69"/>
      <c r="L19" s="70"/>
      <c r="M19" s="71"/>
      <c r="N19" s="69"/>
      <c r="O19" s="875"/>
    </row>
    <row r="20" spans="1:15" x14ac:dyDescent="0.25">
      <c r="A20" s="53"/>
      <c r="B20" s="74" t="s">
        <v>501</v>
      </c>
      <c r="C20" s="876" t="str">
        <f>+'LL-LP'!H35</f>
        <v>NP</v>
      </c>
      <c r="D20" s="67"/>
      <c r="E20" s="873"/>
      <c r="F20" s="68"/>
      <c r="G20" s="67" t="s">
        <v>502</v>
      </c>
      <c r="H20" s="874" t="s">
        <v>503</v>
      </c>
      <c r="I20" s="68" t="s">
        <v>502</v>
      </c>
      <c r="J20" s="873" t="s">
        <v>503</v>
      </c>
      <c r="K20" s="69" t="s">
        <v>502</v>
      </c>
      <c r="L20" s="70" t="s">
        <v>503</v>
      </c>
      <c r="M20" s="71" t="s">
        <v>502</v>
      </c>
      <c r="N20" s="69" t="s">
        <v>503</v>
      </c>
      <c r="O20" s="875" t="s">
        <v>503</v>
      </c>
    </row>
    <row r="21" spans="1:15" x14ac:dyDescent="0.25">
      <c r="A21" s="53"/>
      <c r="B21" s="74" t="s">
        <v>504</v>
      </c>
      <c r="C21" s="876" t="str">
        <f>+'LL-LP'!H41</f>
        <v>NP</v>
      </c>
      <c r="D21" s="67" t="s">
        <v>505</v>
      </c>
      <c r="E21" s="873" t="s">
        <v>505</v>
      </c>
      <c r="F21" s="68" t="s">
        <v>506</v>
      </c>
      <c r="G21" s="67" t="s">
        <v>495</v>
      </c>
      <c r="H21" s="874" t="s">
        <v>495</v>
      </c>
      <c r="I21" s="68" t="s">
        <v>507</v>
      </c>
      <c r="J21" s="873" t="s">
        <v>507</v>
      </c>
      <c r="K21" s="69" t="s">
        <v>495</v>
      </c>
      <c r="L21" s="70" t="s">
        <v>495</v>
      </c>
      <c r="M21" s="71" t="s">
        <v>507</v>
      </c>
      <c r="N21" s="69" t="s">
        <v>508</v>
      </c>
      <c r="O21" s="875" t="s">
        <v>508</v>
      </c>
    </row>
    <row r="22" spans="1:15" x14ac:dyDescent="0.25">
      <c r="A22" s="53"/>
      <c r="B22" s="877"/>
      <c r="C22" s="878" t="s">
        <v>154</v>
      </c>
      <c r="D22" s="879"/>
      <c r="E22" s="880"/>
      <c r="F22" s="881"/>
      <c r="G22" s="879"/>
      <c r="H22" s="882"/>
      <c r="I22" s="881"/>
      <c r="J22" s="880"/>
      <c r="K22" s="883"/>
      <c r="L22" s="884"/>
      <c r="M22" s="885"/>
      <c r="N22" s="883"/>
      <c r="O22" s="886"/>
    </row>
    <row r="23" spans="1:15" ht="13.8" thickBot="1" x14ac:dyDescent="0.3">
      <c r="A23" s="53"/>
      <c r="B23" s="887" t="s">
        <v>509</v>
      </c>
      <c r="C23" s="888">
        <f>+D38</f>
        <v>0</v>
      </c>
      <c r="D23" s="1562">
        <v>0</v>
      </c>
      <c r="E23" s="1563"/>
      <c r="F23" s="889">
        <v>0</v>
      </c>
      <c r="G23" s="1562">
        <v>0</v>
      </c>
      <c r="H23" s="1564"/>
      <c r="I23" s="1565" t="s">
        <v>510</v>
      </c>
      <c r="J23" s="1563"/>
      <c r="K23" s="890" t="s">
        <v>511</v>
      </c>
      <c r="L23" s="891" t="s">
        <v>512</v>
      </c>
      <c r="M23" s="892" t="s">
        <v>513</v>
      </c>
      <c r="N23" s="890" t="s">
        <v>514</v>
      </c>
      <c r="O23" s="893" t="s">
        <v>514</v>
      </c>
    </row>
    <row r="24" spans="1:15" ht="13.8" thickTop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7.399999999999999" x14ac:dyDescent="0.3">
      <c r="A26" s="53"/>
      <c r="B26" s="53"/>
      <c r="C26" s="53"/>
      <c r="D26" s="53"/>
      <c r="E26" s="75" t="s">
        <v>515</v>
      </c>
      <c r="F26" s="55"/>
      <c r="G26" s="76"/>
      <c r="H26" s="55"/>
      <c r="I26" s="55"/>
      <c r="J26" s="1566" t="str">
        <f>+D31&amp;" "&amp;F38</f>
        <v>A-1-a (0)</v>
      </c>
      <c r="K26" s="1567"/>
      <c r="L26" s="53"/>
      <c r="M26" s="53"/>
      <c r="N26" s="53"/>
      <c r="O26" s="53"/>
    </row>
    <row r="27" spans="1:15" ht="16.2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2" hidden="1" customHeight="1" x14ac:dyDescent="0.25"/>
    <row r="29" spans="1:15" ht="16.2" hidden="1" customHeight="1" x14ac:dyDescent="0.25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2" hidden="1" customHeight="1" x14ac:dyDescent="0.25">
      <c r="D31" s="77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77" t="s">
        <v>373</v>
      </c>
      <c r="D33" s="78">
        <f>+IF(C13&gt;75,40,IF(C13&lt;35,1,IF(C13&lt;40,40-C13,C13-40)))</f>
        <v>1</v>
      </c>
    </row>
    <row r="34" spans="1:15" ht="16.2" hidden="1" customHeight="1" x14ac:dyDescent="0.25">
      <c r="C34" s="77" t="s">
        <v>375</v>
      </c>
      <c r="D34" s="78">
        <f>+IF(C13&gt;55,40,IF(C13&lt;15,1,C13-15))</f>
        <v>1</v>
      </c>
    </row>
    <row r="35" spans="1:15" ht="16.2" hidden="1" customHeight="1" x14ac:dyDescent="0.25">
      <c r="C35" s="79" t="s">
        <v>377</v>
      </c>
      <c r="D35" s="78">
        <f>+IF(C20="NP",1,IF(C20&gt;60,20,IF(C20&lt;40,1,C20-40)))</f>
        <v>1</v>
      </c>
    </row>
    <row r="36" spans="1:15" ht="16.2" hidden="1" customHeight="1" x14ac:dyDescent="0.25">
      <c r="C36" s="77" t="s">
        <v>379</v>
      </c>
      <c r="D36" s="78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91" t="s">
        <v>516</v>
      </c>
      <c r="B2" s="1591"/>
      <c r="C2" s="894" t="s">
        <v>517</v>
      </c>
      <c r="D2" s="895" t="s">
        <v>518</v>
      </c>
      <c r="E2" s="895" t="s">
        <v>519</v>
      </c>
      <c r="F2" s="895" t="s">
        <v>520</v>
      </c>
      <c r="G2" s="895" t="s">
        <v>521</v>
      </c>
      <c r="H2" s="895" t="s">
        <v>522</v>
      </c>
      <c r="I2" s="895" t="s">
        <v>523</v>
      </c>
      <c r="J2" s="895" t="s">
        <v>524</v>
      </c>
      <c r="K2" s="895" t="s">
        <v>525</v>
      </c>
      <c r="L2" s="895" t="s">
        <v>526</v>
      </c>
      <c r="M2" s="895" t="s">
        <v>527</v>
      </c>
    </row>
    <row r="3" spans="1:13" ht="18.75" customHeight="1" x14ac:dyDescent="0.25">
      <c r="A3" s="896">
        <v>4400</v>
      </c>
      <c r="B3" s="897">
        <f>+A3+1</f>
        <v>4401</v>
      </c>
      <c r="C3" s="898" t="str">
        <f t="shared" ref="C3:C8" si="0">A3&amp;"-"&amp;B3</f>
        <v>4400-4401</v>
      </c>
      <c r="D3" s="896" t="s">
        <v>528</v>
      </c>
      <c r="E3" s="896">
        <v>350</v>
      </c>
      <c r="F3" s="899">
        <v>42347</v>
      </c>
      <c r="G3" s="897">
        <v>7</v>
      </c>
      <c r="H3" s="900">
        <v>15.05</v>
      </c>
      <c r="I3" s="896">
        <v>49900</v>
      </c>
      <c r="J3" s="901">
        <f t="shared" ref="J3:J8" si="1">H3*H3*PI()/4</f>
        <v>177.89464750493056</v>
      </c>
      <c r="K3" s="902">
        <f t="shared" ref="K3:K8" si="2">I3/J3</f>
        <v>280.50309944607505</v>
      </c>
      <c r="L3" s="903">
        <f t="shared" ref="L3:L8" si="3">+K3/E3</f>
        <v>0.80143742698878584</v>
      </c>
      <c r="M3" s="904" t="s">
        <v>381</v>
      </c>
    </row>
    <row r="4" spans="1:13" ht="18.75" customHeight="1" x14ac:dyDescent="0.25">
      <c r="A4" s="897"/>
      <c r="B4" s="897"/>
      <c r="C4" s="905" t="str">
        <f t="shared" si="0"/>
        <v>-</v>
      </c>
      <c r="D4" s="897"/>
      <c r="E4" s="896">
        <v>350</v>
      </c>
      <c r="F4" s="897"/>
      <c r="G4" s="897">
        <v>7</v>
      </c>
      <c r="H4" s="900">
        <v>15.06</v>
      </c>
      <c r="I4" s="896">
        <v>50310</v>
      </c>
      <c r="J4" s="901">
        <f t="shared" si="1"/>
        <v>178.1311308919295</v>
      </c>
      <c r="K4" s="902">
        <f t="shared" si="2"/>
        <v>282.43238421094742</v>
      </c>
      <c r="L4" s="903">
        <f t="shared" si="3"/>
        <v>0.80694966917413546</v>
      </c>
      <c r="M4" s="904" t="s">
        <v>385</v>
      </c>
    </row>
    <row r="5" spans="1:13" ht="18.75" customHeight="1" x14ac:dyDescent="0.25">
      <c r="A5" s="897">
        <f>+B3+1</f>
        <v>4402</v>
      </c>
      <c r="B5" s="897">
        <f>+A5+1</f>
        <v>4403</v>
      </c>
      <c r="C5" s="905" t="str">
        <f t="shared" si="0"/>
        <v>4402-4403</v>
      </c>
      <c r="D5" s="897"/>
      <c r="E5" s="896">
        <v>350</v>
      </c>
      <c r="F5" s="897"/>
      <c r="G5" s="897">
        <v>14</v>
      </c>
      <c r="H5" s="900">
        <v>15.04</v>
      </c>
      <c r="I5" s="896">
        <v>56450</v>
      </c>
      <c r="J5" s="901">
        <f t="shared" si="1"/>
        <v>177.65832119756422</v>
      </c>
      <c r="K5" s="902">
        <f t="shared" si="2"/>
        <v>317.74475644867209</v>
      </c>
      <c r="L5" s="903">
        <f t="shared" si="3"/>
        <v>0.9078421612819203</v>
      </c>
      <c r="M5" s="904" t="s">
        <v>385</v>
      </c>
    </row>
    <row r="6" spans="1:13" ht="18.75" customHeight="1" x14ac:dyDescent="0.25">
      <c r="A6" s="897"/>
      <c r="B6" s="897"/>
      <c r="C6" s="905" t="str">
        <f t="shared" si="0"/>
        <v>-</v>
      </c>
      <c r="D6" s="897"/>
      <c r="E6" s="896">
        <v>350</v>
      </c>
      <c r="F6" s="897"/>
      <c r="G6" s="897">
        <v>14</v>
      </c>
      <c r="H6" s="900">
        <v>15</v>
      </c>
      <c r="I6" s="896">
        <v>59630</v>
      </c>
      <c r="J6" s="901">
        <f t="shared" si="1"/>
        <v>176.71458676442586</v>
      </c>
      <c r="K6" s="902">
        <f t="shared" si="2"/>
        <v>337.43677356692336</v>
      </c>
      <c r="L6" s="903">
        <f t="shared" si="3"/>
        <v>0.96410506733406676</v>
      </c>
      <c r="M6" s="904" t="s">
        <v>385</v>
      </c>
    </row>
    <row r="7" spans="1:13" ht="18.75" customHeight="1" x14ac:dyDescent="0.25">
      <c r="A7" s="897">
        <f>+B5+1</f>
        <v>4404</v>
      </c>
      <c r="B7" s="897">
        <f>+A7+1</f>
        <v>4405</v>
      </c>
      <c r="C7" s="905" t="str">
        <f t="shared" si="0"/>
        <v>4404-4405</v>
      </c>
      <c r="D7" s="897"/>
      <c r="E7" s="896">
        <v>350</v>
      </c>
      <c r="F7" s="897"/>
      <c r="G7" s="897">
        <v>28</v>
      </c>
      <c r="H7" s="900">
        <v>15.11</v>
      </c>
      <c r="I7" s="896">
        <v>65310</v>
      </c>
      <c r="J7" s="901">
        <f t="shared" si="1"/>
        <v>179.31590402141455</v>
      </c>
      <c r="K7" s="902">
        <f t="shared" si="2"/>
        <v>364.21755424549764</v>
      </c>
      <c r="L7" s="903">
        <f t="shared" si="3"/>
        <v>1.0406215835585646</v>
      </c>
      <c r="M7" s="904" t="s">
        <v>385</v>
      </c>
    </row>
    <row r="8" spans="1:13" ht="18.75" customHeight="1" x14ac:dyDescent="0.25">
      <c r="A8" s="897"/>
      <c r="B8" s="897"/>
      <c r="C8" s="905" t="str">
        <f t="shared" si="0"/>
        <v>-</v>
      </c>
      <c r="D8" s="897"/>
      <c r="E8" s="896">
        <v>350</v>
      </c>
      <c r="F8" s="897"/>
      <c r="G8" s="897">
        <v>28</v>
      </c>
      <c r="H8" s="900">
        <v>15.05</v>
      </c>
      <c r="I8" s="896">
        <v>64730</v>
      </c>
      <c r="J8" s="901">
        <f t="shared" si="1"/>
        <v>177.89464750493056</v>
      </c>
      <c r="K8" s="902">
        <f t="shared" si="2"/>
        <v>363.86704663616104</v>
      </c>
      <c r="L8" s="903">
        <f t="shared" si="3"/>
        <v>1.0396201332461743</v>
      </c>
      <c r="M8" s="904" t="s">
        <v>381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revision/>
  <cp:lastPrinted>2026-05-06T22:57:14Z</cp:lastPrinted>
  <dcterms:created xsi:type="dcterms:W3CDTF">1999-11-07T15:11:55Z</dcterms:created>
  <dcterms:modified xsi:type="dcterms:W3CDTF">2026-05-14T23:05:44Z</dcterms:modified>
  <cp:contentStatus/>
</cp:coreProperties>
</file>