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"/>
    </mc:Choice>
  </mc:AlternateContent>
  <xr:revisionPtr revIDLastSave="0" documentId="13_ncr:1_{3037AAE9-FE8F-47C4-A34C-791E4D15E0E3}" xr6:coauthVersionLast="47" xr6:coauthVersionMax="47" xr10:uidLastSave="{00000000-0000-0000-0000-000000000000}"/>
  <bookViews>
    <workbookView xWindow="-120" yWindow="-120" windowWidth="29040" windowHeight="15720" tabRatio="723" activeTab="2" xr2:uid="{00000000-000D-0000-FFFF-FFFF00000000}"/>
  </bookViews>
  <sheets>
    <sheet name="DENSIDAD" sheetId="91" r:id="rId1"/>
    <sheet name="DENSIDAD NATURAL EMS" sheetId="93" state="hidden" r:id="rId2"/>
    <sheet name="Datos" sheetId="94" r:id="rId3"/>
    <sheet name="Incertidumbre" sheetId="96" r:id="rId4"/>
    <sheet name="Balanza" sheetId="95" r:id="rId5"/>
    <sheet name="Precision" sheetId="97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xlnm._FilterDatabase" localSheetId="0" hidden="1">DENSIDAD!$F$26:$J$36</definedName>
    <definedName name="_IP1">[2]Sucs!$L$4</definedName>
    <definedName name="_L1" localSheetId="4">#REF!</definedName>
    <definedName name="_L1">#REF!</definedName>
    <definedName name="_Ll1">[2]Sucs!$L$3</definedName>
    <definedName name="_W1" localSheetId="4">#REF!</definedName>
    <definedName name="_W1">#REF!</definedName>
    <definedName name="Abra">[3]Sucs!$C$3</definedName>
    <definedName name="_xlnm.Print_Area" localSheetId="0">DENSIDAD!$A$2:$J$57</definedName>
    <definedName name="_xlnm.Print_Area" localSheetId="1">'DENSIDAD NATURAL EMS'!$A$1:$K$53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>#REF!</definedName>
    <definedName name="CUf">'[2]Sucs(Fino)'!$L$5</definedName>
    <definedName name="hh" localSheetId="4">#REF!</definedName>
    <definedName name="hh">#REF!</definedName>
    <definedName name="IP" localSheetId="4">#REF!</definedName>
    <definedName name="IP">#REF!</definedName>
    <definedName name="IPf">'[2]Sucs(Fino)'!$L$4</definedName>
    <definedName name="L" localSheetId="4">#REF!</definedName>
    <definedName name="L">#REF!</definedName>
    <definedName name="LIf">'[2]Sucs(Fino)'!$L$3</definedName>
    <definedName name="Ll" localSheetId="4">#REF!</definedName>
    <definedName name="Ll">#REF!</definedName>
    <definedName name="MORA">[5]BGA!$H$13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>#REF!</definedName>
    <definedName name="tipodegranulometria" localSheetId="4">'[6]G-LL '!$X$2:$X$3</definedName>
    <definedName name="tipodegranulometria">'[6]G-LL '!$X$2:$X$3</definedName>
    <definedName name="tipodemateria" localSheetId="4">'[6]G-LL '!$X$5:$X$6</definedName>
    <definedName name="tipodemateria">'[6]G-LL '!$X$5:$X$6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91" l="1"/>
  <c r="BK28" i="95"/>
  <c r="BM27" i="95"/>
  <c r="BI22" i="95"/>
  <c r="BL21" i="95"/>
  <c r="BK21" i="95"/>
  <c r="BJ21" i="95"/>
  <c r="BI21" i="95"/>
  <c r="BH21" i="95"/>
  <c r="BL17" i="95"/>
  <c r="BL22" i="95" s="1"/>
  <c r="BK17" i="95"/>
  <c r="BK22" i="95" s="1"/>
  <c r="BJ17" i="95"/>
  <c r="BJ22" i="95" s="1"/>
  <c r="BI17" i="95"/>
  <c r="BH17" i="95"/>
  <c r="BH22" i="95" s="1"/>
  <c r="BF17" i="95"/>
  <c r="AW28" i="95" l="1"/>
  <c r="AY27" i="95"/>
  <c r="AX21" i="95"/>
  <c r="AW21" i="95"/>
  <c r="AV21" i="95"/>
  <c r="AU21" i="95"/>
  <c r="AT21" i="95"/>
  <c r="AX17" i="95"/>
  <c r="AX22" i="95" s="1"/>
  <c r="AW17" i="95"/>
  <c r="AW22" i="95" s="1"/>
  <c r="AV17" i="95"/>
  <c r="AV22" i="95" s="1"/>
  <c r="AU17" i="95"/>
  <c r="AU22" i="95" s="1"/>
  <c r="AT17" i="95"/>
  <c r="AT22" i="95" s="1"/>
  <c r="AR17" i="95"/>
  <c r="AI28" i="95"/>
  <c r="AK27" i="95"/>
  <c r="AJ21" i="95"/>
  <c r="AI21" i="95"/>
  <c r="AH21" i="95"/>
  <c r="AG21" i="95"/>
  <c r="AF21" i="95"/>
  <c r="AD17" i="95"/>
  <c r="N5" i="94"/>
  <c r="I4" i="94"/>
  <c r="D34" i="96" l="1"/>
  <c r="Y34" i="96" l="1"/>
  <c r="R34" i="96"/>
  <c r="K34" i="96"/>
  <c r="F25" i="94"/>
  <c r="K27" i="94"/>
  <c r="I27" i="94"/>
  <c r="G27" i="94"/>
  <c r="E27" i="94"/>
  <c r="O5" i="94"/>
  <c r="M5" i="94"/>
  <c r="O4" i="94"/>
  <c r="M4" i="94"/>
  <c r="M2" i="94" s="1"/>
  <c r="N4" i="94" l="1"/>
  <c r="N2" i="94" s="1"/>
  <c r="Z78" i="96" l="1"/>
  <c r="S78" i="96"/>
  <c r="L78" i="96"/>
  <c r="E78" i="96"/>
  <c r="Z68" i="96"/>
  <c r="S68" i="96"/>
  <c r="L68" i="96"/>
  <c r="E68" i="96"/>
  <c r="Z60" i="96"/>
  <c r="Z56" i="96"/>
  <c r="S60" i="96"/>
  <c r="S56" i="96"/>
  <c r="L60" i="96"/>
  <c r="L56" i="96"/>
  <c r="E56" i="96"/>
  <c r="E60" i="96"/>
  <c r="Z32" i="96"/>
  <c r="S32" i="96"/>
  <c r="L32" i="96"/>
  <c r="E32" i="96"/>
  <c r="AH17" i="95" l="1"/>
  <c r="AH22" i="95" s="1"/>
  <c r="AI17" i="95"/>
  <c r="AI22" i="95" s="1"/>
  <c r="AJ17" i="95"/>
  <c r="AJ22" i="95" s="1"/>
  <c r="AG17" i="95"/>
  <c r="AG22" i="95" s="1"/>
  <c r="AF17" i="95"/>
  <c r="AF22" i="95" s="1"/>
  <c r="I22" i="95"/>
  <c r="W27" i="95"/>
  <c r="I27" i="95"/>
  <c r="E21" i="95"/>
  <c r="F21" i="95"/>
  <c r="G21" i="95"/>
  <c r="H21" i="95"/>
  <c r="D21" i="95"/>
  <c r="S21" i="95"/>
  <c r="T21" i="95"/>
  <c r="U21" i="95"/>
  <c r="V21" i="95"/>
  <c r="R21" i="95"/>
  <c r="G79" i="96" l="1"/>
  <c r="N79" i="96" s="1"/>
  <c r="V22" i="95"/>
  <c r="U22" i="95"/>
  <c r="T22" i="95"/>
  <c r="S22" i="95"/>
  <c r="R22" i="95"/>
  <c r="AL27" i="95" s="1"/>
  <c r="BL28" i="95" l="1"/>
  <c r="BN27" i="95"/>
  <c r="AX28" i="95"/>
  <c r="AJ28" i="95"/>
  <c r="AZ27" i="95"/>
  <c r="X27" i="95"/>
  <c r="H23" i="94"/>
  <c r="F22" i="94"/>
  <c r="BK26" i="95" s="1"/>
  <c r="BL26" i="95" s="1"/>
  <c r="U79" i="96"/>
  <c r="AB79" i="96"/>
  <c r="AI26" i="95" l="1"/>
  <c r="AJ26" i="95" s="1"/>
  <c r="AW26" i="95"/>
  <c r="AX26" i="95" s="1"/>
  <c r="H22" i="94"/>
  <c r="BM26" i="95" s="1"/>
  <c r="BN26" i="95" s="1"/>
  <c r="AK26" i="95" l="1"/>
  <c r="AL26" i="95" s="1"/>
  <c r="AY26" i="95"/>
  <c r="AZ26" i="95" s="1"/>
  <c r="U28" i="95"/>
  <c r="V28" i="95" s="1"/>
  <c r="G28" i="95"/>
  <c r="I26" i="95"/>
  <c r="W26" i="95"/>
  <c r="X26" i="95" s="1"/>
  <c r="AB78" i="96" l="1"/>
  <c r="U78" i="96"/>
  <c r="Y79" i="96"/>
  <c r="AC75" i="96" s="1"/>
  <c r="R79" i="96"/>
  <c r="V75" i="96" s="1"/>
  <c r="K79" i="96"/>
  <c r="O74" i="96" s="1"/>
  <c r="D79" i="96"/>
  <c r="Y75" i="96"/>
  <c r="R75" i="96"/>
  <c r="K75" i="96"/>
  <c r="D75" i="96"/>
  <c r="E77" i="96" s="1"/>
  <c r="Y69" i="96"/>
  <c r="AC65" i="96" s="1"/>
  <c r="R69" i="96"/>
  <c r="V65" i="96" s="1"/>
  <c r="K69" i="96"/>
  <c r="O65" i="96" s="1"/>
  <c r="N78" i="96"/>
  <c r="AB68" i="96"/>
  <c r="U68" i="96"/>
  <c r="N68" i="96"/>
  <c r="AB60" i="96"/>
  <c r="AB56" i="96"/>
  <c r="U60" i="96"/>
  <c r="U56" i="96"/>
  <c r="N60" i="96"/>
  <c r="N56" i="96"/>
  <c r="AB32" i="96"/>
  <c r="U32" i="96"/>
  <c r="N32" i="96"/>
  <c r="Z77" i="96" l="1"/>
  <c r="AB77" i="96" s="1"/>
  <c r="S77" i="96"/>
  <c r="U77" i="96" s="1"/>
  <c r="L77" i="96"/>
  <c r="N77" i="96" s="1"/>
  <c r="V74" i="96"/>
  <c r="AC74" i="96"/>
  <c r="O75" i="96"/>
  <c r="F37" i="94" l="1"/>
  <c r="D69" i="96" l="1"/>
  <c r="H18" i="91" l="1"/>
  <c r="J30" i="94" l="1"/>
  <c r="J22" i="91"/>
  <c r="H19" i="91"/>
  <c r="A20" i="91"/>
  <c r="A19" i="91"/>
  <c r="K57" i="96" l="1"/>
  <c r="J22" i="94"/>
  <c r="BO26" i="95" s="1"/>
  <c r="BP26" i="95" s="1"/>
  <c r="J23" i="94"/>
  <c r="BO27" i="95" s="1"/>
  <c r="BP27" i="95" s="1"/>
  <c r="L22" i="94"/>
  <c r="BQ26" i="95" s="1"/>
  <c r="BR26" i="95" s="1"/>
  <c r="J28" i="94"/>
  <c r="BO25" i="95" s="1"/>
  <c r="BP25" i="95" s="1"/>
  <c r="L28" i="94"/>
  <c r="BQ25" i="95" s="1"/>
  <c r="BR25" i="95" s="1"/>
  <c r="L23" i="94"/>
  <c r="BQ27" i="95" s="1"/>
  <c r="BR27" i="95" s="1"/>
  <c r="H28" i="94"/>
  <c r="BM25" i="95" s="1"/>
  <c r="BN25" i="95" s="1"/>
  <c r="F23" i="94"/>
  <c r="BK27" i="95" s="1"/>
  <c r="BL27" i="95" s="1"/>
  <c r="H30" i="94"/>
  <c r="F28" i="94"/>
  <c r="BK25" i="95" s="1"/>
  <c r="BL25" i="95" s="1"/>
  <c r="L30" i="94"/>
  <c r="F30" i="94"/>
  <c r="J31" i="91"/>
  <c r="I31" i="91"/>
  <c r="H31" i="91"/>
  <c r="G31" i="91"/>
  <c r="G28" i="91"/>
  <c r="J28" i="91"/>
  <c r="I28" i="91"/>
  <c r="H28" i="91"/>
  <c r="AI27" i="95" l="1"/>
  <c r="AJ27" i="95" s="1"/>
  <c r="AW27" i="95"/>
  <c r="AX27" i="95" s="1"/>
  <c r="AM26" i="95"/>
  <c r="AN26" i="95" s="1"/>
  <c r="BA26" i="95"/>
  <c r="BB26" i="95" s="1"/>
  <c r="AI25" i="95"/>
  <c r="AJ25" i="95" s="1"/>
  <c r="AW25" i="95"/>
  <c r="AX25" i="95" s="1"/>
  <c r="AK25" i="95"/>
  <c r="AL25" i="95" s="1"/>
  <c r="AY25" i="95"/>
  <c r="AZ25" i="95" s="1"/>
  <c r="AO27" i="95"/>
  <c r="AP27" i="95" s="1"/>
  <c r="BC27" i="95"/>
  <c r="BD27" i="95" s="1"/>
  <c r="AO25" i="95"/>
  <c r="AP25" i="95" s="1"/>
  <c r="BC25" i="95"/>
  <c r="BD25" i="95" s="1"/>
  <c r="AM25" i="95"/>
  <c r="AN25" i="95" s="1"/>
  <c r="BA25" i="95"/>
  <c r="BB25" i="95" s="1"/>
  <c r="AO26" i="95"/>
  <c r="AP26" i="95" s="1"/>
  <c r="BC26" i="95"/>
  <c r="BD26" i="95" s="1"/>
  <c r="AM27" i="95"/>
  <c r="AN27" i="95" s="1"/>
  <c r="BA27" i="95"/>
  <c r="BB27" i="95" s="1"/>
  <c r="F24" i="94"/>
  <c r="F29" i="94"/>
  <c r="G25" i="95"/>
  <c r="U25" i="95"/>
  <c r="V25" i="95" s="1"/>
  <c r="AA26" i="95"/>
  <c r="AB26" i="95" s="1"/>
  <c r="M26" i="95"/>
  <c r="AA25" i="95"/>
  <c r="AB25" i="95" s="1"/>
  <c r="M25" i="95"/>
  <c r="K27" i="95"/>
  <c r="Y27" i="95"/>
  <c r="Z27" i="95" s="1"/>
  <c r="AA27" i="95"/>
  <c r="AB27" i="95" s="1"/>
  <c r="M27" i="95"/>
  <c r="U27" i="95"/>
  <c r="V27" i="95" s="1"/>
  <c r="G27" i="95"/>
  <c r="D53" i="96"/>
  <c r="E55" i="96" s="1"/>
  <c r="G26" i="95"/>
  <c r="U26" i="95"/>
  <c r="V26" i="95" s="1"/>
  <c r="Y26" i="95"/>
  <c r="Z26" i="95" s="1"/>
  <c r="K26" i="95"/>
  <c r="W25" i="95"/>
  <c r="X25" i="95" s="1"/>
  <c r="I25" i="95"/>
  <c r="K25" i="95"/>
  <c r="Y25" i="95"/>
  <c r="Z25" i="95" s="1"/>
  <c r="L59" i="96"/>
  <c r="N59" i="96" s="1"/>
  <c r="R65" i="96"/>
  <c r="S67" i="96" s="1"/>
  <c r="R29" i="96"/>
  <c r="S31" i="96" s="1"/>
  <c r="Y53" i="96"/>
  <c r="Z55" i="96" s="1"/>
  <c r="R53" i="96"/>
  <c r="S55" i="96" s="1"/>
  <c r="R57" i="96"/>
  <c r="Y29" i="96"/>
  <c r="Z31" i="96" s="1"/>
  <c r="Y65" i="96"/>
  <c r="Z67" i="96" s="1"/>
  <c r="K65" i="96"/>
  <c r="L67" i="96" s="1"/>
  <c r="K29" i="96"/>
  <c r="L31" i="96" s="1"/>
  <c r="Y57" i="96"/>
  <c r="K53" i="96"/>
  <c r="L55" i="96" s="1"/>
  <c r="F31" i="94"/>
  <c r="Z59" i="96" l="1"/>
  <c r="AB59" i="96" s="1"/>
  <c r="S59" i="96"/>
  <c r="U59" i="96" s="1"/>
  <c r="U67" i="96"/>
  <c r="V69" i="96"/>
  <c r="W69" i="96" s="1"/>
  <c r="R64" i="96"/>
  <c r="U55" i="96"/>
  <c r="R52" i="96"/>
  <c r="Y52" i="96"/>
  <c r="AB55" i="96"/>
  <c r="N31" i="96"/>
  <c r="K40" i="96"/>
  <c r="N67" i="96"/>
  <c r="O69" i="96"/>
  <c r="P69" i="96" s="1"/>
  <c r="K64" i="96"/>
  <c r="AB67" i="96"/>
  <c r="Y64" i="96"/>
  <c r="AC69" i="96"/>
  <c r="AD69" i="96" s="1"/>
  <c r="N55" i="96"/>
  <c r="K52" i="96"/>
  <c r="Y40" i="96"/>
  <c r="AB31" i="96"/>
  <c r="R40" i="96"/>
  <c r="U31" i="96"/>
  <c r="B79" i="96" l="1"/>
  <c r="G78" i="96"/>
  <c r="G68" i="96"/>
  <c r="G32" i="96" l="1"/>
  <c r="G60" i="96"/>
  <c r="G56" i="96"/>
  <c r="J40" i="91" l="1"/>
  <c r="J29" i="91"/>
  <c r="J27" i="91"/>
  <c r="J26" i="91"/>
  <c r="J25" i="91"/>
  <c r="L37" i="94"/>
  <c r="U34" i="96" l="1"/>
  <c r="W34" i="96" s="1"/>
  <c r="G34" i="96"/>
  <c r="I34" i="96" s="1"/>
  <c r="AB34" i="96"/>
  <c r="AD34" i="96" s="1"/>
  <c r="N34" i="96"/>
  <c r="P34" i="96" s="1"/>
  <c r="J37" i="94"/>
  <c r="H37" i="94"/>
  <c r="J25" i="94" l="1"/>
  <c r="L25" i="94"/>
  <c r="H25" i="94"/>
  <c r="F26" i="94"/>
  <c r="J42" i="91"/>
  <c r="G77" i="96"/>
  <c r="H75" i="96"/>
  <c r="H74" i="96"/>
  <c r="J24" i="94"/>
  <c r="R74" i="96" s="1"/>
  <c r="H24" i="94"/>
  <c r="K74" i="96" s="1"/>
  <c r="F27" i="94" l="1"/>
  <c r="F33" i="94"/>
  <c r="F32" i="94"/>
  <c r="O79" i="96"/>
  <c r="K73" i="96"/>
  <c r="V79" i="96"/>
  <c r="R73" i="96"/>
  <c r="H26" i="94"/>
  <c r="J26" i="94"/>
  <c r="G42" i="91"/>
  <c r="L24" i="94"/>
  <c r="L29" i="94"/>
  <c r="L31" i="94"/>
  <c r="J32" i="91"/>
  <c r="H31" i="94"/>
  <c r="J31" i="94"/>
  <c r="H32" i="94" l="1"/>
  <c r="K41" i="96"/>
  <c r="K33" i="96"/>
  <c r="J32" i="94"/>
  <c r="R41" i="96"/>
  <c r="R33" i="96"/>
  <c r="L26" i="94"/>
  <c r="L27" i="94" s="1"/>
  <c r="Y74" i="96"/>
  <c r="F34" i="94"/>
  <c r="J33" i="91"/>
  <c r="J20" i="91"/>
  <c r="J21" i="91"/>
  <c r="I40" i="91"/>
  <c r="H40" i="91"/>
  <c r="G40" i="91"/>
  <c r="E21" i="91"/>
  <c r="E18" i="91"/>
  <c r="E19" i="91"/>
  <c r="E20" i="91"/>
  <c r="F38" i="94" l="1"/>
  <c r="G38" i="91" s="1"/>
  <c r="G36" i="91"/>
  <c r="L33" i="94"/>
  <c r="L34" i="94" s="1"/>
  <c r="J30" i="91"/>
  <c r="L32" i="94"/>
  <c r="J34" i="91" s="1"/>
  <c r="Y33" i="96"/>
  <c r="Y41" i="96"/>
  <c r="AC79" i="96"/>
  <c r="Y73" i="96"/>
  <c r="V29" i="96"/>
  <c r="R28" i="96"/>
  <c r="V33" i="96"/>
  <c r="O29" i="96"/>
  <c r="O33" i="96"/>
  <c r="K28" i="96"/>
  <c r="V40" i="96"/>
  <c r="R39" i="96"/>
  <c r="R47" i="96" s="1"/>
  <c r="R46" i="96" s="1"/>
  <c r="V41" i="96"/>
  <c r="O40" i="96"/>
  <c r="O41" i="96"/>
  <c r="K39" i="96"/>
  <c r="K47" i="96" s="1"/>
  <c r="K46" i="96" s="1"/>
  <c r="H32" i="91"/>
  <c r="F39" i="94" l="1"/>
  <c r="L38" i="94"/>
  <c r="L39" i="94" s="1"/>
  <c r="J39" i="91" s="1"/>
  <c r="J36" i="91"/>
  <c r="J35" i="91"/>
  <c r="AC40" i="96"/>
  <c r="Y39" i="96"/>
  <c r="Y47" i="96" s="1"/>
  <c r="Y46" i="96" s="1"/>
  <c r="AC41" i="96"/>
  <c r="AC33" i="96"/>
  <c r="AC29" i="96"/>
  <c r="Y28" i="96"/>
  <c r="H65" i="96"/>
  <c r="H29" i="94"/>
  <c r="I32" i="91"/>
  <c r="G32" i="91"/>
  <c r="J38" i="91" l="1"/>
  <c r="H33" i="94"/>
  <c r="H34" i="94" s="1"/>
  <c r="H38" i="94" s="1"/>
  <c r="H42" i="91"/>
  <c r="J29" i="94"/>
  <c r="J33" i="94" s="1"/>
  <c r="J34" i="94" s="1"/>
  <c r="J38" i="94" s="1"/>
  <c r="I38" i="91" s="1"/>
  <c r="I42" i="91"/>
  <c r="I25" i="91"/>
  <c r="I26" i="91"/>
  <c r="I27" i="91"/>
  <c r="I29" i="91"/>
  <c r="H26" i="91"/>
  <c r="H27" i="91"/>
  <c r="H29" i="91"/>
  <c r="H25" i="91"/>
  <c r="G26" i="91"/>
  <c r="G27" i="91"/>
  <c r="G29" i="91"/>
  <c r="G25" i="91"/>
  <c r="J39" i="94" l="1"/>
  <c r="H39" i="94"/>
  <c r="E22" i="95"/>
  <c r="H22" i="95" l="1"/>
  <c r="F22" i="95"/>
  <c r="G22" i="95"/>
  <c r="D22" i="95"/>
  <c r="H26" i="95" l="1"/>
  <c r="E54" i="96" s="1"/>
  <c r="G54" i="96" s="1"/>
  <c r="H25" i="95"/>
  <c r="H28" i="95"/>
  <c r="H27" i="95"/>
  <c r="L27" i="95"/>
  <c r="J25" i="95"/>
  <c r="N26" i="95"/>
  <c r="L26" i="95"/>
  <c r="L25" i="95"/>
  <c r="J26" i="95"/>
  <c r="N27" i="95"/>
  <c r="J27" i="95"/>
  <c r="N25" i="95"/>
  <c r="D57" i="96"/>
  <c r="D65" i="96"/>
  <c r="E67" i="96" s="1"/>
  <c r="D29" i="96"/>
  <c r="H33" i="91"/>
  <c r="I33" i="91"/>
  <c r="E58" i="96" l="1"/>
  <c r="G58" i="96" s="1"/>
  <c r="L58" i="96"/>
  <c r="N58" i="96" s="1"/>
  <c r="N57" i="96" s="1"/>
  <c r="P57" i="96" s="1"/>
  <c r="S54" i="96"/>
  <c r="U54" i="96" s="1"/>
  <c r="U53" i="96" s="1"/>
  <c r="W53" i="96" s="1"/>
  <c r="Z54" i="96"/>
  <c r="AB54" i="96" s="1"/>
  <c r="AB53" i="96" s="1"/>
  <c r="AD53" i="96" s="1"/>
  <c r="Z76" i="96"/>
  <c r="AB76" i="96" s="1"/>
  <c r="AB75" i="96" s="1"/>
  <c r="AD75" i="96" s="1"/>
  <c r="S76" i="96"/>
  <c r="U76" i="96" s="1"/>
  <c r="U75" i="96" s="1"/>
  <c r="W75" i="96" s="1"/>
  <c r="L76" i="96"/>
  <c r="N76" i="96" s="1"/>
  <c r="N75" i="96" s="1"/>
  <c r="P75" i="96" s="1"/>
  <c r="E76" i="96"/>
  <c r="G76" i="96" s="1"/>
  <c r="G75" i="96" s="1"/>
  <c r="I75" i="96" s="1"/>
  <c r="Z58" i="96"/>
  <c r="AB58" i="96" s="1"/>
  <c r="AB57" i="96" s="1"/>
  <c r="AD57" i="96" s="1"/>
  <c r="L66" i="96"/>
  <c r="N66" i="96" s="1"/>
  <c r="N65" i="96" s="1"/>
  <c r="P65" i="96" s="1"/>
  <c r="P70" i="96" s="1"/>
  <c r="N40" i="96" s="1"/>
  <c r="P40" i="96" s="1"/>
  <c r="L30" i="96"/>
  <c r="N30" i="96" s="1"/>
  <c r="N29" i="96" s="1"/>
  <c r="P29" i="96" s="1"/>
  <c r="E59" i="96"/>
  <c r="G59" i="96" s="1"/>
  <c r="L54" i="96"/>
  <c r="N54" i="96" s="1"/>
  <c r="N53" i="96" s="1"/>
  <c r="P53" i="96" s="1"/>
  <c r="E66" i="96"/>
  <c r="G66" i="96" s="1"/>
  <c r="E30" i="96"/>
  <c r="G30" i="96" s="1"/>
  <c r="D40" i="96"/>
  <c r="E31" i="96"/>
  <c r="G31" i="96" s="1"/>
  <c r="Z66" i="96"/>
  <c r="AB66" i="96" s="1"/>
  <c r="AB65" i="96" s="1"/>
  <c r="AD65" i="96" s="1"/>
  <c r="AD70" i="96" s="1"/>
  <c r="AB40" i="96" s="1"/>
  <c r="AD40" i="96" s="1"/>
  <c r="Z30" i="96"/>
  <c r="AB30" i="96" s="1"/>
  <c r="AB29" i="96" s="1"/>
  <c r="AD29" i="96" s="1"/>
  <c r="S66" i="96"/>
  <c r="U66" i="96" s="1"/>
  <c r="U65" i="96" s="1"/>
  <c r="W65" i="96" s="1"/>
  <c r="W70" i="96" s="1"/>
  <c r="U40" i="96" s="1"/>
  <c r="W40" i="96" s="1"/>
  <c r="S30" i="96"/>
  <c r="U30" i="96" s="1"/>
  <c r="U29" i="96" s="1"/>
  <c r="W29" i="96" s="1"/>
  <c r="S58" i="96"/>
  <c r="U58" i="96" s="1"/>
  <c r="U57" i="96" s="1"/>
  <c r="W57" i="96" s="1"/>
  <c r="AD79" i="96"/>
  <c r="W79" i="96"/>
  <c r="P79" i="96"/>
  <c r="G67" i="96"/>
  <c r="D64" i="96"/>
  <c r="H69" i="96"/>
  <c r="D52" i="96"/>
  <c r="G55" i="96"/>
  <c r="G53" i="96" s="1"/>
  <c r="I53" i="96" s="1"/>
  <c r="D74" i="96"/>
  <c r="G34" i="91"/>
  <c r="G33" i="91"/>
  <c r="H38" i="91"/>
  <c r="I34" i="91"/>
  <c r="H34" i="91"/>
  <c r="G30" i="91"/>
  <c r="I30" i="91"/>
  <c r="H30" i="91"/>
  <c r="A45" i="93"/>
  <c r="A44" i="93"/>
  <c r="A43" i="93"/>
  <c r="A42" i="93"/>
  <c r="A36" i="93"/>
  <c r="AD61" i="96" l="1"/>
  <c r="AB74" i="96" s="1"/>
  <c r="AD74" i="96" s="1"/>
  <c r="AD80" i="96" s="1"/>
  <c r="AB33" i="96" s="1"/>
  <c r="AD33" i="96" s="1"/>
  <c r="AD35" i="96" s="1"/>
  <c r="AD36" i="96" s="1"/>
  <c r="P61" i="96"/>
  <c r="N74" i="96" s="1"/>
  <c r="P74" i="96" s="1"/>
  <c r="P80" i="96" s="1"/>
  <c r="N41" i="96" s="1"/>
  <c r="P41" i="96" s="1"/>
  <c r="P42" i="96" s="1"/>
  <c r="W61" i="96"/>
  <c r="U74" i="96" s="1"/>
  <c r="W74" i="96" s="1"/>
  <c r="W80" i="96" s="1"/>
  <c r="U33" i="96" s="1"/>
  <c r="W33" i="96" s="1"/>
  <c r="W35" i="96" s="1"/>
  <c r="W36" i="96" s="1"/>
  <c r="G57" i="96"/>
  <c r="I57" i="96" s="1"/>
  <c r="I61" i="96" s="1"/>
  <c r="G74" i="96" s="1"/>
  <c r="I74" i="96" s="1"/>
  <c r="G65" i="96"/>
  <c r="I65" i="96" s="1"/>
  <c r="G29" i="96"/>
  <c r="H79" i="96"/>
  <c r="I79" i="96" s="1"/>
  <c r="D73" i="96"/>
  <c r="D41" i="96"/>
  <c r="H40" i="96" s="1"/>
  <c r="D33" i="96"/>
  <c r="H35" i="91"/>
  <c r="I35" i="91"/>
  <c r="I36" i="91"/>
  <c r="H36" i="91"/>
  <c r="A52" i="93"/>
  <c r="AB41" i="96" l="1"/>
  <c r="AD41" i="96" s="1"/>
  <c r="N33" i="96"/>
  <c r="P33" i="96" s="1"/>
  <c r="P35" i="96" s="1"/>
  <c r="P36" i="96" s="1"/>
  <c r="U41" i="96"/>
  <c r="W41" i="96" s="1"/>
  <c r="P43" i="96"/>
  <c r="N47" i="96"/>
  <c r="P47" i="96" s="1"/>
  <c r="P48" i="96" s="1"/>
  <c r="P49" i="96" s="1"/>
  <c r="I80" i="96"/>
  <c r="G33" i="96" s="1"/>
  <c r="H41" i="96"/>
  <c r="G35" i="91"/>
  <c r="D39" i="96"/>
  <c r="H29" i="96"/>
  <c r="I29" i="96" s="1"/>
  <c r="H33" i="96"/>
  <c r="D28" i="96"/>
  <c r="G39" i="91"/>
  <c r="I39" i="91"/>
  <c r="H39" i="91"/>
  <c r="G28" i="93"/>
  <c r="G25" i="93"/>
  <c r="G24" i="93"/>
  <c r="G34" i="93"/>
  <c r="R35" i="93"/>
  <c r="R37" i="93" s="1"/>
  <c r="R26" i="93"/>
  <c r="R27" i="93" s="1"/>
  <c r="R29" i="93" s="1"/>
  <c r="R30" i="93" s="1"/>
  <c r="W42" i="96" l="1"/>
  <c r="W43" i="96" s="1"/>
  <c r="AD42" i="96"/>
  <c r="AB47" i="96" s="1"/>
  <c r="AD47" i="96" s="1"/>
  <c r="AD48" i="96" s="1"/>
  <c r="AD49" i="96" s="1"/>
  <c r="D47" i="96"/>
  <c r="D46" i="96" s="1"/>
  <c r="G41" i="96"/>
  <c r="I41" i="96" s="1"/>
  <c r="I33" i="96"/>
  <c r="I35" i="96" s="1"/>
  <c r="I36" i="96" s="1"/>
  <c r="R38" i="93"/>
  <c r="R39" i="93"/>
  <c r="G26" i="93"/>
  <c r="G27" i="93" s="1"/>
  <c r="G29" i="93" s="1"/>
  <c r="G30" i="93" s="1"/>
  <c r="R31" i="93"/>
  <c r="AD43" i="96" l="1"/>
  <c r="U47" i="96"/>
  <c r="W47" i="96" s="1"/>
  <c r="W48" i="96" s="1"/>
  <c r="W49" i="96" s="1"/>
  <c r="R40" i="93"/>
  <c r="G31" i="93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  <c r="H27" i="94" l="1"/>
  <c r="J27" i="94"/>
  <c r="I69" i="96" l="1"/>
  <c r="I70" i="96" s="1"/>
  <c r="G40" i="96" s="1"/>
  <c r="I40" i="96" s="1"/>
  <c r="I42" i="96" s="1"/>
  <c r="G47" i="96" l="1"/>
  <c r="I47" i="96" s="1"/>
  <c r="I48" i="96" s="1"/>
  <c r="I49" i="96" s="1"/>
  <c r="I43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Equipo</author>
    <author>HP</author>
  </authors>
  <commentList>
    <comment ref="Z3" authorId="0" shapeId="0" xr:uid="{3A0D7B64-E5BB-46AE-90CD-17BB429F64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MODIFICADO</t>
        </r>
      </text>
    </comment>
    <comment ref="Z4" authorId="0" shapeId="0" xr:uid="{2820E8A2-A94A-47F5-96BD-81A68B28F8E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STANDAR</t>
        </r>
      </text>
    </comment>
    <comment ref="Z5" authorId="0" shapeId="0" xr:uid="{922336D4-2DC8-400E-A8BA-B1835DAD079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MODIFICADO
</t>
        </r>
      </text>
    </comment>
    <comment ref="E6" authorId="1" shapeId="0" xr:uid="{0E616C12-9469-43C7-BC16-04775DFEA79F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Cuando no hay ensayo se debe colocar - (guion)
</t>
        </r>
      </text>
    </comment>
    <comment ref="Z6" authorId="0" shapeId="0" xr:uid="{D28F78AE-5CFB-44EF-A462-072A2525D5D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estándar
</t>
        </r>
      </text>
    </comment>
    <comment ref="C20" authorId="2" shapeId="0" xr:uid="{C04DFE7C-8558-4947-BA9F-E09CED3F3475}">
      <text>
        <r>
          <rPr>
            <sz val="9"/>
            <color indexed="81"/>
            <rFont val="Tahoma"/>
            <family val="2"/>
          </rPr>
          <t>Que puede afectar al resultado (Transito etc)</t>
        </r>
      </text>
    </comment>
    <comment ref="C25" authorId="0" shapeId="0" xr:uid="{1FBAB70F-5A15-4794-BC0C-D2D281034B2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se calibra el cono de arena en campo  el M2 variara en cada punto (superficie irregular)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69" authorId="0" shapeId="0" xr:uid="{F050B1EC-1C7D-445B-A5C4-C95F4053925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colocar la incertidumbre del contenido humedad
</t>
        </r>
      </text>
    </comment>
    <comment ref="N69" authorId="0" shapeId="0" xr:uid="{B2877E25-3CBB-4E27-B8B3-6A20AA2AB6A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colocar la incertidumbre del contenido humedad
</t>
        </r>
      </text>
    </comment>
    <comment ref="U69" authorId="0" shapeId="0" xr:uid="{189EA7C9-3C1E-4AEF-B46E-03D50D496A5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colocar la incertidumbre del contenido humedad
</t>
        </r>
      </text>
    </comment>
    <comment ref="AB69" authorId="0" shapeId="0" xr:uid="{1A784F0F-2A14-473F-AFB4-502AB428F7F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colocar la incertidumbre del contenido humedad
</t>
        </r>
      </text>
    </comment>
  </commentList>
</comments>
</file>

<file path=xl/sharedStrings.xml><?xml version="1.0" encoding="utf-8"?>
<sst xmlns="http://schemas.openxmlformats.org/spreadsheetml/2006/main" count="1129" uniqueCount="326">
  <si>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</si>
  <si>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</si>
  <si>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</si>
  <si>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</si>
  <si>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</si>
  <si>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</si>
  <si>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</si>
  <si>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</si>
  <si>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</si>
  <si>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</si>
  <si>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</si>
  <si>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</si>
  <si>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</si>
  <si>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</si>
  <si>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</si>
  <si>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</si>
  <si>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</si>
  <si>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</si>
  <si>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NORMA  NTP 339.143</t>
  </si>
  <si>
    <t xml:space="preserve">  Peso Inicial de arena </t>
  </si>
  <si>
    <t xml:space="preserve">  Peso Residual arena </t>
  </si>
  <si>
    <t xml:space="preserve">  Peso arena hueco  </t>
  </si>
  <si>
    <t xml:space="preserve">  Volumen hueco </t>
  </si>
  <si>
    <t xml:space="preserve">  Peso Suelo Extraido </t>
  </si>
  <si>
    <t xml:space="preserve">  Peso de la grava </t>
  </si>
  <si>
    <t xml:space="preserve">  Volumen de grava</t>
  </si>
  <si>
    <t xml:space="preserve">  Peso Suelo </t>
  </si>
  <si>
    <t xml:space="preserve">  Volumen del suelo</t>
  </si>
  <si>
    <t xml:space="preserve">  Densidad húmeda  </t>
  </si>
  <si>
    <t xml:space="preserve">  Densidad Seca </t>
  </si>
  <si>
    <t>gr</t>
  </si>
  <si>
    <t>gr/cm3</t>
  </si>
  <si>
    <t>cm3</t>
  </si>
  <si>
    <t>%</t>
  </si>
  <si>
    <t>kN/m3</t>
  </si>
  <si>
    <t>cm</t>
  </si>
  <si>
    <t xml:space="preserve">  Peso unitario seco</t>
  </si>
  <si>
    <t>F-LEM-P-SU-06.02</t>
  </si>
  <si>
    <t>Medidor de humedad, marca FORNEY, modelo LA-3405-19.</t>
  </si>
  <si>
    <t>Balanza, capacidad: 15 kg, marca OHAUS, modelo V11P15T.</t>
  </si>
  <si>
    <t>Balanza, capacidad: 500 g, marca OHAUS, modelo YA501.</t>
  </si>
  <si>
    <t>Los puntos de ensayos fueron ubicados e identificada por el solicitante.</t>
  </si>
  <si>
    <t>UBICACION/CALICATA</t>
  </si>
  <si>
    <t>CAPA/ESTRATO</t>
  </si>
  <si>
    <t xml:space="preserve"> CONTENIDO DE HUMEDAD</t>
  </si>
  <si>
    <t xml:space="preserve"> Con Speedy ( NTP 339.250 )</t>
  </si>
  <si>
    <t xml:space="preserve"> humedad (NTP 339.127)</t>
  </si>
  <si>
    <t xml:space="preserve">  ENSAYO Nº </t>
  </si>
  <si>
    <t xml:space="preserve">CLIENTE </t>
  </si>
  <si>
    <t>PROYECTO **</t>
  </si>
  <si>
    <t>UBICACIÓN **</t>
  </si>
  <si>
    <t>CONO N° :</t>
  </si>
  <si>
    <t>FECHA DE ENSAYO :</t>
  </si>
  <si>
    <t xml:space="preserve">                 CÓDIGO:</t>
  </si>
  <si>
    <t>N° OT:</t>
  </si>
  <si>
    <t>F. EMISIÓN :</t>
  </si>
  <si>
    <t>DENSIAD NATURAL</t>
  </si>
  <si>
    <t>DENSIAD CORREGIDA</t>
  </si>
  <si>
    <t xml:space="preserve">  Porcentaje de grava</t>
  </si>
  <si>
    <t xml:space="preserve">  humedad (NTP 339.127)</t>
  </si>
  <si>
    <t xml:space="preserve">  Densidad de la grava</t>
  </si>
  <si>
    <t>1800 - 2100</t>
  </si>
  <si>
    <t>7000 - 7600</t>
  </si>
  <si>
    <t>PESO ARENA CONO</t>
  </si>
  <si>
    <t xml:space="preserve">DENSIDAD ARENA  </t>
  </si>
  <si>
    <t>Fin del informe</t>
  </si>
  <si>
    <t>MÉTODO DE ENSAYO PARA DETERMINAR LA DENSIDAD Y PESO UNITARIO DEL SUELO IN-SITU MEDIANTE EL MÉTODO DEL CONO DE ARENA</t>
  </si>
  <si>
    <t>UBICACIÓN/CALICATA</t>
  </si>
  <si>
    <t>** Datos proporcionados por el cliente</t>
  </si>
  <si>
    <t>DIRECCIÓN **</t>
  </si>
  <si>
    <t>Fecha de ensayo</t>
  </si>
  <si>
    <t>Nota:</t>
  </si>
  <si>
    <t xml:space="preserve">Descripción </t>
  </si>
  <si>
    <t>Und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</si>
  <si>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</si>
  <si>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</si>
  <si>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</si>
  <si>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</si>
  <si>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</si>
  <si>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</si>
  <si>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</si>
  <si>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</si>
  <si>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</si>
  <si>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</si>
  <si>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A</t>
  </si>
  <si>
    <t>B</t>
  </si>
  <si>
    <t>C</t>
  </si>
  <si>
    <t>Datos</t>
  </si>
  <si>
    <t>Observaciones: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</si>
  <si>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</si>
  <si>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</si>
  <si>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</si>
  <si>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</si>
  <si>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</si>
  <si>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</si>
  <si>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</si>
  <si>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</si>
  <si>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</si>
  <si>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</si>
  <si>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Suelos naturales, agregados</t>
  </si>
  <si>
    <t>Variables:</t>
  </si>
  <si>
    <t>Fórmula:</t>
  </si>
  <si>
    <t xml:space="preserve">M3 = Masa húmeda del orificio de prueba , g. </t>
  </si>
  <si>
    <t xml:space="preserve">M4 = Masa seca del orifico de prueba, g. </t>
  </si>
  <si>
    <t xml:space="preserve">V = Volumen del orificio de prueba, cm3. </t>
  </si>
  <si>
    <t>Equipos a utilizar: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</si>
  <si>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</si>
  <si>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Paso 2. Definición de las variables aleatorias</t>
  </si>
  <si>
    <t>g</t>
  </si>
  <si>
    <t>Masa húmeda de material del orificio de prueba</t>
  </si>
  <si>
    <t xml:space="preserve">Masa seca de material del orificio de prueba </t>
  </si>
  <si>
    <t>Porcentaje compactaciòn</t>
  </si>
  <si>
    <t>Densidad húmeda in situ</t>
  </si>
  <si>
    <t>Densidad seca in situ</t>
  </si>
  <si>
    <t>Peso unitario seco in situ</t>
  </si>
  <si>
    <t>3 digito</t>
  </si>
  <si>
    <t xml:space="preserve">g </t>
  </si>
  <si>
    <t>Ubicación de la prueba**</t>
  </si>
  <si>
    <t>Espesor de la capa**</t>
  </si>
  <si>
    <t>Ninguno</t>
  </si>
  <si>
    <t>Porcentaje de sobretamaño</t>
  </si>
  <si>
    <t>3/4 in</t>
  </si>
  <si>
    <t>Porcentaje de compactación</t>
  </si>
  <si>
    <t>Progresiva/ Cota / Lado**</t>
  </si>
  <si>
    <t>1 1/2 in</t>
  </si>
  <si>
    <t>1 in</t>
  </si>
  <si>
    <t>1/2 in</t>
  </si>
  <si>
    <t>3/8 in</t>
  </si>
  <si>
    <t>N°4</t>
  </si>
  <si>
    <t>Porcentaje de Sobretamaño</t>
  </si>
  <si>
    <t>Peso unitario seco máximo</t>
  </si>
  <si>
    <t>% humedad óptima</t>
  </si>
  <si>
    <t>Gravedad específica( ASTM C127)</t>
  </si>
  <si>
    <t>Peso unitario seco laboratorio</t>
  </si>
  <si>
    <t>Contenido de agua(ASTM D2216)</t>
  </si>
  <si>
    <t>Corrección</t>
  </si>
  <si>
    <t>3 digitos informe</t>
  </si>
  <si>
    <t>Criterio de Aceptación de mínimos Volumenes</t>
  </si>
  <si>
    <t>Tamiz del Sobretamaño.</t>
  </si>
  <si>
    <t>Masa de sobretamaño</t>
  </si>
  <si>
    <t>PRUEBA 1</t>
  </si>
  <si>
    <t>PRUEBA 2</t>
  </si>
  <si>
    <t>PRUEBA 3</t>
  </si>
  <si>
    <r>
      <t>g/cm</t>
    </r>
    <r>
      <rPr>
        <vertAlign val="superscript"/>
        <sz val="8"/>
        <color theme="1"/>
        <rFont val="Arial"/>
        <family val="2"/>
      </rPr>
      <t>3</t>
    </r>
  </si>
  <si>
    <r>
      <t>cm</t>
    </r>
    <r>
      <rPr>
        <vertAlign val="superscript"/>
        <sz val="8"/>
        <color theme="1"/>
        <rFont val="Arial"/>
        <family val="2"/>
      </rPr>
      <t>3</t>
    </r>
  </si>
  <si>
    <r>
      <t xml:space="preserve">ρ </t>
    </r>
    <r>
      <rPr>
        <b/>
        <vertAlign val="subscript"/>
        <sz val="8"/>
        <rFont val="Arial"/>
        <family val="2"/>
      </rPr>
      <t xml:space="preserve">arena </t>
    </r>
    <r>
      <rPr>
        <b/>
        <sz val="8"/>
        <rFont val="Arial"/>
        <family val="2"/>
      </rPr>
      <t>(g/cm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</si>
  <si>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r>
      <t>g/cm</t>
    </r>
    <r>
      <rPr>
        <vertAlign val="superscript"/>
        <sz val="8"/>
        <rFont val="Arial"/>
        <family val="2"/>
      </rPr>
      <t>3</t>
    </r>
  </si>
  <si>
    <t>DATO EQUIPO DENSIDADES</t>
  </si>
  <si>
    <t>UND</t>
  </si>
  <si>
    <t>DATOS</t>
  </si>
  <si>
    <r>
      <t>Volumen (cm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</si>
  <si>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>Volumen del orificio de prueba</t>
  </si>
  <si>
    <t>p1</t>
  </si>
  <si>
    <t>M1</t>
  </si>
  <si>
    <t>M2</t>
  </si>
  <si>
    <t>W</t>
  </si>
  <si>
    <t xml:space="preserve">Masa Residual de arena </t>
  </si>
  <si>
    <t>Masa de arena utilizada en el orificio de prueba, el embudo y la placa base</t>
  </si>
  <si>
    <t>Masa de arena utilizada para llenar el embudo y la placa base (g)</t>
  </si>
  <si>
    <t>V</t>
  </si>
  <si>
    <t>M3</t>
  </si>
  <si>
    <t xml:space="preserve"> M4</t>
  </si>
  <si>
    <t>pm</t>
  </si>
  <si>
    <t>pd</t>
  </si>
  <si>
    <t>4 digitos</t>
  </si>
  <si>
    <t>Descripción visual del suelo</t>
  </si>
  <si>
    <t>Masa inicial del cono mas arena</t>
  </si>
  <si>
    <t>Tamaño Maximo de grava identificado</t>
  </si>
  <si>
    <t>GRADO DE COMPACTACIÓN</t>
  </si>
  <si>
    <t>W*</t>
  </si>
  <si>
    <t xml:space="preserve">Contenido de agua SPEEDY (***) </t>
  </si>
  <si>
    <t>CONTENIDO HUMEDAD</t>
  </si>
  <si>
    <t>TAMAÑO MAX. GRAVA</t>
  </si>
  <si>
    <t>TAMIZ SOBRETAMAÑO</t>
  </si>
  <si>
    <t>METODO PROCTOR</t>
  </si>
  <si>
    <t>-</t>
  </si>
  <si>
    <t>VOLUMEN MINIMO ORIFICIO</t>
  </si>
  <si>
    <t>Ensayado por :</t>
  </si>
  <si>
    <t>Humedad Optima (%) :</t>
  </si>
  <si>
    <t xml:space="preserve">                 CÓDIGO :</t>
  </si>
  <si>
    <t>pd = Densidad seca</t>
  </si>
  <si>
    <t>pm = Densidad húmeda</t>
  </si>
  <si>
    <t>Fuentes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</si>
  <si>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</si>
  <si>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</si>
  <si>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</si>
  <si>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</si>
  <si>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</si>
  <si>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</si>
  <si>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Repetibilidad de la pesada</t>
  </si>
  <si>
    <t>Normal, K=1</t>
  </si>
  <si>
    <t>---</t>
  </si>
  <si>
    <t>Certificado de Calibración</t>
  </si>
  <si>
    <t>Normal, K=2</t>
  </si>
  <si>
    <t>Resolución</t>
  </si>
  <si>
    <t>Rectangular</t>
  </si>
  <si>
    <t xml:space="preserve">factor de presición </t>
  </si>
  <si>
    <t>Norma, K=1</t>
  </si>
  <si>
    <t xml:space="preserve">Incertidumbre Estándar Combinada </t>
  </si>
  <si>
    <t>Incertidumbre Expandida, K = 2</t>
  </si>
  <si>
    <t>M4</t>
  </si>
  <si>
    <t>molde calibracion arena</t>
  </si>
  <si>
    <r>
      <t xml:space="preserve">Densidad </t>
    </r>
    <r>
      <rPr>
        <i/>
        <sz val="10"/>
        <color theme="1"/>
        <rFont val="Arial"/>
        <family val="2"/>
      </rPr>
      <t>in-situ</t>
    </r>
  </si>
  <si>
    <t>EQP-0093</t>
  </si>
  <si>
    <r>
      <t>kN/m</t>
    </r>
    <r>
      <rPr>
        <vertAlign val="superscript"/>
        <sz val="8"/>
        <rFont val="Arial"/>
        <family val="2"/>
      </rPr>
      <t>3</t>
    </r>
  </si>
  <si>
    <t>Identificación Cono N°</t>
  </si>
  <si>
    <t>Volumen calibrado cono</t>
  </si>
  <si>
    <t>Tipo de Muestra(**)</t>
  </si>
  <si>
    <t>BASE-SUBBASE-RELLENO-SUBRASANTE</t>
  </si>
  <si>
    <t>Grava arenosa color beige</t>
  </si>
  <si>
    <t xml:space="preserve">Masa de sobretamaño </t>
  </si>
  <si>
    <t>ENSAYO PROCTOR</t>
  </si>
  <si>
    <t>ASTM D1557-12 (Reapproved 2021)</t>
  </si>
  <si>
    <t>ASTM D698</t>
  </si>
  <si>
    <t>NTP 339.141:1999 (Revisado 2014)</t>
  </si>
  <si>
    <t>NTP 339.142:1999 (Revisado 2014)</t>
  </si>
  <si>
    <t>Método de ensayo :</t>
  </si>
  <si>
    <t>Criterio de aceptación **</t>
  </si>
  <si>
    <t xml:space="preserve">Masa Residual del cono mas arena </t>
  </si>
  <si>
    <t>Masa de arena utilizada para llenar el embudo y la placa base</t>
  </si>
  <si>
    <t>CONTENIDO DE HUMEDAD</t>
  </si>
  <si>
    <t>OT N° :</t>
  </si>
  <si>
    <t>RECEPCIÓN N° :</t>
  </si>
  <si>
    <t>FECHA EMISIÓN :</t>
  </si>
  <si>
    <t>FECHA RECEPCIÓN :</t>
  </si>
  <si>
    <t xml:space="preserve">(g/cm3) </t>
  </si>
  <si>
    <t>(cm3)</t>
  </si>
  <si>
    <t>und</t>
  </si>
  <si>
    <t>Datos Cono</t>
  </si>
  <si>
    <t>Datos ensayo</t>
  </si>
  <si>
    <t>Datos material compactado</t>
  </si>
  <si>
    <t>PRUEBA 4</t>
  </si>
  <si>
    <t xml:space="preserve">Densidad de la arena </t>
  </si>
  <si>
    <t xml:space="preserve">Masa de arena embudo y placa </t>
  </si>
  <si>
    <t>CORRECCION</t>
  </si>
  <si>
    <t>Contenido de agua (ASTM D2216)</t>
  </si>
  <si>
    <t>EQUIPO</t>
  </si>
  <si>
    <t>Equipo cono N°</t>
  </si>
  <si>
    <t>Norma ensayo de Proctor :</t>
  </si>
  <si>
    <t>INFORMACIÓN MAT. COMPACTADO (proctor)</t>
  </si>
  <si>
    <t>Ubicación de la prueba*</t>
  </si>
  <si>
    <t>Progresiva/ Cota / Lado*</t>
  </si>
  <si>
    <t>Espesor de la capa*</t>
  </si>
  <si>
    <t>Descripción visual del suelo **</t>
  </si>
  <si>
    <t>Tipo de Muestra **</t>
  </si>
  <si>
    <t>Condiciones de entorno (1)</t>
  </si>
  <si>
    <t>CRITERIO DE ACEPTACIÓN *</t>
  </si>
  <si>
    <t>Identificación cono N°</t>
  </si>
  <si>
    <t>Gravedad específica :</t>
  </si>
  <si>
    <t>DATOS ENSAYO</t>
  </si>
  <si>
    <t>Ensayado por</t>
  </si>
  <si>
    <t>D</t>
  </si>
  <si>
    <t>N</t>
  </si>
  <si>
    <t>I</t>
  </si>
  <si>
    <t>G</t>
  </si>
  <si>
    <t>H</t>
  </si>
  <si>
    <t>J</t>
  </si>
  <si>
    <t>K</t>
  </si>
  <si>
    <t>L</t>
  </si>
  <si>
    <t>M</t>
  </si>
  <si>
    <t>CODIGO BALANZA</t>
  </si>
  <si>
    <t>Tamiz del sobretamaño</t>
  </si>
  <si>
    <r>
      <t>δ</t>
    </r>
    <r>
      <rPr>
        <vertAlign val="subscript"/>
        <sz val="10"/>
        <color rgb="FF231F20"/>
        <rFont val="Arial"/>
        <family val="2"/>
      </rPr>
      <t>D</t>
    </r>
  </si>
  <si>
    <r>
      <t>Peso Unitario Seco(kN/ 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 :</t>
    </r>
  </si>
  <si>
    <r>
      <t>cm</t>
    </r>
    <r>
      <rPr>
        <vertAlign val="superscript"/>
        <sz val="8"/>
        <rFont val="Arial"/>
        <family val="2"/>
      </rPr>
      <t>3</t>
    </r>
  </si>
  <si>
    <r>
      <t xml:space="preserve"> kN/m</t>
    </r>
    <r>
      <rPr>
        <vertAlign val="superscript"/>
        <sz val="8"/>
        <rFont val="Arial"/>
        <family val="2"/>
      </rPr>
      <t>3</t>
    </r>
  </si>
  <si>
    <t>CONO 1</t>
  </si>
  <si>
    <t>CONO 2</t>
  </si>
  <si>
    <t>INS-0005</t>
  </si>
  <si>
    <t>Balanza con resolución de lectura de 1g</t>
  </si>
  <si>
    <t>Fecha calib.</t>
  </si>
  <si>
    <t xml:space="preserve"> - </t>
  </si>
  <si>
    <t>FECHA CALIBRACIÓN</t>
  </si>
  <si>
    <t>EQP-0108</t>
  </si>
  <si>
    <t>Fecha de evaluacion: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</si>
  <si>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</si>
  <si>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</si>
  <si>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EQ.DENS. 1</t>
  </si>
  <si>
    <t>EQ.DENS. 2</t>
  </si>
  <si>
    <t>EQ.DENS. 3</t>
  </si>
  <si>
    <t>EQ.DENS. 4</t>
  </si>
  <si>
    <t>EQUIPO DENSIDADES</t>
  </si>
  <si>
    <t>EQP-0096</t>
  </si>
  <si>
    <t>EQP-0034</t>
  </si>
  <si>
    <t>EQP-0129</t>
  </si>
  <si>
    <t xml:space="preserve">EQUIPO  </t>
  </si>
  <si>
    <t>CODIGO CONO</t>
  </si>
  <si>
    <t>BALANZA UTILIZADA 30KG</t>
  </si>
  <si>
    <t>EQP-0107</t>
  </si>
  <si>
    <t>EQUIPO DENSIDADES 15/09/25</t>
  </si>
  <si>
    <t>SUELOS. MÉTODO DE ENSAYO ESTÁNDAR PARA LA DENSIDAD Y PESO UNITARIO DEL SUELO IN-SITU MEDIANTE EL MÉTODO DEL CONO DE ARENA</t>
  </si>
  <si>
    <t>NTP 339.143 1999 (revisada el 2019)</t>
  </si>
  <si>
    <t>SUELOS. MÉTODO DE ENSAYO PARA DETERMINAR LA DENSIDAD Y PESO UNITARIO DEL SUELO IN-SITU MEDIANTE EL MÉTODO DEL CONO DE ARENA
NTP 339.143 1999 (revisada el 2019)</t>
  </si>
  <si>
    <r>
      <t xml:space="preserve">Suelos. Método de ensayo estándar para la densidad y peso unitario del suelo </t>
    </r>
    <r>
      <rPr>
        <i/>
        <sz val="10"/>
        <color theme="1"/>
        <rFont val="Arial"/>
        <family val="2"/>
      </rPr>
      <t>in-situ</t>
    </r>
    <r>
      <rPr>
        <sz val="10"/>
        <color theme="1"/>
        <rFont val="Arial"/>
        <family val="2"/>
      </rPr>
      <t xml:space="preserve"> mediante el método del cono de de arena.</t>
    </r>
  </si>
  <si>
    <t>EQP-0133</t>
  </si>
  <si>
    <t>EQ.DENS. 5</t>
  </si>
  <si>
    <t>EQP-0143</t>
  </si>
  <si>
    <t>EQP-0142</t>
  </si>
  <si>
    <t>EQP-0147</t>
  </si>
  <si>
    <t>CONO 3</t>
  </si>
  <si>
    <t>2*RAIZ(0.0000013+0.0000000000762xR2)</t>
  </si>
  <si>
    <t>Mensurando:</t>
  </si>
  <si>
    <t>Paso 1. Definición del proceso de medición</t>
  </si>
  <si>
    <t>REVISADO POR:</t>
  </si>
  <si>
    <t>FABIAN LA ROSA</t>
  </si>
  <si>
    <t>IRMA COAQUIRA</t>
  </si>
  <si>
    <r>
      <rPr>
        <b/>
        <u/>
        <sz val="9"/>
        <color theme="1"/>
        <rFont val="Arial"/>
        <family val="2"/>
      </rPr>
      <t>APROBADO POR</t>
    </r>
    <r>
      <rPr>
        <b/>
        <sz val="9"/>
        <color theme="1"/>
        <rFont val="Arial"/>
        <family val="2"/>
      </rPr>
      <t>:</t>
    </r>
  </si>
  <si>
    <r>
      <rPr>
        <b/>
        <u/>
        <sz val="9"/>
        <rFont val="Arial"/>
        <family val="2"/>
      </rPr>
      <t>FECHA DE REVISIÓN</t>
    </r>
    <r>
      <rPr>
        <b/>
        <sz val="9"/>
        <rFont val="Arial"/>
        <family val="2"/>
      </rPr>
      <t>:</t>
    </r>
  </si>
  <si>
    <r>
      <rPr>
        <b/>
        <u/>
        <sz val="9"/>
        <rFont val="Arial"/>
        <family val="2"/>
      </rPr>
      <t>FECHA DE APROBACIÓN</t>
    </r>
    <r>
      <rPr>
        <b/>
        <sz val="9"/>
        <rFont val="Arial"/>
        <family val="2"/>
      </rPr>
      <t>:</t>
    </r>
  </si>
  <si>
    <t>Factor de precision DENSIDAD</t>
  </si>
  <si>
    <t>2*RAIZ(0.691+0.000000000583xR2)</t>
  </si>
  <si>
    <t>CONO 4</t>
  </si>
  <si>
    <t>2*RAIZ(0.17+0.0000381xR2)</t>
  </si>
  <si>
    <t>CONO 5</t>
  </si>
  <si>
    <t>2*RAIZ(0.000000253+0.00000000125xR2)</t>
  </si>
  <si>
    <t>- Los resultados de los ensayos realizados no deben ser utilizados como una certificación de conformidad con normas de producto o como certificado del sistema de calidad de la entidad que lo produce.</t>
  </si>
  <si>
    <t>- El cliente es responsable de los datos de identificación de los puntos de ensayo brindados.</t>
  </si>
  <si>
    <t>- De conformidad con lo dispuesto por el artículo 1321 del Código Civil, queda establecido que en ningún caso la responsabilidad de GEOFAL S.A.C. será mayor al valor del servicio prestado.</t>
  </si>
  <si>
    <t>DESCRIPCIÓN</t>
  </si>
  <si>
    <t>- GEOFAL S.A.C. no se hace responsable por el uso incorrecto o inadecuado del presente informe.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</si>
  <si>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</si>
  <si>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r>
      <t xml:space="preserve">Peso unitario corregido </t>
    </r>
    <r>
      <rPr>
        <b/>
        <u/>
        <sz val="8"/>
        <rFont val="Arial"/>
        <family val="2"/>
      </rPr>
      <t>(D4718/D4718M-15(2023))</t>
    </r>
  </si>
  <si>
    <t xml:space="preserve"> reporte al 0,1 </t>
  </si>
  <si>
    <t>Contenido de agua in situ (ASTM D2216-19)</t>
  </si>
  <si>
    <t>Versión: 05 (2026-05-26)</t>
  </si>
  <si>
    <t>2*RAIZ(1,29+0.0000000000880xR2)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</si>
</sst>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"/>
    <numFmt numFmtId="165" formatCode="000"/>
    <numFmt numFmtId="166" formatCode="0\ &quot;/ CO-06&quot;"/>
    <numFmt numFmtId="167" formatCode="0.000"/>
    <numFmt numFmtId="168" formatCode="0000&quot; (gr)&quot;"/>
    <numFmt numFmtId="169" formatCode="0.000&quot; (gr/cm3)&quot;"/>
    <numFmt numFmtId="170" formatCode="dd\-mm\-yy;@"/>
    <numFmt numFmtId="171" formatCode="000\-\ &quot;22&quot;"/>
    <numFmt numFmtId="172" formatCode="&quot;INFORME DE ENSAYO N°&quot;000&quot;-22 SU06&quot;"/>
    <numFmt numFmtId="173" formatCode="0.00000"/>
    <numFmt numFmtId="174" formatCode="&quot;0&quot;0"/>
    <numFmt numFmtId="175" formatCode="####"/>
    <numFmt numFmtId="176" formatCode="##.#"/>
    <numFmt numFmtId="177" formatCode="##"/>
    <numFmt numFmtId="178" formatCode="0.0000"/>
    <numFmt numFmtId="179" formatCode="dd/mm/yy;@"/>
    <numFmt numFmtId="180" formatCode="0.00000000000000"/>
    <numFmt numFmtId="181" formatCode="yyyy\-mm\-dd;@"/>
    <numFmt numFmtId="182" formatCode="#,##0.0"/>
    <numFmt numFmtId="183" formatCode="&quot;INFORME DE ENSAYO N°&quot;000&quot;-26 SU06&quot;"/>
    <numFmt numFmtId="184" formatCode="000\-\ &quot;26&quot;"/>
    <numFmt numFmtId="185" formatCode="#,##0.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rgb="FF0000FF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bscript"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rgb="FF0000FF"/>
      <name val="Arial"/>
      <family val="2"/>
    </font>
    <font>
      <i/>
      <sz val="8"/>
      <name val="Arial"/>
      <family val="2"/>
    </font>
    <font>
      <b/>
      <sz val="5"/>
      <name val="Arial"/>
      <family val="2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theme="1"/>
      <name val="Cambria"/>
      <family val="1"/>
    </font>
    <font>
      <b/>
      <sz val="9"/>
      <color indexed="81"/>
      <name val="Tahoma"/>
      <family val="2"/>
    </font>
    <font>
      <b/>
      <sz val="8"/>
      <color rgb="FF0000FF"/>
      <name val="Arial"/>
      <family val="2"/>
    </font>
    <font>
      <sz val="9"/>
      <color rgb="FF0000FF"/>
      <name val="Arial"/>
      <family val="2"/>
    </font>
    <font>
      <strike/>
      <sz val="8"/>
      <color theme="1"/>
      <name val="Arial"/>
      <family val="2"/>
    </font>
    <font>
      <vertAlign val="subscript"/>
      <sz val="10"/>
      <color rgb="FF231F20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u/>
      <sz val="11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0"/>
      <name val="Arial"/>
      <family val="2"/>
    </font>
    <font>
      <b/>
      <u/>
      <sz val="7"/>
      <name val="Arial"/>
      <family val="2"/>
    </font>
    <font>
      <b/>
      <u/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0"/>
        <bgColor rgb="FFDBE5F1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658">
    <xf numFmtId="0" fontId="0" fillId="0" borderId="0" xfId="0"/>
    <xf numFmtId="0" fontId="0" fillId="0" borderId="1" xfId="0" applyBorder="1"/>
    <xf numFmtId="2" fontId="5" fillId="2" borderId="1" xfId="0" applyNumberFormat="1" applyFont="1" applyFill="1" applyBorder="1" applyAlignment="1">
      <alignment vertical="center" wrapText="1"/>
    </xf>
    <xf numFmtId="10" fontId="6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2" fontId="10" fillId="0" borderId="1" xfId="0" applyNumberFormat="1" applyFont="1" applyBorder="1"/>
    <xf numFmtId="2" fontId="11" fillId="2" borderId="1" xfId="0" applyNumberFormat="1" applyFont="1" applyFill="1" applyBorder="1" applyAlignment="1">
      <alignment vertical="center" wrapText="1"/>
    </xf>
    <xf numFmtId="166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7" fillId="0" borderId="0" xfId="0" applyFont="1"/>
    <xf numFmtId="0" fontId="21" fillId="0" borderId="0" xfId="6" applyFont="1" applyAlignment="1">
      <alignment horizontal="right" vertical="center"/>
    </xf>
    <xf numFmtId="0" fontId="21" fillId="0" borderId="0" xfId="6" applyFont="1" applyAlignment="1">
      <alignment vertical="center"/>
    </xf>
    <xf numFmtId="0" fontId="12" fillId="0" borderId="0" xfId="0" applyFont="1" applyAlignment="1">
      <alignment horizontal="right"/>
    </xf>
    <xf numFmtId="0" fontId="7" fillId="0" borderId="0" xfId="0" applyFont="1" applyAlignment="1" applyProtection="1">
      <alignment vertical="center"/>
      <protection locked="0"/>
    </xf>
    <xf numFmtId="0" fontId="15" fillId="0" borderId="0" xfId="6" applyFont="1" applyAlignment="1">
      <alignment horizontal="left" vertical="center"/>
    </xf>
    <xf numFmtId="171" fontId="7" fillId="0" borderId="0" xfId="0" applyNumberFormat="1" applyFont="1" applyAlignment="1" applyProtection="1">
      <alignment horizontal="left" vertical="center"/>
      <protection locked="0"/>
    </xf>
    <xf numFmtId="170" fontId="7" fillId="0" borderId="0" xfId="0" applyNumberFormat="1" applyFont="1" applyAlignment="1" applyProtection="1">
      <alignment horizontal="left" vertical="center"/>
      <protection locked="0"/>
    </xf>
    <xf numFmtId="0" fontId="15" fillId="0" borderId="0" xfId="6" quotePrefix="1" applyFont="1" applyAlignment="1">
      <alignment horizontal="left" vertical="center"/>
    </xf>
    <xf numFmtId="0" fontId="13" fillId="0" borderId="0" xfId="0" applyFont="1" applyProtection="1">
      <protection locked="0"/>
    </xf>
    <xf numFmtId="172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12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right" vertical="center"/>
      <protection locked="0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8" fontId="7" fillId="0" borderId="0" xfId="0" applyNumberFormat="1" applyFont="1" applyAlignment="1" applyProtection="1">
      <alignment horizontal="left" vertical="center"/>
      <protection locked="0"/>
    </xf>
    <xf numFmtId="1" fontId="7" fillId="0" borderId="27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9" fontId="7" fillId="0" borderId="0" xfId="0" applyNumberFormat="1" applyFont="1" applyAlignment="1" applyProtection="1">
      <alignment horizontal="left" vertical="center" wrapText="1"/>
      <protection locked="0"/>
    </xf>
    <xf numFmtId="170" fontId="7" fillId="0" borderId="27" xfId="0" applyNumberFormat="1" applyFont="1" applyBorder="1" applyAlignment="1" applyProtection="1">
      <alignment horizontal="left" vertical="center"/>
      <protection locked="0"/>
    </xf>
    <xf numFmtId="0" fontId="12" fillId="0" borderId="6" xfId="3" applyFont="1" applyBorder="1" applyAlignment="1" applyProtection="1">
      <alignment vertical="center"/>
      <protection locked="0"/>
    </xf>
    <xf numFmtId="0" fontId="12" fillId="0" borderId="2" xfId="3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12" fillId="0" borderId="2" xfId="3" applyFont="1" applyBorder="1" applyAlignment="1" applyProtection="1">
      <alignment horizontal="right" vertical="center"/>
      <protection locked="0"/>
    </xf>
    <xf numFmtId="0" fontId="12" fillId="0" borderId="2" xfId="3" applyFont="1" applyBorder="1" applyAlignment="1" applyProtection="1">
      <alignment horizontal="center" vertical="center"/>
      <protection locked="0"/>
    </xf>
    <xf numFmtId="17" fontId="7" fillId="0" borderId="7" xfId="0" applyNumberFormat="1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7" fillId="0" borderId="1" xfId="4" applyFont="1" applyBorder="1" applyAlignment="1" applyProtection="1">
      <alignment vertical="center" wrapText="1"/>
      <protection locked="0"/>
    </xf>
    <xf numFmtId="49" fontId="17" fillId="0" borderId="10" xfId="0" applyNumberFormat="1" applyFont="1" applyBorder="1" applyAlignment="1" applyProtection="1">
      <alignment horizontal="center" vertical="center" wrapText="1"/>
      <protection locked="0"/>
    </xf>
    <xf numFmtId="49" fontId="17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0" borderId="8" xfId="0" applyNumberFormat="1" applyFont="1" applyBorder="1" applyAlignment="1" applyProtection="1">
      <alignment vertical="center" wrapText="1"/>
      <protection locked="0"/>
    </xf>
    <xf numFmtId="49" fontId="17" fillId="0" borderId="1" xfId="0" applyNumberFormat="1" applyFont="1" applyBorder="1" applyAlignment="1" applyProtection="1">
      <alignment vertical="center" wrapText="1"/>
      <protection locked="0"/>
    </xf>
    <xf numFmtId="0" fontId="7" fillId="0" borderId="8" xfId="4" applyFont="1" applyBorder="1" applyAlignment="1" applyProtection="1">
      <alignment vertical="center"/>
      <protection locked="0"/>
    </xf>
    <xf numFmtId="0" fontId="7" fillId="0" borderId="9" xfId="4" applyFont="1" applyBorder="1" applyAlignment="1" applyProtection="1">
      <alignment vertical="center"/>
      <protection locked="0"/>
    </xf>
    <xf numFmtId="0" fontId="7" fillId="0" borderId="10" xfId="4" applyFont="1" applyBorder="1" applyAlignment="1" applyProtection="1">
      <alignment vertical="center"/>
      <protection locked="0"/>
    </xf>
    <xf numFmtId="0" fontId="7" fillId="0" borderId="8" xfId="4" applyFont="1" applyBorder="1" applyAlignment="1" applyProtection="1">
      <alignment horizontal="left" vertical="center"/>
      <protection locked="0"/>
    </xf>
    <xf numFmtId="0" fontId="7" fillId="0" borderId="9" xfId="4" applyFont="1" applyBorder="1" applyAlignment="1" applyProtection="1">
      <alignment horizontal="left" vertical="center"/>
      <protection locked="0"/>
    </xf>
    <xf numFmtId="0" fontId="13" fillId="0" borderId="1" xfId="4" applyFont="1" applyBorder="1" applyProtection="1">
      <protection locked="0"/>
    </xf>
    <xf numFmtId="49" fontId="17" fillId="0" borderId="10" xfId="0" quotePrefix="1" applyNumberFormat="1" applyFont="1" applyBorder="1" applyAlignment="1" applyProtection="1">
      <alignment horizontal="center" vertical="center" wrapText="1"/>
      <protection locked="0"/>
    </xf>
    <xf numFmtId="49" fontId="17" fillId="0" borderId="9" xfId="0" quotePrefix="1" applyNumberFormat="1" applyFont="1" applyBorder="1" applyAlignment="1" applyProtection="1">
      <alignment horizontal="center" vertical="center" wrapText="1"/>
      <protection locked="0"/>
    </xf>
    <xf numFmtId="49" fontId="17" fillId="0" borderId="8" xfId="0" quotePrefix="1" applyNumberFormat="1" applyFont="1" applyBorder="1" applyAlignment="1" applyProtection="1">
      <alignment vertical="center" wrapText="1"/>
      <protection locked="0"/>
    </xf>
    <xf numFmtId="49" fontId="17" fillId="0" borderId="1" xfId="0" quotePrefix="1" applyNumberFormat="1" applyFont="1" applyBorder="1" applyAlignment="1" applyProtection="1">
      <alignment vertical="center" wrapText="1"/>
      <protection locked="0"/>
    </xf>
    <xf numFmtId="0" fontId="13" fillId="0" borderId="10" xfId="4" applyFont="1" applyBorder="1" applyProtection="1">
      <protection locked="0"/>
    </xf>
    <xf numFmtId="1" fontId="7" fillId="0" borderId="25" xfId="0" applyNumberFormat="1" applyFont="1" applyBorder="1" applyAlignment="1" applyProtection="1">
      <alignment horizontal="center" vertical="center"/>
      <protection locked="0"/>
    </xf>
    <xf numFmtId="1" fontId="17" fillId="0" borderId="23" xfId="0" applyNumberFormat="1" applyFont="1" applyBorder="1" applyAlignment="1" applyProtection="1">
      <alignment horizontal="center" vertical="center"/>
      <protection locked="0"/>
    </xf>
    <xf numFmtId="1" fontId="17" fillId="0" borderId="24" xfId="0" applyNumberFormat="1" applyFont="1" applyBorder="1" applyAlignment="1" applyProtection="1">
      <alignment horizontal="center" vertical="center"/>
      <protection locked="0"/>
    </xf>
    <xf numFmtId="1" fontId="17" fillId="0" borderId="17" xfId="0" applyNumberFormat="1" applyFont="1" applyBorder="1" applyAlignment="1" applyProtection="1">
      <alignment vertical="center"/>
      <protection locked="0"/>
    </xf>
    <xf numFmtId="1" fontId="17" fillId="0" borderId="30" xfId="0" applyNumberFormat="1" applyFont="1" applyBorder="1" applyAlignment="1" applyProtection="1">
      <alignment vertical="center"/>
      <protection locked="0"/>
    </xf>
    <xf numFmtId="0" fontId="7" fillId="0" borderId="17" xfId="0" applyFont="1" applyBorder="1" applyProtection="1">
      <protection locked="0"/>
    </xf>
    <xf numFmtId="0" fontId="13" fillId="0" borderId="26" xfId="0" applyFont="1" applyBorder="1" applyProtection="1">
      <protection locked="0"/>
    </xf>
    <xf numFmtId="0" fontId="7" fillId="0" borderId="18" xfId="0" applyFont="1" applyBorder="1" applyProtection="1">
      <protection locked="0"/>
    </xf>
    <xf numFmtId="1" fontId="15" fillId="3" borderId="25" xfId="4" applyNumberFormat="1" applyFont="1" applyFill="1" applyBorder="1" applyAlignment="1" applyProtection="1">
      <alignment horizontal="center" vertical="center"/>
      <protection locked="0"/>
    </xf>
    <xf numFmtId="1" fontId="15" fillId="2" borderId="0" xfId="4" applyNumberFormat="1" applyFont="1" applyFill="1" applyAlignment="1" applyProtection="1">
      <alignment horizontal="center" vertical="center"/>
      <protection locked="0"/>
    </xf>
    <xf numFmtId="0" fontId="7" fillId="0" borderId="14" xfId="0" applyFont="1" applyBorder="1" applyProtection="1">
      <protection locked="0"/>
    </xf>
    <xf numFmtId="1" fontId="7" fillId="0" borderId="11" xfId="0" applyNumberFormat="1" applyFont="1" applyBorder="1" applyAlignment="1" applyProtection="1">
      <alignment horizontal="center" vertical="center"/>
      <protection locked="0"/>
    </xf>
    <xf numFmtId="1" fontId="17" fillId="0" borderId="16" xfId="0" applyNumberFormat="1" applyFont="1" applyBorder="1" applyAlignment="1" applyProtection="1">
      <alignment horizontal="center" vertical="center"/>
      <protection locked="0"/>
    </xf>
    <xf numFmtId="1" fontId="17" fillId="0" borderId="15" xfId="0" applyNumberFormat="1" applyFont="1" applyBorder="1" applyAlignment="1" applyProtection="1">
      <alignment horizontal="center" vertical="center"/>
      <protection locked="0"/>
    </xf>
    <xf numFmtId="1" fontId="17" fillId="0" borderId="14" xfId="0" applyNumberFormat="1" applyFont="1" applyBorder="1" applyAlignment="1" applyProtection="1">
      <alignment vertical="center"/>
      <protection locked="0"/>
    </xf>
    <xf numFmtId="1" fontId="17" fillId="0" borderId="11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1" fontId="15" fillId="3" borderId="11" xfId="4" applyNumberFormat="1" applyFont="1" applyFill="1" applyBorder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 wrapText="1"/>
      <protection locked="0"/>
    </xf>
    <xf numFmtId="1" fontId="15" fillId="2" borderId="11" xfId="4" applyNumberFormat="1" applyFont="1" applyFill="1" applyBorder="1" applyAlignment="1" applyProtection="1">
      <alignment horizontal="center" vertical="center"/>
      <protection locked="0"/>
    </xf>
    <xf numFmtId="1" fontId="7" fillId="3" borderId="11" xfId="0" applyNumberFormat="1" applyFont="1" applyFill="1" applyBorder="1" applyAlignment="1" applyProtection="1">
      <alignment horizontal="center" vertical="center"/>
      <protection locked="0"/>
    </xf>
    <xf numFmtId="167" fontId="7" fillId="0" borderId="11" xfId="0" applyNumberFormat="1" applyFont="1" applyBorder="1" applyAlignment="1" applyProtection="1">
      <alignment horizontal="center" vertical="center"/>
      <protection locked="0"/>
    </xf>
    <xf numFmtId="167" fontId="17" fillId="0" borderId="16" xfId="0" applyNumberFormat="1" applyFont="1" applyBorder="1" applyAlignment="1" applyProtection="1">
      <alignment horizontal="center" vertical="center"/>
      <protection locked="0"/>
    </xf>
    <xf numFmtId="167" fontId="17" fillId="0" borderId="15" xfId="0" applyNumberFormat="1" applyFont="1" applyBorder="1" applyAlignment="1" applyProtection="1">
      <alignment horizontal="center" vertical="center"/>
      <protection locked="0"/>
    </xf>
    <xf numFmtId="167" fontId="17" fillId="0" borderId="14" xfId="0" applyNumberFormat="1" applyFont="1" applyBorder="1" applyAlignment="1" applyProtection="1">
      <alignment vertical="center"/>
      <protection locked="0"/>
    </xf>
    <xf numFmtId="167" fontId="17" fillId="0" borderId="11" xfId="0" applyNumberFormat="1" applyFont="1" applyBorder="1" applyAlignment="1" applyProtection="1">
      <alignment vertical="center"/>
      <protection locked="0"/>
    </xf>
    <xf numFmtId="0" fontId="12" fillId="0" borderId="14" xfId="0" applyFont="1" applyBorder="1" applyProtection="1">
      <protection locked="0"/>
    </xf>
    <xf numFmtId="0" fontId="18" fillId="0" borderId="15" xfId="0" applyFont="1" applyBorder="1" applyProtection="1">
      <protection locked="0"/>
    </xf>
    <xf numFmtId="0" fontId="12" fillId="0" borderId="16" xfId="0" applyFont="1" applyBorder="1" applyProtection="1">
      <protection locked="0"/>
    </xf>
    <xf numFmtId="167" fontId="12" fillId="0" borderId="11" xfId="0" applyNumberFormat="1" applyFont="1" applyBorder="1" applyAlignment="1" applyProtection="1">
      <alignment horizontal="center" vertical="center"/>
      <protection locked="0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4" fontId="17" fillId="0" borderId="16" xfId="0" applyNumberFormat="1" applyFont="1" applyBorder="1" applyAlignment="1" applyProtection="1">
      <alignment horizontal="center" vertical="center"/>
      <protection locked="0"/>
    </xf>
    <xf numFmtId="164" fontId="17" fillId="0" borderId="31" xfId="0" applyNumberFormat="1" applyFont="1" applyBorder="1" applyAlignment="1" applyProtection="1">
      <alignment horizontal="center" vertical="center"/>
      <protection locked="0"/>
    </xf>
    <xf numFmtId="164" fontId="17" fillId="0" borderId="20" xfId="0" applyNumberFormat="1" applyFont="1" applyBorder="1" applyAlignment="1" applyProtection="1">
      <alignment vertical="center"/>
      <protection locked="0"/>
    </xf>
    <xf numFmtId="164" fontId="17" fillId="0" borderId="12" xfId="0" applyNumberFormat="1" applyFont="1" applyBorder="1" applyAlignment="1" applyProtection="1">
      <alignment vertical="center"/>
      <protection locked="0"/>
    </xf>
    <xf numFmtId="0" fontId="7" fillId="0" borderId="20" xfId="0" applyFont="1" applyBorder="1" applyAlignment="1" applyProtection="1">
      <alignment horizontal="left"/>
      <protection locked="0"/>
    </xf>
    <xf numFmtId="0" fontId="13" fillId="0" borderId="29" xfId="0" applyFont="1" applyBorder="1" applyProtection="1">
      <protection locked="0"/>
    </xf>
    <xf numFmtId="0" fontId="7" fillId="0" borderId="21" xfId="0" applyFont="1" applyBorder="1" applyProtection="1"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19" fillId="0" borderId="10" xfId="0" applyFont="1" applyBorder="1" applyAlignment="1" applyProtection="1">
      <alignment vertical="center"/>
      <protection locked="0"/>
    </xf>
    <xf numFmtId="0" fontId="7" fillId="0" borderId="8" xfId="0" applyFont="1" applyBorder="1" applyProtection="1">
      <protection locked="0"/>
    </xf>
    <xf numFmtId="0" fontId="13" fillId="0" borderId="9" xfId="0" applyFont="1" applyBorder="1" applyProtection="1">
      <protection locked="0"/>
    </xf>
    <xf numFmtId="0" fontId="7" fillId="0" borderId="10" xfId="0" applyFont="1" applyBorder="1" applyProtection="1">
      <protection locked="0"/>
    </xf>
    <xf numFmtId="164" fontId="7" fillId="3" borderId="11" xfId="0" applyNumberFormat="1" applyFont="1" applyFill="1" applyBorder="1" applyAlignment="1" applyProtection="1">
      <alignment horizontal="center" vertical="center"/>
      <protection locked="0"/>
    </xf>
    <xf numFmtId="164" fontId="17" fillId="0" borderId="1" xfId="0" applyNumberFormat="1" applyFont="1" applyBorder="1" applyAlignment="1" applyProtection="1">
      <alignment horizontal="center"/>
      <protection locked="0"/>
    </xf>
    <xf numFmtId="164" fontId="17" fillId="0" borderId="10" xfId="0" applyNumberFormat="1" applyFont="1" applyBorder="1" applyAlignment="1" applyProtection="1">
      <alignment horizontal="center"/>
      <protection locked="0"/>
    </xf>
    <xf numFmtId="164" fontId="17" fillId="0" borderId="9" xfId="0" applyNumberFormat="1" applyFont="1" applyBorder="1" applyAlignment="1" applyProtection="1">
      <alignment horizontal="center"/>
      <protection locked="0"/>
    </xf>
    <xf numFmtId="164" fontId="17" fillId="0" borderId="8" xfId="0" applyNumberFormat="1" applyFont="1" applyBorder="1" applyProtection="1">
      <protection locked="0"/>
    </xf>
    <xf numFmtId="164" fontId="17" fillId="0" borderId="1" xfId="0" applyNumberFormat="1" applyFont="1" applyBorder="1" applyProtection="1"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17" fillId="0" borderId="10" xfId="0" applyNumberFormat="1" applyFont="1" applyBorder="1" applyAlignment="1" applyProtection="1">
      <alignment horizontal="center" vertical="center"/>
      <protection locked="0"/>
    </xf>
    <xf numFmtId="164" fontId="17" fillId="0" borderId="9" xfId="0" applyNumberFormat="1" applyFont="1" applyBorder="1" applyAlignment="1" applyProtection="1">
      <alignment horizontal="center" vertical="center"/>
      <protection locked="0"/>
    </xf>
    <xf numFmtId="164" fontId="17" fillId="0" borderId="8" xfId="0" applyNumberFormat="1" applyFont="1" applyBorder="1" applyAlignment="1" applyProtection="1">
      <alignment vertical="center"/>
      <protection locked="0"/>
    </xf>
    <xf numFmtId="164" fontId="17" fillId="0" borderId="1" xfId="0" applyNumberFormat="1" applyFont="1" applyBorder="1" applyAlignment="1" applyProtection="1">
      <alignment vertical="center"/>
      <protection locked="0"/>
    </xf>
    <xf numFmtId="0" fontId="7" fillId="0" borderId="17" xfId="4" applyFont="1" applyBorder="1" applyProtection="1">
      <protection locked="0"/>
    </xf>
    <xf numFmtId="0" fontId="7" fillId="3" borderId="30" xfId="4" applyFont="1" applyFill="1" applyBorder="1" applyAlignment="1" applyProtection="1">
      <alignment horizontal="center"/>
      <protection locked="0"/>
    </xf>
    <xf numFmtId="0" fontId="7" fillId="0" borderId="14" xfId="4" applyFont="1" applyBorder="1" applyProtection="1">
      <protection locked="0"/>
    </xf>
    <xf numFmtId="1" fontId="15" fillId="0" borderId="11" xfId="4" applyNumberFormat="1" applyFont="1" applyBorder="1" applyAlignment="1" applyProtection="1">
      <alignment horizontal="center" vertical="center"/>
      <protection locked="0"/>
    </xf>
    <xf numFmtId="167" fontId="15" fillId="3" borderId="11" xfId="4" applyNumberFormat="1" applyFont="1" applyFill="1" applyBorder="1" applyAlignment="1" applyProtection="1">
      <alignment horizontal="center" vertical="center"/>
      <protection locked="0"/>
    </xf>
    <xf numFmtId="165" fontId="15" fillId="2" borderId="11" xfId="5" applyNumberFormat="1" applyFont="1" applyFill="1" applyBorder="1" applyAlignment="1" applyProtection="1">
      <alignment horizontal="center" vertical="center"/>
      <protection locked="0"/>
    </xf>
    <xf numFmtId="0" fontId="12" fillId="2" borderId="20" xfId="4" applyFont="1" applyFill="1" applyBorder="1" applyProtection="1">
      <protection locked="0"/>
    </xf>
    <xf numFmtId="0" fontId="18" fillId="0" borderId="29" xfId="0" applyFont="1" applyBorder="1" applyProtection="1">
      <protection locked="0"/>
    </xf>
    <xf numFmtId="0" fontId="12" fillId="0" borderId="21" xfId="0" applyFont="1" applyBorder="1" applyProtection="1">
      <protection locked="0"/>
    </xf>
    <xf numFmtId="167" fontId="16" fillId="2" borderId="12" xfId="4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1" fillId="0" borderId="0" xfId="6" applyFont="1" applyAlignment="1" applyProtection="1">
      <alignment vertical="center"/>
      <protection locked="0"/>
    </xf>
    <xf numFmtId="0" fontId="13" fillId="0" borderId="0" xfId="0" applyFont="1"/>
    <xf numFmtId="0" fontId="20" fillId="0" borderId="0" xfId="4" applyFont="1"/>
    <xf numFmtId="0" fontId="7" fillId="0" borderId="28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7" fillId="0" borderId="8" xfId="4" applyFont="1" applyBorder="1" applyAlignment="1">
      <alignment horizontal="left" vertical="center"/>
    </xf>
    <xf numFmtId="0" fontId="7" fillId="0" borderId="9" xfId="4" applyFont="1" applyBorder="1" applyAlignment="1">
      <alignment horizontal="left" vertical="center"/>
    </xf>
    <xf numFmtId="0" fontId="7" fillId="0" borderId="22" xfId="0" applyFont="1" applyBorder="1"/>
    <xf numFmtId="0" fontId="7" fillId="0" borderId="24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9" xfId="0" applyFont="1" applyBorder="1"/>
    <xf numFmtId="0" fontId="7" fillId="0" borderId="10" xfId="0" applyFont="1" applyBorder="1"/>
    <xf numFmtId="0" fontId="7" fillId="0" borderId="8" xfId="0" applyFont="1" applyBorder="1"/>
    <xf numFmtId="0" fontId="7" fillId="0" borderId="3" xfId="0" applyFont="1" applyBorder="1"/>
    <xf numFmtId="164" fontId="17" fillId="0" borderId="3" xfId="0" applyNumberFormat="1" applyFont="1" applyBorder="1" applyAlignment="1">
      <alignment horizontal="center"/>
    </xf>
    <xf numFmtId="0" fontId="22" fillId="0" borderId="0" xfId="0" applyFont="1"/>
    <xf numFmtId="0" fontId="3" fillId="0" borderId="0" xfId="0" applyFont="1"/>
    <xf numFmtId="0" fontId="7" fillId="0" borderId="0" xfId="0" applyFont="1" applyAlignment="1">
      <alignment horizontal="left" indent="1"/>
    </xf>
    <xf numFmtId="0" fontId="7" fillId="0" borderId="0" xfId="4" applyFont="1"/>
    <xf numFmtId="0" fontId="25" fillId="2" borderId="0" xfId="4" applyFont="1" applyFill="1" applyAlignment="1">
      <alignment horizontal="left"/>
    </xf>
    <xf numFmtId="0" fontId="25" fillId="2" borderId="0" xfId="4" applyFont="1" applyFill="1"/>
    <xf numFmtId="0" fontId="2" fillId="2" borderId="0" xfId="4" applyFill="1"/>
    <xf numFmtId="0" fontId="3" fillId="2" borderId="0" xfId="4" applyFont="1" applyFill="1" applyAlignment="1">
      <alignment horizontal="left"/>
    </xf>
    <xf numFmtId="11" fontId="2" fillId="2" borderId="0" xfId="4" applyNumberFormat="1" applyFill="1" applyAlignment="1">
      <alignment horizontal="center"/>
    </xf>
    <xf numFmtId="0" fontId="2" fillId="2" borderId="0" xfId="4" applyFill="1" applyAlignment="1">
      <alignment horizontal="center"/>
    </xf>
    <xf numFmtId="0" fontId="3" fillId="2" borderId="0" xfId="4" applyFont="1" applyFill="1"/>
    <xf numFmtId="0" fontId="2" fillId="2" borderId="0" xfId="4" quotePrefix="1" applyFill="1" applyAlignment="1">
      <alignment horizontal="left"/>
    </xf>
    <xf numFmtId="0" fontId="2" fillId="2" borderId="0" xfId="4" quotePrefix="1" applyFill="1" applyAlignment="1">
      <alignment horizontal="center"/>
    </xf>
    <xf numFmtId="0" fontId="3" fillId="2" borderId="1" xfId="4" applyFont="1" applyFill="1" applyBorder="1"/>
    <xf numFmtId="0" fontId="23" fillId="2" borderId="1" xfId="4" applyFont="1" applyFill="1" applyBorder="1" applyAlignment="1" applyProtection="1">
      <alignment horizontal="center"/>
      <protection locked="0"/>
    </xf>
    <xf numFmtId="0" fontId="3" fillId="2" borderId="1" xfId="4" applyFont="1" applyFill="1" applyBorder="1" applyAlignment="1">
      <alignment horizontal="center"/>
    </xf>
    <xf numFmtId="170" fontId="23" fillId="2" borderId="1" xfId="4" applyNumberFormat="1" applyFont="1" applyFill="1" applyBorder="1" applyAlignment="1" applyProtection="1">
      <alignment horizontal="center"/>
      <protection locked="0"/>
    </xf>
    <xf numFmtId="164" fontId="23" fillId="2" borderId="1" xfId="4" applyNumberFormat="1" applyFont="1" applyFill="1" applyBorder="1" applyAlignment="1" applyProtection="1">
      <alignment horizontal="center"/>
      <protection locked="0"/>
    </xf>
    <xf numFmtId="0" fontId="26" fillId="2" borderId="0" xfId="4" applyFont="1" applyFill="1"/>
    <xf numFmtId="0" fontId="2" fillId="2" borderId="1" xfId="4" applyFill="1" applyBorder="1" applyAlignment="1">
      <alignment horizontal="center"/>
    </xf>
    <xf numFmtId="173" fontId="2" fillId="2" borderId="1" xfId="4" applyNumberFormat="1" applyFill="1" applyBorder="1" applyAlignment="1">
      <alignment horizontal="center"/>
    </xf>
    <xf numFmtId="0" fontId="27" fillId="2" borderId="0" xfId="4" applyFont="1" applyFill="1"/>
    <xf numFmtId="0" fontId="3" fillId="2" borderId="0" xfId="4" applyFont="1" applyFill="1" applyAlignment="1">
      <alignment vertical="center"/>
    </xf>
    <xf numFmtId="0" fontId="2" fillId="2" borderId="0" xfId="4" applyFill="1" applyProtection="1">
      <protection locked="0"/>
    </xf>
    <xf numFmtId="0" fontId="30" fillId="0" borderId="0" xfId="0" applyFont="1"/>
    <xf numFmtId="0" fontId="30" fillId="2" borderId="0" xfId="4" applyFont="1" applyFill="1" applyAlignment="1">
      <alignment vertical="center"/>
    </xf>
    <xf numFmtId="0" fontId="25" fillId="2" borderId="0" xfId="4" applyFont="1" applyFill="1" applyAlignment="1">
      <alignment vertical="center"/>
    </xf>
    <xf numFmtId="0" fontId="8" fillId="0" borderId="0" xfId="0" applyFont="1"/>
    <xf numFmtId="0" fontId="2" fillId="2" borderId="0" xfId="4" applyFill="1" applyAlignment="1">
      <alignment horizontal="left" vertical="center" indent="1"/>
    </xf>
    <xf numFmtId="0" fontId="3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4" fillId="0" borderId="0" xfId="0" applyFont="1"/>
    <xf numFmtId="0" fontId="7" fillId="0" borderId="0" xfId="0" applyFont="1" applyAlignment="1">
      <alignment horizontal="center"/>
    </xf>
    <xf numFmtId="0" fontId="7" fillId="0" borderId="22" xfId="0" applyFont="1" applyBorder="1" applyAlignment="1" applyProtection="1">
      <alignment horizontal="left" vertical="center"/>
      <protection hidden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0" fontId="42" fillId="4" borderId="1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" xfId="0" applyFont="1" applyBorder="1" applyAlignment="1" applyProtection="1">
      <alignment vertical="center" wrapText="1"/>
      <protection hidden="1"/>
    </xf>
    <xf numFmtId="1" fontId="7" fillId="4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 applyProtection="1">
      <alignment vertical="center" wrapText="1"/>
      <protection hidden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vertical="center" wrapText="1"/>
      <protection hidden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vertical="center" wrapText="1"/>
      <protection hidden="1"/>
    </xf>
    <xf numFmtId="0" fontId="12" fillId="0" borderId="34" xfId="0" applyFont="1" applyBorder="1" applyAlignment="1">
      <alignment horizontal="center" vertical="center"/>
    </xf>
    <xf numFmtId="0" fontId="15" fillId="0" borderId="4" xfId="0" applyFont="1" applyBorder="1" applyAlignment="1" applyProtection="1">
      <alignment vertical="center" wrapText="1"/>
      <protection hidden="1"/>
    </xf>
    <xf numFmtId="0" fontId="15" fillId="0" borderId="1" xfId="0" applyFont="1" applyBorder="1" applyAlignment="1">
      <alignment horizontal="center" vertical="center"/>
    </xf>
    <xf numFmtId="0" fontId="15" fillId="0" borderId="0" xfId="0" applyFont="1"/>
    <xf numFmtId="0" fontId="15" fillId="0" borderId="1" xfId="0" applyFont="1" applyBorder="1" applyAlignment="1" applyProtection="1">
      <alignment vertical="center" wrapText="1"/>
      <protection hidden="1"/>
    </xf>
    <xf numFmtId="0" fontId="43" fillId="0" borderId="1" xfId="0" applyFont="1" applyBorder="1" applyAlignment="1" applyProtection="1">
      <alignment vertical="center" wrapText="1"/>
      <protection hidden="1"/>
    </xf>
    <xf numFmtId="0" fontId="35" fillId="5" borderId="37" xfId="0" applyFont="1" applyFill="1" applyBorder="1" applyAlignment="1">
      <alignment horizontal="center" vertical="center"/>
    </xf>
    <xf numFmtId="0" fontId="42" fillId="2" borderId="1" xfId="4" applyFont="1" applyFill="1" applyBorder="1" applyAlignment="1" applyProtection="1">
      <alignment horizontal="center"/>
      <protection locked="0"/>
    </xf>
    <xf numFmtId="0" fontId="3" fillId="0" borderId="1" xfId="4" applyFont="1" applyBorder="1" applyAlignment="1">
      <alignment horizontal="center"/>
    </xf>
    <xf numFmtId="0" fontId="15" fillId="2" borderId="1" xfId="0" applyFont="1" applyFill="1" applyBorder="1" applyAlignment="1" applyProtection="1">
      <alignment vertical="center" wrapText="1"/>
      <protection hidden="1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4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3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39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42" fillId="4" borderId="3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64" fontId="42" fillId="0" borderId="10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42" fillId="4" borderId="41" xfId="0" applyFont="1" applyFill="1" applyBorder="1" applyAlignment="1">
      <alignment horizontal="center" vertical="center"/>
    </xf>
    <xf numFmtId="0" fontId="42" fillId="4" borderId="44" xfId="0" applyFont="1" applyFill="1" applyBorder="1" applyAlignment="1">
      <alignment horizontal="center" vertical="center"/>
    </xf>
    <xf numFmtId="1" fontId="15" fillId="0" borderId="40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5" xfId="0" applyFont="1" applyBorder="1"/>
    <xf numFmtId="1" fontId="15" fillId="0" borderId="39" xfId="0" applyNumberFormat="1" applyFont="1" applyBorder="1" applyAlignment="1">
      <alignment horizontal="center" vertical="center"/>
    </xf>
    <xf numFmtId="167" fontId="15" fillId="0" borderId="39" xfId="0" applyNumberFormat="1" applyFont="1" applyBorder="1" applyAlignment="1">
      <alignment horizontal="center" vertical="center"/>
    </xf>
    <xf numFmtId="167" fontId="7" fillId="0" borderId="39" xfId="0" applyNumberFormat="1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/>
    </xf>
    <xf numFmtId="2" fontId="7" fillId="0" borderId="40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30" fillId="0" borderId="1" xfId="0" applyFont="1" applyBorder="1"/>
    <xf numFmtId="178" fontId="34" fillId="0" borderId="37" xfId="0" quotePrefix="1" applyNumberFormat="1" applyFont="1" applyBorder="1" applyAlignment="1">
      <alignment horizontal="center" vertical="center" wrapText="1"/>
    </xf>
    <xf numFmtId="2" fontId="9" fillId="8" borderId="37" xfId="0" quotePrefix="1" applyNumberFormat="1" applyFont="1" applyFill="1" applyBorder="1" applyAlignment="1">
      <alignment horizontal="center" vertical="center"/>
    </xf>
    <xf numFmtId="178" fontId="34" fillId="8" borderId="37" xfId="0" applyNumberFormat="1" applyFont="1" applyFill="1" applyBorder="1" applyAlignment="1">
      <alignment horizontal="center" vertical="center" wrapText="1"/>
    </xf>
    <xf numFmtId="0" fontId="30" fillId="2" borderId="0" xfId="0" applyFont="1" applyFill="1"/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7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center" vertical="center"/>
    </xf>
    <xf numFmtId="178" fontId="34" fillId="0" borderId="0" xfId="0" quotePrefix="1" applyNumberFormat="1" applyFont="1" applyAlignment="1">
      <alignment horizontal="center" vertical="center" wrapText="1"/>
    </xf>
    <xf numFmtId="0" fontId="15" fillId="0" borderId="0" xfId="0" applyFont="1" applyAlignment="1" applyProtection="1">
      <alignment vertical="center" wrapText="1"/>
      <protection hidden="1"/>
    </xf>
    <xf numFmtId="0" fontId="15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vertical="center"/>
    </xf>
    <xf numFmtId="178" fontId="9" fillId="0" borderId="1" xfId="0" applyNumberFormat="1" applyFont="1" applyBorder="1" applyAlignment="1">
      <alignment horizontal="center" vertical="center"/>
    </xf>
    <xf numFmtId="178" fontId="34" fillId="0" borderId="1" xfId="0" quotePrefix="1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left" vertical="center"/>
    </xf>
    <xf numFmtId="178" fontId="34" fillId="8" borderId="35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178" fontId="34" fillId="8" borderId="1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 applyProtection="1">
      <alignment horizontal="left" vertical="center" wrapText="1" indent="1"/>
      <protection hidden="1"/>
    </xf>
    <xf numFmtId="0" fontId="7" fillId="4" borderId="1" xfId="0" applyFont="1" applyFill="1" applyBorder="1" applyAlignment="1">
      <alignment vertical="top" wrapText="1"/>
    </xf>
    <xf numFmtId="2" fontId="7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34" fillId="5" borderId="36" xfId="0" applyNumberFormat="1" applyFont="1" applyFill="1" applyBorder="1" applyAlignment="1">
      <alignment vertical="center"/>
    </xf>
    <xf numFmtId="2" fontId="37" fillId="5" borderId="47" xfId="0" applyNumberFormat="1" applyFont="1" applyFill="1" applyBorder="1" applyAlignment="1">
      <alignment vertical="center"/>
    </xf>
    <xf numFmtId="0" fontId="34" fillId="5" borderId="47" xfId="0" applyFont="1" applyFill="1" applyBorder="1"/>
    <xf numFmtId="0" fontId="33" fillId="9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vertical="center" wrapText="1"/>
      <protection hidden="1"/>
    </xf>
    <xf numFmtId="2" fontId="9" fillId="8" borderId="1" xfId="0" quotePrefix="1" applyNumberFormat="1" applyFont="1" applyFill="1" applyBorder="1" applyAlignment="1">
      <alignment horizontal="center" vertical="center"/>
    </xf>
    <xf numFmtId="167" fontId="9" fillId="8" borderId="1" xfId="0" applyNumberFormat="1" applyFont="1" applyFill="1" applyBorder="1" applyAlignment="1">
      <alignment horizontal="center" vertical="center" wrapText="1"/>
    </xf>
    <xf numFmtId="11" fontId="9" fillId="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/>
    </xf>
    <xf numFmtId="178" fontId="9" fillId="8" borderId="1" xfId="0" quotePrefix="1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left" vertical="center" wrapText="1"/>
    </xf>
    <xf numFmtId="167" fontId="34" fillId="8" borderId="1" xfId="0" applyNumberFormat="1" applyFont="1" applyFill="1" applyBorder="1" applyAlignment="1">
      <alignment horizontal="center" vertical="center"/>
    </xf>
    <xf numFmtId="178" fontId="34" fillId="8" borderId="1" xfId="0" applyNumberFormat="1" applyFont="1" applyFill="1" applyBorder="1" applyAlignment="1">
      <alignment horizontal="center" vertical="center"/>
    </xf>
    <xf numFmtId="2" fontId="34" fillId="8" borderId="1" xfId="0" applyNumberFormat="1" applyFont="1" applyFill="1" applyBorder="1" applyAlignment="1">
      <alignment vertical="center"/>
    </xf>
    <xf numFmtId="178" fontId="47" fillId="8" borderId="1" xfId="0" applyNumberFormat="1" applyFont="1" applyFill="1" applyBorder="1" applyAlignment="1">
      <alignment horizontal="center" vertical="center" wrapText="1"/>
    </xf>
    <xf numFmtId="2" fontId="34" fillId="5" borderId="1" xfId="0" applyNumberFormat="1" applyFont="1" applyFill="1" applyBorder="1" applyAlignment="1">
      <alignment vertical="center"/>
    </xf>
    <xf numFmtId="0" fontId="34" fillId="5" borderId="1" xfId="0" applyFont="1" applyFill="1" applyBorder="1"/>
    <xf numFmtId="2" fontId="34" fillId="5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/>
    </xf>
    <xf numFmtId="2" fontId="34" fillId="0" borderId="1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178" fontId="34" fillId="0" borderId="1" xfId="0" applyNumberFormat="1" applyFont="1" applyBorder="1" applyAlignment="1">
      <alignment horizontal="center" vertical="center"/>
    </xf>
    <xf numFmtId="178" fontId="34" fillId="5" borderId="35" xfId="0" applyNumberFormat="1" applyFont="1" applyFill="1" applyBorder="1" applyAlignment="1">
      <alignment horizontal="center" vertical="center"/>
    </xf>
    <xf numFmtId="178" fontId="34" fillId="0" borderId="0" xfId="0" applyNumberFormat="1" applyFont="1" applyAlignment="1">
      <alignment horizontal="center" vertical="center"/>
    </xf>
    <xf numFmtId="2" fontId="37" fillId="5" borderId="0" xfId="0" applyNumberFormat="1" applyFont="1" applyFill="1" applyAlignment="1">
      <alignment vertical="center"/>
    </xf>
    <xf numFmtId="0" fontId="34" fillId="5" borderId="0" xfId="0" applyFont="1" applyFill="1"/>
    <xf numFmtId="2" fontId="34" fillId="5" borderId="0" xfId="0" applyNumberFormat="1" applyFont="1" applyFill="1" applyAlignment="1">
      <alignment vertical="center"/>
    </xf>
    <xf numFmtId="2" fontId="34" fillId="5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/>
    </xf>
    <xf numFmtId="178" fontId="34" fillId="0" borderId="38" xfId="0" quotePrefix="1" applyNumberFormat="1" applyFont="1" applyBorder="1" applyAlignment="1">
      <alignment horizontal="center" vertical="center" wrapText="1"/>
    </xf>
    <xf numFmtId="2" fontId="37" fillId="5" borderId="1" xfId="0" applyNumberFormat="1" applyFont="1" applyFill="1" applyBorder="1" applyAlignment="1">
      <alignment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0" fontId="30" fillId="0" borderId="10" xfId="0" applyFont="1" applyBorder="1"/>
    <xf numFmtId="178" fontId="34" fillId="8" borderId="48" xfId="0" applyNumberFormat="1" applyFont="1" applyFill="1" applyBorder="1" applyAlignment="1">
      <alignment horizontal="center" vertical="center" wrapText="1"/>
    </xf>
    <xf numFmtId="178" fontId="34" fillId="0" borderId="46" xfId="0" quotePrefix="1" applyNumberFormat="1" applyFont="1" applyBorder="1" applyAlignment="1">
      <alignment horizontal="center" vertical="center" wrapText="1"/>
    </xf>
    <xf numFmtId="178" fontId="34" fillId="8" borderId="46" xfId="0" applyNumberFormat="1" applyFont="1" applyFill="1" applyBorder="1" applyAlignment="1">
      <alignment horizontal="center" vertical="center" wrapText="1"/>
    </xf>
    <xf numFmtId="178" fontId="34" fillId="0" borderId="49" xfId="0" quotePrefix="1" applyNumberFormat="1" applyFont="1" applyBorder="1" applyAlignment="1">
      <alignment horizontal="center" vertical="center" wrapText="1"/>
    </xf>
    <xf numFmtId="178" fontId="34" fillId="0" borderId="10" xfId="0" quotePrefix="1" applyNumberFormat="1" applyFont="1" applyBorder="1" applyAlignment="1">
      <alignment horizontal="center" vertical="center" wrapText="1"/>
    </xf>
    <xf numFmtId="178" fontId="9" fillId="8" borderId="37" xfId="0" quotePrefix="1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1" fontId="7" fillId="4" borderId="8" xfId="0" applyNumberFormat="1" applyFont="1" applyFill="1" applyBorder="1" applyAlignment="1">
      <alignment horizontal="center" vertical="center"/>
    </xf>
    <xf numFmtId="0" fontId="30" fillId="4" borderId="1" xfId="0" applyFont="1" applyFill="1" applyBorder="1"/>
    <xf numFmtId="0" fontId="33" fillId="0" borderId="50" xfId="0" applyFont="1" applyBorder="1" applyAlignment="1">
      <alignment horizontal="center" vertical="center" wrapText="1"/>
    </xf>
    <xf numFmtId="178" fontId="9" fillId="8" borderId="35" xfId="0" quotePrefix="1" applyNumberFormat="1" applyFont="1" applyFill="1" applyBorder="1" applyAlignment="1">
      <alignment horizontal="center" vertical="center"/>
    </xf>
    <xf numFmtId="178" fontId="34" fillId="8" borderId="34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2" fillId="2" borderId="9" xfId="4" applyFill="1" applyBorder="1"/>
    <xf numFmtId="0" fontId="7" fillId="4" borderId="1" xfId="0" applyFont="1" applyFill="1" applyBorder="1" applyAlignment="1">
      <alignment horizontal="center" vertical="center"/>
    </xf>
    <xf numFmtId="0" fontId="0" fillId="2" borderId="0" xfId="0" applyFill="1"/>
    <xf numFmtId="0" fontId="16" fillId="0" borderId="1" xfId="0" applyFont="1" applyBorder="1" applyAlignment="1" applyProtection="1">
      <alignment vertical="center" wrapText="1"/>
      <protection hidden="1"/>
    </xf>
    <xf numFmtId="0" fontId="15" fillId="4" borderId="1" xfId="0" applyFont="1" applyFill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vertical="center" wrapText="1"/>
      <protection hidden="1"/>
    </xf>
    <xf numFmtId="0" fontId="7" fillId="4" borderId="8" xfId="0" applyFont="1" applyFill="1" applyBorder="1" applyAlignment="1">
      <alignment horizontal="center" vertical="center"/>
    </xf>
    <xf numFmtId="0" fontId="2" fillId="0" borderId="0" xfId="0" applyFont="1"/>
    <xf numFmtId="0" fontId="35" fillId="2" borderId="8" xfId="4" applyFont="1" applyFill="1" applyBorder="1" applyAlignment="1">
      <alignment vertical="center"/>
    </xf>
    <xf numFmtId="0" fontId="33" fillId="2" borderId="8" xfId="4" applyFont="1" applyFill="1" applyBorder="1" applyAlignment="1">
      <alignment horizontal="left" vertical="center" indent="1"/>
    </xf>
    <xf numFmtId="0" fontId="33" fillId="2" borderId="9" xfId="4" applyFont="1" applyFill="1" applyBorder="1" applyAlignment="1">
      <alignment vertical="center"/>
    </xf>
    <xf numFmtId="0" fontId="2" fillId="2" borderId="9" xfId="4" applyFill="1" applyBorder="1" applyAlignment="1">
      <alignment vertical="center"/>
    </xf>
    <xf numFmtId="0" fontId="2" fillId="2" borderId="10" xfId="4" applyFill="1" applyBorder="1" applyAlignment="1">
      <alignment vertical="center"/>
    </xf>
    <xf numFmtId="0" fontId="35" fillId="2" borderId="8" xfId="4" applyFont="1" applyFill="1" applyBorder="1" applyAlignment="1">
      <alignment vertical="center" wrapText="1"/>
    </xf>
    <xf numFmtId="0" fontId="9" fillId="2" borderId="1" xfId="4" applyFont="1" applyFill="1" applyBorder="1" applyAlignment="1">
      <alignment horizontal="left" vertical="center" indent="1"/>
    </xf>
    <xf numFmtId="0" fontId="9" fillId="2" borderId="9" xfId="4" applyFont="1" applyFill="1" applyBorder="1"/>
    <xf numFmtId="0" fontId="9" fillId="0" borderId="34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78" fontId="30" fillId="0" borderId="0" xfId="0" applyNumberFormat="1" applyFont="1"/>
    <xf numFmtId="0" fontId="7" fillId="0" borderId="51" xfId="0" applyFont="1" applyBorder="1"/>
    <xf numFmtId="0" fontId="15" fillId="0" borderId="51" xfId="0" applyFont="1" applyBorder="1"/>
    <xf numFmtId="0" fontId="12" fillId="4" borderId="8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49" fillId="4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 applyProtection="1">
      <alignment vertical="center" wrapText="1"/>
      <protection hidden="1"/>
    </xf>
    <xf numFmtId="0" fontId="15" fillId="2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top" wrapText="1"/>
    </xf>
    <xf numFmtId="167" fontId="7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179" fontId="7" fillId="0" borderId="0" xfId="0" applyNumberFormat="1" applyFont="1" applyAlignment="1">
      <alignment horizontal="left" vertical="center"/>
    </xf>
    <xf numFmtId="179" fontId="7" fillId="0" borderId="0" xfId="0" applyNumberFormat="1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2" fontId="30" fillId="0" borderId="0" xfId="0" applyNumberFormat="1" applyFont="1"/>
    <xf numFmtId="180" fontId="30" fillId="0" borderId="0" xfId="0" applyNumberFormat="1" applyFont="1"/>
    <xf numFmtId="0" fontId="7" fillId="0" borderId="10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5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Protection="1">
      <protection hidden="1"/>
    </xf>
    <xf numFmtId="172" fontId="14" fillId="0" borderId="0" xfId="0" applyNumberFormat="1" applyFont="1" applyAlignment="1" applyProtection="1">
      <alignment horizontal="center"/>
      <protection locked="0" hidden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6" applyFont="1" applyAlignment="1">
      <alignment horizontal="left" vertical="center"/>
    </xf>
    <xf numFmtId="0" fontId="20" fillId="0" borderId="0" xfId="4" applyFont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Protection="1">
      <protection hidden="1"/>
    </xf>
    <xf numFmtId="170" fontId="7" fillId="0" borderId="0" xfId="0" applyNumberFormat="1" applyFont="1" applyAlignment="1">
      <alignment horizontal="center" vertical="center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right" vertical="center" wrapText="1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2" fontId="7" fillId="0" borderId="0" xfId="0" applyNumberFormat="1" applyFont="1" applyAlignment="1">
      <alignment vertical="center"/>
    </xf>
    <xf numFmtId="0" fontId="7" fillId="0" borderId="28" xfId="0" applyFont="1" applyBorder="1" applyAlignment="1" applyProtection="1">
      <alignment horizontal="left" vertical="center"/>
      <protection hidden="1"/>
    </xf>
    <xf numFmtId="0" fontId="12" fillId="0" borderId="6" xfId="3" applyFont="1" applyBorder="1" applyAlignment="1">
      <alignment vertical="center"/>
    </xf>
    <xf numFmtId="0" fontId="12" fillId="0" borderId="2" xfId="3" applyFont="1" applyBorder="1" applyAlignment="1">
      <alignment vertical="center"/>
    </xf>
    <xf numFmtId="0" fontId="12" fillId="0" borderId="2" xfId="3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7" xfId="3" applyFont="1" applyBorder="1" applyAlignment="1">
      <alignment horizontal="right"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hidden="1"/>
    </xf>
    <xf numFmtId="14" fontId="7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49" fontId="12" fillId="0" borderId="0" xfId="0" applyNumberFormat="1" applyFont="1" applyAlignment="1" applyProtection="1">
      <alignment vertical="center"/>
      <protection hidden="1"/>
    </xf>
    <xf numFmtId="0" fontId="7" fillId="0" borderId="3" xfId="0" applyFont="1" applyBorder="1" applyAlignment="1" applyProtection="1">
      <alignment horizontal="left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left" vertical="center"/>
      <protection hidden="1"/>
    </xf>
    <xf numFmtId="0" fontId="7" fillId="0" borderId="33" xfId="0" applyFont="1" applyBorder="1" applyAlignment="1" applyProtection="1">
      <alignment horizontal="left" vertical="center"/>
      <protection hidden="1"/>
    </xf>
    <xf numFmtId="0" fontId="7" fillId="0" borderId="31" xfId="0" applyFont="1" applyBorder="1" applyAlignment="1" applyProtection="1">
      <alignment horizontal="left" vertic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7" fillId="0" borderId="9" xfId="0" applyFont="1" applyBorder="1" applyAlignment="1" applyProtection="1">
      <alignment vertical="center"/>
      <protection hidden="1"/>
    </xf>
    <xf numFmtId="0" fontId="7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6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/>
      <protection hidden="1"/>
    </xf>
    <xf numFmtId="1" fontId="7" fillId="0" borderId="0" xfId="0" applyNumberFormat="1" applyFont="1" applyAlignment="1" applyProtection="1">
      <alignment horizontal="center" vertical="center"/>
      <protection locked="0" hidden="1"/>
    </xf>
    <xf numFmtId="0" fontId="24" fillId="0" borderId="0" xfId="0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164" fontId="12" fillId="0" borderId="0" xfId="0" applyNumberFormat="1" applyFont="1" applyAlignment="1" applyProtection="1">
      <alignment horizontal="center" vertical="center"/>
      <protection locked="0" hidden="1"/>
    </xf>
    <xf numFmtId="164" fontId="7" fillId="0" borderId="0" xfId="0" applyNumberFormat="1" applyFont="1" applyAlignment="1" applyProtection="1">
      <alignment horizontal="center" vertical="center"/>
      <protection locked="0" hidden="1"/>
    </xf>
    <xf numFmtId="0" fontId="7" fillId="0" borderId="0" xfId="6" quotePrefix="1" applyFont="1" applyAlignment="1">
      <alignment horizontal="left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54" fillId="0" borderId="0" xfId="6" applyFont="1" applyAlignment="1">
      <alignment horizontal="right" vertical="center"/>
    </xf>
    <xf numFmtId="0" fontId="54" fillId="0" borderId="0" xfId="6" applyFont="1" applyAlignment="1">
      <alignment vertical="center"/>
    </xf>
    <xf numFmtId="178" fontId="42" fillId="4" borderId="1" xfId="0" applyNumberFormat="1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34" fillId="5" borderId="10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vertical="center"/>
    </xf>
    <xf numFmtId="2" fontId="37" fillId="5" borderId="8" xfId="0" applyNumberFormat="1" applyFont="1" applyFill="1" applyBorder="1" applyAlignment="1">
      <alignment vertical="center"/>
    </xf>
    <xf numFmtId="0" fontId="34" fillId="5" borderId="9" xfId="0" applyFont="1" applyFill="1" applyBorder="1"/>
    <xf numFmtId="2" fontId="37" fillId="5" borderId="9" xfId="0" applyNumberFormat="1" applyFont="1" applyFill="1" applyBorder="1" applyAlignment="1">
      <alignment vertical="center"/>
    </xf>
    <xf numFmtId="0" fontId="34" fillId="5" borderId="10" xfId="0" applyFont="1" applyFill="1" applyBorder="1"/>
    <xf numFmtId="0" fontId="2" fillId="2" borderId="10" xfId="4" applyFill="1" applyBorder="1"/>
    <xf numFmtId="0" fontId="36" fillId="2" borderId="1" xfId="7" applyFont="1" applyFill="1" applyBorder="1" applyAlignment="1">
      <alignment horizontal="center" vertical="center"/>
    </xf>
    <xf numFmtId="2" fontId="56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67" fontId="42" fillId="0" borderId="1" xfId="0" applyNumberFormat="1" applyFont="1" applyBorder="1" applyAlignment="1">
      <alignment horizontal="center" vertical="center"/>
    </xf>
    <xf numFmtId="11" fontId="50" fillId="8" borderId="1" xfId="0" applyNumberFormat="1" applyFont="1" applyFill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11" fontId="7" fillId="8" borderId="1" xfId="0" applyNumberFormat="1" applyFont="1" applyFill="1" applyBorder="1" applyAlignment="1">
      <alignment horizontal="center" vertical="center"/>
    </xf>
    <xf numFmtId="170" fontId="23" fillId="2" borderId="1" xfId="4" applyNumberFormat="1" applyFont="1" applyFill="1" applyBorder="1" applyAlignment="1" applyProtection="1">
      <alignment horizontal="center" vertical="center"/>
      <protection locked="0"/>
    </xf>
    <xf numFmtId="1" fontId="23" fillId="2" borderId="1" xfId="4" applyNumberFormat="1" applyFont="1" applyFill="1" applyBorder="1" applyAlignment="1" applyProtection="1">
      <alignment horizontal="center" vertical="center"/>
      <protection locked="0"/>
    </xf>
    <xf numFmtId="181" fontId="15" fillId="0" borderId="0" xfId="0" applyNumberFormat="1" applyFont="1" applyAlignment="1">
      <alignment horizontal="left" vertical="center"/>
    </xf>
    <xf numFmtId="0" fontId="36" fillId="0" borderId="0" xfId="0" applyFont="1" applyProtection="1">
      <protection hidden="1"/>
    </xf>
    <xf numFmtId="0" fontId="15" fillId="0" borderId="0" xfId="0" applyFont="1" applyAlignment="1">
      <alignment horizontal="left" vertical="center"/>
    </xf>
    <xf numFmtId="175" fontId="15" fillId="0" borderId="0" xfId="0" applyNumberFormat="1" applyFont="1" applyAlignment="1">
      <alignment horizontal="left" vertical="center"/>
    </xf>
    <xf numFmtId="169" fontId="15" fillId="0" borderId="0" xfId="0" applyNumberFormat="1" applyFont="1" applyAlignment="1" applyProtection="1">
      <alignment horizontal="left" vertical="center"/>
      <protection locked="0" hidden="1"/>
    </xf>
    <xf numFmtId="0" fontId="36" fillId="0" borderId="0" xfId="0" applyFont="1" applyAlignment="1" applyProtection="1">
      <alignment horizontal="center" vertical="center"/>
      <protection hidden="1"/>
    </xf>
    <xf numFmtId="0" fontId="15" fillId="0" borderId="27" xfId="0" applyFont="1" applyBorder="1" applyAlignment="1" applyProtection="1">
      <alignment vertical="center" wrapText="1"/>
      <protection locked="0" hidden="1"/>
    </xf>
    <xf numFmtId="2" fontId="15" fillId="0" borderId="27" xfId="0" applyNumberFormat="1" applyFont="1" applyBorder="1" applyAlignment="1" applyProtection="1">
      <alignment vertical="center"/>
      <protection locked="0"/>
    </xf>
    <xf numFmtId="164" fontId="15" fillId="0" borderId="1" xfId="0" applyNumberFormat="1" applyFont="1" applyBorder="1" applyAlignment="1" applyProtection="1">
      <alignment horizontal="center" vertical="center" wrapText="1"/>
      <protection locked="0" hidden="1"/>
    </xf>
    <xf numFmtId="164" fontId="15" fillId="0" borderId="1" xfId="0" quotePrefix="1" applyNumberFormat="1" applyFont="1" applyBorder="1" applyAlignment="1" applyProtection="1">
      <alignment horizontal="center" vertical="center" wrapText="1"/>
      <protection hidden="1"/>
    </xf>
    <xf numFmtId="164" fontId="15" fillId="0" borderId="1" xfId="0" applyNumberFormat="1" applyFont="1" applyBorder="1" applyAlignment="1" applyProtection="1">
      <alignment horizontal="center" vertical="center"/>
      <protection locked="0" hidden="1"/>
    </xf>
    <xf numFmtId="164" fontId="15" fillId="0" borderId="1" xfId="0" quotePrefix="1" applyNumberFormat="1" applyFont="1" applyBorder="1" applyAlignment="1" applyProtection="1">
      <alignment horizontal="center" vertical="center"/>
      <protection hidden="1"/>
    </xf>
    <xf numFmtId="1" fontId="15" fillId="0" borderId="1" xfId="0" applyNumberFormat="1" applyFont="1" applyBorder="1" applyAlignment="1" applyProtection="1">
      <alignment horizontal="center" vertical="center" wrapText="1"/>
      <protection locked="0" hidden="1"/>
    </xf>
    <xf numFmtId="1" fontId="15" fillId="0" borderId="1" xfId="0" applyNumberFormat="1" applyFont="1" applyBorder="1" applyAlignment="1" applyProtection="1">
      <alignment horizontal="center" vertical="center"/>
      <protection locked="0" hidden="1"/>
    </xf>
    <xf numFmtId="1" fontId="15" fillId="0" borderId="1" xfId="0" quotePrefix="1" applyNumberFormat="1" applyFont="1" applyBorder="1" applyAlignment="1" applyProtection="1">
      <alignment horizontal="center" vertical="center"/>
      <protection hidden="1"/>
    </xf>
    <xf numFmtId="1" fontId="15" fillId="0" borderId="4" xfId="0" applyNumberFormat="1" applyFont="1" applyBorder="1" applyAlignment="1" applyProtection="1">
      <alignment horizontal="center" vertical="center"/>
      <protection hidden="1"/>
    </xf>
    <xf numFmtId="1" fontId="15" fillId="0" borderId="1" xfId="0" applyNumberFormat="1" applyFont="1" applyBorder="1" applyAlignment="1" applyProtection="1">
      <alignment horizontal="center" vertical="center"/>
      <protection hidden="1"/>
    </xf>
    <xf numFmtId="1" fontId="15" fillId="0" borderId="8" xfId="0" applyNumberFormat="1" applyFont="1" applyBorder="1" applyAlignment="1" applyProtection="1">
      <alignment horizontal="center" vertical="center"/>
      <protection hidden="1"/>
    </xf>
    <xf numFmtId="176" fontId="15" fillId="0" borderId="28" xfId="0" applyNumberFormat="1" applyFont="1" applyBorder="1" applyAlignment="1" applyProtection="1">
      <alignment horizontal="center" vertical="center"/>
      <protection hidden="1"/>
    </xf>
    <xf numFmtId="177" fontId="15" fillId="0" borderId="28" xfId="0" applyNumberFormat="1" applyFont="1" applyBorder="1" applyAlignment="1" applyProtection="1">
      <alignment horizontal="center" vertical="center"/>
      <protection hidden="1"/>
    </xf>
    <xf numFmtId="177" fontId="15" fillId="0" borderId="1" xfId="0" applyNumberFormat="1" applyFont="1" applyBorder="1" applyAlignment="1" applyProtection="1">
      <alignment horizontal="center" vertical="center"/>
      <protection hidden="1"/>
    </xf>
    <xf numFmtId="2" fontId="15" fillId="0" borderId="1" xfId="0" applyNumberFormat="1" applyFont="1" applyBorder="1" applyAlignment="1" applyProtection="1">
      <alignment horizontal="center" vertical="center"/>
      <protection locked="0" hidden="1"/>
    </xf>
    <xf numFmtId="2" fontId="15" fillId="0" borderId="8" xfId="0" applyNumberFormat="1" applyFont="1" applyBorder="1" applyAlignment="1" applyProtection="1">
      <alignment horizontal="center" vertical="center"/>
      <protection locked="0" hidden="1"/>
    </xf>
    <xf numFmtId="1" fontId="16" fillId="0" borderId="8" xfId="0" applyNumberFormat="1" applyFont="1" applyBorder="1" applyAlignment="1" applyProtection="1">
      <alignment horizontal="center" vertical="center"/>
      <protection locked="0" hidden="1"/>
    </xf>
    <xf numFmtId="1" fontId="16" fillId="0" borderId="1" xfId="0" applyNumberFormat="1" applyFont="1" applyBorder="1" applyAlignment="1" applyProtection="1">
      <alignment horizontal="center" vertical="center"/>
      <protection locked="0" hidden="1"/>
    </xf>
    <xf numFmtId="1" fontId="15" fillId="0" borderId="34" xfId="0" applyNumberFormat="1" applyFont="1" applyBorder="1" applyAlignment="1" applyProtection="1">
      <alignment horizontal="center" vertical="center"/>
      <protection locked="0" hidden="1"/>
    </xf>
    <xf numFmtId="1" fontId="15" fillId="0" borderId="6" xfId="0" applyNumberFormat="1" applyFont="1" applyBorder="1" applyAlignment="1" applyProtection="1">
      <alignment horizontal="center" vertical="center"/>
      <protection locked="0" hidden="1"/>
    </xf>
    <xf numFmtId="0" fontId="34" fillId="0" borderId="0" xfId="6" quotePrefix="1" applyFont="1" applyAlignment="1">
      <alignment vertical="center" wrapText="1"/>
    </xf>
    <xf numFmtId="0" fontId="9" fillId="0" borderId="0" xfId="6" quotePrefix="1" applyFont="1" applyAlignment="1">
      <alignment horizontal="left" vertical="center"/>
    </xf>
    <xf numFmtId="0" fontId="9" fillId="0" borderId="0" xfId="0" applyFont="1" applyProtection="1">
      <protection hidden="1"/>
    </xf>
    <xf numFmtId="164" fontId="9" fillId="0" borderId="0" xfId="0" applyNumberFormat="1" applyFont="1" applyAlignment="1" applyProtection="1">
      <alignment horizontal="center" vertical="center"/>
      <protection locked="0" hidden="1"/>
    </xf>
    <xf numFmtId="0" fontId="22" fillId="0" borderId="0" xfId="0" applyFont="1" applyProtection="1">
      <protection hidden="1"/>
    </xf>
    <xf numFmtId="0" fontId="2" fillId="2" borderId="1" xfId="4" applyFill="1" applyBorder="1"/>
    <xf numFmtId="0" fontId="23" fillId="2" borderId="1" xfId="4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57" fillId="2" borderId="0" xfId="0" applyFont="1" applyFill="1"/>
    <xf numFmtId="0" fontId="2" fillId="2" borderId="0" xfId="0" applyFont="1" applyFill="1"/>
    <xf numFmtId="0" fontId="13" fillId="2" borderId="0" xfId="0" applyFont="1" applyFill="1"/>
    <xf numFmtId="15" fontId="2" fillId="2" borderId="1" xfId="0" applyNumberFormat="1" applyFont="1" applyFill="1" applyBorder="1" applyAlignment="1" applyProtection="1">
      <alignment horizontal="center"/>
      <protection locked="0"/>
    </xf>
    <xf numFmtId="17" fontId="2" fillId="2" borderId="0" xfId="0" applyNumberFormat="1" applyFont="1" applyFill="1" applyAlignment="1">
      <alignment horizontal="center"/>
    </xf>
    <xf numFmtId="0" fontId="58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49" fillId="4" borderId="3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3" fillId="2" borderId="1" xfId="4" applyFont="1" applyFill="1" applyBorder="1" applyAlignment="1" applyProtection="1">
      <alignment horizontal="center" vertical="center"/>
      <protection locked="0"/>
    </xf>
    <xf numFmtId="182" fontId="42" fillId="4" borderId="39" xfId="0" applyNumberFormat="1" applyFont="1" applyFill="1" applyBorder="1" applyAlignment="1">
      <alignment horizontal="center" vertical="center"/>
    </xf>
    <xf numFmtId="182" fontId="15" fillId="0" borderId="39" xfId="0" applyNumberFormat="1" applyFont="1" applyBorder="1" applyAlignment="1">
      <alignment horizontal="center" vertical="center"/>
    </xf>
    <xf numFmtId="182" fontId="15" fillId="0" borderId="13" xfId="0" applyNumberFormat="1" applyFont="1" applyBorder="1" applyAlignment="1" applyProtection="1">
      <alignment horizontal="center" vertical="center"/>
      <protection hidden="1"/>
    </xf>
    <xf numFmtId="182" fontId="15" fillId="0" borderId="4" xfId="0" applyNumberFormat="1" applyFont="1" applyBorder="1" applyAlignment="1" applyProtection="1">
      <alignment horizontal="center" vertical="center"/>
      <protection hidden="1"/>
    </xf>
    <xf numFmtId="182" fontId="15" fillId="0" borderId="1" xfId="0" applyNumberFormat="1" applyFont="1" applyBorder="1" applyAlignment="1" applyProtection="1">
      <alignment horizontal="center" vertical="center"/>
      <protection hidden="1"/>
    </xf>
    <xf numFmtId="184" fontId="15" fillId="0" borderId="0" xfId="0" applyNumberFormat="1" applyFont="1" applyAlignment="1" applyProtection="1">
      <alignment horizontal="left" vertical="center"/>
      <protection locked="0"/>
    </xf>
    <xf numFmtId="0" fontId="2" fillId="2" borderId="0" xfId="4" applyFill="1" applyAlignment="1">
      <alignment vertical="center"/>
    </xf>
    <xf numFmtId="11" fontId="50" fillId="8" borderId="0" xfId="0" applyNumberFormat="1" applyFont="1" applyFill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2" borderId="0" xfId="4" applyFont="1" applyFill="1" applyAlignment="1">
      <alignment vertical="center"/>
    </xf>
    <xf numFmtId="0" fontId="53" fillId="2" borderId="0" xfId="4" applyFont="1" applyFill="1" applyAlignment="1">
      <alignment horizontal="center" vertical="center"/>
    </xf>
    <xf numFmtId="164" fontId="15" fillId="0" borderId="32" xfId="0" applyNumberFormat="1" applyFont="1" applyBorder="1" applyAlignment="1" applyProtection="1">
      <alignment horizontal="center" vertical="center"/>
      <protection locked="0" hidden="1"/>
    </xf>
    <xf numFmtId="164" fontId="15" fillId="0" borderId="28" xfId="0" applyNumberFormat="1" applyFont="1" applyBorder="1" applyAlignment="1" applyProtection="1">
      <alignment horizontal="center" vertical="center"/>
      <protection locked="0" hidden="1"/>
    </xf>
    <xf numFmtId="181" fontId="2" fillId="2" borderId="0" xfId="4" applyNumberFormat="1" applyFill="1" applyAlignment="1">
      <alignment horizontal="left"/>
    </xf>
    <xf numFmtId="173" fontId="2" fillId="2" borderId="0" xfId="4" applyNumberFormat="1" applyFill="1" applyAlignment="1">
      <alignment horizontal="center"/>
    </xf>
    <xf numFmtId="185" fontId="49" fillId="10" borderId="1" xfId="0" applyNumberFormat="1" applyFont="1" applyFill="1" applyBorder="1" applyAlignment="1">
      <alignment horizontal="center" vertical="center"/>
    </xf>
    <xf numFmtId="4" fontId="15" fillId="0" borderId="27" xfId="0" applyNumberFormat="1" applyFont="1" applyBorder="1" applyAlignment="1">
      <alignment horizontal="left" vertical="center"/>
    </xf>
    <xf numFmtId="3" fontId="15" fillId="0" borderId="27" xfId="0" applyNumberFormat="1" applyFont="1" applyBorder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3" fontId="49" fillId="10" borderId="1" xfId="0" applyNumberFormat="1" applyFont="1" applyFill="1" applyBorder="1" applyAlignment="1">
      <alignment horizontal="center" vertical="center"/>
    </xf>
    <xf numFmtId="185" fontId="15" fillId="0" borderId="0" xfId="0" applyNumberFormat="1" applyFont="1" applyAlignment="1">
      <alignment horizontal="center" vertical="center"/>
    </xf>
    <xf numFmtId="164" fontId="15" fillId="0" borderId="34" xfId="0" applyNumberFormat="1" applyFont="1" applyBorder="1" applyAlignment="1" applyProtection="1">
      <alignment horizontal="center" vertical="center"/>
      <protection locked="0" hidden="1"/>
    </xf>
    <xf numFmtId="164" fontId="15" fillId="0" borderId="6" xfId="0" applyNumberFormat="1" applyFont="1" applyBorder="1" applyAlignment="1" applyProtection="1">
      <alignment horizontal="center" vertical="center"/>
      <protection locked="0" hidden="1"/>
    </xf>
    <xf numFmtId="0" fontId="14" fillId="0" borderId="0" xfId="0" applyFont="1" applyAlignment="1">
      <alignment horizontal="center" vertical="center"/>
    </xf>
    <xf numFmtId="183" fontId="14" fillId="0" borderId="0" xfId="0" applyNumberFormat="1" applyFont="1" applyAlignment="1" applyProtection="1">
      <alignment horizontal="center"/>
      <protection locked="0" hidden="1"/>
    </xf>
    <xf numFmtId="0" fontId="53" fillId="0" borderId="4" xfId="0" applyFont="1" applyBorder="1" applyAlignment="1" applyProtection="1">
      <alignment horizontal="center" vertical="center" wrapText="1"/>
      <protection hidden="1"/>
    </xf>
    <xf numFmtId="0" fontId="53" fillId="0" borderId="3" xfId="0" applyFont="1" applyBorder="1" applyAlignment="1" applyProtection="1">
      <alignment horizontal="center" vertical="center" wrapText="1"/>
      <protection hidden="1"/>
    </xf>
    <xf numFmtId="0" fontId="53" fillId="0" borderId="5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/>
      <protection hidden="1"/>
    </xf>
    <xf numFmtId="0" fontId="25" fillId="0" borderId="28" xfId="0" applyFont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2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28" xfId="0" applyFont="1" applyBorder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5" fillId="0" borderId="0" xfId="3" applyFont="1" applyAlignment="1">
      <alignment horizontal="left" vertical="center" wrapText="1"/>
    </xf>
    <xf numFmtId="0" fontId="9" fillId="0" borderId="0" xfId="6" quotePrefix="1" applyFont="1" applyAlignment="1">
      <alignment horizontal="left" vertical="center" wrapText="1"/>
    </xf>
    <xf numFmtId="0" fontId="7" fillId="0" borderId="2" xfId="0" quotePrefix="1" applyFont="1" applyBorder="1" applyAlignment="1" applyProtection="1">
      <alignment horizontal="left" vertical="center"/>
      <protection hidden="1"/>
    </xf>
    <xf numFmtId="0" fontId="7" fillId="0" borderId="2" xfId="0" applyFont="1" applyBorder="1" applyAlignment="1" applyProtection="1">
      <alignment horizontal="left" vertical="center"/>
      <protection hidden="1"/>
    </xf>
    <xf numFmtId="0" fontId="53" fillId="0" borderId="6" xfId="0" applyFont="1" applyBorder="1" applyAlignment="1" applyProtection="1">
      <alignment horizontal="center" vertical="center" wrapText="1"/>
      <protection hidden="1"/>
    </xf>
    <xf numFmtId="0" fontId="53" fillId="0" borderId="2" xfId="0" applyFont="1" applyBorder="1" applyAlignment="1" applyProtection="1">
      <alignment horizontal="center" vertical="center" wrapText="1"/>
      <protection hidden="1"/>
    </xf>
    <xf numFmtId="0" fontId="53" fillId="0" borderId="7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0" fontId="34" fillId="0" borderId="0" xfId="6" quotePrefix="1" applyFont="1" applyAlignment="1">
      <alignment horizontal="left" vertical="center" wrapText="1"/>
    </xf>
    <xf numFmtId="0" fontId="9" fillId="0" borderId="0" xfId="1" applyFont="1" applyFill="1" applyBorder="1" applyAlignment="1" applyProtection="1">
      <alignment horizontal="center" vertical="center" wrapText="1"/>
    </xf>
    <xf numFmtId="0" fontId="7" fillId="0" borderId="8" xfId="4" applyFont="1" applyBorder="1" applyAlignment="1">
      <alignment horizontal="left" vertical="center" wrapText="1"/>
    </xf>
    <xf numFmtId="0" fontId="7" fillId="0" borderId="9" xfId="4" applyFont="1" applyBorder="1" applyAlignment="1">
      <alignment horizontal="left" vertical="center" wrapText="1"/>
    </xf>
    <xf numFmtId="0" fontId="13" fillId="0" borderId="8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 wrapText="1"/>
      <protection locked="0"/>
    </xf>
    <xf numFmtId="0" fontId="13" fillId="0" borderId="9" xfId="0" applyFont="1" applyBorder="1" applyAlignment="1" applyProtection="1">
      <alignment horizontal="center" wrapText="1"/>
      <protection locked="0"/>
    </xf>
    <xf numFmtId="0" fontId="13" fillId="0" borderId="10" xfId="0" applyFont="1" applyBorder="1" applyAlignment="1" applyProtection="1">
      <alignment horizontal="center" wrapText="1"/>
      <protection locked="0"/>
    </xf>
    <xf numFmtId="0" fontId="7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72" fontId="14" fillId="0" borderId="0" xfId="0" applyNumberFormat="1" applyFont="1" applyAlignment="1" applyProtection="1">
      <alignment horizontal="center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17" fillId="0" borderId="3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42" fillId="6" borderId="1" xfId="0" applyFont="1" applyFill="1" applyBorder="1" applyAlignment="1">
      <alignment horizontal="center" vertical="center"/>
    </xf>
    <xf numFmtId="181" fontId="42" fillId="4" borderId="1" xfId="0" applyNumberFormat="1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42" fillId="4" borderId="9" xfId="0" applyFont="1" applyFill="1" applyBorder="1" applyAlignment="1">
      <alignment horizontal="center" vertical="center" wrapText="1"/>
    </xf>
    <xf numFmtId="0" fontId="42" fillId="4" borderId="42" xfId="0" applyFont="1" applyFill="1" applyBorder="1" applyAlignment="1">
      <alignment horizontal="center" vertical="center" wrapText="1"/>
    </xf>
    <xf numFmtId="0" fontId="42" fillId="4" borderId="4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42" fillId="4" borderId="42" xfId="0" applyNumberFormat="1" applyFont="1" applyFill="1" applyBorder="1" applyAlignment="1">
      <alignment horizontal="center" vertical="center"/>
    </xf>
    <xf numFmtId="1" fontId="42" fillId="4" borderId="43" xfId="0" applyNumberFormat="1" applyFont="1" applyFill="1" applyBorder="1" applyAlignment="1">
      <alignment horizontal="center" vertical="center"/>
    </xf>
    <xf numFmtId="0" fontId="42" fillId="4" borderId="41" xfId="0" applyFont="1" applyFill="1" applyBorder="1" applyAlignment="1">
      <alignment horizontal="center" vertical="center"/>
    </xf>
    <xf numFmtId="0" fontId="42" fillId="4" borderId="44" xfId="0" applyFont="1" applyFill="1" applyBorder="1" applyAlignment="1">
      <alignment horizontal="center" vertical="center"/>
    </xf>
    <xf numFmtId="0" fontId="42" fillId="4" borderId="3" xfId="0" applyFont="1" applyFill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34" fillId="0" borderId="8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81" fontId="34" fillId="0" borderId="8" xfId="0" applyNumberFormat="1" applyFont="1" applyBorder="1" applyAlignment="1">
      <alignment horizontal="center" vertical="center"/>
    </xf>
    <xf numFmtId="181" fontId="34" fillId="0" borderId="10" xfId="0" applyNumberFormat="1" applyFont="1" applyBorder="1" applyAlignment="1">
      <alignment horizontal="center" vertical="center"/>
    </xf>
    <xf numFmtId="181" fontId="9" fillId="2" borderId="8" xfId="4" applyNumberFormat="1" applyFont="1" applyFill="1" applyBorder="1" applyAlignment="1">
      <alignment horizontal="center" vertical="center"/>
    </xf>
    <xf numFmtId="181" fontId="9" fillId="2" borderId="10" xfId="4" applyNumberFormat="1" applyFont="1" applyFill="1" applyBorder="1" applyAlignment="1">
      <alignment horizontal="center" vertical="center"/>
    </xf>
    <xf numFmtId="0" fontId="53" fillId="2" borderId="0" xfId="4" applyFont="1" applyFill="1" applyAlignment="1">
      <alignment horizontal="center" vertical="center"/>
    </xf>
    <xf numFmtId="181" fontId="2" fillId="2" borderId="8" xfId="4" applyNumberFormat="1" applyFill="1" applyBorder="1" applyAlignment="1">
      <alignment horizontal="center" vertical="center"/>
    </xf>
    <xf numFmtId="181" fontId="2" fillId="2" borderId="10" xfId="4" applyNumberFormat="1" applyFill="1" applyBorder="1" applyAlignment="1">
      <alignment horizontal="center" vertical="center"/>
    </xf>
    <xf numFmtId="0" fontId="29" fillId="2" borderId="13" xfId="7" applyFont="1" applyFill="1" applyBorder="1" applyAlignment="1">
      <alignment horizontal="center" vertical="center"/>
    </xf>
    <xf numFmtId="0" fontId="29" fillId="2" borderId="32" xfId="7" applyFont="1" applyFill="1" applyBorder="1" applyAlignment="1">
      <alignment horizontal="center" vertical="center"/>
    </xf>
    <xf numFmtId="0" fontId="29" fillId="2" borderId="34" xfId="7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8" fillId="2" borderId="4" xfId="7" applyFont="1" applyFill="1" applyBorder="1" applyAlignment="1">
      <alignment horizontal="center" vertical="center" wrapText="1"/>
    </xf>
    <xf numFmtId="0" fontId="28" fillId="2" borderId="3" xfId="7" applyFont="1" applyFill="1" applyBorder="1" applyAlignment="1">
      <alignment horizontal="center" vertical="center" wrapText="1"/>
    </xf>
    <xf numFmtId="0" fontId="28" fillId="2" borderId="5" xfId="7" applyFont="1" applyFill="1" applyBorder="1" applyAlignment="1">
      <alignment horizontal="center" vertical="center" wrapText="1"/>
    </xf>
    <xf numFmtId="0" fontId="28" fillId="2" borderId="28" xfId="7" applyFont="1" applyFill="1" applyBorder="1" applyAlignment="1">
      <alignment horizontal="center" vertical="center" wrapText="1"/>
    </xf>
    <xf numFmtId="0" fontId="28" fillId="2" borderId="0" xfId="7" applyFont="1" applyFill="1" applyAlignment="1">
      <alignment horizontal="center" vertical="center" wrapText="1"/>
    </xf>
    <xf numFmtId="0" fontId="28" fillId="2" borderId="27" xfId="7" applyFont="1" applyFill="1" applyBorder="1" applyAlignment="1">
      <alignment horizontal="center" vertical="center" wrapText="1"/>
    </xf>
    <xf numFmtId="0" fontId="28" fillId="2" borderId="6" xfId="7" applyFont="1" applyFill="1" applyBorder="1" applyAlignment="1">
      <alignment horizontal="center" vertical="center" wrapText="1"/>
    </xf>
    <xf numFmtId="0" fontId="28" fillId="2" borderId="2" xfId="7" applyFont="1" applyFill="1" applyBorder="1" applyAlignment="1">
      <alignment horizontal="center" vertical="center" wrapText="1"/>
    </xf>
    <xf numFmtId="0" fontId="28" fillId="2" borderId="7" xfId="7" applyFont="1" applyFill="1" applyBorder="1" applyAlignment="1">
      <alignment horizontal="center" vertical="center" wrapText="1"/>
    </xf>
    <xf numFmtId="0" fontId="36" fillId="2" borderId="8" xfId="7" applyFont="1" applyFill="1" applyBorder="1" applyAlignment="1">
      <alignment horizontal="center" vertical="center"/>
    </xf>
    <xf numFmtId="0" fontId="36" fillId="2" borderId="10" xfId="7" applyFont="1" applyFill="1" applyBorder="1" applyAlignment="1">
      <alignment horizontal="center" vertical="center"/>
    </xf>
    <xf numFmtId="174" fontId="36" fillId="2" borderId="8" xfId="7" quotePrefix="1" applyNumberFormat="1" applyFont="1" applyFill="1" applyBorder="1" applyAlignment="1">
      <alignment horizontal="center" vertical="center"/>
    </xf>
    <xf numFmtId="174" fontId="36" fillId="2" borderId="10" xfId="7" quotePrefix="1" applyNumberFormat="1" applyFont="1" applyFill="1" applyBorder="1" applyAlignment="1">
      <alignment horizontal="center" vertical="center"/>
    </xf>
    <xf numFmtId="181" fontId="36" fillId="2" borderId="8" xfId="7" applyNumberFormat="1" applyFont="1" applyFill="1" applyBorder="1" applyAlignment="1">
      <alignment horizontal="center" vertical="center"/>
    </xf>
    <xf numFmtId="181" fontId="36" fillId="2" borderId="10" xfId="7" applyNumberFormat="1" applyFont="1" applyFill="1" applyBorder="1" applyAlignment="1">
      <alignment horizontal="center" vertical="center"/>
    </xf>
    <xf numFmtId="0" fontId="53" fillId="2" borderId="1" xfId="4" applyFont="1" applyFill="1" applyBorder="1" applyAlignment="1">
      <alignment horizontal="center" vertical="center"/>
    </xf>
    <xf numFmtId="0" fontId="27" fillId="2" borderId="0" xfId="4" applyFont="1" applyFill="1" applyAlignment="1">
      <alignment horizontal="center"/>
    </xf>
    <xf numFmtId="0" fontId="53" fillId="2" borderId="1" xfId="4" applyFont="1" applyFill="1" applyBorder="1" applyAlignment="1">
      <alignment horizontal="center"/>
    </xf>
    <xf numFmtId="17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8">
    <cellStyle name="Hipervínculo" xfId="1" builtinId="8"/>
    <cellStyle name="Millares 2" xfId="5" xr:uid="{00000000-0005-0000-0000-000001000000}"/>
    <cellStyle name="Normal" xfId="0" builtinId="0"/>
    <cellStyle name="Normal 2" xfId="4" xr:uid="{00000000-0005-0000-0000-000003000000}"/>
    <cellStyle name="Normal 2 2" xfId="6" xr:uid="{00000000-0005-0000-0000-000004000000}"/>
    <cellStyle name="Normal 4" xfId="2" xr:uid="{00000000-0005-0000-0000-000005000000}"/>
    <cellStyle name="Normal 6" xfId="7" xr:uid="{CCE1D59F-99E3-4663-9889-17EE1EBBC4BE}"/>
    <cellStyle name="Normal_ENSAYOS" xfId="3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553458</xdr:colOff>
      <xdr:row>52</xdr:row>
      <xdr:rowOff>6391</xdr:rowOff>
    </xdr:from>
    <xdr:to>
      <xdr:col>7</xdr:col>
      <xdr:colOff>847387</xdr:colOff>
      <xdr:row>56</xdr:row>
      <xdr:rowOff>37451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C37306-0FC1-4337-B00D-738F1D2A2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946138" y="10514371"/>
          <a:ext cx="1429309" cy="108262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52</xdr:row>
      <xdr:rowOff>152400</xdr:rowOff>
    </xdr:from>
    <xdr:to>
      <xdr:col>9</xdr:col>
      <xdr:colOff>1101725</xdr:colOff>
      <xdr:row>55</xdr:row>
      <xdr:rowOff>161655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9C596DF-060E-47B5-93BF-082D0AA1014A}"/>
            </a:ext>
          </a:extLst>
        </xdr:cNvPr>
        <xdr:cNvSpPr/>
      </xdr:nvSpPr>
      <xdr:spPr bwMode="auto">
        <a:xfrm>
          <a:off x="5798820" y="10660380"/>
          <a:ext cx="1101725" cy="88555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1021080</xdr:colOff>
      <xdr:row>52</xdr:row>
      <xdr:rowOff>76200</xdr:rowOff>
    </xdr:from>
    <xdr:to>
      <xdr:col>8</xdr:col>
      <xdr:colOff>983033</xdr:colOff>
      <xdr:row>56</xdr:row>
      <xdr:rowOff>120113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0FAD6D4-9FB1-4D5F-BD9C-E50B2B4D8C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549140" y="105841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45</xdr:row>
      <xdr:rowOff>129540</xdr:rowOff>
    </xdr:from>
    <xdr:to>
      <xdr:col>16</xdr:col>
      <xdr:colOff>33111</xdr:colOff>
      <xdr:row>50</xdr:row>
      <xdr:rowOff>70179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1BC81DC-F7D7-4084-8F4D-63C60F56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3880" y="92964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44</xdr:row>
      <xdr:rowOff>190500</xdr:rowOff>
    </xdr:from>
    <xdr:to>
      <xdr:col>8</xdr:col>
      <xdr:colOff>575326</xdr:colOff>
      <xdr:row>50</xdr:row>
      <xdr:rowOff>122416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C0604-F7ED-4DA0-BA45-CA376D631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90875" y="9305925"/>
          <a:ext cx="1404001" cy="1113016"/>
        </a:xfrm>
        <a:prstGeom prst="rect">
          <a:avLst/>
        </a:prstGeom>
      </xdr:spPr>
    </xdr:pic>
    <xdr:clientData/>
  </xdr:twoCellAnchor>
  <xdr:twoCellAnchor editAs="oneCell">
    <xdr:from>
      <xdr:col>8</xdr:col>
      <xdr:colOff>638175</xdr:colOff>
      <xdr:row>44</xdr:row>
      <xdr:rowOff>209549</xdr:rowOff>
    </xdr:from>
    <xdr:to>
      <xdr:col>10</xdr:col>
      <xdr:colOff>39649</xdr:colOff>
      <xdr:row>50</xdr:row>
      <xdr:rowOff>113819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2A939E-9352-4766-A389-B2419F834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5571" r="70973" b="23639"/>
        <a:stretch/>
      </xdr:blipFill>
      <xdr:spPr>
        <a:xfrm rot="170050">
          <a:off x="4657725" y="9324974"/>
          <a:ext cx="1049299" cy="1085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42453</xdr:colOff>
      <xdr:row>11</xdr:row>
      <xdr:rowOff>58532</xdr:rowOff>
    </xdr:from>
    <xdr:to>
      <xdr:col>14</xdr:col>
      <xdr:colOff>487680</xdr:colOff>
      <xdr:row>20</xdr:row>
      <xdr:rowOff>139523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69454F1-B75D-49B0-BC77-10F1E984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893" y="2001632"/>
          <a:ext cx="3432267" cy="1574511"/>
        </a:xfrm>
        <a:prstGeom prst="rect">
          <a:avLst/>
        </a:prstGeom>
      </xdr:spPr>
    </xdr:pic>
    <xdr:clientData/>
  </xdr:twoCellAnchor>
  <xdr:twoCellAnchor>
    <xdr:from>
      <xdr:col>5</xdr:col>
      <xdr:colOff>7621</xdr:colOff>
      <xdr:row>14</xdr:row>
      <xdr:rowOff>22860</xdr:rowOff>
    </xdr:from>
    <xdr:to>
      <xdr:col>7</xdr:col>
      <xdr:colOff>457200</xdr:colOff>
      <xdr:row>21</xdr:row>
      <xdr:rowOff>7620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63F227C-8C41-44B3-A2BD-C7B66BCBDB55}"/>
            </a:ext>
          </a:extLst>
        </xdr:cNvPr>
        <xdr:cNvGrpSpPr/>
      </xdr:nvGrpSpPr>
      <xdr:grpSpPr>
        <a:xfrm>
          <a:off x="3712846" y="1927860"/>
          <a:ext cx="1964054" cy="1337310"/>
          <a:chOff x="7642861" y="2834640"/>
          <a:chExt cx="2468880" cy="1819275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A1256EA9-C370-4A81-9331-B8F8B72BA9E7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r="37594"/>
          <a:stretch/>
        </xdr:blipFill>
        <xdr:spPr>
          <a:xfrm>
            <a:off x="7650481" y="2834640"/>
            <a:ext cx="2461260" cy="49339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7CD8F7B0-1A9D-4631-A7B5-156312BDCA12}"/>
              </a:ext>
            </a:extLst>
          </xdr:cNvPr>
          <xdr:cNvPicPr/>
        </xdr:nvPicPr>
        <xdr:blipFill rotWithShape="1">
          <a:blip xmlns:r="http://schemas.openxmlformats.org/officeDocument/2006/relationships" r:embed="rId3"/>
          <a:srcRect r="36281" b="-309"/>
          <a:stretch/>
        </xdr:blipFill>
        <xdr:spPr>
          <a:xfrm>
            <a:off x="7642861" y="3368040"/>
            <a:ext cx="2461260" cy="4114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3103E9AC-53A5-47E2-B850-AD3731C8A9C8}"/>
              </a:ext>
            </a:extLst>
          </xdr:cNvPr>
          <xdr:cNvPicPr/>
        </xdr:nvPicPr>
        <xdr:blipFill rotWithShape="1">
          <a:blip xmlns:r="http://schemas.openxmlformats.org/officeDocument/2006/relationships" r:embed="rId4"/>
          <a:srcRect r="30435"/>
          <a:stretch/>
        </xdr:blipFill>
        <xdr:spPr>
          <a:xfrm>
            <a:off x="7642861" y="3817620"/>
            <a:ext cx="2468880" cy="83629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>
    <xdr:from>
      <xdr:col>1</xdr:col>
      <xdr:colOff>352425</xdr:colOff>
      <xdr:row>0</xdr:row>
      <xdr:rowOff>19050</xdr:rowOff>
    </xdr:from>
    <xdr:to>
      <xdr:col>1</xdr:col>
      <xdr:colOff>1308066</xdr:colOff>
      <xdr:row>3</xdr:row>
      <xdr:rowOff>134436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6F83C0EE-28B7-4BAE-967E-1711A44A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9050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723900</xdr:colOff>
      <xdr:row>1</xdr:row>
      <xdr:rowOff>9525</xdr:rowOff>
    </xdr:from>
    <xdr:to>
      <xdr:col>36</xdr:col>
      <xdr:colOff>315119</xdr:colOff>
      <xdr:row>4</xdr:row>
      <xdr:rowOff>152488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A5DFA7-5D58-981F-64F3-45F3EC2A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64625" y="171450"/>
          <a:ext cx="5687219" cy="628738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</xdr:row>
      <xdr:rowOff>57150</xdr:rowOff>
    </xdr:from>
    <xdr:to>
      <xdr:col>23</xdr:col>
      <xdr:colOff>258056</xdr:colOff>
      <xdr:row>4</xdr:row>
      <xdr:rowOff>133428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033DAF-DDB2-079F-02C0-BD374671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2825" y="219075"/>
          <a:ext cx="6315956" cy="562053"/>
        </a:xfrm>
        <a:prstGeom prst="rect">
          <a:avLst/>
        </a:prstGeom>
      </xdr:spPr>
    </xdr:pic>
    <xdr:clientData/>
  </xdr:twoCellAnchor>
  <xdr:twoCellAnchor editAs="oneCell">
    <xdr:from>
      <xdr:col>42</xdr:col>
      <xdr:colOff>723901</xdr:colOff>
      <xdr:row>1</xdr:row>
      <xdr:rowOff>28575</xdr:rowOff>
    </xdr:from>
    <xdr:to>
      <xdr:col>50</xdr:col>
      <xdr:colOff>742951</xdr:colOff>
      <xdr:row>4</xdr:row>
      <xdr:rowOff>114223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4A5B0D8-7647-4A5F-A1FB-2F7FCFF4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32626" y="190500"/>
          <a:ext cx="6153150" cy="571423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</xdr:row>
      <xdr:rowOff>66674</xdr:rowOff>
    </xdr:from>
    <xdr:to>
      <xdr:col>64</xdr:col>
      <xdr:colOff>209550</xdr:colOff>
      <xdr:row>4</xdr:row>
      <xdr:rowOff>123824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1B5DCBB-1646-48AD-BCD5-EF37D300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76825" y="228599"/>
          <a:ext cx="5619750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</xdr:row>
      <xdr:rowOff>9525</xdr:rowOff>
    </xdr:from>
    <xdr:to>
      <xdr:col>9</xdr:col>
      <xdr:colOff>285751</xdr:colOff>
      <xdr:row>4</xdr:row>
      <xdr:rowOff>118793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047B47-4263-8CC4-71D4-226E9593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426" y="171450"/>
          <a:ext cx="6553200" cy="595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R63"/>
  <sheetViews>
    <sheetView showGridLines="0" topLeftCell="A16" zoomScale="120" zoomScaleNormal="120" zoomScaleSheetLayoutView="100" workbookViewId="0">
      <selection activeCell="N32" sqref="N32"/>
    </sheetView>
  </sheetViews>
  <sheetFormatPr baseColWidth="10" defaultColWidth="10.42578125" defaultRowHeight="14.25" x14ac:dyDescent="0.2"/>
  <cols>
    <col min="1" max="1" width="11.42578125" style="402" customWidth="1"/>
    <col min="2" max="2" width="1.42578125" style="402" customWidth="1"/>
    <col min="3" max="3" width="4.28515625" style="402" customWidth="1"/>
    <col min="4" max="4" width="1.5703125" style="419" customWidth="1"/>
    <col min="5" max="5" width="17" style="419" customWidth="1"/>
    <col min="6" max="6" width="6.28515625" style="402" customWidth="1"/>
    <col min="7" max="9" width="16.5703125" style="419" customWidth="1"/>
    <col min="10" max="10" width="15.42578125" style="402" customWidth="1"/>
    <col min="11" max="11" width="6.42578125" style="402" customWidth="1"/>
    <col min="12" max="12" width="8" style="402" customWidth="1"/>
    <col min="13" max="13" width="10.5703125" style="402" customWidth="1"/>
    <col min="14" max="16384" width="10.42578125" style="402"/>
  </cols>
  <sheetData>
    <row r="1" spans="1:14" ht="15.75" customHeight="1" x14ac:dyDescent="0.2">
      <c r="A1" s="17"/>
      <c r="B1" s="17"/>
      <c r="C1" s="17"/>
      <c r="D1" s="400"/>
      <c r="E1" s="400"/>
      <c r="F1" s="17"/>
      <c r="G1" s="400"/>
      <c r="H1" s="401"/>
      <c r="I1" s="401"/>
    </row>
    <row r="2" spans="1:14" ht="15.75" customHeight="1" x14ac:dyDescent="0.2">
      <c r="A2" s="17"/>
      <c r="B2" s="17"/>
      <c r="C2" s="17"/>
      <c r="D2" s="400"/>
      <c r="E2" s="400"/>
      <c r="F2" s="17"/>
      <c r="G2" s="400"/>
      <c r="H2" s="401"/>
      <c r="I2" s="401"/>
    </row>
    <row r="3" spans="1:14" ht="42" customHeight="1" x14ac:dyDescent="0.2">
      <c r="A3" s="17"/>
      <c r="B3" s="17"/>
      <c r="C3" s="17"/>
      <c r="D3" s="400"/>
      <c r="E3" s="400"/>
      <c r="F3" s="17"/>
      <c r="G3" s="400"/>
      <c r="H3" s="401"/>
      <c r="I3" s="401"/>
    </row>
    <row r="4" spans="1:14" ht="15.75" customHeight="1" x14ac:dyDescent="0.2">
      <c r="A4" s="17"/>
      <c r="B4" s="17"/>
      <c r="C4" s="17"/>
      <c r="D4" s="400"/>
      <c r="E4" s="400"/>
      <c r="F4" s="17"/>
      <c r="G4" s="400"/>
      <c r="H4" s="401"/>
      <c r="I4" s="401"/>
    </row>
    <row r="5" spans="1:14" ht="15.75" customHeight="1" x14ac:dyDescent="0.2">
      <c r="A5" s="551" t="s">
        <v>16</v>
      </c>
      <c r="B5" s="551"/>
      <c r="C5" s="551"/>
      <c r="D5" s="551"/>
      <c r="E5" s="551"/>
      <c r="F5" s="551"/>
      <c r="G5" s="551"/>
      <c r="H5" s="551"/>
      <c r="I5" s="551"/>
      <c r="J5" s="551"/>
    </row>
    <row r="6" spans="1:14" ht="15.75" customHeight="1" x14ac:dyDescent="0.25">
      <c r="A6" s="552">
        <v>0</v>
      </c>
      <c r="B6" s="552"/>
      <c r="C6" s="552"/>
      <c r="D6" s="552"/>
      <c r="E6" s="552"/>
      <c r="F6" s="552"/>
      <c r="G6" s="552"/>
      <c r="H6" s="552"/>
      <c r="I6" s="552"/>
      <c r="J6" s="552"/>
    </row>
    <row r="7" spans="1:14" ht="11.45" customHeight="1" x14ac:dyDescent="0.25">
      <c r="A7" s="403"/>
      <c r="B7" s="403"/>
      <c r="C7" s="403"/>
      <c r="D7" s="403"/>
      <c r="E7" s="403"/>
      <c r="F7" s="403"/>
      <c r="G7" s="403"/>
      <c r="H7" s="403"/>
      <c r="I7" s="403"/>
      <c r="J7" s="403"/>
    </row>
    <row r="8" spans="1:14" s="405" customFormat="1" ht="15" customHeight="1" x14ac:dyDescent="0.2">
      <c r="A8" s="16" t="s">
        <v>48</v>
      </c>
      <c r="B8" s="15" t="s">
        <v>0</v>
      </c>
      <c r="C8" s="567"/>
      <c r="D8" s="567"/>
      <c r="E8" s="567"/>
      <c r="F8" s="567"/>
      <c r="G8" s="567"/>
      <c r="H8" s="567"/>
      <c r="I8" s="404" t="s">
        <v>179</v>
      </c>
      <c r="J8" s="19" t="s">
        <v>37</v>
      </c>
    </row>
    <row r="9" spans="1:14" s="405" customFormat="1" ht="15" customHeight="1" x14ac:dyDescent="0.2">
      <c r="A9" s="16" t="s">
        <v>69</v>
      </c>
      <c r="B9" s="15" t="s">
        <v>0</v>
      </c>
      <c r="C9" s="567"/>
      <c r="D9" s="567"/>
      <c r="E9" s="567"/>
      <c r="F9" s="567"/>
      <c r="G9" s="567"/>
      <c r="H9" s="567"/>
      <c r="I9" s="14" t="s">
        <v>222</v>
      </c>
      <c r="J9" s="532">
        <v>0</v>
      </c>
      <c r="K9" s="406"/>
      <c r="L9" s="406"/>
    </row>
    <row r="10" spans="1:14" s="405" customFormat="1" ht="15" customHeight="1" x14ac:dyDescent="0.2">
      <c r="A10" s="16" t="s">
        <v>49</v>
      </c>
      <c r="B10" s="15" t="s">
        <v>0</v>
      </c>
      <c r="C10" s="567"/>
      <c r="D10" s="567"/>
      <c r="E10" s="567"/>
      <c r="F10" s="567"/>
      <c r="G10" s="567"/>
      <c r="H10" s="567"/>
      <c r="I10" s="14" t="s">
        <v>221</v>
      </c>
      <c r="J10" s="532">
        <v>0</v>
      </c>
      <c r="K10" s="406"/>
      <c r="L10" s="406"/>
    </row>
    <row r="11" spans="1:14" s="405" customFormat="1" ht="15" customHeight="1" x14ac:dyDescent="0.2">
      <c r="A11" s="16" t="s">
        <v>50</v>
      </c>
      <c r="B11" s="15" t="s">
        <v>0</v>
      </c>
      <c r="C11" s="567"/>
      <c r="D11" s="567"/>
      <c r="E11" s="567"/>
      <c r="F11" s="567"/>
      <c r="G11" s="567"/>
      <c r="H11" s="567"/>
      <c r="I11" s="14" t="s">
        <v>224</v>
      </c>
      <c r="J11" s="481">
        <v>0</v>
      </c>
      <c r="K11" s="391"/>
      <c r="L11" s="406"/>
    </row>
    <row r="12" spans="1:14" ht="15" customHeight="1" x14ac:dyDescent="0.2">
      <c r="A12" s="407" t="s">
        <v>68</v>
      </c>
      <c r="B12" s="407"/>
      <c r="C12" s="407"/>
      <c r="D12" s="408"/>
      <c r="E12" s="408"/>
      <c r="F12" s="15"/>
      <c r="G12" s="409"/>
      <c r="H12" s="409"/>
      <c r="I12" s="14" t="s">
        <v>223</v>
      </c>
      <c r="J12" s="481">
        <v>0</v>
      </c>
      <c r="K12" s="391"/>
      <c r="L12" s="410"/>
      <c r="M12" s="14"/>
      <c r="N12" s="411"/>
    </row>
    <row r="13" spans="1:14" ht="4.5" customHeight="1" x14ac:dyDescent="0.2">
      <c r="A13" s="407"/>
      <c r="B13" s="407"/>
      <c r="C13" s="407"/>
      <c r="D13" s="408"/>
      <c r="E13" s="408"/>
      <c r="F13" s="15"/>
      <c r="G13" s="409"/>
      <c r="H13" s="409"/>
      <c r="I13" s="14"/>
      <c r="J13" s="390"/>
      <c r="K13" s="391"/>
      <c r="L13" s="410"/>
      <c r="M13" s="14"/>
      <c r="N13" s="411"/>
    </row>
    <row r="14" spans="1:14" ht="25.5" customHeight="1" x14ac:dyDescent="0.2">
      <c r="A14" s="553" t="s">
        <v>290</v>
      </c>
      <c r="B14" s="554"/>
      <c r="C14" s="554"/>
      <c r="D14" s="554"/>
      <c r="E14" s="554"/>
      <c r="F14" s="554"/>
      <c r="G14" s="554"/>
      <c r="H14" s="554"/>
      <c r="I14" s="554"/>
      <c r="J14" s="555"/>
      <c r="K14" s="410"/>
      <c r="L14" s="410"/>
    </row>
    <row r="15" spans="1:14" ht="13.15" customHeight="1" x14ac:dyDescent="0.2">
      <c r="A15" s="571" t="s">
        <v>291</v>
      </c>
      <c r="B15" s="572"/>
      <c r="C15" s="572"/>
      <c r="D15" s="572"/>
      <c r="E15" s="572"/>
      <c r="F15" s="572"/>
      <c r="G15" s="572"/>
      <c r="H15" s="572"/>
      <c r="I15" s="572"/>
      <c r="J15" s="573"/>
      <c r="K15" s="410"/>
      <c r="L15" s="410"/>
      <c r="M15" s="410"/>
    </row>
    <row r="16" spans="1:14" ht="5.45" customHeight="1" x14ac:dyDescent="0.2">
      <c r="A16" s="412"/>
      <c r="B16" s="413"/>
      <c r="C16" s="413"/>
      <c r="D16" s="413"/>
      <c r="E16" s="413"/>
      <c r="F16" s="413"/>
      <c r="G16" s="413"/>
      <c r="H16" s="413"/>
      <c r="I16" s="413"/>
      <c r="J16" s="414"/>
      <c r="K16" s="410"/>
      <c r="L16" s="410"/>
      <c r="M16" s="410"/>
    </row>
    <row r="17" spans="1:18" ht="12.95" customHeight="1" x14ac:dyDescent="0.2">
      <c r="A17" s="559" t="s">
        <v>228</v>
      </c>
      <c r="B17" s="560"/>
      <c r="C17" s="560"/>
      <c r="D17" s="560"/>
      <c r="E17" s="560"/>
      <c r="F17" s="560"/>
      <c r="G17" s="561" t="s">
        <v>229</v>
      </c>
      <c r="H17" s="561"/>
      <c r="I17" s="561" t="s">
        <v>230</v>
      </c>
      <c r="J17" s="562"/>
      <c r="K17" s="410"/>
      <c r="M17" s="415"/>
      <c r="N17" s="415"/>
    </row>
    <row r="18" spans="1:18" ht="29.25" customHeight="1" x14ac:dyDescent="0.2">
      <c r="A18" s="565" t="s">
        <v>205</v>
      </c>
      <c r="B18" s="566"/>
      <c r="C18" s="566"/>
      <c r="D18" s="402" t="s">
        <v>0</v>
      </c>
      <c r="E18" s="286" t="str">
        <f>+Datos!L2</f>
        <v>EQ.DENS. 1</v>
      </c>
      <c r="F18" s="482"/>
      <c r="G18" s="416" t="s">
        <v>70</v>
      </c>
      <c r="H18" s="481">
        <f>+Datos!D8</f>
        <v>0</v>
      </c>
      <c r="I18" s="417" t="s">
        <v>238</v>
      </c>
      <c r="J18" s="487" t="s">
        <v>212</v>
      </c>
      <c r="K18" s="410"/>
      <c r="L18" s="410"/>
      <c r="M18" s="410"/>
    </row>
    <row r="19" spans="1:18" ht="19.149999999999999" customHeight="1" x14ac:dyDescent="0.2">
      <c r="A19" s="563" t="str">
        <f>+Datos!G5</f>
        <v xml:space="preserve">Masa de arena embudo y placa </v>
      </c>
      <c r="B19" s="564"/>
      <c r="C19" s="564"/>
      <c r="D19" s="402" t="s">
        <v>0</v>
      </c>
      <c r="E19" s="546">
        <f>+Datos!I5</f>
        <v>0</v>
      </c>
      <c r="F19" s="483" t="s">
        <v>116</v>
      </c>
      <c r="G19" s="416" t="s">
        <v>177</v>
      </c>
      <c r="H19" s="485" t="str">
        <f>+Datos!D9</f>
        <v>-</v>
      </c>
      <c r="I19" s="418" t="s">
        <v>216</v>
      </c>
      <c r="J19" s="488" t="s">
        <v>86</v>
      </c>
      <c r="K19" s="410"/>
    </row>
    <row r="20" spans="1:18" ht="16.149999999999999" customHeight="1" x14ac:dyDescent="0.2">
      <c r="A20" s="563" t="str">
        <f>+Datos!G6</f>
        <v xml:space="preserve">Densidad de la arena </v>
      </c>
      <c r="B20" s="564"/>
      <c r="C20" s="564"/>
      <c r="D20" s="402" t="s">
        <v>0</v>
      </c>
      <c r="E20" s="548">
        <f>+Datos!I6</f>
        <v>0</v>
      </c>
      <c r="F20" s="483" t="s">
        <v>143</v>
      </c>
      <c r="H20" s="486"/>
      <c r="I20" s="418" t="s">
        <v>263</v>
      </c>
      <c r="J20" s="544">
        <f>+Datos!E4</f>
        <v>0</v>
      </c>
      <c r="K20" s="420"/>
    </row>
    <row r="21" spans="1:18" ht="12.95" customHeight="1" x14ac:dyDescent="0.2">
      <c r="A21" s="421" t="s">
        <v>206</v>
      </c>
      <c r="C21" s="415"/>
      <c r="D21" s="402" t="s">
        <v>0</v>
      </c>
      <c r="E21" s="546">
        <f>+Datos!I7</f>
        <v>0</v>
      </c>
      <c r="F21" s="483" t="s">
        <v>144</v>
      </c>
      <c r="H21" s="486"/>
      <c r="I21" s="418" t="s">
        <v>178</v>
      </c>
      <c r="J21" s="545">
        <f>+Datos!E5</f>
        <v>0</v>
      </c>
      <c r="K21" s="287"/>
    </row>
    <row r="22" spans="1:18" ht="12.95" customHeight="1" x14ac:dyDescent="0.2">
      <c r="A22" s="421"/>
      <c r="C22" s="415"/>
      <c r="D22" s="402"/>
      <c r="E22" s="484"/>
      <c r="F22" s="483"/>
      <c r="I22" s="150" t="s">
        <v>248</v>
      </c>
      <c r="J22" s="544">
        <f>+Datos!E6</f>
        <v>0</v>
      </c>
      <c r="K22" s="287"/>
    </row>
    <row r="23" spans="1:18" ht="6" customHeight="1" x14ac:dyDescent="0.2">
      <c r="A23" s="422"/>
      <c r="B23" s="423"/>
      <c r="C23" s="423"/>
      <c r="D23" s="424"/>
      <c r="E23" s="424"/>
      <c r="F23" s="424"/>
      <c r="G23" s="425"/>
      <c r="H23" s="425"/>
      <c r="I23" s="425"/>
      <c r="J23" s="426"/>
      <c r="K23" s="410"/>
      <c r="L23" s="410"/>
    </row>
    <row r="24" spans="1:18" ht="13.5" customHeight="1" x14ac:dyDescent="0.2">
      <c r="A24" s="556" t="s">
        <v>318</v>
      </c>
      <c r="B24" s="557"/>
      <c r="C24" s="557"/>
      <c r="D24" s="557"/>
      <c r="E24" s="557"/>
      <c r="F24" s="558"/>
      <c r="G24" s="427" t="s">
        <v>140</v>
      </c>
      <c r="H24" s="427" t="s">
        <v>141</v>
      </c>
      <c r="I24" s="427" t="s">
        <v>142</v>
      </c>
      <c r="J24" s="427" t="s">
        <v>231</v>
      </c>
      <c r="L24" s="428"/>
      <c r="M24" s="428"/>
      <c r="N24" s="428"/>
      <c r="O24" s="428"/>
      <c r="P24" s="428"/>
      <c r="Q24" s="428"/>
      <c r="R24" s="429"/>
    </row>
    <row r="25" spans="1:18" ht="23.1" customHeight="1" x14ac:dyDescent="0.2">
      <c r="A25" s="210" t="s">
        <v>117</v>
      </c>
      <c r="B25" s="415"/>
      <c r="C25" s="415"/>
      <c r="D25" s="430"/>
      <c r="E25" s="430"/>
      <c r="F25" s="430"/>
      <c r="G25" s="489">
        <f>+Datos!E13</f>
        <v>0</v>
      </c>
      <c r="H25" s="489">
        <f>+Datos!G13</f>
        <v>0</v>
      </c>
      <c r="I25" s="490">
        <f>+Datos!I13</f>
        <v>0</v>
      </c>
      <c r="J25" s="490">
        <f>+Datos!K13</f>
        <v>0</v>
      </c>
      <c r="L25" s="431"/>
      <c r="M25" s="428"/>
      <c r="N25" s="428"/>
      <c r="O25" s="428"/>
      <c r="P25" s="428"/>
      <c r="Q25" s="428"/>
    </row>
    <row r="26" spans="1:18" ht="15.95" customHeight="1" x14ac:dyDescent="0.2">
      <c r="A26" s="211" t="s">
        <v>123</v>
      </c>
      <c r="B26" s="432"/>
      <c r="C26" s="432"/>
      <c r="D26" s="433"/>
      <c r="E26" s="433"/>
      <c r="F26" s="433"/>
      <c r="G26" s="489" t="str">
        <f>+Datos!E14</f>
        <v>-</v>
      </c>
      <c r="H26" s="491" t="str">
        <f>+Datos!G14</f>
        <v>-</v>
      </c>
      <c r="I26" s="492" t="str">
        <f>+Datos!I14</f>
        <v>-</v>
      </c>
      <c r="J26" s="492" t="str">
        <f>+Datos!K14</f>
        <v>-</v>
      </c>
      <c r="L26" s="428"/>
      <c r="M26" s="428"/>
      <c r="N26" s="428"/>
      <c r="O26" s="428"/>
      <c r="P26" s="428"/>
      <c r="Q26" s="428"/>
    </row>
    <row r="27" spans="1:18" ht="15.95" customHeight="1" x14ac:dyDescent="0.2">
      <c r="A27" s="212" t="s">
        <v>207</v>
      </c>
      <c r="B27" s="434"/>
      <c r="C27" s="434"/>
      <c r="D27" s="433"/>
      <c r="E27" s="433"/>
      <c r="F27" s="433"/>
      <c r="G27" s="489" t="str">
        <f>+Datos!E15</f>
        <v xml:space="preserve"> - </v>
      </c>
      <c r="H27" s="491" t="str">
        <f>+Datos!G15</f>
        <v xml:space="preserve"> - </v>
      </c>
      <c r="I27" s="492" t="str">
        <f>+Datos!I15</f>
        <v xml:space="preserve"> - </v>
      </c>
      <c r="J27" s="492" t="str">
        <f>+Datos!K15</f>
        <v xml:space="preserve"> - </v>
      </c>
      <c r="L27" s="428"/>
      <c r="M27" s="428"/>
      <c r="N27" s="428"/>
      <c r="O27" s="428"/>
      <c r="P27" s="428"/>
      <c r="Q27" s="428"/>
    </row>
    <row r="28" spans="1:18" ht="22.5" customHeight="1" x14ac:dyDescent="0.2">
      <c r="A28" s="211" t="s">
        <v>165</v>
      </c>
      <c r="B28" s="434"/>
      <c r="C28" s="434"/>
      <c r="D28" s="433"/>
      <c r="E28" s="433"/>
      <c r="F28" s="433"/>
      <c r="G28" s="489">
        <f>+Datos!E19</f>
        <v>0</v>
      </c>
      <c r="H28" s="489">
        <f>+Datos!G19</f>
        <v>0</v>
      </c>
      <c r="I28" s="489">
        <f>+Datos!I19</f>
        <v>0</v>
      </c>
      <c r="J28" s="489">
        <f>+Datos!K19</f>
        <v>0</v>
      </c>
      <c r="L28" s="428"/>
      <c r="M28" s="428"/>
      <c r="N28" s="428"/>
      <c r="O28" s="428"/>
      <c r="P28" s="428"/>
      <c r="Q28" s="428"/>
    </row>
    <row r="29" spans="1:18" ht="15.95" customHeight="1" x14ac:dyDescent="0.2">
      <c r="A29" s="212" t="s">
        <v>118</v>
      </c>
      <c r="B29" s="434"/>
      <c r="C29" s="434"/>
      <c r="D29" s="433"/>
      <c r="E29" s="433"/>
      <c r="F29" s="433" t="s">
        <v>35</v>
      </c>
      <c r="G29" s="493" t="str">
        <f>+Datos!E16</f>
        <v xml:space="preserve"> - </v>
      </c>
      <c r="H29" s="494" t="str">
        <f>+Datos!G16</f>
        <v xml:space="preserve"> - </v>
      </c>
      <c r="I29" s="495" t="str">
        <f>+Datos!I16</f>
        <v xml:space="preserve"> - </v>
      </c>
      <c r="J29" s="495" t="str">
        <f>+Datos!K16</f>
        <v xml:space="preserve"> - </v>
      </c>
      <c r="L29" s="428"/>
      <c r="M29" s="428"/>
      <c r="N29" s="428"/>
      <c r="O29" s="428"/>
      <c r="P29" s="428"/>
      <c r="Q29" s="428"/>
    </row>
    <row r="30" spans="1:18" ht="15.95" customHeight="1" x14ac:dyDescent="0.2">
      <c r="A30" s="435" t="s">
        <v>151</v>
      </c>
      <c r="B30" s="436"/>
      <c r="C30" s="436"/>
      <c r="D30" s="437"/>
      <c r="E30" s="437"/>
      <c r="F30" s="437" t="s">
        <v>264</v>
      </c>
      <c r="G30" s="529" t="e">
        <f>Datos!F26</f>
        <v>#DIV/0!</v>
      </c>
      <c r="H30" s="529" t="e">
        <f>Datos!H26</f>
        <v>#DIV/0!</v>
      </c>
      <c r="I30" s="530" t="e">
        <f>Datos!J26</f>
        <v>#DIV/0!</v>
      </c>
      <c r="J30" s="531" t="e">
        <f>Datos!L26</f>
        <v>#DIV/0!</v>
      </c>
      <c r="K30" s="410"/>
      <c r="L30" s="428"/>
      <c r="M30" s="428"/>
      <c r="N30" s="428"/>
      <c r="O30" s="428"/>
    </row>
    <row r="31" spans="1:18" ht="15.95" customHeight="1" x14ac:dyDescent="0.2">
      <c r="A31" s="212" t="s">
        <v>261</v>
      </c>
      <c r="B31" s="434"/>
      <c r="C31" s="434"/>
      <c r="D31" s="433"/>
      <c r="E31" s="433"/>
      <c r="F31" s="438"/>
      <c r="G31" s="496" t="str">
        <f>+Datos!E18</f>
        <v>-</v>
      </c>
      <c r="H31" s="496" t="str">
        <f>+Datos!G18</f>
        <v>-</v>
      </c>
      <c r="I31" s="496" t="str">
        <f>+Datos!I18</f>
        <v>-</v>
      </c>
      <c r="J31" s="497" t="str">
        <f>+Datos!K18</f>
        <v>-</v>
      </c>
      <c r="K31" s="410"/>
      <c r="L31" s="428"/>
      <c r="M31" s="428"/>
      <c r="N31" s="428"/>
      <c r="O31" s="428"/>
    </row>
    <row r="32" spans="1:18" ht="15.95" customHeight="1" x14ac:dyDescent="0.2">
      <c r="A32" s="212" t="s">
        <v>210</v>
      </c>
      <c r="B32" s="434"/>
      <c r="C32" s="434"/>
      <c r="D32" s="433"/>
      <c r="E32" s="433"/>
      <c r="F32" s="433" t="s">
        <v>116</v>
      </c>
      <c r="G32" s="498">
        <f>+Datos!F30</f>
        <v>0</v>
      </c>
      <c r="H32" s="498">
        <f>+Datos!H30</f>
        <v>0</v>
      </c>
      <c r="I32" s="498">
        <f>+Datos!J30</f>
        <v>0</v>
      </c>
      <c r="J32" s="497">
        <f>+Datos!L30</f>
        <v>0</v>
      </c>
      <c r="K32" s="410"/>
      <c r="L32" s="428"/>
      <c r="M32" s="428"/>
      <c r="N32" s="428"/>
      <c r="O32" s="428"/>
    </row>
    <row r="33" spans="1:15" ht="15.95" customHeight="1" x14ac:dyDescent="0.2">
      <c r="A33" s="421" t="s">
        <v>120</v>
      </c>
      <c r="B33" s="415"/>
      <c r="C33" s="415"/>
      <c r="D33" s="416"/>
      <c r="E33" s="416"/>
      <c r="F33" s="416" t="s">
        <v>33</v>
      </c>
      <c r="G33" s="499" t="e">
        <f>+IF(Datos!F31&lt;10, TEXT(ROUND(Datos!F31, 2), "0.00"), TEXT(ROUND(Datos!F31,1),"0.0"))</f>
        <v>#DIV/0!</v>
      </c>
      <c r="H33" s="499" t="e">
        <f>+IF(Datos!H31&lt;10, TEXT(ROUND(Datos!H31, 2), "0.00"), TEXT(ROUND(Datos!H31,1),"0.0"))</f>
        <v>#DIV/0!</v>
      </c>
      <c r="I33" s="500" t="e">
        <f>+IF(Datos!J31&lt;10, TEXT(ROUND(Datos!J31, 2), "0.00"), TEXT(ROUND(Datos!J31,1),"0.0"))</f>
        <v>#DIV/0!</v>
      </c>
      <c r="J33" s="501" t="e">
        <f>+IF(Datos!L31&lt;10, TEXT(ROUND(Datos!L31, 2), "0.00"), TEXT(ROUND(Datos!L31,1),"0.0"))</f>
        <v>#DIV/0!</v>
      </c>
      <c r="K33" s="410"/>
      <c r="L33" s="410"/>
      <c r="M33" s="410"/>
      <c r="N33" s="428"/>
      <c r="O33" s="428"/>
    </row>
    <row r="34" spans="1:15" ht="15.95" customHeight="1" x14ac:dyDescent="0.2">
      <c r="A34" s="439" t="s">
        <v>112</v>
      </c>
      <c r="B34" s="440"/>
      <c r="C34" s="440"/>
      <c r="D34" s="433"/>
      <c r="E34" s="433"/>
      <c r="F34" s="433" t="s">
        <v>146</v>
      </c>
      <c r="G34" s="502" t="e">
        <f>+Datos!F32</f>
        <v>#DIV/0!</v>
      </c>
      <c r="H34" s="502" t="e">
        <f>+Datos!H32</f>
        <v>#DIV/0!</v>
      </c>
      <c r="I34" s="503" t="e">
        <f>+Datos!J32</f>
        <v>#DIV/0!</v>
      </c>
      <c r="J34" s="502" t="e">
        <f>+Datos!L32</f>
        <v>#DIV/0!</v>
      </c>
      <c r="K34" s="410"/>
      <c r="L34" s="428"/>
      <c r="M34" s="428"/>
      <c r="N34" s="428"/>
      <c r="O34" s="428"/>
    </row>
    <row r="35" spans="1:15" ht="15.95" customHeight="1" x14ac:dyDescent="0.2">
      <c r="A35" s="439" t="s">
        <v>113</v>
      </c>
      <c r="B35" s="440"/>
      <c r="C35" s="440"/>
      <c r="D35" s="433"/>
      <c r="E35" s="433"/>
      <c r="F35" s="433" t="s">
        <v>146</v>
      </c>
      <c r="G35" s="502" t="e">
        <f>+Datos!F33</f>
        <v>#DIV/0!</v>
      </c>
      <c r="H35" s="502" t="e">
        <f>+Datos!H33</f>
        <v>#DIV/0!</v>
      </c>
      <c r="I35" s="503" t="e">
        <f>+Datos!J33</f>
        <v>#DIV/0!</v>
      </c>
      <c r="J35" s="502" t="e">
        <f>+Datos!L33</f>
        <v>#DIV/0!</v>
      </c>
      <c r="K35" s="410"/>
      <c r="L35" s="428"/>
      <c r="M35" s="428"/>
      <c r="N35" s="428"/>
      <c r="O35" s="428"/>
    </row>
    <row r="36" spans="1:15" ht="15.95" customHeight="1" x14ac:dyDescent="0.2">
      <c r="A36" s="441" t="s">
        <v>114</v>
      </c>
      <c r="B36" s="442"/>
      <c r="C36" s="442"/>
      <c r="D36" s="416"/>
      <c r="E36" s="416"/>
      <c r="F36" s="416" t="s">
        <v>265</v>
      </c>
      <c r="G36" s="539" t="e">
        <f>+Datos!F34</f>
        <v>#DIV/0!</v>
      </c>
      <c r="H36" s="539" t="e">
        <f>+Datos!H34</f>
        <v>#DIV/0!</v>
      </c>
      <c r="I36" s="540" t="e">
        <f>+Datos!J34</f>
        <v>#DIV/0!</v>
      </c>
      <c r="J36" s="491" t="e">
        <f>+Datos!L34</f>
        <v>#DIV/0!</v>
      </c>
      <c r="K36" s="410"/>
      <c r="L36" s="428"/>
      <c r="M36" s="428"/>
      <c r="N36" s="428"/>
      <c r="O36" s="428"/>
    </row>
    <row r="37" spans="1:15" ht="12" customHeight="1" x14ac:dyDescent="0.2">
      <c r="A37" s="556" t="s">
        <v>168</v>
      </c>
      <c r="B37" s="557"/>
      <c r="C37" s="557"/>
      <c r="D37" s="557"/>
      <c r="E37" s="557"/>
      <c r="F37" s="557"/>
      <c r="G37" s="557"/>
      <c r="H37" s="557"/>
      <c r="I37" s="557"/>
      <c r="J37" s="558"/>
    </row>
    <row r="38" spans="1:15" ht="15.95" customHeight="1" x14ac:dyDescent="0.2">
      <c r="A38" s="443" t="str">
        <f>+Datos!C38</f>
        <v>Peso unitario corregido (D4718/D4718M-15(2023))</v>
      </c>
      <c r="B38" s="444"/>
      <c r="C38" s="444"/>
      <c r="D38" s="445"/>
      <c r="E38" s="445"/>
      <c r="F38" s="416" t="s">
        <v>265</v>
      </c>
      <c r="G38" s="549" t="e">
        <f>+Datos!F38</f>
        <v>#DIV/0!</v>
      </c>
      <c r="H38" s="549" t="e">
        <f>+Datos!H38</f>
        <v>#DIV/0!</v>
      </c>
      <c r="I38" s="550" t="e">
        <f>+Datos!J38</f>
        <v>#DIV/0!</v>
      </c>
      <c r="J38" s="549" t="e">
        <f>+Datos!L38</f>
        <v>#DIV/0!</v>
      </c>
    </row>
    <row r="39" spans="1:15" ht="15.95" customHeight="1" x14ac:dyDescent="0.2">
      <c r="A39" s="439" t="s">
        <v>122</v>
      </c>
      <c r="B39" s="440"/>
      <c r="C39" s="440"/>
      <c r="D39" s="433"/>
      <c r="E39" s="433"/>
      <c r="F39" s="433" t="s">
        <v>33</v>
      </c>
      <c r="G39" s="504" t="e">
        <f>+Datos!F39</f>
        <v>#DIV/0!</v>
      </c>
      <c r="H39" s="504" t="e">
        <f>+Datos!H39</f>
        <v>#DIV/0!</v>
      </c>
      <c r="I39" s="504" t="e">
        <f>+Datos!J39</f>
        <v>#DIV/0!</v>
      </c>
      <c r="J39" s="505" t="e">
        <f>+Datos!L39</f>
        <v>#DIV/0!</v>
      </c>
    </row>
    <row r="40" spans="1:15" ht="15.95" customHeight="1" x14ac:dyDescent="0.2">
      <c r="A40" s="443" t="s">
        <v>217</v>
      </c>
      <c r="B40" s="444"/>
      <c r="C40" s="444"/>
      <c r="D40" s="445"/>
      <c r="E40" s="445"/>
      <c r="F40" s="445" t="s">
        <v>33</v>
      </c>
      <c r="G40" s="506">
        <f>+Datos!F40</f>
        <v>0</v>
      </c>
      <c r="H40" s="506">
        <f>+Datos!H40</f>
        <v>0</v>
      </c>
      <c r="I40" s="507">
        <f>+Datos!J40</f>
        <v>0</v>
      </c>
      <c r="J40" s="494">
        <f>+Datos!L40</f>
        <v>0</v>
      </c>
    </row>
    <row r="41" spans="1:15" ht="14.25" customHeight="1" x14ac:dyDescent="0.2">
      <c r="A41" s="556" t="s">
        <v>220</v>
      </c>
      <c r="B41" s="557"/>
      <c r="C41" s="557"/>
      <c r="D41" s="557"/>
      <c r="E41" s="557"/>
      <c r="F41" s="557"/>
      <c r="G41" s="557"/>
      <c r="H41" s="557"/>
      <c r="I41" s="557"/>
      <c r="J41" s="558"/>
    </row>
    <row r="42" spans="1:15" ht="25.5" customHeight="1" x14ac:dyDescent="0.2">
      <c r="A42" s="574" t="s">
        <v>323</v>
      </c>
      <c r="B42" s="574"/>
      <c r="C42" s="574"/>
      <c r="D42" s="574"/>
      <c r="E42" s="575"/>
      <c r="F42" s="438" t="s">
        <v>33</v>
      </c>
      <c r="G42" s="494">
        <f>+Datos!F44</f>
        <v>0</v>
      </c>
      <c r="H42" s="494">
        <f>+Datos!H44</f>
        <v>0</v>
      </c>
      <c r="I42" s="494">
        <f>+Datos!J44</f>
        <v>0</v>
      </c>
      <c r="J42" s="494">
        <f>+Datos!L44</f>
        <v>0</v>
      </c>
    </row>
    <row r="43" spans="1:15" ht="3" customHeight="1" x14ac:dyDescent="0.2">
      <c r="A43" s="446"/>
      <c r="B43" s="446"/>
      <c r="C43" s="446"/>
      <c r="D43" s="447"/>
      <c r="E43" s="447"/>
      <c r="F43" s="448"/>
      <c r="G43" s="449"/>
      <c r="H43" s="449"/>
      <c r="I43" s="449"/>
      <c r="J43" s="449"/>
    </row>
    <row r="44" spans="1:15" x14ac:dyDescent="0.2">
      <c r="A44" s="452" t="s">
        <v>71</v>
      </c>
      <c r="B44" s="450"/>
      <c r="C44" s="450"/>
      <c r="D44" s="451"/>
      <c r="E44" s="451"/>
      <c r="F44" s="452"/>
      <c r="G44" s="453"/>
      <c r="H44" s="454"/>
      <c r="I44" s="454"/>
      <c r="J44" s="454"/>
    </row>
    <row r="45" spans="1:15" x14ac:dyDescent="0.2">
      <c r="A45" s="509" t="s">
        <v>316</v>
      </c>
      <c r="B45" s="509"/>
      <c r="C45" s="509"/>
      <c r="D45" s="447"/>
      <c r="E45" s="447"/>
      <c r="F45" s="510"/>
      <c r="G45" s="511"/>
      <c r="H45" s="511"/>
      <c r="I45" s="511"/>
      <c r="J45" s="511"/>
      <c r="K45" s="410"/>
      <c r="L45" s="410"/>
    </row>
    <row r="46" spans="1:15" ht="34.5" customHeight="1" x14ac:dyDescent="0.2">
      <c r="A46" s="568" t="s">
        <v>320</v>
      </c>
      <c r="B46" s="568"/>
      <c r="C46" s="568"/>
      <c r="D46" s="568"/>
      <c r="E46" s="568"/>
      <c r="F46" s="568"/>
      <c r="G46" s="568"/>
      <c r="H46" s="568"/>
      <c r="I46" s="568"/>
      <c r="J46" s="568"/>
      <c r="K46" s="410"/>
      <c r="L46" s="410"/>
    </row>
    <row r="47" spans="1:15" ht="16.5" customHeight="1" x14ac:dyDescent="0.2">
      <c r="A47" s="568" t="s">
        <v>319</v>
      </c>
      <c r="B47" s="568"/>
      <c r="C47" s="568"/>
      <c r="D47" s="568"/>
      <c r="E47" s="568"/>
      <c r="F47" s="568"/>
      <c r="G47" s="568"/>
      <c r="H47" s="568"/>
      <c r="I47" s="568"/>
      <c r="J47" s="568"/>
      <c r="K47" s="410"/>
      <c r="L47" s="410"/>
    </row>
    <row r="48" spans="1:15" ht="23.25" customHeight="1" x14ac:dyDescent="0.2">
      <c r="A48" s="568" t="s">
        <v>315</v>
      </c>
      <c r="B48" s="568"/>
      <c r="C48" s="568"/>
      <c r="D48" s="568"/>
      <c r="E48" s="568"/>
      <c r="F48" s="568"/>
      <c r="G48" s="568"/>
      <c r="H48" s="568"/>
      <c r="I48" s="568"/>
      <c r="J48" s="568"/>
      <c r="K48" s="410"/>
      <c r="L48" s="410"/>
    </row>
    <row r="49" spans="1:14" ht="24.6" customHeight="1" x14ac:dyDescent="0.2">
      <c r="A49" s="576" t="s">
        <v>317</v>
      </c>
      <c r="B49" s="576"/>
      <c r="C49" s="576"/>
      <c r="D49" s="576"/>
      <c r="E49" s="576"/>
      <c r="F49" s="576"/>
      <c r="G49" s="576"/>
      <c r="H49" s="576"/>
      <c r="I49" s="576"/>
      <c r="J49" s="576"/>
      <c r="K49" s="508"/>
      <c r="L49" s="508"/>
      <c r="M49" s="508"/>
      <c r="N49" s="508"/>
    </row>
    <row r="50" spans="1:14" ht="9" customHeight="1" x14ac:dyDescent="0.2">
      <c r="K50" s="410"/>
      <c r="L50" s="410"/>
    </row>
    <row r="51" spans="1:14" ht="12" customHeight="1" x14ac:dyDescent="0.2">
      <c r="A51" s="512" t="s">
        <v>88</v>
      </c>
      <c r="B51" s="450"/>
      <c r="C51" s="450"/>
      <c r="K51" s="410"/>
      <c r="L51" s="410"/>
    </row>
    <row r="52" spans="1:14" ht="11.45" customHeight="1" x14ac:dyDescent="0.2">
      <c r="D52" s="569"/>
      <c r="E52" s="570"/>
      <c r="F52" s="570"/>
      <c r="G52" s="570"/>
      <c r="H52" s="570"/>
      <c r="I52" s="570"/>
      <c r="J52" s="570"/>
      <c r="K52" s="410"/>
      <c r="L52" s="410"/>
    </row>
    <row r="53" spans="1:14" ht="13.5" customHeight="1" x14ac:dyDescent="0.2">
      <c r="A53" s="455"/>
      <c r="B53" s="455"/>
      <c r="C53" s="455"/>
      <c r="D53" s="416"/>
      <c r="E53" s="416"/>
      <c r="F53" s="456"/>
      <c r="G53" s="457"/>
      <c r="H53" s="457"/>
      <c r="I53" s="457"/>
      <c r="J53" s="456"/>
      <c r="K53" s="410"/>
      <c r="L53" s="410"/>
    </row>
    <row r="54" spans="1:14" ht="40.5" customHeight="1" x14ac:dyDescent="0.2">
      <c r="K54" s="410"/>
      <c r="L54" s="410"/>
    </row>
    <row r="55" spans="1:14" ht="15.75" customHeight="1" x14ac:dyDescent="0.2">
      <c r="A55" s="452"/>
      <c r="B55" s="452"/>
      <c r="C55" s="452"/>
      <c r="D55" s="416"/>
      <c r="E55" s="416"/>
      <c r="F55" s="456"/>
      <c r="G55" s="457"/>
      <c r="H55" s="457"/>
      <c r="I55" s="457"/>
      <c r="J55" s="456"/>
      <c r="K55" s="410"/>
      <c r="L55" s="410"/>
    </row>
    <row r="56" spans="1:14" x14ac:dyDescent="0.2">
      <c r="A56" s="442" t="s">
        <v>17</v>
      </c>
      <c r="B56" s="442"/>
      <c r="C56" s="442"/>
      <c r="D56" s="416"/>
      <c r="E56" s="416"/>
      <c r="F56" s="456"/>
      <c r="G56" s="457"/>
      <c r="H56" s="457"/>
      <c r="I56" s="457"/>
      <c r="J56" s="456"/>
      <c r="K56" s="410"/>
      <c r="L56" s="410"/>
    </row>
    <row r="57" spans="1:14" x14ac:dyDescent="0.2">
      <c r="A57" s="442" t="s">
        <v>324</v>
      </c>
      <c r="B57" s="442"/>
      <c r="C57" s="442"/>
      <c r="D57" s="198"/>
      <c r="E57" s="198"/>
      <c r="F57" s="19"/>
      <c r="G57" s="198"/>
      <c r="H57" s="198"/>
      <c r="I57" s="198"/>
      <c r="J57" s="458" t="s">
        <v>65</v>
      </c>
      <c r="K57" s="410"/>
      <c r="L57" s="410"/>
    </row>
    <row r="58" spans="1:14" x14ac:dyDescent="0.2">
      <c r="D58" s="198"/>
      <c r="E58" s="198"/>
      <c r="F58" s="19"/>
      <c r="G58" s="198"/>
      <c r="H58" s="198"/>
      <c r="I58" s="198"/>
      <c r="J58" s="19"/>
      <c r="K58" s="410"/>
      <c r="L58" s="410"/>
    </row>
    <row r="59" spans="1:14" x14ac:dyDescent="0.2">
      <c r="D59" s="198"/>
      <c r="E59" s="198"/>
      <c r="F59" s="19"/>
      <c r="G59" s="198"/>
      <c r="H59" s="198"/>
      <c r="I59" s="198"/>
      <c r="K59" s="410"/>
      <c r="L59" s="410"/>
    </row>
    <row r="60" spans="1:14" ht="15.75" customHeight="1" x14ac:dyDescent="0.2">
      <c r="D60" s="416"/>
      <c r="E60" s="416"/>
      <c r="F60" s="456"/>
      <c r="G60" s="457"/>
      <c r="H60" s="457"/>
      <c r="I60" s="457"/>
      <c r="J60" s="456"/>
      <c r="K60" s="410"/>
      <c r="L60" s="410"/>
    </row>
    <row r="61" spans="1:14" ht="15.75" customHeight="1" x14ac:dyDescent="0.2">
      <c r="D61" s="416"/>
      <c r="E61" s="416"/>
      <c r="J61" s="459"/>
      <c r="K61" s="459"/>
    </row>
    <row r="62" spans="1:14" ht="15.95" customHeight="1" x14ac:dyDescent="0.2"/>
    <row r="63" spans="1:14" ht="15.95" customHeight="1" x14ac:dyDescent="0.2"/>
  </sheetData>
  <sheetProtection algorithmName="SHA-512" hashValue="rN4UjSINPuZovsmB+8qBMK4Gb3sNxWnHJuirzqFYbQ5Q7V5ZGW8UIpyD35fm+o97ixI3u5dAcqnbY2iMfgIydw==" saltValue="T4hwKNgVXYKJGGMl+6wSAw==" spinCount="100000" sheet="1" objects="1" scenarios="1"/>
  <protectedRanges>
    <protectedRange sqref="G23 G12:G13" name="Rango3_3_1_1_1_1_1_1_1_1"/>
  </protectedRanges>
  <mergeCells count="23">
    <mergeCell ref="A48:J48"/>
    <mergeCell ref="D52:J52"/>
    <mergeCell ref="A15:J15"/>
    <mergeCell ref="A42:E42"/>
    <mergeCell ref="A37:J37"/>
    <mergeCell ref="A41:J41"/>
    <mergeCell ref="A49:J49"/>
    <mergeCell ref="A47:J47"/>
    <mergeCell ref="A46:J46"/>
    <mergeCell ref="A5:J5"/>
    <mergeCell ref="A6:J6"/>
    <mergeCell ref="A14:J14"/>
    <mergeCell ref="A24:F24"/>
    <mergeCell ref="A17:F17"/>
    <mergeCell ref="G17:H17"/>
    <mergeCell ref="I17:J17"/>
    <mergeCell ref="A19:C19"/>
    <mergeCell ref="A18:C18"/>
    <mergeCell ref="A20:C20"/>
    <mergeCell ref="C8:H8"/>
    <mergeCell ref="C9:H9"/>
    <mergeCell ref="C10:H10"/>
    <mergeCell ref="C11:H11"/>
  </mergeCells>
  <phoneticPr fontId="7" type="noConversion"/>
  <printOptions horizontalCentered="1"/>
  <pageMargins left="0.39370078740157483" right="0.39370078740157483" top="0.6692913385826772" bottom="0.39370078740157483" header="0" footer="0"/>
  <pageSetup paperSize="9" scale="84" orientation="portrait" r:id="rId1"/>
  <headerFooter>
    <oddHeader>&amp;C&amp;G</oddHeader>
    <oddFooter xml:space="preserve">&amp;C
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B495ACE-A200-4FCA-BBEB-8D804CEB1498}">
          <x14:formula1>
            <xm:f>Datos!$X$3:$X$5</xm:f>
          </x14:formula1>
          <xm:sqref>J19</xm:sqref>
        </x14:dataValidation>
        <x14:dataValidation type="list" allowBlank="1" showInputMessage="1" showErrorMessage="1" xr:uid="{BD534914-E448-42B6-93E5-78215956E210}">
          <x14:formula1>
            <xm:f>Datos!$Z$3:$Z$6</xm:f>
          </x14:formula1>
          <xm:sqref>J18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showGridLines="0" view="pageBreakPreview" topLeftCell="A10" zoomScaleNormal="115" zoomScaleSheetLayoutView="100" workbookViewId="0">
      <selection activeCell="A18" sqref="A18:K34"/>
    </sheetView>
  </sheetViews>
  <sheetFormatPr baseColWidth="10" defaultColWidth="10.42578125" defaultRowHeight="14.25" x14ac:dyDescent="0.2"/>
  <cols>
    <col min="1" max="1" width="10.85546875" style="31" customWidth="1"/>
    <col min="2" max="2" width="1.85546875" style="31" customWidth="1"/>
    <col min="3" max="4" width="2.42578125" style="31" customWidth="1"/>
    <col min="5" max="5" width="11.5703125" style="31" customWidth="1"/>
    <col min="6" max="6" width="5.5703125" style="31" customWidth="1"/>
    <col min="7" max="7" width="13.42578125" style="31" customWidth="1"/>
    <col min="8" max="8" width="12.42578125" style="31" customWidth="1"/>
    <col min="9" max="9" width="12.5703125" style="31" customWidth="1"/>
    <col min="10" max="10" width="12" style="31" customWidth="1"/>
    <col min="11" max="11" width="12.5703125" style="31" customWidth="1"/>
    <col min="12" max="12" width="6.42578125" style="31" customWidth="1"/>
    <col min="13" max="13" width="8" style="31" customWidth="1"/>
    <col min="14" max="14" width="10.5703125" style="31" customWidth="1"/>
    <col min="15" max="16384" width="10.42578125" style="31"/>
  </cols>
  <sheetData>
    <row r="1" spans="1:13" ht="15.75" customHeight="1" x14ac:dyDescent="0.2">
      <c r="A1" s="17"/>
      <c r="B1" s="17"/>
      <c r="C1" s="17"/>
      <c r="D1" s="17"/>
      <c r="E1" s="17"/>
      <c r="F1" s="17"/>
      <c r="G1" s="17"/>
      <c r="H1" s="144"/>
      <c r="I1" s="144"/>
      <c r="J1" s="144"/>
      <c r="K1" s="144"/>
    </row>
    <row r="2" spans="1:13" ht="15.75" customHeight="1" x14ac:dyDescent="0.2">
      <c r="A2" s="17"/>
      <c r="B2" s="17"/>
      <c r="C2" s="17"/>
      <c r="D2" s="17"/>
      <c r="E2" s="17"/>
      <c r="F2" s="17"/>
      <c r="G2" s="17"/>
      <c r="H2" s="144"/>
      <c r="I2" s="144"/>
      <c r="J2" s="144"/>
      <c r="K2" s="144"/>
    </row>
    <row r="3" spans="1:13" ht="15.75" customHeight="1" x14ac:dyDescent="0.2">
      <c r="A3" s="17"/>
      <c r="B3" s="17"/>
      <c r="C3" s="17"/>
      <c r="D3" s="17"/>
      <c r="E3" s="17"/>
      <c r="F3" s="17"/>
      <c r="G3" s="17"/>
      <c r="H3" s="144"/>
      <c r="I3" s="144"/>
      <c r="J3" s="144"/>
      <c r="K3" s="144"/>
    </row>
    <row r="4" spans="1:13" ht="15.75" customHeight="1" x14ac:dyDescent="0.2">
      <c r="A4" s="17"/>
      <c r="B4" s="17"/>
      <c r="C4" s="17"/>
      <c r="D4" s="17"/>
      <c r="E4" s="17"/>
      <c r="F4" s="17"/>
      <c r="G4" s="17"/>
      <c r="H4" s="144"/>
      <c r="I4" s="144"/>
      <c r="J4" s="144"/>
      <c r="K4" s="144"/>
    </row>
    <row r="5" spans="1:13" ht="15.7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3" ht="21.7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3" ht="15.75" customHeight="1" x14ac:dyDescent="0.2">
      <c r="A7" s="551" t="s">
        <v>16</v>
      </c>
      <c r="B7" s="551"/>
      <c r="C7" s="551"/>
      <c r="D7" s="551"/>
      <c r="E7" s="551"/>
      <c r="F7" s="551"/>
      <c r="G7" s="551"/>
      <c r="H7" s="551"/>
      <c r="I7" s="551"/>
      <c r="J7" s="551"/>
      <c r="K7" s="551"/>
    </row>
    <row r="8" spans="1:13" ht="15.75" customHeight="1" x14ac:dyDescent="0.25">
      <c r="A8" s="588">
        <v>115</v>
      </c>
      <c r="B8" s="588"/>
      <c r="C8" s="588"/>
      <c r="D8" s="588"/>
      <c r="E8" s="588"/>
      <c r="F8" s="588"/>
      <c r="G8" s="588"/>
      <c r="H8" s="588"/>
      <c r="I8" s="588"/>
      <c r="J8" s="588"/>
      <c r="K8" s="588"/>
    </row>
    <row r="9" spans="1:13" ht="15.75" customHeight="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3" ht="15.75" customHeight="1" x14ac:dyDescent="0.2">
      <c r="A10" s="20" t="s">
        <v>48</v>
      </c>
      <c r="B10" s="21" t="s">
        <v>0</v>
      </c>
      <c r="C10" s="26"/>
      <c r="D10" s="26"/>
      <c r="E10" s="26"/>
      <c r="G10" s="33"/>
      <c r="J10" s="25" t="s">
        <v>53</v>
      </c>
      <c r="K10" s="34" t="s">
        <v>37</v>
      </c>
    </row>
    <row r="11" spans="1:13" ht="15.75" customHeight="1" x14ac:dyDescent="0.2">
      <c r="A11" s="16" t="s">
        <v>69</v>
      </c>
      <c r="B11" s="15" t="s">
        <v>0</v>
      </c>
      <c r="C11" s="26"/>
      <c r="D11" s="26"/>
      <c r="E11" s="26"/>
      <c r="G11" s="26"/>
      <c r="J11" s="14" t="s">
        <v>54</v>
      </c>
      <c r="K11" s="28">
        <v>185</v>
      </c>
      <c r="L11" s="37"/>
      <c r="M11" s="37"/>
    </row>
    <row r="12" spans="1:13" ht="15.75" customHeight="1" x14ac:dyDescent="0.2">
      <c r="A12" s="16" t="s">
        <v>49</v>
      </c>
      <c r="B12" s="15" t="s">
        <v>0</v>
      </c>
      <c r="C12" s="26"/>
      <c r="D12" s="26"/>
      <c r="E12" s="26"/>
      <c r="G12" s="26"/>
      <c r="J12" s="14" t="s">
        <v>55</v>
      </c>
      <c r="K12" s="29">
        <v>44662</v>
      </c>
      <c r="L12" s="37"/>
      <c r="M12" s="37"/>
    </row>
    <row r="13" spans="1:13" ht="15.75" customHeight="1" x14ac:dyDescent="0.2">
      <c r="A13" s="16" t="s">
        <v>50</v>
      </c>
      <c r="B13" s="15" t="s">
        <v>0</v>
      </c>
      <c r="C13" s="26"/>
      <c r="D13" s="26"/>
      <c r="E13" s="26"/>
      <c r="G13" s="26"/>
      <c r="H13" s="36"/>
      <c r="I13" s="36"/>
      <c r="J13" s="15"/>
      <c r="K13" s="29"/>
      <c r="L13" s="37"/>
      <c r="M13" s="37"/>
    </row>
    <row r="14" spans="1:13" ht="14.25" customHeight="1" x14ac:dyDescent="0.2">
      <c r="A14" s="27" t="s">
        <v>68</v>
      </c>
      <c r="B14" s="145"/>
      <c r="C14" s="35"/>
      <c r="D14" s="35"/>
      <c r="E14" s="35"/>
      <c r="F14" s="35"/>
      <c r="G14" s="38"/>
      <c r="H14" s="36"/>
      <c r="I14" s="36"/>
      <c r="J14" s="15"/>
      <c r="K14" s="39"/>
      <c r="L14" s="37"/>
      <c r="M14" s="37"/>
    </row>
    <row r="15" spans="1:13" ht="30" customHeight="1" x14ac:dyDescent="0.2">
      <c r="A15" s="589" t="s">
        <v>66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1"/>
      <c r="L15" s="37"/>
      <c r="M15" s="37"/>
    </row>
    <row r="16" spans="1:13" ht="15.75" customHeight="1" x14ac:dyDescent="0.2">
      <c r="A16" s="592" t="s">
        <v>18</v>
      </c>
      <c r="B16" s="593"/>
      <c r="C16" s="593"/>
      <c r="D16" s="593"/>
      <c r="E16" s="593"/>
      <c r="F16" s="593"/>
      <c r="G16" s="593"/>
      <c r="H16" s="593"/>
      <c r="I16" s="593"/>
      <c r="J16" s="593"/>
      <c r="K16" s="594"/>
      <c r="L16" s="37"/>
      <c r="M16" s="37"/>
    </row>
    <row r="17" spans="1:20" ht="6.75" customHeight="1" x14ac:dyDescent="0.2">
      <c r="A17" s="147"/>
      <c r="B17" s="148"/>
      <c r="C17" s="148"/>
      <c r="D17" s="40"/>
      <c r="E17" s="40"/>
      <c r="F17" s="40"/>
      <c r="G17" s="40"/>
      <c r="H17" s="40"/>
      <c r="I17" s="40"/>
      <c r="J17" s="40"/>
      <c r="K17" s="41"/>
      <c r="L17" s="37"/>
      <c r="M17" s="37"/>
    </row>
    <row r="18" spans="1:20" ht="15.75" customHeight="1" x14ac:dyDescent="0.2">
      <c r="A18" s="146" t="s">
        <v>63</v>
      </c>
      <c r="B18" s="149"/>
      <c r="C18" s="149"/>
      <c r="D18" s="42" t="s">
        <v>0</v>
      </c>
      <c r="E18" s="43">
        <v>1704</v>
      </c>
      <c r="G18" s="43"/>
      <c r="J18" s="150" t="s">
        <v>51</v>
      </c>
      <c r="K18" s="44">
        <v>2</v>
      </c>
      <c r="L18" s="37"/>
      <c r="M18" s="37"/>
      <c r="P18" s="26"/>
      <c r="Q18" s="45"/>
    </row>
    <row r="19" spans="1:20" ht="15.75" customHeight="1" x14ac:dyDescent="0.2">
      <c r="A19" s="146" t="s">
        <v>64</v>
      </c>
      <c r="B19" s="149"/>
      <c r="C19" s="149"/>
      <c r="D19" s="42" t="s">
        <v>0</v>
      </c>
      <c r="E19" s="46">
        <v>1.4219999999999999</v>
      </c>
      <c r="G19" s="46"/>
      <c r="J19" s="150" t="s">
        <v>52</v>
      </c>
      <c r="K19" s="47">
        <v>43997</v>
      </c>
      <c r="L19" s="37"/>
      <c r="M19" s="37"/>
    </row>
    <row r="20" spans="1:20" ht="3" customHeight="1" x14ac:dyDescent="0.2">
      <c r="A20" s="48"/>
      <c r="B20" s="49"/>
      <c r="C20" s="49"/>
      <c r="D20" s="49"/>
      <c r="E20" s="49"/>
      <c r="F20" s="49"/>
      <c r="G20" s="50"/>
      <c r="H20" s="51"/>
      <c r="I20" s="51"/>
      <c r="J20" s="52"/>
      <c r="K20" s="53"/>
      <c r="L20" s="37"/>
      <c r="M20" s="37"/>
    </row>
    <row r="21" spans="1:20" ht="17.100000000000001" customHeight="1" x14ac:dyDescent="0.2">
      <c r="A21" s="151" t="s">
        <v>47</v>
      </c>
      <c r="B21" s="152"/>
      <c r="C21" s="152"/>
      <c r="D21" s="152"/>
      <c r="E21" s="152"/>
      <c r="F21" s="152"/>
      <c r="G21" s="56">
        <v>1</v>
      </c>
      <c r="H21" s="57"/>
      <c r="I21" s="58"/>
      <c r="J21" s="54"/>
      <c r="K21" s="59"/>
      <c r="M21" s="37"/>
      <c r="O21" s="580" t="s">
        <v>56</v>
      </c>
      <c r="P21" s="581"/>
      <c r="Q21" s="581"/>
      <c r="R21" s="582"/>
    </row>
    <row r="22" spans="1:20" ht="17.100000000000001" customHeight="1" x14ac:dyDescent="0.2">
      <c r="A22" s="578" t="s">
        <v>67</v>
      </c>
      <c r="B22" s="579"/>
      <c r="C22" s="579"/>
      <c r="D22" s="579"/>
      <c r="E22" s="579"/>
      <c r="F22" s="579"/>
      <c r="G22" s="60"/>
      <c r="H22" s="61"/>
      <c r="I22" s="62"/>
      <c r="J22" s="63"/>
      <c r="K22" s="64"/>
      <c r="M22" s="37"/>
      <c r="O22" s="65" t="s">
        <v>42</v>
      </c>
      <c r="P22" s="66"/>
      <c r="Q22" s="66"/>
      <c r="R22" s="67"/>
    </row>
    <row r="23" spans="1:20" ht="17.100000000000001" customHeight="1" x14ac:dyDescent="0.2">
      <c r="A23" s="153" t="s">
        <v>43</v>
      </c>
      <c r="B23" s="154"/>
      <c r="C23" s="154"/>
      <c r="D23" s="154"/>
      <c r="E23" s="154"/>
      <c r="F23" s="154"/>
      <c r="G23" s="70"/>
      <c r="H23" s="71"/>
      <c r="I23" s="72"/>
      <c r="J23" s="73"/>
      <c r="K23" s="74"/>
      <c r="M23" s="37"/>
      <c r="O23" s="68" t="s">
        <v>43</v>
      </c>
      <c r="P23" s="69"/>
      <c r="Q23" s="69"/>
      <c r="R23" s="75"/>
    </row>
    <row r="24" spans="1:20" ht="17.100000000000001" customHeight="1" x14ac:dyDescent="0.2">
      <c r="A24" s="155" t="s">
        <v>19</v>
      </c>
      <c r="B24" s="156"/>
      <c r="C24" s="156"/>
      <c r="D24" s="156"/>
      <c r="E24" s="156"/>
      <c r="F24" s="156" t="s">
        <v>30</v>
      </c>
      <c r="G24" s="76">
        <f>+R24</f>
        <v>7536</v>
      </c>
      <c r="H24" s="77"/>
      <c r="I24" s="78"/>
      <c r="J24" s="79"/>
      <c r="K24" s="80"/>
      <c r="M24" s="37"/>
      <c r="O24" s="81" t="s">
        <v>19</v>
      </c>
      <c r="P24" s="82"/>
      <c r="Q24" s="83" t="s">
        <v>30</v>
      </c>
      <c r="R24" s="84">
        <v>7536</v>
      </c>
      <c r="T24" s="85" t="s">
        <v>62</v>
      </c>
    </row>
    <row r="25" spans="1:20" ht="17.100000000000001" customHeight="1" x14ac:dyDescent="0.2">
      <c r="A25" s="157" t="s">
        <v>20</v>
      </c>
      <c r="B25" s="158"/>
      <c r="C25" s="158"/>
      <c r="D25" s="158"/>
      <c r="E25" s="158"/>
      <c r="F25" s="158" t="s">
        <v>30</v>
      </c>
      <c r="G25" s="87">
        <f>+R25</f>
        <v>3212</v>
      </c>
      <c r="H25" s="88"/>
      <c r="I25" s="89"/>
      <c r="J25" s="90"/>
      <c r="K25" s="91"/>
      <c r="L25" s="37"/>
      <c r="M25" s="92"/>
      <c r="O25" s="86" t="s">
        <v>20</v>
      </c>
      <c r="P25" s="93"/>
      <c r="Q25" s="94" t="s">
        <v>30</v>
      </c>
      <c r="R25" s="95">
        <v>3212</v>
      </c>
    </row>
    <row r="26" spans="1:20" ht="17.100000000000001" customHeight="1" x14ac:dyDescent="0.2">
      <c r="A26" s="157" t="s">
        <v>21</v>
      </c>
      <c r="B26" s="158"/>
      <c r="C26" s="158"/>
      <c r="D26" s="158"/>
      <c r="E26" s="158"/>
      <c r="F26" s="158" t="s">
        <v>30</v>
      </c>
      <c r="G26" s="87">
        <f>G24-G25-$E$18</f>
        <v>2620</v>
      </c>
      <c r="H26" s="88"/>
      <c r="I26" s="89"/>
      <c r="J26" s="90"/>
      <c r="K26" s="91"/>
      <c r="L26" s="37"/>
      <c r="M26" s="96"/>
      <c r="O26" s="86" t="s">
        <v>21</v>
      </c>
      <c r="P26" s="93"/>
      <c r="Q26" s="94" t="s">
        <v>30</v>
      </c>
      <c r="R26" s="97">
        <f>R24-R25-$E$18</f>
        <v>2620</v>
      </c>
    </row>
    <row r="27" spans="1:20" ht="17.100000000000001" customHeight="1" x14ac:dyDescent="0.2">
      <c r="A27" s="157" t="s">
        <v>22</v>
      </c>
      <c r="B27" s="158"/>
      <c r="C27" s="158"/>
      <c r="D27" s="158"/>
      <c r="E27" s="158"/>
      <c r="F27" s="158" t="s">
        <v>32</v>
      </c>
      <c r="G27" s="87">
        <f>+G26/$E$19</f>
        <v>1842.4753867791844</v>
      </c>
      <c r="H27" s="88"/>
      <c r="I27" s="89"/>
      <c r="J27" s="90"/>
      <c r="K27" s="91"/>
      <c r="L27" s="37"/>
      <c r="M27" s="37"/>
      <c r="O27" s="86" t="s">
        <v>22</v>
      </c>
      <c r="P27" s="93"/>
      <c r="Q27" s="94" t="s">
        <v>32</v>
      </c>
      <c r="R27" s="97">
        <f>+R26/$E$19</f>
        <v>1842.4753867791844</v>
      </c>
      <c r="T27" s="85" t="s">
        <v>61</v>
      </c>
    </row>
    <row r="28" spans="1:20" ht="17.100000000000001" customHeight="1" x14ac:dyDescent="0.2">
      <c r="A28" s="157" t="s">
        <v>23</v>
      </c>
      <c r="B28" s="158"/>
      <c r="C28" s="158"/>
      <c r="D28" s="158"/>
      <c r="E28" s="158"/>
      <c r="F28" s="158" t="s">
        <v>30</v>
      </c>
      <c r="G28" s="87">
        <f>+R28</f>
        <v>3594</v>
      </c>
      <c r="H28" s="88"/>
      <c r="I28" s="89"/>
      <c r="J28" s="90"/>
      <c r="K28" s="91"/>
      <c r="L28" s="37"/>
      <c r="M28" s="37"/>
      <c r="O28" s="86" t="s">
        <v>23</v>
      </c>
      <c r="P28" s="93"/>
      <c r="Q28" s="94" t="s">
        <v>30</v>
      </c>
      <c r="R28" s="98">
        <v>3594</v>
      </c>
    </row>
    <row r="29" spans="1:20" ht="17.100000000000001" customHeight="1" x14ac:dyDescent="0.25">
      <c r="A29" s="157" t="s">
        <v>28</v>
      </c>
      <c r="B29" s="158"/>
      <c r="C29" s="158"/>
      <c r="D29" s="158"/>
      <c r="E29" s="158"/>
      <c r="F29" s="158" t="s">
        <v>31</v>
      </c>
      <c r="G29" s="99">
        <f>G28/G27</f>
        <v>1.9506366412213738</v>
      </c>
      <c r="H29" s="100"/>
      <c r="I29" s="101"/>
      <c r="J29" s="102"/>
      <c r="K29" s="103"/>
      <c r="L29" s="37"/>
      <c r="M29" s="37"/>
      <c r="O29" s="104" t="s">
        <v>28</v>
      </c>
      <c r="P29" s="105"/>
      <c r="Q29" s="106" t="s">
        <v>31</v>
      </c>
      <c r="R29" s="107">
        <f>R28/R27</f>
        <v>1.9506366412213738</v>
      </c>
    </row>
    <row r="30" spans="1:20" ht="17.100000000000001" customHeight="1" x14ac:dyDescent="0.2">
      <c r="A30" s="157" t="s">
        <v>29</v>
      </c>
      <c r="B30" s="158"/>
      <c r="C30" s="158"/>
      <c r="D30" s="158"/>
      <c r="E30" s="158"/>
      <c r="F30" s="158" t="s">
        <v>31</v>
      </c>
      <c r="G30" s="99">
        <f>+G29/(G34+100)%</f>
        <v>1.857749182115594</v>
      </c>
      <c r="H30" s="100"/>
      <c r="I30" s="101"/>
      <c r="J30" s="102"/>
      <c r="K30" s="103"/>
      <c r="L30" s="37"/>
      <c r="M30" s="37"/>
      <c r="O30" s="86" t="s">
        <v>29</v>
      </c>
      <c r="P30" s="93"/>
      <c r="Q30" s="94" t="s">
        <v>31</v>
      </c>
      <c r="R30" s="99">
        <f>+R29/(R32+100)%</f>
        <v>1.857749182115594</v>
      </c>
    </row>
    <row r="31" spans="1:20" ht="17.100000000000001" customHeight="1" x14ac:dyDescent="0.2">
      <c r="A31" s="159" t="s">
        <v>36</v>
      </c>
      <c r="B31" s="160"/>
      <c r="C31" s="160"/>
      <c r="D31" s="160"/>
      <c r="E31" s="160"/>
      <c r="F31" s="158" t="s">
        <v>34</v>
      </c>
      <c r="G31" s="108">
        <f>G30*9.8066358553</f>
        <v>18.218269739489035</v>
      </c>
      <c r="H31" s="109"/>
      <c r="I31" s="110"/>
      <c r="J31" s="111"/>
      <c r="K31" s="112"/>
      <c r="L31" s="37"/>
      <c r="M31" s="37"/>
      <c r="O31" s="113" t="s">
        <v>36</v>
      </c>
      <c r="P31" s="114"/>
      <c r="Q31" s="115" t="s">
        <v>34</v>
      </c>
      <c r="R31" s="108">
        <f>R30*9.8066358553</f>
        <v>18.218269739489035</v>
      </c>
    </row>
    <row r="32" spans="1:20" ht="17.100000000000001" customHeight="1" x14ac:dyDescent="0.2">
      <c r="A32" s="151" t="s">
        <v>44</v>
      </c>
      <c r="B32" s="152"/>
      <c r="C32" s="152"/>
      <c r="D32" s="152"/>
      <c r="E32" s="152"/>
      <c r="F32" s="152"/>
      <c r="G32" s="55"/>
      <c r="H32" s="116"/>
      <c r="I32" s="116"/>
      <c r="J32" s="116"/>
      <c r="K32" s="117"/>
      <c r="L32" s="37"/>
      <c r="M32" s="37"/>
      <c r="O32" s="118" t="s">
        <v>59</v>
      </c>
      <c r="P32" s="119"/>
      <c r="Q32" s="120" t="s">
        <v>33</v>
      </c>
      <c r="R32" s="121">
        <v>5</v>
      </c>
    </row>
    <row r="33" spans="1:18" ht="17.100000000000001" customHeight="1" x14ac:dyDescent="0.2">
      <c r="A33" s="161" t="s">
        <v>45</v>
      </c>
      <c r="B33" s="162"/>
      <c r="C33" s="163"/>
      <c r="D33" s="163"/>
      <c r="E33" s="163"/>
      <c r="F33" s="164" t="s">
        <v>33</v>
      </c>
      <c r="G33" s="122">
        <v>7</v>
      </c>
      <c r="H33" s="123"/>
      <c r="I33" s="124"/>
      <c r="J33" s="125"/>
      <c r="K33" s="126"/>
      <c r="L33" s="37"/>
      <c r="M33" s="37"/>
      <c r="O33" s="583" t="s">
        <v>57</v>
      </c>
      <c r="P33" s="584"/>
      <c r="Q33" s="584"/>
      <c r="R33" s="585"/>
    </row>
    <row r="34" spans="1:18" ht="17.100000000000001" customHeight="1" x14ac:dyDescent="0.2">
      <c r="A34" s="165" t="s">
        <v>46</v>
      </c>
      <c r="B34" s="163"/>
      <c r="C34" s="163"/>
      <c r="D34" s="163"/>
      <c r="E34" s="163"/>
      <c r="F34" s="164" t="s">
        <v>33</v>
      </c>
      <c r="G34" s="127">
        <f>+R32</f>
        <v>5</v>
      </c>
      <c r="H34" s="128"/>
      <c r="I34" s="129"/>
      <c r="J34" s="130"/>
      <c r="K34" s="131"/>
      <c r="L34" s="37"/>
      <c r="M34" s="37"/>
      <c r="O34" s="132" t="s">
        <v>58</v>
      </c>
      <c r="P34" s="82"/>
      <c r="Q34" s="83" t="s">
        <v>33</v>
      </c>
      <c r="R34" s="133">
        <v>50.7</v>
      </c>
    </row>
    <row r="35" spans="1:18" ht="17.100000000000001" customHeight="1" x14ac:dyDescent="0.2">
      <c r="A35" s="166"/>
      <c r="B35" s="166"/>
      <c r="C35" s="166"/>
      <c r="D35" s="166"/>
      <c r="E35" s="166"/>
      <c r="F35" s="166"/>
      <c r="G35" s="167"/>
      <c r="H35" s="167"/>
      <c r="I35" s="167"/>
      <c r="J35" s="595"/>
      <c r="K35" s="595"/>
      <c r="L35" s="37"/>
      <c r="M35" s="37"/>
      <c r="O35" s="134" t="s">
        <v>24</v>
      </c>
      <c r="P35" s="93"/>
      <c r="Q35" s="94" t="s">
        <v>30</v>
      </c>
      <c r="R35" s="135">
        <f>R28*R34/100</f>
        <v>1822.1580000000001</v>
      </c>
    </row>
    <row r="36" spans="1:18" ht="17.100000000000001" customHeight="1" x14ac:dyDescent="0.2">
      <c r="A36" s="168" t="e">
        <f>+DENSIDAD!#REF!</f>
        <v>#REF!</v>
      </c>
      <c r="B36" s="169"/>
      <c r="C36" s="169"/>
      <c r="D36" s="169"/>
      <c r="E36" s="169"/>
      <c r="F36" s="169"/>
      <c r="G36" s="17"/>
      <c r="H36" s="17"/>
      <c r="I36" s="17"/>
      <c r="J36" s="17"/>
      <c r="K36" s="17"/>
      <c r="L36" s="37"/>
      <c r="M36" s="37"/>
      <c r="O36" s="134" t="s">
        <v>60</v>
      </c>
      <c r="P36" s="93"/>
      <c r="Q36" s="94" t="s">
        <v>31</v>
      </c>
      <c r="R36" s="136">
        <v>2.6419999999999999</v>
      </c>
    </row>
    <row r="37" spans="1:18" ht="17.100000000000001" customHeight="1" x14ac:dyDescent="0.2">
      <c r="A37" s="22" t="s">
        <v>41</v>
      </c>
      <c r="B37" s="170"/>
      <c r="C37" s="170"/>
      <c r="D37" s="170"/>
      <c r="E37" s="170"/>
      <c r="F37" s="170"/>
      <c r="G37" s="17"/>
      <c r="H37" s="17"/>
      <c r="I37" s="17"/>
      <c r="J37" s="17"/>
      <c r="K37" s="17"/>
      <c r="L37" s="37"/>
      <c r="M37" s="37"/>
      <c r="O37" s="134" t="s">
        <v>25</v>
      </c>
      <c r="P37" s="93"/>
      <c r="Q37" s="94" t="s">
        <v>32</v>
      </c>
      <c r="R37" s="137">
        <f>R35/R36</f>
        <v>689.68887206661623</v>
      </c>
    </row>
    <row r="38" spans="1:18" ht="15.75" customHeight="1" x14ac:dyDescent="0.2">
      <c r="A38" s="22" t="s">
        <v>38</v>
      </c>
      <c r="B38" s="170"/>
      <c r="C38" s="170"/>
      <c r="D38" s="170"/>
      <c r="E38" s="170"/>
      <c r="F38" s="170"/>
      <c r="G38" s="17"/>
      <c r="H38" s="17"/>
      <c r="I38" s="17"/>
      <c r="J38" s="17"/>
      <c r="K38" s="17"/>
      <c r="L38" s="37"/>
      <c r="M38" s="37"/>
      <c r="O38" s="134" t="s">
        <v>26</v>
      </c>
      <c r="P38" s="93"/>
      <c r="Q38" s="94" t="s">
        <v>30</v>
      </c>
      <c r="R38" s="97">
        <f>R28-R35</f>
        <v>1771.8419999999999</v>
      </c>
    </row>
    <row r="39" spans="1:18" ht="15.75" customHeight="1" x14ac:dyDescent="0.2">
      <c r="A39" s="22" t="s">
        <v>39</v>
      </c>
      <c r="B39" s="170"/>
      <c r="C39" s="170"/>
      <c r="D39" s="170"/>
      <c r="E39" s="170"/>
      <c r="F39" s="170"/>
      <c r="G39" s="17"/>
      <c r="H39" s="17"/>
      <c r="I39" s="17"/>
      <c r="J39" s="17"/>
      <c r="K39" s="17"/>
      <c r="L39" s="37"/>
      <c r="M39" s="37"/>
      <c r="O39" s="134" t="s">
        <v>27</v>
      </c>
      <c r="P39" s="93"/>
      <c r="Q39" s="94" t="s">
        <v>32</v>
      </c>
      <c r="R39" s="97">
        <f>R27-R37</f>
        <v>1152.7865147125681</v>
      </c>
    </row>
    <row r="40" spans="1:18" ht="15.75" customHeight="1" x14ac:dyDescent="0.25">
      <c r="A40" s="22" t="s">
        <v>40</v>
      </c>
      <c r="B40" s="170"/>
      <c r="C40" s="170"/>
      <c r="D40" s="170"/>
      <c r="E40" s="170"/>
      <c r="F40" s="170"/>
      <c r="G40" s="17"/>
      <c r="H40" s="17"/>
      <c r="I40" s="17"/>
      <c r="J40" s="17"/>
      <c r="K40" s="17"/>
      <c r="L40" s="37"/>
      <c r="M40" s="37"/>
      <c r="O40" s="138" t="s">
        <v>28</v>
      </c>
      <c r="P40" s="139"/>
      <c r="Q40" s="140" t="s">
        <v>31</v>
      </c>
      <c r="R40" s="141">
        <f>+R38/R39</f>
        <v>1.5370079172393729</v>
      </c>
    </row>
    <row r="41" spans="1:18" ht="15.75" customHeight="1" x14ac:dyDescent="0.2">
      <c r="A41" s="170"/>
      <c r="B41" s="170"/>
      <c r="C41" s="170"/>
      <c r="D41" s="170"/>
      <c r="E41" s="170"/>
      <c r="F41" s="170"/>
      <c r="G41" s="17"/>
      <c r="H41" s="17"/>
      <c r="I41" s="17"/>
      <c r="J41" s="17"/>
      <c r="K41" s="17"/>
      <c r="L41" s="37"/>
      <c r="M41" s="37"/>
    </row>
    <row r="42" spans="1:18" ht="16.5" customHeight="1" x14ac:dyDescent="0.2">
      <c r="A42" s="27" t="e">
        <f>+DENSIDAD!#REF!</f>
        <v>#REF!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6"/>
      <c r="M42" s="37"/>
    </row>
    <row r="43" spans="1:18" ht="16.5" customHeight="1" x14ac:dyDescent="0.2">
      <c r="A43" s="30" t="e">
        <f>+DENSIDAD!#REF!</f>
        <v>#REF!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6"/>
      <c r="M43" s="37"/>
    </row>
    <row r="44" spans="1:18" ht="24.75" customHeight="1" x14ac:dyDescent="0.2">
      <c r="A44" s="586" t="e">
        <f>+DENSIDAD!#REF!</f>
        <v>#REF!</v>
      </c>
      <c r="B44" s="587"/>
      <c r="C44" s="587"/>
      <c r="D44" s="587"/>
      <c r="E44" s="587"/>
      <c r="F44" s="587"/>
      <c r="G44" s="587"/>
      <c r="H44" s="587"/>
      <c r="I44" s="587"/>
      <c r="J44" s="587"/>
      <c r="K44" s="587"/>
      <c r="L44" s="142"/>
      <c r="M44" s="37"/>
    </row>
    <row r="45" spans="1:18" ht="16.5" customHeight="1" x14ac:dyDescent="0.2">
      <c r="A45" s="30" t="e">
        <f>+DENSIDAD!#REF!</f>
        <v>#REF!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6"/>
      <c r="M45" s="37"/>
    </row>
    <row r="46" spans="1:18" ht="15.75" customHeight="1" x14ac:dyDescent="0.2">
      <c r="A46" s="171"/>
      <c r="B46" s="170"/>
      <c r="C46" s="170"/>
      <c r="D46" s="170"/>
      <c r="E46" s="170"/>
      <c r="F46" s="170"/>
      <c r="G46" s="17"/>
      <c r="H46" s="17"/>
      <c r="I46" s="17"/>
      <c r="J46" s="17"/>
      <c r="K46" s="23" t="s">
        <v>65</v>
      </c>
      <c r="L46" s="37"/>
      <c r="M46" s="37"/>
    </row>
    <row r="47" spans="1:18" ht="11.25" customHeight="1" x14ac:dyDescent="0.2">
      <c r="A47" s="171"/>
      <c r="B47" s="170"/>
      <c r="C47" s="170"/>
      <c r="D47" s="170"/>
      <c r="E47" s="170"/>
      <c r="F47" s="170"/>
      <c r="G47" s="17"/>
      <c r="H47" s="17"/>
      <c r="I47" s="17"/>
      <c r="J47" s="17"/>
      <c r="K47" s="23"/>
      <c r="L47" s="37"/>
      <c r="M47" s="37"/>
    </row>
    <row r="48" spans="1:18" ht="16.5" customHeight="1" x14ac:dyDescent="0.2">
      <c r="A48" s="171"/>
      <c r="B48" s="170"/>
      <c r="C48" s="170"/>
      <c r="D48" s="170"/>
      <c r="E48" s="170"/>
      <c r="F48" s="170"/>
      <c r="G48" s="17"/>
      <c r="H48" s="17"/>
      <c r="I48" s="17"/>
      <c r="J48" s="17"/>
      <c r="K48" s="23"/>
      <c r="L48" s="37"/>
      <c r="M48" s="37"/>
    </row>
    <row r="49" spans="1:13" ht="16.5" customHeight="1" x14ac:dyDescent="0.2">
      <c r="A49" s="171"/>
      <c r="B49" s="170"/>
      <c r="C49" s="170"/>
      <c r="D49" s="170"/>
      <c r="E49" s="170"/>
      <c r="F49" s="170"/>
      <c r="G49" s="17"/>
      <c r="H49" s="17"/>
      <c r="I49" s="17"/>
      <c r="J49" s="17"/>
      <c r="K49" s="17"/>
      <c r="L49" s="37"/>
      <c r="M49" s="37"/>
    </row>
    <row r="50" spans="1:13" ht="16.5" customHeight="1" x14ac:dyDescent="0.2">
      <c r="A50" s="171"/>
      <c r="B50" s="170"/>
      <c r="C50" s="170"/>
      <c r="D50" s="170"/>
      <c r="E50" s="170"/>
      <c r="F50" s="170"/>
      <c r="G50" s="17"/>
      <c r="H50" s="17"/>
      <c r="I50" s="17"/>
      <c r="J50" s="17"/>
      <c r="K50" s="17"/>
      <c r="L50" s="37"/>
      <c r="M50" s="37"/>
    </row>
    <row r="51" spans="1:13" ht="15.75" customHeight="1" x14ac:dyDescent="0.2">
      <c r="A51" s="19" t="s">
        <v>17</v>
      </c>
      <c r="B51" s="19"/>
      <c r="C51" s="17"/>
      <c r="D51" s="17"/>
      <c r="E51" s="17"/>
      <c r="F51" s="17"/>
      <c r="G51" s="17"/>
      <c r="H51" s="17"/>
      <c r="I51" s="17"/>
      <c r="J51" s="17"/>
      <c r="K51" s="17"/>
      <c r="L51" s="37"/>
      <c r="M51" s="37"/>
    </row>
    <row r="52" spans="1:13" ht="15.75" customHeight="1" x14ac:dyDescent="0.2">
      <c r="A52" s="19" t="str">
        <f>+DENSIDAD!A57</f>
        <v>Versión: 05 (2026-05-26)</v>
      </c>
      <c r="B52" s="19"/>
      <c r="C52" s="144"/>
      <c r="D52" s="144"/>
      <c r="E52" s="144"/>
      <c r="F52" s="144"/>
      <c r="G52" s="144"/>
      <c r="H52" s="24"/>
      <c r="I52" s="24"/>
      <c r="J52" s="24"/>
      <c r="K52" s="23"/>
      <c r="L52" s="143"/>
    </row>
    <row r="53" spans="1:13" ht="30.75" customHeight="1" x14ac:dyDescent="0.2">
      <c r="A53" s="577"/>
      <c r="B53" s="577"/>
      <c r="C53" s="577"/>
      <c r="D53" s="577"/>
      <c r="E53" s="577"/>
      <c r="F53" s="577"/>
      <c r="G53" s="577"/>
      <c r="H53" s="577"/>
      <c r="I53" s="577"/>
      <c r="J53" s="577"/>
      <c r="K53" s="577"/>
    </row>
    <row r="54" spans="1:13" ht="15.95" customHeight="1" x14ac:dyDescent="0.2"/>
    <row r="55" spans="1:13" ht="15.95" customHeight="1" x14ac:dyDescent="0.2"/>
  </sheetData>
  <sheetProtection algorithmName="SHA-512" hashValue="z9VsS8yCiM9TCCHnNDsFI3l/ck5Urnfz2JFwi7EbMsAAUIcsjWwEwRx9wugDgGLzfdpHRMkWB9uzMmIno3zlNQ==" saltValue="QXBVNtQTqm86vToS5+p+ZA==" spinCount="100000" sheet="1" objects="1" scenarios="1"/>
  <protectedRanges>
    <protectedRange sqref="G20 G14" name="Rango3_3_1_1_1_1_1_1_1_1"/>
    <protectedRange sqref="C13:E13" name="Rango3_3_1_1_1_1_1_1_1_1_1_1"/>
    <protectedRange sqref="C11:E11" name="Rango3_3_1_1_1_1_1_1_1_1_1_2"/>
    <protectedRange sqref="C10:E10" name="Rango3_3_1_1_1_1_1_2_1_1_1"/>
    <protectedRange sqref="C12:E12" name="Rango3_3_1_1_1_1_1_1_1_1_1_1_1"/>
  </protectedRanges>
  <mergeCells count="10">
    <mergeCell ref="A7:K7"/>
    <mergeCell ref="A8:K8"/>
    <mergeCell ref="A15:K15"/>
    <mergeCell ref="A16:K16"/>
    <mergeCell ref="J35:K35"/>
    <mergeCell ref="A53:K53"/>
    <mergeCell ref="A22:F22"/>
    <mergeCell ref="O21:R21"/>
    <mergeCell ref="O33:R33"/>
    <mergeCell ref="A44:K44"/>
  </mergeCells>
  <printOptions horizontalCentered="1" verticalCentered="1"/>
  <pageMargins left="0" right="0" top="0.11811023622047245" bottom="0" header="0.11811023622047245" footer="0"/>
  <pageSetup paperSize="9" scale="92" orientation="portrait" r:id="rId1"/>
  <headerFooter scaleWithDoc="0">
    <oddHeader>&amp;C&amp;G</oddHeader>
    <oddFooter xml:space="preserve">&amp;C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4A99-C7A4-4C94-9117-31881D5128C3}">
  <sheetPr>
    <tabColor theme="6" tint="0.79998168889431442"/>
  </sheetPr>
  <dimension ref="A1:Z44"/>
  <sheetViews>
    <sheetView showGridLines="0" tabSelected="1" zoomScale="110" zoomScaleNormal="110" workbookViewId="0">
      <selection activeCell="K8" sqref="K8"/>
    </sheetView>
  </sheetViews>
  <sheetFormatPr baseColWidth="10" defaultColWidth="11.42578125" defaultRowHeight="11.25" x14ac:dyDescent="0.2"/>
  <cols>
    <col min="1" max="1" width="3.7109375" style="13" customWidth="1"/>
    <col min="2" max="2" width="4.140625" style="198" customWidth="1"/>
    <col min="3" max="3" width="32.28515625" style="22" customWidth="1"/>
    <col min="4" max="4" width="5" style="22" customWidth="1"/>
    <col min="5" max="6" width="10.85546875" style="198" customWidth="1"/>
    <col min="7" max="10" width="10.85546875" style="19" customWidth="1"/>
    <col min="11" max="12" width="11.28515625" style="19" customWidth="1"/>
    <col min="13" max="13" width="9.42578125" style="19" customWidth="1"/>
    <col min="14" max="15" width="10.7109375" style="19" customWidth="1"/>
    <col min="16" max="16" width="3.28515625" style="198" customWidth="1"/>
    <col min="17" max="17" width="9.140625" style="22" customWidth="1"/>
    <col min="18" max="18" width="14.85546875" style="22" customWidth="1"/>
    <col min="19" max="19" width="9.42578125" style="22" customWidth="1"/>
    <col min="20" max="20" width="8.5703125" style="22" customWidth="1"/>
    <col min="21" max="21" width="2" style="22" customWidth="1"/>
    <col min="22" max="22" width="11.42578125" style="22"/>
    <col min="23" max="23" width="11.42578125" style="22" customWidth="1"/>
    <col min="24" max="25" width="11.42578125" style="22"/>
    <col min="26" max="26" width="24.7109375" style="22" customWidth="1"/>
    <col min="27" max="16384" width="11.42578125" style="22"/>
  </cols>
  <sheetData>
    <row r="1" spans="2:26" ht="21.6" customHeight="1" x14ac:dyDescent="0.2">
      <c r="B1" s="603" t="s">
        <v>292</v>
      </c>
      <c r="C1" s="604"/>
      <c r="D1" s="604"/>
      <c r="E1" s="604"/>
      <c r="F1" s="604"/>
      <c r="G1" s="604"/>
      <c r="H1" s="604"/>
      <c r="I1" s="604"/>
      <c r="J1" s="605"/>
      <c r="K1" s="200"/>
      <c r="L1" s="596" t="s">
        <v>287</v>
      </c>
      <c r="M1" s="596"/>
      <c r="N1" s="596"/>
      <c r="O1" s="596"/>
      <c r="P1" s="22"/>
    </row>
    <row r="2" spans="2:26" ht="12" customHeight="1" x14ac:dyDescent="0.2">
      <c r="B2" s="222"/>
      <c r="C2" s="222"/>
      <c r="D2" s="222"/>
      <c r="E2" s="222"/>
      <c r="F2" s="222"/>
      <c r="G2" s="222"/>
      <c r="H2" s="222"/>
      <c r="I2" s="222"/>
      <c r="J2" s="222"/>
      <c r="K2" s="200"/>
      <c r="L2" s="523" t="s">
        <v>277</v>
      </c>
      <c r="M2" s="524" t="str">
        <f>+LOOKUP(L2,L4:L8,M4:M8)</f>
        <v>EQP-0108</v>
      </c>
      <c r="N2" s="215">
        <f>+LOOKUP(L2,L4:L7,N4:N7)</f>
        <v>-3.4199999999999999E-6</v>
      </c>
      <c r="O2" s="204"/>
      <c r="Q2" s="378" t="s">
        <v>147</v>
      </c>
      <c r="R2" s="379"/>
      <c r="S2" s="379"/>
      <c r="T2" s="379"/>
      <c r="V2" s="272" t="s">
        <v>172</v>
      </c>
      <c r="W2" s="272" t="s">
        <v>173</v>
      </c>
      <c r="X2" s="272" t="s">
        <v>174</v>
      </c>
      <c r="Y2" s="272" t="s">
        <v>176</v>
      </c>
      <c r="Z2" s="272" t="s">
        <v>211</v>
      </c>
    </row>
    <row r="3" spans="2:26" ht="21" customHeight="1" x14ac:dyDescent="0.2">
      <c r="C3" s="393" t="s">
        <v>239</v>
      </c>
      <c r="D3" s="223" t="s">
        <v>148</v>
      </c>
      <c r="E3" s="203" t="s">
        <v>149</v>
      </c>
      <c r="G3" s="525" t="s">
        <v>281</v>
      </c>
      <c r="H3" s="525"/>
      <c r="I3" s="383" t="s">
        <v>277</v>
      </c>
      <c r="J3" s="525"/>
      <c r="L3" s="357" t="s">
        <v>236</v>
      </c>
      <c r="M3" s="394" t="s">
        <v>260</v>
      </c>
      <c r="N3" s="357" t="s">
        <v>234</v>
      </c>
      <c r="O3" s="394" t="s">
        <v>272</v>
      </c>
      <c r="Q3" s="201" t="s">
        <v>237</v>
      </c>
      <c r="R3" s="386" t="s">
        <v>233</v>
      </c>
      <c r="S3" s="201" t="s">
        <v>145</v>
      </c>
      <c r="T3" s="201" t="s">
        <v>150</v>
      </c>
      <c r="V3" s="202" t="s">
        <v>124</v>
      </c>
      <c r="W3" s="202" t="s">
        <v>121</v>
      </c>
      <c r="X3" s="202" t="s">
        <v>86</v>
      </c>
      <c r="Y3" s="202">
        <v>2830</v>
      </c>
      <c r="Z3" s="235" t="s">
        <v>212</v>
      </c>
    </row>
    <row r="4" spans="2:26" ht="19.899999999999999" customHeight="1" x14ac:dyDescent="0.2">
      <c r="C4" s="204" t="s">
        <v>130</v>
      </c>
      <c r="D4" s="236" t="s">
        <v>204</v>
      </c>
      <c r="E4" s="214">
        <v>0</v>
      </c>
      <c r="G4" s="598" t="s">
        <v>247</v>
      </c>
      <c r="H4" s="599"/>
      <c r="I4" s="524" t="str">
        <f>+LOOKUP(I3,Q11:Q15,R11:R15)</f>
        <v>EQP-0107</v>
      </c>
      <c r="J4" s="204" t="s">
        <v>227</v>
      </c>
      <c r="L4" s="202" t="s">
        <v>277</v>
      </c>
      <c r="M4" s="202" t="str">
        <f>+Balanza!C11</f>
        <v>EQP-0108</v>
      </c>
      <c r="N4" s="477">
        <f>+Balanza!C7</f>
        <v>-3.4199999999999999E-6</v>
      </c>
      <c r="O4" s="515">
        <f>+Balanza!C12</f>
        <v>46177</v>
      </c>
      <c r="Q4" s="202" t="s">
        <v>266</v>
      </c>
      <c r="R4" s="474">
        <v>1567</v>
      </c>
      <c r="S4" s="475">
        <v>1.391</v>
      </c>
      <c r="T4" s="474">
        <v>1127</v>
      </c>
      <c r="V4" s="202" t="s">
        <v>125</v>
      </c>
      <c r="W4" s="202" t="s">
        <v>127</v>
      </c>
      <c r="X4" s="202" t="s">
        <v>85</v>
      </c>
      <c r="Y4" s="202">
        <v>2120</v>
      </c>
      <c r="Z4" s="235" t="s">
        <v>213</v>
      </c>
    </row>
    <row r="5" spans="2:26" ht="21" customHeight="1" x14ac:dyDescent="0.2">
      <c r="C5" s="204" t="s">
        <v>131</v>
      </c>
      <c r="D5" s="202" t="s">
        <v>33</v>
      </c>
      <c r="E5" s="214">
        <v>0</v>
      </c>
      <c r="G5" s="598" t="s">
        <v>233</v>
      </c>
      <c r="H5" s="599"/>
      <c r="I5" s="547"/>
      <c r="J5" s="204" t="s">
        <v>108</v>
      </c>
      <c r="K5" s="199" t="s">
        <v>154</v>
      </c>
      <c r="L5" s="202" t="s">
        <v>278</v>
      </c>
      <c r="M5" s="202" t="str">
        <f>+Balanza!Q11</f>
        <v>EQP-0093</v>
      </c>
      <c r="N5" s="477">
        <f>+Balanza!Q7</f>
        <v>2.3099999999999999E-5</v>
      </c>
      <c r="O5" s="515">
        <f>+Balanza!Q12</f>
        <v>46160</v>
      </c>
      <c r="Q5" s="202" t="s">
        <v>267</v>
      </c>
      <c r="R5" s="474">
        <v>1505</v>
      </c>
      <c r="S5" s="475">
        <v>1.3919999999999999</v>
      </c>
      <c r="T5" s="474">
        <v>1081</v>
      </c>
      <c r="V5" s="202" t="s">
        <v>121</v>
      </c>
      <c r="W5" s="202" t="s">
        <v>128</v>
      </c>
      <c r="X5" s="202" t="s">
        <v>84</v>
      </c>
      <c r="Y5" s="202">
        <v>2120</v>
      </c>
      <c r="Z5" s="235" t="s">
        <v>214</v>
      </c>
    </row>
    <row r="6" spans="2:26" ht="14.65" customHeight="1" x14ac:dyDescent="0.2">
      <c r="C6" s="204" t="s">
        <v>132</v>
      </c>
      <c r="D6" s="202" t="s">
        <v>175</v>
      </c>
      <c r="E6" s="214">
        <v>0</v>
      </c>
      <c r="G6" s="598" t="s">
        <v>232</v>
      </c>
      <c r="H6" s="599"/>
      <c r="I6" s="543"/>
      <c r="J6" s="204" t="s">
        <v>225</v>
      </c>
      <c r="K6" s="199" t="s">
        <v>152</v>
      </c>
      <c r="L6" s="202" t="s">
        <v>279</v>
      </c>
      <c r="M6" s="202" t="s">
        <v>298</v>
      </c>
      <c r="N6" s="477">
        <v>-7.4699999999999996E-6</v>
      </c>
      <c r="O6" s="515">
        <v>46086</v>
      </c>
      <c r="Q6" s="202" t="s">
        <v>299</v>
      </c>
      <c r="R6" s="202">
        <v>1888</v>
      </c>
      <c r="S6" s="387">
        <v>1.399</v>
      </c>
      <c r="T6" s="202">
        <v>1349</v>
      </c>
      <c r="V6" s="202" t="s">
        <v>126</v>
      </c>
      <c r="W6" s="202" t="s">
        <v>175</v>
      </c>
      <c r="X6" s="202" t="s">
        <v>175</v>
      </c>
      <c r="Y6" s="198">
        <v>1420</v>
      </c>
      <c r="Z6" s="235" t="s">
        <v>215</v>
      </c>
    </row>
    <row r="7" spans="2:26" ht="14.65" customHeight="1" x14ac:dyDescent="0.2">
      <c r="C7" s="602" t="s">
        <v>249</v>
      </c>
      <c r="D7" s="602"/>
      <c r="E7" s="602"/>
      <c r="F7" s="22"/>
      <c r="G7" s="388" t="s">
        <v>206</v>
      </c>
      <c r="H7" s="389"/>
      <c r="I7" s="547"/>
      <c r="J7" s="204" t="s">
        <v>226</v>
      </c>
      <c r="K7" s="22"/>
      <c r="L7" s="202" t="s">
        <v>280</v>
      </c>
      <c r="M7" s="202" t="s">
        <v>294</v>
      </c>
      <c r="N7" s="477">
        <v>-2.96E-6</v>
      </c>
      <c r="O7" s="515">
        <v>45931</v>
      </c>
      <c r="Q7" s="202" t="s">
        <v>311</v>
      </c>
      <c r="R7" s="202">
        <v>1492</v>
      </c>
      <c r="S7" s="387">
        <v>1.3959999999999999</v>
      </c>
      <c r="T7" s="202">
        <v>1069</v>
      </c>
      <c r="V7" s="202" t="s">
        <v>127</v>
      </c>
      <c r="W7" s="202" t="s">
        <v>175</v>
      </c>
      <c r="X7" s="202" t="s">
        <v>175</v>
      </c>
      <c r="Y7" s="202">
        <v>1420</v>
      </c>
      <c r="Z7" s="202" t="s">
        <v>175</v>
      </c>
    </row>
    <row r="8" spans="2:26" ht="14.65" customHeight="1" x14ac:dyDescent="0.2">
      <c r="C8" s="202" t="s">
        <v>70</v>
      </c>
      <c r="D8" s="601">
        <v>0</v>
      </c>
      <c r="E8" s="601"/>
      <c r="F8" s="22"/>
      <c r="G8" s="388" t="s">
        <v>201</v>
      </c>
      <c r="H8" s="164"/>
      <c r="I8" s="473" t="s">
        <v>268</v>
      </c>
      <c r="J8" s="204"/>
      <c r="K8" s="22"/>
      <c r="L8" s="202" t="s">
        <v>295</v>
      </c>
      <c r="M8" s="202" t="s">
        <v>297</v>
      </c>
      <c r="N8" s="477">
        <v>-9.6500000000000008E-6</v>
      </c>
      <c r="O8" s="515">
        <v>45981</v>
      </c>
      <c r="Q8" s="202" t="s">
        <v>313</v>
      </c>
      <c r="R8" s="202">
        <v>1503</v>
      </c>
      <c r="S8" s="387">
        <v>1.41</v>
      </c>
      <c r="T8" s="202">
        <v>1066</v>
      </c>
      <c r="U8" s="198"/>
      <c r="V8" s="198"/>
      <c r="W8" s="198"/>
      <c r="X8" s="198"/>
    </row>
    <row r="9" spans="2:26" ht="14.65" customHeight="1" x14ac:dyDescent="0.2">
      <c r="C9" s="392" t="s">
        <v>250</v>
      </c>
      <c r="D9" s="600" t="s">
        <v>175</v>
      </c>
      <c r="E9" s="600"/>
      <c r="F9" s="22"/>
      <c r="K9" s="22"/>
      <c r="Q9" s="597" t="s">
        <v>289</v>
      </c>
      <c r="R9" s="597"/>
      <c r="S9" s="19"/>
      <c r="T9" s="198"/>
      <c r="U9" s="198"/>
      <c r="V9" s="198"/>
      <c r="W9" s="198"/>
      <c r="X9" s="198"/>
    </row>
    <row r="10" spans="2:26" ht="16.149999999999999" customHeight="1" x14ac:dyDescent="0.2">
      <c r="B10" s="206"/>
      <c r="E10" s="22"/>
      <c r="F10" s="206"/>
      <c r="G10" s="206"/>
      <c r="H10" s="206"/>
      <c r="I10" s="206"/>
      <c r="J10" s="206"/>
      <c r="M10" s="22"/>
      <c r="N10" s="22"/>
      <c r="O10" s="22"/>
      <c r="Q10" s="203" t="s">
        <v>285</v>
      </c>
      <c r="R10" s="203" t="s">
        <v>286</v>
      </c>
      <c r="S10" s="19"/>
    </row>
    <row r="11" spans="2:26" ht="10.9" customHeight="1" x14ac:dyDescent="0.2">
      <c r="B11" s="609"/>
      <c r="C11" s="609" t="s">
        <v>72</v>
      </c>
      <c r="D11" s="611" t="s">
        <v>73</v>
      </c>
      <c r="E11" s="613">
        <v>1</v>
      </c>
      <c r="F11" s="614"/>
      <c r="G11" s="615">
        <v>2</v>
      </c>
      <c r="H11" s="616"/>
      <c r="I11" s="613">
        <v>3</v>
      </c>
      <c r="J11" s="614"/>
      <c r="K11" s="613">
        <v>4</v>
      </c>
      <c r="L11" s="614"/>
      <c r="M11" s="208"/>
      <c r="N11" s="209"/>
      <c r="O11" s="209"/>
      <c r="Q11" s="202" t="s">
        <v>277</v>
      </c>
      <c r="R11" s="202" t="s">
        <v>288</v>
      </c>
      <c r="S11" s="19"/>
    </row>
    <row r="12" spans="2:26" ht="12.6" customHeight="1" x14ac:dyDescent="0.2">
      <c r="B12" s="610"/>
      <c r="C12" s="610"/>
      <c r="D12" s="612"/>
      <c r="E12" s="257" t="s">
        <v>87</v>
      </c>
      <c r="F12" s="258" t="s">
        <v>135</v>
      </c>
      <c r="G12" s="250" t="s">
        <v>87</v>
      </c>
      <c r="H12" s="248" t="s">
        <v>135</v>
      </c>
      <c r="I12" s="257" t="s">
        <v>87</v>
      </c>
      <c r="J12" s="258" t="s">
        <v>135</v>
      </c>
      <c r="K12" s="257" t="s">
        <v>87</v>
      </c>
      <c r="L12" s="258" t="s">
        <v>135</v>
      </c>
      <c r="Q12" s="202" t="s">
        <v>278</v>
      </c>
      <c r="R12" s="202" t="s">
        <v>282</v>
      </c>
      <c r="S12" s="19"/>
    </row>
    <row r="13" spans="2:26" ht="21" customHeight="1" x14ac:dyDescent="0.2">
      <c r="B13" s="225"/>
      <c r="C13" s="210" t="s">
        <v>240</v>
      </c>
      <c r="D13" s="246"/>
      <c r="E13" s="607">
        <v>0</v>
      </c>
      <c r="F13" s="608"/>
      <c r="G13" s="606">
        <v>0</v>
      </c>
      <c r="H13" s="606"/>
      <c r="I13" s="607">
        <v>0</v>
      </c>
      <c r="J13" s="608"/>
      <c r="K13" s="607">
        <v>0</v>
      </c>
      <c r="L13" s="608"/>
      <c r="M13" s="22"/>
      <c r="N13" s="22"/>
      <c r="O13" s="22"/>
      <c r="P13" s="22"/>
      <c r="Q13" s="202" t="s">
        <v>279</v>
      </c>
      <c r="R13" s="202" t="s">
        <v>283</v>
      </c>
      <c r="S13" s="19"/>
    </row>
    <row r="14" spans="2:26" ht="14.65" customHeight="1" x14ac:dyDescent="0.2">
      <c r="B14" s="225"/>
      <c r="C14" s="211" t="s">
        <v>241</v>
      </c>
      <c r="D14" s="246"/>
      <c r="E14" s="607" t="s">
        <v>175</v>
      </c>
      <c r="F14" s="608"/>
      <c r="G14" s="606" t="s">
        <v>175</v>
      </c>
      <c r="H14" s="606"/>
      <c r="I14" s="607" t="s">
        <v>175</v>
      </c>
      <c r="J14" s="608"/>
      <c r="K14" s="607" t="s">
        <v>175</v>
      </c>
      <c r="L14" s="608"/>
      <c r="M14" s="22"/>
      <c r="N14" s="22"/>
      <c r="O14" s="22"/>
      <c r="P14" s="22"/>
      <c r="Q14" s="202" t="s">
        <v>280</v>
      </c>
      <c r="R14" s="202" t="s">
        <v>284</v>
      </c>
      <c r="S14" s="19"/>
    </row>
    <row r="15" spans="2:26" ht="14.65" customHeight="1" x14ac:dyDescent="0.2">
      <c r="B15" s="225"/>
      <c r="C15" s="212" t="s">
        <v>244</v>
      </c>
      <c r="D15" s="246"/>
      <c r="E15" s="607" t="s">
        <v>271</v>
      </c>
      <c r="F15" s="608"/>
      <c r="G15" s="606" t="s">
        <v>271</v>
      </c>
      <c r="H15" s="606"/>
      <c r="I15" s="607" t="s">
        <v>271</v>
      </c>
      <c r="J15" s="608"/>
      <c r="K15" s="607" t="s">
        <v>271</v>
      </c>
      <c r="L15" s="608"/>
      <c r="M15" s="22" t="s">
        <v>208</v>
      </c>
      <c r="N15" s="22"/>
      <c r="O15" s="22"/>
      <c r="P15" s="22"/>
      <c r="Q15" s="202" t="s">
        <v>295</v>
      </c>
      <c r="R15" s="202" t="s">
        <v>296</v>
      </c>
      <c r="S15" s="19"/>
    </row>
    <row r="16" spans="2:26" ht="14.65" customHeight="1" x14ac:dyDescent="0.2">
      <c r="B16" s="225"/>
      <c r="C16" s="213" t="s">
        <v>242</v>
      </c>
      <c r="D16" s="246" t="s">
        <v>35</v>
      </c>
      <c r="E16" s="607" t="s">
        <v>271</v>
      </c>
      <c r="F16" s="608"/>
      <c r="G16" s="606" t="s">
        <v>271</v>
      </c>
      <c r="H16" s="606"/>
      <c r="I16" s="607" t="s">
        <v>271</v>
      </c>
      <c r="J16" s="608"/>
      <c r="K16" s="607" t="s">
        <v>271</v>
      </c>
      <c r="L16" s="608"/>
      <c r="M16" s="22"/>
      <c r="N16" s="22"/>
      <c r="O16" s="22"/>
      <c r="P16" s="380"/>
      <c r="S16" s="381"/>
    </row>
    <row r="17" spans="1:19" ht="14.65" customHeight="1" x14ac:dyDescent="0.2">
      <c r="B17" s="225"/>
      <c r="C17" s="216" t="s">
        <v>167</v>
      </c>
      <c r="D17" s="236"/>
      <c r="E17" s="618" t="s">
        <v>175</v>
      </c>
      <c r="F17" s="619"/>
      <c r="G17" s="618" t="s">
        <v>175</v>
      </c>
      <c r="H17" s="619"/>
      <c r="I17" s="618" t="s">
        <v>175</v>
      </c>
      <c r="J17" s="619"/>
      <c r="K17" s="618" t="s">
        <v>175</v>
      </c>
      <c r="L17" s="619"/>
      <c r="M17" s="22"/>
      <c r="N17" s="22"/>
      <c r="O17" s="22"/>
      <c r="P17" s="381"/>
      <c r="S17" s="380"/>
    </row>
    <row r="18" spans="1:19" ht="14.65" customHeight="1" x14ac:dyDescent="0.2">
      <c r="B18" s="205"/>
      <c r="C18" s="216" t="s">
        <v>138</v>
      </c>
      <c r="D18" s="236"/>
      <c r="E18" s="618" t="s">
        <v>175</v>
      </c>
      <c r="F18" s="619"/>
      <c r="G18" s="618" t="s">
        <v>175</v>
      </c>
      <c r="H18" s="619"/>
      <c r="I18" s="618" t="s">
        <v>175</v>
      </c>
      <c r="J18" s="619"/>
      <c r="K18" s="618" t="s">
        <v>175</v>
      </c>
      <c r="L18" s="619"/>
      <c r="M18" s="22"/>
      <c r="N18" s="22"/>
      <c r="O18" s="22"/>
      <c r="P18" s="381"/>
      <c r="S18" s="382"/>
    </row>
    <row r="19" spans="1:19" ht="14.65" customHeight="1" x14ac:dyDescent="0.2">
      <c r="B19" s="215"/>
      <c r="C19" s="224" t="s">
        <v>243</v>
      </c>
      <c r="D19" s="246"/>
      <c r="E19" s="607"/>
      <c r="F19" s="608"/>
      <c r="G19" s="607"/>
      <c r="H19" s="608"/>
      <c r="I19" s="607"/>
      <c r="J19" s="608"/>
      <c r="K19" s="607"/>
      <c r="L19" s="608"/>
      <c r="M19" s="22" t="s">
        <v>209</v>
      </c>
      <c r="N19" s="22"/>
      <c r="O19" s="22"/>
      <c r="P19" s="22"/>
    </row>
    <row r="20" spans="1:19" ht="14.65" customHeight="1" x14ac:dyDescent="0.2">
      <c r="B20" s="215"/>
      <c r="C20" s="216" t="s">
        <v>245</v>
      </c>
      <c r="D20" s="247"/>
      <c r="E20" s="620" t="s">
        <v>119</v>
      </c>
      <c r="F20" s="621"/>
      <c r="G20" s="622" t="s">
        <v>119</v>
      </c>
      <c r="H20" s="622"/>
      <c r="I20" s="620" t="s">
        <v>119</v>
      </c>
      <c r="J20" s="621"/>
      <c r="K20" s="620" t="s">
        <v>119</v>
      </c>
      <c r="L20" s="621"/>
      <c r="M20" s="22"/>
      <c r="N20" s="22"/>
      <c r="O20" s="22"/>
      <c r="P20" s="22"/>
    </row>
    <row r="21" spans="1:19" ht="2.25" customHeight="1" x14ac:dyDescent="0.2">
      <c r="B21" s="215"/>
      <c r="C21" s="216"/>
      <c r="D21" s="248"/>
      <c r="E21" s="259"/>
      <c r="F21" s="260"/>
      <c r="G21" s="251"/>
      <c r="H21" s="251"/>
      <c r="I21" s="259"/>
      <c r="J21" s="260"/>
      <c r="K21" s="259"/>
      <c r="L21" s="260"/>
      <c r="M21" s="22"/>
      <c r="N21" s="22"/>
      <c r="O21" s="22"/>
      <c r="P21" s="22"/>
    </row>
    <row r="22" spans="1:19" ht="14.65" customHeight="1" x14ac:dyDescent="0.2">
      <c r="A22" s="13" t="s">
        <v>84</v>
      </c>
      <c r="B22" s="215"/>
      <c r="C22" s="226" t="s">
        <v>166</v>
      </c>
      <c r="D22" s="249" t="s">
        <v>108</v>
      </c>
      <c r="E22" s="527">
        <v>0</v>
      </c>
      <c r="F22" s="261">
        <f>E22+($N$2*E22)</f>
        <v>0</v>
      </c>
      <c r="G22" s="527">
        <v>0</v>
      </c>
      <c r="H22" s="261">
        <f>G22+($N$2*G22)</f>
        <v>0</v>
      </c>
      <c r="I22" s="527">
        <v>0</v>
      </c>
      <c r="J22" s="261">
        <f>I22+($N$2*I22)</f>
        <v>0</v>
      </c>
      <c r="K22" s="527">
        <v>0</v>
      </c>
      <c r="L22" s="261">
        <f>K22+($N$2*K22)</f>
        <v>0</v>
      </c>
      <c r="M22" s="22"/>
      <c r="N22" s="22"/>
      <c r="O22" s="22"/>
      <c r="P22" s="22"/>
    </row>
    <row r="23" spans="1:19" ht="14.65" customHeight="1" x14ac:dyDescent="0.2">
      <c r="A23" s="13" t="s">
        <v>85</v>
      </c>
      <c r="B23" s="202"/>
      <c r="C23" s="226" t="s">
        <v>218</v>
      </c>
      <c r="D23" s="243" t="s">
        <v>108</v>
      </c>
      <c r="E23" s="527">
        <v>0</v>
      </c>
      <c r="F23" s="261">
        <f>E23+($N$2*E23)</f>
        <v>0</v>
      </c>
      <c r="G23" s="527">
        <v>0</v>
      </c>
      <c r="H23" s="261">
        <f>G23+($N$2*G23)</f>
        <v>0</v>
      </c>
      <c r="I23" s="527">
        <v>0</v>
      </c>
      <c r="J23" s="261">
        <f>I23+($N$2*I23)</f>
        <v>0</v>
      </c>
      <c r="K23" s="527">
        <v>0</v>
      </c>
      <c r="L23" s="261">
        <f>K23+($N$2*K23)</f>
        <v>0</v>
      </c>
      <c r="M23" s="207"/>
      <c r="N23" s="22"/>
      <c r="O23" s="22"/>
      <c r="P23" s="22"/>
    </row>
    <row r="24" spans="1:19" ht="21.6" customHeight="1" x14ac:dyDescent="0.2">
      <c r="A24" s="13" t="s">
        <v>86</v>
      </c>
      <c r="B24" s="202" t="s">
        <v>153</v>
      </c>
      <c r="C24" s="226" t="s">
        <v>157</v>
      </c>
      <c r="D24" s="243" t="s">
        <v>108</v>
      </c>
      <c r="E24" s="262"/>
      <c r="F24" s="240">
        <f>+F22-F23</f>
        <v>0</v>
      </c>
      <c r="G24" s="252"/>
      <c r="H24" s="241">
        <f>+H22-H23</f>
        <v>0</v>
      </c>
      <c r="I24" s="262"/>
      <c r="J24" s="240">
        <f>+J22-J23</f>
        <v>0</v>
      </c>
      <c r="K24" s="262"/>
      <c r="L24" s="240">
        <f>+L22-L23</f>
        <v>0</v>
      </c>
      <c r="M24" s="207"/>
      <c r="N24" s="22"/>
      <c r="P24" s="22"/>
    </row>
    <row r="25" spans="1:19" ht="21.6" customHeight="1" x14ac:dyDescent="0.2">
      <c r="A25" s="13" t="s">
        <v>251</v>
      </c>
      <c r="B25" s="202" t="s">
        <v>154</v>
      </c>
      <c r="C25" s="226" t="s">
        <v>219</v>
      </c>
      <c r="D25" s="243" t="s">
        <v>108</v>
      </c>
      <c r="E25" s="262"/>
      <c r="F25" s="240">
        <f>+I5</f>
        <v>0</v>
      </c>
      <c r="G25" s="252"/>
      <c r="H25" s="241">
        <f>+I5</f>
        <v>0</v>
      </c>
      <c r="I25" s="262"/>
      <c r="J25" s="240">
        <f>+I5</f>
        <v>0</v>
      </c>
      <c r="K25" s="262"/>
      <c r="L25" s="240">
        <f>+I5</f>
        <v>0</v>
      </c>
      <c r="M25" s="207"/>
      <c r="N25" s="22"/>
      <c r="O25" s="22"/>
      <c r="P25" s="22"/>
    </row>
    <row r="26" spans="1:19" ht="14.65" customHeight="1" x14ac:dyDescent="0.2">
      <c r="A26" s="13" t="s">
        <v>13</v>
      </c>
      <c r="B26" s="202" t="s">
        <v>159</v>
      </c>
      <c r="C26" s="226" t="s">
        <v>151</v>
      </c>
      <c r="D26" s="243" t="s">
        <v>144</v>
      </c>
      <c r="E26" s="263"/>
      <c r="F26" s="240" t="e">
        <f>+(F24-$F$25)/$I$6</f>
        <v>#DIV/0!</v>
      </c>
      <c r="G26" s="228"/>
      <c r="H26" s="241" t="e">
        <f>+(H24-$H$25)/$I$6</f>
        <v>#DIV/0!</v>
      </c>
      <c r="I26" s="263"/>
      <c r="J26" s="240" t="e">
        <f>+(J24-$J$25)/$I$6</f>
        <v>#DIV/0!</v>
      </c>
      <c r="K26" s="263"/>
      <c r="L26" s="240" t="e">
        <f>+(L24-$L$25)/$I$6</f>
        <v>#DIV/0!</v>
      </c>
      <c r="M26" s="22" t="s">
        <v>164</v>
      </c>
      <c r="N26" s="22"/>
      <c r="O26" s="22"/>
      <c r="P26" s="22"/>
    </row>
    <row r="27" spans="1:19" ht="18.75" customHeight="1" x14ac:dyDescent="0.2">
      <c r="B27" s="204"/>
      <c r="C27" s="230" t="s">
        <v>137</v>
      </c>
      <c r="D27" s="236"/>
      <c r="E27" s="528">
        <f>IF(E17="2 in",2830,IF(E17="1 1/2 in",2830,IF(E17="1 in",2120,IF(E17="3/4 in",2120,IF(E17="1/2 in",1420,IF(E17="3/8 in",1420,1420))))))</f>
        <v>1420</v>
      </c>
      <c r="F27" s="240" t="e">
        <f>+IF(F26&gt;E27,"Cumple","Justificar")</f>
        <v>#DIV/0!</v>
      </c>
      <c r="G27" s="528">
        <f>IF(G17="2 in",2830,IF(G17="1 1/2 in",2830,IF(G17="1 in",2120,IF(G17="3/4 in",2120,IF(G17="1/2 in",1420,IF(G17="3/8 in",1420,1420))))))</f>
        <v>1420</v>
      </c>
      <c r="H27" s="528" t="e">
        <f>+IF(H26&gt;G27,"Cumple","Justificar")</f>
        <v>#DIV/0!</v>
      </c>
      <c r="I27" s="528">
        <f>IF(I17="2 in",2830,IF(I17="1 1/2 in",2830,IF(I17="1 in",2120,IF(I17="3/4 in",2120,IF(I17="1/2 in",1420,IF(I17="3/8 in",1420,1420))))))</f>
        <v>1420</v>
      </c>
      <c r="J27" s="240" t="e">
        <f>+IF(J26&gt;I27,"Cumple","Justificar")</f>
        <v>#DIV/0!</v>
      </c>
      <c r="K27" s="528">
        <f>IF(K17="2 in",2830,IF(K17="1 1/2 in",2830,IF(K17="1 in",2120,IF(K17="3/4 in",2120,IF(K17="1/2 in",1420,IF(K17="3/8 in",1420,1420))))))</f>
        <v>1420</v>
      </c>
      <c r="L27" s="240" t="e">
        <f>+IF(L26&gt;K27,"Cumple","Justificar")</f>
        <v>#DIV/0!</v>
      </c>
      <c r="M27" s="22"/>
      <c r="N27" s="22"/>
      <c r="O27" s="22"/>
      <c r="P27" s="22"/>
    </row>
    <row r="28" spans="1:19" ht="18.75" customHeight="1" x14ac:dyDescent="0.2">
      <c r="A28" s="13" t="s">
        <v>14</v>
      </c>
      <c r="B28" s="202" t="s">
        <v>160</v>
      </c>
      <c r="C28" s="226" t="s">
        <v>109</v>
      </c>
      <c r="D28" s="243" t="s">
        <v>108</v>
      </c>
      <c r="E28" s="527">
        <v>0</v>
      </c>
      <c r="F28" s="240">
        <f>E28+($N$2*E28)</f>
        <v>0</v>
      </c>
      <c r="G28" s="527">
        <v>0</v>
      </c>
      <c r="H28" s="240">
        <f>G28+($N$2*G28)</f>
        <v>0</v>
      </c>
      <c r="I28" s="527">
        <v>0</v>
      </c>
      <c r="J28" s="240">
        <f>I28+($N$2*I28)</f>
        <v>0</v>
      </c>
      <c r="K28" s="527">
        <v>0</v>
      </c>
      <c r="L28" s="240">
        <f>K28+($N$2*K28)</f>
        <v>0</v>
      </c>
      <c r="M28" s="22"/>
      <c r="N28" s="22"/>
      <c r="O28" s="22"/>
      <c r="P28" s="22"/>
    </row>
    <row r="29" spans="1:19" ht="14.65" customHeight="1" x14ac:dyDescent="0.2">
      <c r="A29" s="13" t="s">
        <v>254</v>
      </c>
      <c r="B29" s="202" t="s">
        <v>161</v>
      </c>
      <c r="C29" s="226" t="s">
        <v>110</v>
      </c>
      <c r="D29" s="243" t="s">
        <v>108</v>
      </c>
      <c r="E29" s="264"/>
      <c r="F29" s="240">
        <f>100*F28/(F44+100)</f>
        <v>0</v>
      </c>
      <c r="G29" s="253"/>
      <c r="H29" s="241">
        <f>100*H28/(H44+100)</f>
        <v>0</v>
      </c>
      <c r="I29" s="264"/>
      <c r="J29" s="240">
        <f>100*J28/(J44+100)</f>
        <v>0</v>
      </c>
      <c r="K29" s="264"/>
      <c r="L29" s="240">
        <f>100*L28/(L44+100)</f>
        <v>0</v>
      </c>
      <c r="M29" s="22"/>
      <c r="N29" s="22"/>
      <c r="O29" s="22"/>
      <c r="P29" s="22"/>
    </row>
    <row r="30" spans="1:19" ht="14.65" customHeight="1" x14ac:dyDescent="0.2">
      <c r="A30" s="13" t="s">
        <v>255</v>
      </c>
      <c r="B30" s="202"/>
      <c r="C30" s="384" t="s">
        <v>139</v>
      </c>
      <c r="D30" s="385" t="s">
        <v>108</v>
      </c>
      <c r="E30" s="527">
        <v>0</v>
      </c>
      <c r="F30" s="240">
        <f>E30+($N$2*E30)</f>
        <v>0</v>
      </c>
      <c r="G30" s="527">
        <v>0</v>
      </c>
      <c r="H30" s="240">
        <f>G30+($N$2*G30)</f>
        <v>0</v>
      </c>
      <c r="I30" s="527">
        <v>0</v>
      </c>
      <c r="J30" s="240">
        <f>I30+($N$2*I30)</f>
        <v>0</v>
      </c>
      <c r="K30" s="527">
        <v>0</v>
      </c>
      <c r="L30" s="240">
        <f>K30+($N$2*K30)</f>
        <v>0</v>
      </c>
      <c r="M30" s="22"/>
      <c r="N30" s="22"/>
      <c r="O30" s="22"/>
      <c r="P30" s="22"/>
    </row>
    <row r="31" spans="1:19" ht="14.65" customHeight="1" x14ac:dyDescent="0.2">
      <c r="A31" s="13" t="s">
        <v>253</v>
      </c>
      <c r="B31" s="202"/>
      <c r="C31" s="234" t="s">
        <v>129</v>
      </c>
      <c r="D31" s="399" t="s">
        <v>33</v>
      </c>
      <c r="E31" s="262"/>
      <c r="F31" s="268" t="e">
        <f>+(F30/F28)*100</f>
        <v>#DIV/0!</v>
      </c>
      <c r="G31" s="254"/>
      <c r="H31" s="270" t="e">
        <f>+(H30/H28)*100</f>
        <v>#DIV/0!</v>
      </c>
      <c r="I31" s="239"/>
      <c r="J31" s="268" t="e">
        <f>+(J30/J28)*100</f>
        <v>#DIV/0!</v>
      </c>
      <c r="K31" s="239"/>
      <c r="L31" s="268" t="e">
        <f>+(L30/L28)*100</f>
        <v>#DIV/0!</v>
      </c>
      <c r="M31" s="22" t="s">
        <v>136</v>
      </c>
      <c r="N31" s="22"/>
      <c r="O31" s="22"/>
      <c r="P31" s="22"/>
    </row>
    <row r="32" spans="1:19" ht="14.65" customHeight="1" x14ac:dyDescent="0.2">
      <c r="A32" s="13" t="s">
        <v>256</v>
      </c>
      <c r="B32" s="202" t="s">
        <v>162</v>
      </c>
      <c r="C32" s="226" t="s">
        <v>112</v>
      </c>
      <c r="D32" s="243" t="s">
        <v>143</v>
      </c>
      <c r="E32" s="265"/>
      <c r="F32" s="269" t="e">
        <f>+F28/F26</f>
        <v>#DIV/0!</v>
      </c>
      <c r="G32" s="255"/>
      <c r="H32" s="271" t="e">
        <f>+H28/H26</f>
        <v>#DIV/0!</v>
      </c>
      <c r="I32" s="267"/>
      <c r="J32" s="269" t="e">
        <f>+J28/J26</f>
        <v>#DIV/0!</v>
      </c>
      <c r="K32" s="267"/>
      <c r="L32" s="269" t="e">
        <f>+L28/L26</f>
        <v>#DIV/0!</v>
      </c>
      <c r="M32" s="22" t="s">
        <v>115</v>
      </c>
      <c r="N32" s="207"/>
      <c r="O32" s="207"/>
      <c r="P32" s="13"/>
    </row>
    <row r="33" spans="1:16" ht="14.65" customHeight="1" x14ac:dyDescent="0.2">
      <c r="A33" s="13" t="s">
        <v>257</v>
      </c>
      <c r="B33" s="202" t="s">
        <v>163</v>
      </c>
      <c r="C33" s="226" t="s">
        <v>113</v>
      </c>
      <c r="D33" s="236" t="s">
        <v>146</v>
      </c>
      <c r="E33" s="266"/>
      <c r="F33" s="269" t="e">
        <f>F29/F26</f>
        <v>#DIV/0!</v>
      </c>
      <c r="G33" s="256"/>
      <c r="H33" s="271" t="e">
        <f>H29/H26</f>
        <v>#DIV/0!</v>
      </c>
      <c r="I33" s="267"/>
      <c r="J33" s="269" t="e">
        <f>J29/J26</f>
        <v>#DIV/0!</v>
      </c>
      <c r="K33" s="267"/>
      <c r="L33" s="269" t="e">
        <f>L29/L26</f>
        <v>#DIV/0!</v>
      </c>
      <c r="M33" s="22" t="s">
        <v>115</v>
      </c>
      <c r="N33" s="207"/>
      <c r="O33" s="207"/>
      <c r="P33" s="13"/>
    </row>
    <row r="34" spans="1:16" ht="14.65" customHeight="1" x14ac:dyDescent="0.2">
      <c r="A34" s="13" t="s">
        <v>258</v>
      </c>
      <c r="B34" s="202" t="s">
        <v>262</v>
      </c>
      <c r="C34" s="221" t="s">
        <v>114</v>
      </c>
      <c r="D34" s="236" t="s">
        <v>204</v>
      </c>
      <c r="E34" s="239"/>
      <c r="F34" s="269" t="e">
        <f>+F33*9.802</f>
        <v>#DIV/0!</v>
      </c>
      <c r="G34" s="237"/>
      <c r="H34" s="269" t="e">
        <f>+H33*9.802</f>
        <v>#DIV/0!</v>
      </c>
      <c r="I34" s="239"/>
      <c r="J34" s="269" t="e">
        <f>+J33*9.802</f>
        <v>#DIV/0!</v>
      </c>
      <c r="K34" s="239"/>
      <c r="L34" s="269" t="e">
        <f>+L33*9.802</f>
        <v>#DIV/0!</v>
      </c>
      <c r="M34" s="22"/>
      <c r="N34" s="207"/>
      <c r="O34" s="207"/>
      <c r="P34" s="13"/>
    </row>
    <row r="35" spans="1:16" ht="5.45" customHeight="1" x14ac:dyDescent="0.2">
      <c r="C35" s="198"/>
      <c r="D35" s="198"/>
      <c r="G35" s="198"/>
      <c r="H35" s="198"/>
      <c r="I35" s="198"/>
      <c r="J35" s="198"/>
      <c r="K35" s="198"/>
      <c r="L35" s="198"/>
      <c r="M35" s="198"/>
      <c r="N35" s="207"/>
      <c r="O35" s="207"/>
      <c r="P35" s="13"/>
    </row>
    <row r="36" spans="1:16" ht="14.65" customHeight="1" x14ac:dyDescent="0.2">
      <c r="B36" s="623" t="s">
        <v>168</v>
      </c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207"/>
      <c r="N36" s="207"/>
      <c r="O36" s="207"/>
      <c r="P36" s="13"/>
    </row>
    <row r="37" spans="1:16" ht="14.65" customHeight="1" x14ac:dyDescent="0.2">
      <c r="A37" s="13" t="s">
        <v>259</v>
      </c>
      <c r="B37" s="202"/>
      <c r="C37" s="216" t="s">
        <v>133</v>
      </c>
      <c r="D37" s="236" t="s">
        <v>204</v>
      </c>
      <c r="E37" s="239"/>
      <c r="F37" s="268">
        <f>+$E$4</f>
        <v>0</v>
      </c>
      <c r="G37" s="237"/>
      <c r="H37" s="270">
        <f>+$E$4</f>
        <v>0</v>
      </c>
      <c r="I37" s="239"/>
      <c r="J37" s="268">
        <f>+$E$4</f>
        <v>0</v>
      </c>
      <c r="K37" s="239"/>
      <c r="L37" s="268">
        <f>+$E$4</f>
        <v>0</v>
      </c>
      <c r="M37" s="19" t="s">
        <v>322</v>
      </c>
      <c r="N37" s="207"/>
      <c r="O37" s="207"/>
      <c r="P37" s="13"/>
    </row>
    <row r="38" spans="1:16" ht="21.75" customHeight="1" x14ac:dyDescent="0.2">
      <c r="A38" s="13" t="s">
        <v>252</v>
      </c>
      <c r="B38" s="202"/>
      <c r="C38" s="216" t="s">
        <v>321</v>
      </c>
      <c r="D38" s="236" t="s">
        <v>204</v>
      </c>
      <c r="E38" s="267"/>
      <c r="F38" s="269" t="e">
        <f>IF(E6="",F34,IF(E6="-",F34,F34*$E$6*9.802*(100-F31)/((100*$E$6)*9.802-F34*F31)))</f>
        <v>#DIV/0!</v>
      </c>
      <c r="G38" s="237"/>
      <c r="H38" s="269" t="e">
        <f>IF(E6="",H34,IF(E6="-",H34,H34*$E$6*9.802*(100-H31)/((100*$E$6)*9.802-H34*H31)))</f>
        <v>#DIV/0!</v>
      </c>
      <c r="I38" s="239"/>
      <c r="J38" s="269" t="e">
        <f>IF(E6="",J34,IF(E6="-",J34,J34*$E$6*9.802*(100-J31)/((100*$E$6)*9.802-J34*J31)))</f>
        <v>#DIV/0!</v>
      </c>
      <c r="K38" s="239"/>
      <c r="L38" s="269" t="e">
        <f>IF(E6="",L34,IF(E6="-",L34,L34*$E$6*9.802*(100-L31)/((100*$E$6)*9.802-L34*L31)))</f>
        <v>#DIV/0!</v>
      </c>
      <c r="N38" s="207"/>
      <c r="O38" s="207"/>
      <c r="P38" s="13"/>
    </row>
    <row r="39" spans="1:16" ht="14.65" customHeight="1" x14ac:dyDescent="0.2">
      <c r="B39" s="202"/>
      <c r="C39" s="219" t="s">
        <v>111</v>
      </c>
      <c r="D39" s="236" t="s">
        <v>33</v>
      </c>
      <c r="E39" s="239"/>
      <c r="F39" s="240" t="e">
        <f>+F38/F37*100</f>
        <v>#DIV/0!</v>
      </c>
      <c r="G39" s="239"/>
      <c r="H39" s="240" t="e">
        <f>+H38/H37*100</f>
        <v>#DIV/0!</v>
      </c>
      <c r="I39" s="242"/>
      <c r="J39" s="240" t="e">
        <f>+J38/J37*100</f>
        <v>#DIV/0!</v>
      </c>
      <c r="K39" s="242"/>
      <c r="L39" s="240" t="e">
        <f>+L38/L37*100</f>
        <v>#DIV/0!</v>
      </c>
      <c r="M39" s="207"/>
      <c r="N39" s="207"/>
      <c r="O39" s="207"/>
      <c r="P39" s="13"/>
    </row>
    <row r="40" spans="1:16" ht="14.65" customHeight="1" x14ac:dyDescent="0.2">
      <c r="B40" s="220"/>
      <c r="C40" s="221" t="s">
        <v>246</v>
      </c>
      <c r="D40" s="236" t="s">
        <v>33</v>
      </c>
      <c r="E40" s="239"/>
      <c r="F40" s="527">
        <v>0</v>
      </c>
      <c r="G40" s="238"/>
      <c r="H40" s="527">
        <v>0</v>
      </c>
      <c r="I40" s="242"/>
      <c r="J40" s="527">
        <v>0</v>
      </c>
      <c r="K40" s="242"/>
      <c r="L40" s="527">
        <v>0</v>
      </c>
      <c r="M40" s="207"/>
      <c r="N40" s="207"/>
      <c r="O40" s="207"/>
      <c r="P40" s="13"/>
    </row>
    <row r="41" spans="1:16" ht="4.1500000000000004" customHeight="1" x14ac:dyDescent="0.2"/>
    <row r="42" spans="1:16" ht="14.65" customHeight="1" x14ac:dyDescent="0.2">
      <c r="B42" s="617" t="s">
        <v>171</v>
      </c>
      <c r="C42" s="617"/>
      <c r="D42" s="617"/>
      <c r="E42" s="617"/>
      <c r="F42" s="617"/>
      <c r="G42" s="617"/>
      <c r="H42" s="617"/>
      <c r="I42" s="617"/>
      <c r="J42" s="617"/>
      <c r="K42" s="617"/>
      <c r="L42" s="617"/>
    </row>
    <row r="43" spans="1:16" ht="14.65" customHeight="1" x14ac:dyDescent="0.2">
      <c r="B43" s="202" t="s">
        <v>169</v>
      </c>
      <c r="C43" s="221" t="s">
        <v>170</v>
      </c>
      <c r="D43" s="243" t="s">
        <v>33</v>
      </c>
      <c r="E43" s="376"/>
      <c r="F43" s="527">
        <v>0</v>
      </c>
      <c r="G43" s="397"/>
      <c r="H43" s="527">
        <v>0</v>
      </c>
      <c r="I43" s="398"/>
      <c r="J43" s="527">
        <v>0</v>
      </c>
      <c r="K43" s="398"/>
      <c r="L43" s="527">
        <v>0</v>
      </c>
    </row>
    <row r="44" spans="1:16" ht="14.65" customHeight="1" x14ac:dyDescent="0.2">
      <c r="B44" s="6" t="s">
        <v>155</v>
      </c>
      <c r="C44" s="234" t="s">
        <v>235</v>
      </c>
      <c r="D44" s="243" t="s">
        <v>33</v>
      </c>
      <c r="E44" s="377"/>
      <c r="F44" s="527">
        <v>0</v>
      </c>
      <c r="G44" s="244"/>
      <c r="H44" s="527">
        <v>0</v>
      </c>
      <c r="I44" s="245"/>
      <c r="J44" s="527">
        <v>0</v>
      </c>
      <c r="K44" s="245"/>
      <c r="L44" s="527">
        <v>0</v>
      </c>
    </row>
  </sheetData>
  <sheetProtection algorithmName="SHA-512" hashValue="RzM6ZRt8Y0Hm5h4TyBj22CbO23NwGifeE4QG6GE6HiWqYZLhlKQDbnWs6kKcUtyqVF2pMqWJ7yvenouVMer/IA==" saltValue="1wRDqEzo8LOCe/12CKrTVw==" spinCount="100000" sheet="1" objects="1" scenarios="1"/>
  <dataConsolidate/>
  <mergeCells count="50">
    <mergeCell ref="K20:L20"/>
    <mergeCell ref="B36:L36"/>
    <mergeCell ref="K11:L11"/>
    <mergeCell ref="K13:L13"/>
    <mergeCell ref="K14:L14"/>
    <mergeCell ref="K15:L15"/>
    <mergeCell ref="K16:L16"/>
    <mergeCell ref="I11:J11"/>
    <mergeCell ref="E13:F13"/>
    <mergeCell ref="E14:F14"/>
    <mergeCell ref="E15:F15"/>
    <mergeCell ref="E16:F16"/>
    <mergeCell ref="G16:H16"/>
    <mergeCell ref="I16:J16"/>
    <mergeCell ref="G13:H13"/>
    <mergeCell ref="I13:J13"/>
    <mergeCell ref="B42:L42"/>
    <mergeCell ref="E17:F17"/>
    <mergeCell ref="E18:F18"/>
    <mergeCell ref="G17:H17"/>
    <mergeCell ref="G18:H18"/>
    <mergeCell ref="I17:J17"/>
    <mergeCell ref="I18:J18"/>
    <mergeCell ref="E19:F19"/>
    <mergeCell ref="E20:F20"/>
    <mergeCell ref="G19:H19"/>
    <mergeCell ref="I19:J19"/>
    <mergeCell ref="G20:H20"/>
    <mergeCell ref="I20:J20"/>
    <mergeCell ref="K17:L17"/>
    <mergeCell ref="K18:L18"/>
    <mergeCell ref="K19:L19"/>
    <mergeCell ref="G14:H14"/>
    <mergeCell ref="I14:J14"/>
    <mergeCell ref="G15:H15"/>
    <mergeCell ref="I15:J15"/>
    <mergeCell ref="B11:B12"/>
    <mergeCell ref="C11:C12"/>
    <mergeCell ref="D11:D12"/>
    <mergeCell ref="E11:F11"/>
    <mergeCell ref="G11:H11"/>
    <mergeCell ref="L1:O1"/>
    <mergeCell ref="Q9:R9"/>
    <mergeCell ref="G4:H4"/>
    <mergeCell ref="D9:E9"/>
    <mergeCell ref="D8:E8"/>
    <mergeCell ref="C7:E7"/>
    <mergeCell ref="B1:J1"/>
    <mergeCell ref="G5:H5"/>
    <mergeCell ref="G6:H6"/>
  </mergeCells>
  <phoneticPr fontId="7" type="noConversion"/>
  <dataValidations count="5">
    <dataValidation type="list" allowBlank="1" showInputMessage="1" showErrorMessage="1" sqref="S18" xr:uid="{F1A36A52-4809-4CE5-AA35-0E2BA38BC5CE}">
      <formula1>"-, Método A, Método B"</formula1>
    </dataValidation>
    <dataValidation type="list" allowBlank="1" showInputMessage="1" showErrorMessage="1" sqref="L2 I3" xr:uid="{C750F03E-9D4B-43FF-B603-47A1EE2352D5}">
      <formula1>$L$4:$L$8</formula1>
    </dataValidation>
    <dataValidation type="list" allowBlank="1" showInputMessage="1" showErrorMessage="1" sqref="D9:E9" xr:uid="{D5196112-0E47-4773-AF1F-EAFB4C7E3E9F}">
      <formula1>"-, I.CH.A, D.I.C, L.S.G, J.S.A., G.Q.S., G.P.V."</formula1>
    </dataValidation>
    <dataValidation type="list" allowBlank="1" showInputMessage="1" showErrorMessage="1" sqref="E18:L18" xr:uid="{F9F61CF6-4C17-4EB2-8AFD-953F2EF35C13}">
      <formula1>"-,No4,3/8 in,3/4 in"</formula1>
    </dataValidation>
    <dataValidation type="list" allowBlank="1" showInputMessage="1" showErrorMessage="1" sqref="E17:L17" xr:uid="{12D1231E-1715-444E-A835-6B3E7271943B}">
      <formula1>"-,3/8 in,1/2 in,3/4 in,1 in,1 1/2 in,2 in"</formula1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421D-4907-4DEB-9C5E-30F0474B5FA1}">
  <dimension ref="A1:AD88"/>
  <sheetViews>
    <sheetView showGridLines="0" topLeftCell="A28" zoomScaleNormal="100" workbookViewId="0">
      <selection activeCell="D28" sqref="D28"/>
    </sheetView>
  </sheetViews>
  <sheetFormatPr baseColWidth="10" defaultColWidth="11.42578125" defaultRowHeight="15" x14ac:dyDescent="0.2"/>
  <cols>
    <col min="1" max="1" width="4.28515625" style="192" customWidth="1"/>
    <col min="2" max="2" width="26.5703125" style="192" customWidth="1"/>
    <col min="3" max="3" width="7.28515625" style="192" customWidth="1"/>
    <col min="4" max="4" width="7.42578125" style="192" customWidth="1"/>
    <col min="5" max="5" width="10" style="192" customWidth="1"/>
    <col min="6" max="6" width="11.28515625" style="192" customWidth="1"/>
    <col min="7" max="9" width="11.42578125" style="192"/>
    <col min="10" max="10" width="0.7109375" style="192" customWidth="1"/>
    <col min="11" max="11" width="8.5703125" style="192" customWidth="1"/>
    <col min="12" max="14" width="11.42578125" style="192"/>
    <col min="15" max="15" width="9.42578125" style="192" customWidth="1"/>
    <col min="16" max="16" width="11.42578125" style="192"/>
    <col min="17" max="17" width="0.7109375" style="192" customWidth="1"/>
    <col min="18" max="18" width="9.42578125" style="192" customWidth="1"/>
    <col min="19" max="19" width="11.140625" style="192" customWidth="1"/>
    <col min="20" max="20" width="12.85546875" style="192" customWidth="1"/>
    <col min="21" max="21" width="10.85546875" style="192" customWidth="1"/>
    <col min="22" max="22" width="11.42578125" style="192"/>
    <col min="23" max="23" width="11.85546875" style="192" customWidth="1"/>
    <col min="24" max="24" width="0.7109375" style="192" customWidth="1"/>
    <col min="25" max="25" width="10.28515625" style="192" customWidth="1"/>
    <col min="26" max="16384" width="11.42578125" style="192"/>
  </cols>
  <sheetData>
    <row r="1" spans="2:23" ht="12" customHeight="1" x14ac:dyDescent="0.2">
      <c r="B1" s="634"/>
      <c r="C1" s="638" t="s">
        <v>89</v>
      </c>
      <c r="D1" s="639"/>
      <c r="E1" s="639"/>
      <c r="F1" s="639"/>
      <c r="G1" s="639"/>
      <c r="H1" s="639"/>
      <c r="I1" s="639"/>
      <c r="J1" s="639"/>
      <c r="K1" s="639"/>
      <c r="L1" s="639"/>
      <c r="M1" s="640"/>
      <c r="N1" s="471" t="s">
        <v>90</v>
      </c>
      <c r="O1" s="647" t="s">
        <v>91</v>
      </c>
      <c r="P1" s="648"/>
    </row>
    <row r="2" spans="2:23" ht="12" customHeight="1" x14ac:dyDescent="0.2">
      <c r="B2" s="635"/>
      <c r="C2" s="641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471" t="s">
        <v>92</v>
      </c>
      <c r="O2" s="649">
        <v>3</v>
      </c>
      <c r="P2" s="650"/>
    </row>
    <row r="3" spans="2:23" ht="12" customHeight="1" x14ac:dyDescent="0.2">
      <c r="B3" s="635"/>
      <c r="C3" s="641"/>
      <c r="D3" s="642"/>
      <c r="E3" s="642"/>
      <c r="F3" s="642"/>
      <c r="G3" s="642"/>
      <c r="H3" s="642"/>
      <c r="I3" s="642"/>
      <c r="J3" s="642"/>
      <c r="K3" s="642"/>
      <c r="L3" s="642"/>
      <c r="M3" s="643"/>
      <c r="N3" s="471" t="s">
        <v>93</v>
      </c>
      <c r="O3" s="651">
        <v>46146</v>
      </c>
      <c r="P3" s="652"/>
    </row>
    <row r="4" spans="2:23" ht="12" customHeight="1" x14ac:dyDescent="0.2">
      <c r="B4" s="636"/>
      <c r="C4" s="644"/>
      <c r="D4" s="645"/>
      <c r="E4" s="645"/>
      <c r="F4" s="645"/>
      <c r="G4" s="645"/>
      <c r="H4" s="645"/>
      <c r="I4" s="645"/>
      <c r="J4" s="645"/>
      <c r="K4" s="645"/>
      <c r="L4" s="645"/>
      <c r="M4" s="646"/>
      <c r="N4" s="471" t="s">
        <v>94</v>
      </c>
      <c r="O4" s="647" t="s">
        <v>95</v>
      </c>
      <c r="P4" s="648"/>
    </row>
    <row r="5" spans="2:23" ht="4.9000000000000004" customHeight="1" x14ac:dyDescent="0.2"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W5" s="193"/>
    </row>
    <row r="6" spans="2:23" s="363" customFormat="1" ht="13.9" customHeight="1" x14ac:dyDescent="0.2">
      <c r="B6" s="364" t="s">
        <v>96</v>
      </c>
      <c r="C6" s="365" t="s">
        <v>293</v>
      </c>
      <c r="D6" s="366"/>
      <c r="E6" s="366"/>
      <c r="F6" s="366"/>
      <c r="G6" s="366"/>
      <c r="H6" s="366"/>
      <c r="I6" s="366"/>
      <c r="J6" s="366"/>
      <c r="K6" s="367"/>
      <c r="L6" s="367"/>
      <c r="M6" s="367"/>
      <c r="N6" s="367"/>
      <c r="O6" s="367"/>
      <c r="P6" s="368"/>
      <c r="Q6" s="192"/>
      <c r="R6" s="192"/>
      <c r="S6" s="192"/>
      <c r="T6" s="192"/>
      <c r="U6" s="192"/>
      <c r="V6" s="192"/>
    </row>
    <row r="7" spans="2:23" s="363" customFormat="1" ht="13.9" customHeight="1" x14ac:dyDescent="0.2">
      <c r="B7" s="364" t="s">
        <v>97</v>
      </c>
      <c r="C7" s="365" t="s">
        <v>291</v>
      </c>
      <c r="D7" s="366"/>
      <c r="E7" s="366"/>
      <c r="F7" s="366"/>
      <c r="G7" s="366"/>
      <c r="H7" s="366"/>
      <c r="I7" s="366"/>
      <c r="J7" s="366"/>
      <c r="K7" s="367"/>
      <c r="L7" s="367"/>
      <c r="M7" s="367"/>
      <c r="N7" s="367"/>
      <c r="O7" s="367"/>
      <c r="P7" s="368"/>
      <c r="Q7" s="192"/>
      <c r="R7" s="192"/>
      <c r="S7" s="192"/>
      <c r="T7" s="192"/>
      <c r="U7" s="192"/>
      <c r="V7" s="192"/>
    </row>
    <row r="8" spans="2:23" s="363" customFormat="1" ht="13.9" customHeight="1" x14ac:dyDescent="0.2">
      <c r="B8" s="364" t="s">
        <v>98</v>
      </c>
      <c r="C8" s="365" t="s">
        <v>99</v>
      </c>
      <c r="D8" s="366"/>
      <c r="E8" s="366"/>
      <c r="F8" s="366"/>
      <c r="G8" s="366"/>
      <c r="H8" s="366"/>
      <c r="I8" s="366"/>
      <c r="J8" s="366"/>
      <c r="K8" s="367"/>
      <c r="L8" s="367"/>
      <c r="M8" s="367"/>
      <c r="N8" s="367"/>
      <c r="O8" s="367"/>
      <c r="P8" s="368"/>
      <c r="Q8" s="192"/>
      <c r="R8" s="192"/>
      <c r="S8" s="192"/>
      <c r="T8" s="192"/>
      <c r="U8" s="192"/>
      <c r="V8" s="192"/>
    </row>
    <row r="9" spans="2:23" s="363" customFormat="1" ht="13.9" customHeight="1" x14ac:dyDescent="0.2">
      <c r="B9" s="369" t="s">
        <v>301</v>
      </c>
      <c r="C9" s="365" t="s">
        <v>202</v>
      </c>
      <c r="D9" s="366"/>
      <c r="E9" s="366"/>
      <c r="F9" s="366"/>
      <c r="G9" s="366"/>
      <c r="H9" s="366"/>
      <c r="I9" s="366"/>
      <c r="J9" s="366"/>
      <c r="K9" s="367"/>
      <c r="L9" s="367"/>
      <c r="M9" s="367"/>
      <c r="N9" s="367"/>
      <c r="O9" s="367"/>
      <c r="P9" s="368"/>
      <c r="Q9" s="192"/>
      <c r="R9" s="192"/>
      <c r="S9" s="192"/>
      <c r="T9" s="192"/>
      <c r="U9" s="192"/>
      <c r="V9" s="192"/>
    </row>
    <row r="10" spans="2:23" ht="2.4500000000000002" customHeight="1" x14ac:dyDescent="0.2"/>
    <row r="11" spans="2:23" x14ac:dyDescent="0.2">
      <c r="B11" s="190" t="s">
        <v>302</v>
      </c>
      <c r="K11" s="190" t="s">
        <v>107</v>
      </c>
    </row>
    <row r="12" spans="2:23" ht="5.45" customHeight="1" x14ac:dyDescent="0.2">
      <c r="B12" s="190"/>
    </row>
    <row r="13" spans="2:23" x14ac:dyDescent="0.2">
      <c r="B13" s="194" t="s">
        <v>100</v>
      </c>
      <c r="F13" s="194" t="s">
        <v>101</v>
      </c>
      <c r="R13" s="194"/>
      <c r="S13" s="194"/>
      <c r="T13" s="194"/>
      <c r="U13" s="194"/>
    </row>
    <row r="14" spans="2:23" ht="6" customHeight="1" x14ac:dyDescent="0.25">
      <c r="Q14" s="195"/>
      <c r="R14" s="195"/>
      <c r="S14" s="195"/>
      <c r="T14" s="195"/>
      <c r="U14" s="195"/>
    </row>
    <row r="15" spans="2:23" x14ac:dyDescent="0.2">
      <c r="B15" s="280" t="s">
        <v>102</v>
      </c>
    </row>
    <row r="16" spans="2:23" x14ac:dyDescent="0.2">
      <c r="B16" s="280" t="s">
        <v>104</v>
      </c>
    </row>
    <row r="17" spans="1:30" ht="15.75" x14ac:dyDescent="0.25">
      <c r="B17" s="280" t="s">
        <v>103</v>
      </c>
      <c r="Q17" s="195"/>
      <c r="R17" s="195"/>
      <c r="S17" s="195"/>
      <c r="T17" s="195"/>
      <c r="U17" s="195"/>
    </row>
    <row r="18" spans="1:30" ht="15.75" x14ac:dyDescent="0.25">
      <c r="B18" s="280" t="s">
        <v>181</v>
      </c>
      <c r="Q18" s="195"/>
      <c r="R18" s="195"/>
      <c r="S18" s="195"/>
      <c r="T18" s="195"/>
      <c r="U18" s="195"/>
    </row>
    <row r="19" spans="1:30" x14ac:dyDescent="0.2">
      <c r="B19" s="280" t="s">
        <v>180</v>
      </c>
    </row>
    <row r="21" spans="1:30" x14ac:dyDescent="0.2">
      <c r="B21" s="194" t="s">
        <v>105</v>
      </c>
    </row>
    <row r="22" spans="1:30" ht="7.9" customHeight="1" x14ac:dyDescent="0.2"/>
    <row r="23" spans="1:30" x14ac:dyDescent="0.2">
      <c r="B23" s="196" t="s">
        <v>269</v>
      </c>
      <c r="K23" s="472"/>
      <c r="L23" s="472"/>
      <c r="M23" s="472"/>
      <c r="P23" s="637"/>
      <c r="Q23" s="637"/>
      <c r="R23" s="197"/>
      <c r="S23" s="197"/>
      <c r="T23" s="197"/>
      <c r="U23" s="197"/>
    </row>
    <row r="24" spans="1:30" x14ac:dyDescent="0.2">
      <c r="B24" s="196" t="s">
        <v>106</v>
      </c>
      <c r="K24" s="472"/>
      <c r="L24" s="472"/>
      <c r="M24" s="472"/>
    </row>
    <row r="25" spans="1:30" ht="4.9000000000000004" customHeight="1" x14ac:dyDescent="0.2"/>
    <row r="26" spans="1:30" ht="16.149999999999999" customHeight="1" x14ac:dyDescent="0.2">
      <c r="B26" s="465" t="s">
        <v>140</v>
      </c>
      <c r="K26" s="465" t="s">
        <v>141</v>
      </c>
      <c r="R26" s="465" t="s">
        <v>142</v>
      </c>
      <c r="Y26" s="465" t="s">
        <v>231</v>
      </c>
    </row>
    <row r="27" spans="1:30" ht="51" x14ac:dyDescent="0.2">
      <c r="B27" s="289" t="s">
        <v>182</v>
      </c>
      <c r="C27" s="290" t="s">
        <v>73</v>
      </c>
      <c r="D27" s="289" t="s">
        <v>183</v>
      </c>
      <c r="E27" s="290" t="s">
        <v>184</v>
      </c>
      <c r="F27" s="290" t="s">
        <v>185</v>
      </c>
      <c r="G27" s="290" t="s">
        <v>186</v>
      </c>
      <c r="H27" s="290" t="s">
        <v>187</v>
      </c>
      <c r="I27" s="290" t="s">
        <v>188</v>
      </c>
      <c r="K27" s="289" t="s">
        <v>183</v>
      </c>
      <c r="L27" s="290" t="s">
        <v>184</v>
      </c>
      <c r="M27" s="290" t="s">
        <v>185</v>
      </c>
      <c r="N27" s="290" t="s">
        <v>186</v>
      </c>
      <c r="O27" s="290" t="s">
        <v>187</v>
      </c>
      <c r="P27" s="290" t="s">
        <v>188</v>
      </c>
      <c r="R27" s="289" t="s">
        <v>183</v>
      </c>
      <c r="S27" s="290" t="s">
        <v>184</v>
      </c>
      <c r="T27" s="290" t="s">
        <v>185</v>
      </c>
      <c r="U27" s="290" t="s">
        <v>186</v>
      </c>
      <c r="V27" s="290" t="s">
        <v>187</v>
      </c>
      <c r="W27" s="290" t="s">
        <v>188</v>
      </c>
      <c r="Y27" s="289" t="s">
        <v>183</v>
      </c>
      <c r="Z27" s="290" t="s">
        <v>184</v>
      </c>
      <c r="AA27" s="290" t="s">
        <v>185</v>
      </c>
      <c r="AB27" s="290" t="s">
        <v>186</v>
      </c>
      <c r="AC27" s="290" t="s">
        <v>187</v>
      </c>
      <c r="AD27" s="290" t="s">
        <v>188</v>
      </c>
    </row>
    <row r="28" spans="1:30" s="277" customFormat="1" x14ac:dyDescent="0.2">
      <c r="A28" s="236" t="s">
        <v>162</v>
      </c>
      <c r="B28" s="359" t="s">
        <v>112</v>
      </c>
      <c r="C28" s="227" t="s">
        <v>143</v>
      </c>
      <c r="D28" s="218" t="e">
        <f>+D29/D33</f>
        <v>#DIV/0!</v>
      </c>
      <c r="E28" s="308"/>
      <c r="F28" s="308"/>
      <c r="G28" s="308"/>
      <c r="H28" s="308"/>
      <c r="I28" s="308"/>
      <c r="J28" s="192"/>
      <c r="K28" s="218" t="e">
        <f>+K29/K33</f>
        <v>#DIV/0!</v>
      </c>
      <c r="L28" s="308"/>
      <c r="M28" s="308"/>
      <c r="N28" s="308"/>
      <c r="O28" s="308"/>
      <c r="P28" s="308"/>
      <c r="Q28" s="192"/>
      <c r="R28" s="218" t="e">
        <f>+R29/R33</f>
        <v>#DIV/0!</v>
      </c>
      <c r="S28" s="308"/>
      <c r="T28" s="308"/>
      <c r="U28" s="308"/>
      <c r="V28" s="308"/>
      <c r="W28" s="308"/>
      <c r="Y28" s="218" t="e">
        <f>+Y29/Y33</f>
        <v>#DIV/0!</v>
      </c>
      <c r="Z28" s="308"/>
      <c r="AA28" s="308"/>
      <c r="AB28" s="308"/>
      <c r="AC28" s="308"/>
      <c r="AD28" s="308"/>
    </row>
    <row r="29" spans="1:30" ht="22.5" x14ac:dyDescent="0.2">
      <c r="A29" s="236" t="s">
        <v>160</v>
      </c>
      <c r="B29" s="309" t="s">
        <v>109</v>
      </c>
      <c r="C29" s="303" t="s">
        <v>108</v>
      </c>
      <c r="D29" s="217">
        <f>+Datos!F28</f>
        <v>0</v>
      </c>
      <c r="E29" s="310" t="s">
        <v>191</v>
      </c>
      <c r="F29" s="311" t="s">
        <v>191</v>
      </c>
      <c r="G29" s="312">
        <f>SQRT((G30*G30)+(G31*G31)+(G32*G32))</f>
        <v>0.87996212039685739</v>
      </c>
      <c r="H29" s="299" t="e">
        <f>1/D33</f>
        <v>#DIV/0!</v>
      </c>
      <c r="I29" s="299" t="e">
        <f>+H29*G29</f>
        <v>#DIV/0!</v>
      </c>
      <c r="K29" s="217">
        <f>+Datos!H28</f>
        <v>0</v>
      </c>
      <c r="L29" s="310" t="s">
        <v>191</v>
      </c>
      <c r="M29" s="311" t="s">
        <v>191</v>
      </c>
      <c r="N29" s="312">
        <f>SQRT((N30*N30)+(N31*N31)+(N32*N32))</f>
        <v>0.87996212039685739</v>
      </c>
      <c r="O29" s="299" t="e">
        <f>1/K33</f>
        <v>#DIV/0!</v>
      </c>
      <c r="P29" s="299" t="e">
        <f>+O29*N29</f>
        <v>#DIV/0!</v>
      </c>
      <c r="R29" s="217">
        <f>+Datos!J28</f>
        <v>0</v>
      </c>
      <c r="S29" s="310" t="s">
        <v>191</v>
      </c>
      <c r="T29" s="311" t="s">
        <v>191</v>
      </c>
      <c r="U29" s="312">
        <f>SQRT((U30*U30)+(U31*U31)+(U32*U32))</f>
        <v>0.87996212039685739</v>
      </c>
      <c r="V29" s="299" t="e">
        <f>1/R33</f>
        <v>#DIV/0!</v>
      </c>
      <c r="W29" s="299" t="e">
        <f>+V29*U29</f>
        <v>#DIV/0!</v>
      </c>
      <c r="Y29" s="217">
        <f>+Datos!L28</f>
        <v>0</v>
      </c>
      <c r="Z29" s="310" t="s">
        <v>191</v>
      </c>
      <c r="AA29" s="311" t="s">
        <v>191</v>
      </c>
      <c r="AB29" s="312">
        <f>SQRT((AB30*AB30)+(AB31*AB31)+(AB32*AB32))</f>
        <v>0.87996212039685739</v>
      </c>
      <c r="AC29" s="299" t="e">
        <f>1/Y33</f>
        <v>#DIV/0!</v>
      </c>
      <c r="AD29" s="299" t="e">
        <f>+AC29*AB29</f>
        <v>#DIV/0!</v>
      </c>
    </row>
    <row r="30" spans="1:30" x14ac:dyDescent="0.2">
      <c r="A30" s="236"/>
      <c r="B30" s="313" t="s">
        <v>189</v>
      </c>
      <c r="C30" s="297" t="s">
        <v>108</v>
      </c>
      <c r="D30" s="298"/>
      <c r="E30" s="291">
        <f>IF(Datos!$L$2="CONO 1",Balanza!H25,Balanza!V25)</f>
        <v>0</v>
      </c>
      <c r="F30" s="292" t="s">
        <v>190</v>
      </c>
      <c r="G30" s="293">
        <f>+E30</f>
        <v>0</v>
      </c>
      <c r="H30" s="294" t="s">
        <v>191</v>
      </c>
      <c r="I30" s="294" t="s">
        <v>191</v>
      </c>
      <c r="K30" s="298"/>
      <c r="L30" s="291">
        <f>IF(Datos!$L$2="CONO 1",Balanza!J25,Balanza!X25)</f>
        <v>0</v>
      </c>
      <c r="M30" s="292" t="s">
        <v>190</v>
      </c>
      <c r="N30" s="293">
        <f>+L30</f>
        <v>0</v>
      </c>
      <c r="O30" s="294" t="s">
        <v>191</v>
      </c>
      <c r="P30" s="294" t="s">
        <v>191</v>
      </c>
      <c r="R30" s="298"/>
      <c r="S30" s="291">
        <f>IF(Datos!$L$2="CONO 1",Balanza!L25,Balanza!Z25)</f>
        <v>0</v>
      </c>
      <c r="T30" s="292" t="s">
        <v>190</v>
      </c>
      <c r="U30" s="293">
        <f>+S30</f>
        <v>0</v>
      </c>
      <c r="V30" s="294" t="s">
        <v>191</v>
      </c>
      <c r="W30" s="294" t="s">
        <v>191</v>
      </c>
      <c r="Y30" s="298"/>
      <c r="Z30" s="291">
        <f>IF(Datos!$L$2="CONO 1",Balanza!N25,Balanza!AB25)</f>
        <v>0</v>
      </c>
      <c r="AA30" s="292" t="s">
        <v>190</v>
      </c>
      <c r="AB30" s="293">
        <f>+Z30</f>
        <v>0</v>
      </c>
      <c r="AC30" s="294" t="s">
        <v>191</v>
      </c>
      <c r="AD30" s="294" t="s">
        <v>191</v>
      </c>
    </row>
    <row r="31" spans="1:30" x14ac:dyDescent="0.2">
      <c r="A31" s="236"/>
      <c r="B31" s="313" t="s">
        <v>192</v>
      </c>
      <c r="C31" s="297" t="s">
        <v>108</v>
      </c>
      <c r="D31" s="298"/>
      <c r="E31" s="291">
        <f>IF(Datos!$L$2="CONO 1",2*(SQRT(Balanza!$C$8+Balanza!$D$8*(POWER(D29,2)))),2*(SQRT(Balanza!$Q$8+Balanza!$R$8*(POWER(D29,2)))))</f>
        <v>1.6625281952496325</v>
      </c>
      <c r="F31" s="292" t="s">
        <v>193</v>
      </c>
      <c r="G31" s="293">
        <f>+E31/2</f>
        <v>0.83126409762481623</v>
      </c>
      <c r="H31" s="294" t="s">
        <v>191</v>
      </c>
      <c r="I31" s="294" t="s">
        <v>191</v>
      </c>
      <c r="K31" s="298"/>
      <c r="L31" s="291">
        <f>IF(Datos!$L$2="CONO 1",2*(SQRT(Balanza!$C$8+Balanza!$D$8*(POWER(K29,2)))),2*(SQRT(Balanza!$Q$8+Balanza!$R$8*(POWER(K29,2)))))</f>
        <v>1.6625281952496325</v>
      </c>
      <c r="M31" s="292" t="s">
        <v>193</v>
      </c>
      <c r="N31" s="293">
        <f>+L31/2</f>
        <v>0.83126409762481623</v>
      </c>
      <c r="O31" s="294" t="s">
        <v>191</v>
      </c>
      <c r="P31" s="294" t="s">
        <v>191</v>
      </c>
      <c r="R31" s="298"/>
      <c r="S31" s="291">
        <f>IF(Datos!$L$2="CONO 1",2*(SQRT(Balanza!$C$8+Balanza!$D$8*(POWER(R29,2)))),2*(SQRT(Balanza!$Q$8+Balanza!$R$8*(POWER(R29,2)))))</f>
        <v>1.6625281952496325</v>
      </c>
      <c r="T31" s="292" t="s">
        <v>193</v>
      </c>
      <c r="U31" s="293">
        <f>+S31/2</f>
        <v>0.83126409762481623</v>
      </c>
      <c r="V31" s="294" t="s">
        <v>191</v>
      </c>
      <c r="W31" s="294" t="s">
        <v>191</v>
      </c>
      <c r="Y31" s="298"/>
      <c r="Z31" s="291">
        <f>IF(Datos!$L$2="CONO 1",2*(SQRT(Balanza!$C$8+Balanza!$D$8*(POWER(Y29,2)))),2*(SQRT(Balanza!$Q$8+Balanza!$R$8*(POWER(Y29,2)))))</f>
        <v>1.6625281952496325</v>
      </c>
      <c r="AA31" s="292" t="s">
        <v>193</v>
      </c>
      <c r="AB31" s="293">
        <f>+Z31/2</f>
        <v>0.83126409762481623</v>
      </c>
      <c r="AC31" s="294" t="s">
        <v>191</v>
      </c>
      <c r="AD31" s="294" t="s">
        <v>191</v>
      </c>
    </row>
    <row r="32" spans="1:30" x14ac:dyDescent="0.2">
      <c r="A32" s="236"/>
      <c r="B32" s="313" t="s">
        <v>194</v>
      </c>
      <c r="C32" s="297" t="s">
        <v>108</v>
      </c>
      <c r="D32" s="298"/>
      <c r="E32" s="291">
        <f>IF(Datos!$L$2="CONO 1",Balanza!$C$10,Balanza!$Q$10)</f>
        <v>1</v>
      </c>
      <c r="F32" s="295" t="s">
        <v>195</v>
      </c>
      <c r="G32" s="293">
        <f>+E32/SQRT(3)/2</f>
        <v>0.28867513459481292</v>
      </c>
      <c r="H32" s="294" t="s">
        <v>191</v>
      </c>
      <c r="I32" s="294" t="s">
        <v>191</v>
      </c>
      <c r="K32" s="298"/>
      <c r="L32" s="291">
        <f>IF(Datos!$L$2="CONO 1",Balanza!$C$10,Balanza!$Q$10)</f>
        <v>1</v>
      </c>
      <c r="M32" s="295" t="s">
        <v>195</v>
      </c>
      <c r="N32" s="293">
        <f>+L32/SQRT(3)/2</f>
        <v>0.28867513459481292</v>
      </c>
      <c r="O32" s="294" t="s">
        <v>191</v>
      </c>
      <c r="P32" s="294" t="s">
        <v>191</v>
      </c>
      <c r="R32" s="298"/>
      <c r="S32" s="291">
        <f>IF(Datos!$L$2="CONO 1",Balanza!$C$10,Balanza!$Q$10)</f>
        <v>1</v>
      </c>
      <c r="T32" s="295" t="s">
        <v>195</v>
      </c>
      <c r="U32" s="293">
        <f>+S32/SQRT(3)/2</f>
        <v>0.28867513459481292</v>
      </c>
      <c r="V32" s="294" t="s">
        <v>191</v>
      </c>
      <c r="W32" s="294" t="s">
        <v>191</v>
      </c>
      <c r="Y32" s="298"/>
      <c r="Z32" s="291">
        <f>IF(Datos!$L$2="CONO 1",Balanza!$C$10,Balanza!$Q$10)</f>
        <v>1</v>
      </c>
      <c r="AA32" s="295" t="s">
        <v>195</v>
      </c>
      <c r="AB32" s="293">
        <f>+Z32/SQRT(3)/2</f>
        <v>0.28867513459481292</v>
      </c>
      <c r="AC32" s="294" t="s">
        <v>191</v>
      </c>
      <c r="AD32" s="294" t="s">
        <v>191</v>
      </c>
    </row>
    <row r="33" spans="1:30" x14ac:dyDescent="0.2">
      <c r="A33" s="202" t="s">
        <v>159</v>
      </c>
      <c r="B33" s="360" t="s">
        <v>151</v>
      </c>
      <c r="C33" s="303" t="s">
        <v>144</v>
      </c>
      <c r="D33" s="217" t="e">
        <f>+Datos!F26</f>
        <v>#DIV/0!</v>
      </c>
      <c r="E33" s="310"/>
      <c r="F33" s="310"/>
      <c r="G33" s="299" t="e">
        <f>+I80</f>
        <v>#DIV/0!</v>
      </c>
      <c r="H33" s="315" t="e">
        <f>+D29/D33^2</f>
        <v>#DIV/0!</v>
      </c>
      <c r="I33" s="299" t="e">
        <f>+H33*G33</f>
        <v>#DIV/0!</v>
      </c>
      <c r="K33" s="217" t="e">
        <f>+Datos!H26</f>
        <v>#DIV/0!</v>
      </c>
      <c r="L33" s="310"/>
      <c r="M33" s="310"/>
      <c r="N33" s="299" t="e">
        <f>+P80</f>
        <v>#DIV/0!</v>
      </c>
      <c r="O33" s="315" t="e">
        <f>+K29/K33^2</f>
        <v>#DIV/0!</v>
      </c>
      <c r="P33" s="299" t="e">
        <f>+O33*N33</f>
        <v>#DIV/0!</v>
      </c>
      <c r="R33" s="217" t="e">
        <f>+Datos!J26</f>
        <v>#DIV/0!</v>
      </c>
      <c r="S33" s="310"/>
      <c r="T33" s="310"/>
      <c r="U33" s="299" t="e">
        <f>+W80</f>
        <v>#DIV/0!</v>
      </c>
      <c r="V33" s="315" t="e">
        <f>+R29/R33^2</f>
        <v>#DIV/0!</v>
      </c>
      <c r="W33" s="299" t="e">
        <f>+V33*U33</f>
        <v>#DIV/0!</v>
      </c>
      <c r="Y33" s="217" t="e">
        <f>+Datos!L26</f>
        <v>#DIV/0!</v>
      </c>
      <c r="Z33" s="310"/>
      <c r="AA33" s="310"/>
      <c r="AB33" s="299" t="e">
        <f>+AD80</f>
        <v>#DIV/0!</v>
      </c>
      <c r="AC33" s="315" t="e">
        <f>+Y29/Y33^2</f>
        <v>#DIV/0!</v>
      </c>
      <c r="AD33" s="299" t="e">
        <f>+AC33*AB33</f>
        <v>#DIV/0!</v>
      </c>
    </row>
    <row r="34" spans="1:30" x14ac:dyDescent="0.2">
      <c r="A34" s="202"/>
      <c r="B34" s="316" t="s">
        <v>196</v>
      </c>
      <c r="C34" s="303" t="s">
        <v>143</v>
      </c>
      <c r="D34" s="317">
        <f>+Precision!$B$6</f>
        <v>2.8900000000000002E-3</v>
      </c>
      <c r="E34" s="318"/>
      <c r="F34" s="319" t="s">
        <v>197</v>
      </c>
      <c r="G34" s="318">
        <f>D34/SQRT(1)</f>
        <v>2.8900000000000002E-3</v>
      </c>
      <c r="H34" s="320">
        <v>1</v>
      </c>
      <c r="I34" s="318">
        <f>+G34*H34</f>
        <v>2.8900000000000002E-3</v>
      </c>
      <c r="K34" s="317">
        <f>+D34</f>
        <v>2.8900000000000002E-3</v>
      </c>
      <c r="L34" s="318"/>
      <c r="M34" s="319" t="s">
        <v>197</v>
      </c>
      <c r="N34" s="318">
        <f>K34/SQRT(1)</f>
        <v>2.8900000000000002E-3</v>
      </c>
      <c r="O34" s="320">
        <v>1</v>
      </c>
      <c r="P34" s="318">
        <f>+N34*O34</f>
        <v>2.8900000000000002E-3</v>
      </c>
      <c r="R34" s="317">
        <f>+D34</f>
        <v>2.8900000000000002E-3</v>
      </c>
      <c r="S34" s="318"/>
      <c r="T34" s="319" t="s">
        <v>197</v>
      </c>
      <c r="U34" s="318">
        <f>R34/SQRT(1)</f>
        <v>2.8900000000000002E-3</v>
      </c>
      <c r="V34" s="320">
        <v>1</v>
      </c>
      <c r="W34" s="318">
        <f>+U34*V34</f>
        <v>2.8900000000000002E-3</v>
      </c>
      <c r="Y34" s="317">
        <f>+D34</f>
        <v>2.8900000000000002E-3</v>
      </c>
      <c r="Z34" s="318"/>
      <c r="AA34" s="319" t="s">
        <v>197</v>
      </c>
      <c r="AB34" s="318">
        <f>Y34/SQRT(1)</f>
        <v>2.8900000000000002E-3</v>
      </c>
      <c r="AC34" s="320">
        <v>1</v>
      </c>
      <c r="AD34" s="318">
        <f>+AB34*AC34</f>
        <v>2.8900000000000002E-3</v>
      </c>
    </row>
    <row r="35" spans="1:30" x14ac:dyDescent="0.2">
      <c r="A35" s="198"/>
      <c r="B35" s="321" t="s">
        <v>198</v>
      </c>
      <c r="C35" s="322"/>
      <c r="D35" s="321"/>
      <c r="E35" s="321"/>
      <c r="F35" s="323"/>
      <c r="G35" s="321"/>
      <c r="H35" s="324"/>
      <c r="I35" s="328" t="e">
        <f>SQRT(I29^2+I33^2+I34^2)</f>
        <v>#DIV/0!</v>
      </c>
      <c r="K35" s="321"/>
      <c r="L35" s="321"/>
      <c r="M35" s="323"/>
      <c r="N35" s="321"/>
      <c r="O35" s="324"/>
      <c r="P35" s="328" t="e">
        <f>SQRT(P29^2+P33^2+P34^2)</f>
        <v>#DIV/0!</v>
      </c>
      <c r="R35" s="321"/>
      <c r="S35" s="321"/>
      <c r="T35" s="323"/>
      <c r="U35" s="321"/>
      <c r="V35" s="324"/>
      <c r="W35" s="328" t="e">
        <f>SQRT(W29^2+W33^2+W34^2)</f>
        <v>#DIV/0!</v>
      </c>
      <c r="Y35" s="321"/>
      <c r="Z35" s="321"/>
      <c r="AA35" s="323"/>
      <c r="AB35" s="321"/>
      <c r="AC35" s="324"/>
      <c r="AD35" s="328" t="e">
        <f>SQRT(AD29^2+AD33^2+AD34^2)</f>
        <v>#DIV/0!</v>
      </c>
    </row>
    <row r="36" spans="1:30" x14ac:dyDescent="0.2">
      <c r="A36" s="198"/>
      <c r="B36" s="305" t="s">
        <v>199</v>
      </c>
      <c r="C36" s="306"/>
      <c r="D36" s="306"/>
      <c r="E36" s="307"/>
      <c r="F36" s="306"/>
      <c r="G36" s="307"/>
      <c r="H36" s="227" t="s">
        <v>143</v>
      </c>
      <c r="I36" s="329" t="e">
        <f>+I35*2</f>
        <v>#DIV/0!</v>
      </c>
      <c r="J36" s="395"/>
      <c r="K36" s="466"/>
      <c r="L36" s="467"/>
      <c r="M36" s="468"/>
      <c r="N36" s="469"/>
      <c r="O36" s="227" t="s">
        <v>143</v>
      </c>
      <c r="P36" s="329" t="e">
        <f>+P35*2</f>
        <v>#DIV/0!</v>
      </c>
      <c r="R36" s="466"/>
      <c r="S36" s="467"/>
      <c r="T36" s="468"/>
      <c r="U36" s="469"/>
      <c r="V36" s="227" t="s">
        <v>143</v>
      </c>
      <c r="W36" s="329" t="e">
        <f>+W35*2</f>
        <v>#DIV/0!</v>
      </c>
      <c r="Y36" s="306"/>
      <c r="Z36" s="307"/>
      <c r="AA36" s="306"/>
      <c r="AB36" s="307"/>
      <c r="AC36" s="227" t="s">
        <v>143</v>
      </c>
      <c r="AD36" s="329" t="e">
        <f>+AD35*2</f>
        <v>#DIV/0!</v>
      </c>
    </row>
    <row r="37" spans="1:30" x14ac:dyDescent="0.2">
      <c r="A37" s="198"/>
      <c r="B37" s="285"/>
      <c r="C37" s="286"/>
      <c r="D37" s="287"/>
      <c r="E37" s="287"/>
      <c r="J37" s="396"/>
      <c r="K37" s="375"/>
    </row>
    <row r="38" spans="1:30" ht="51" x14ac:dyDescent="0.2">
      <c r="A38" s="198"/>
      <c r="B38" s="289" t="s">
        <v>182</v>
      </c>
      <c r="C38" s="290" t="s">
        <v>73</v>
      </c>
      <c r="D38" s="289" t="s">
        <v>183</v>
      </c>
      <c r="E38" s="290" t="s">
        <v>184</v>
      </c>
      <c r="F38" s="290" t="s">
        <v>185</v>
      </c>
      <c r="G38" s="290" t="s">
        <v>186</v>
      </c>
      <c r="H38" s="290" t="s">
        <v>187</v>
      </c>
      <c r="I38" s="290" t="s">
        <v>188</v>
      </c>
      <c r="K38" s="289" t="s">
        <v>183</v>
      </c>
      <c r="L38" s="290" t="s">
        <v>184</v>
      </c>
      <c r="M38" s="290" t="s">
        <v>185</v>
      </c>
      <c r="N38" s="290" t="s">
        <v>186</v>
      </c>
      <c r="O38" s="290" t="s">
        <v>187</v>
      </c>
      <c r="P38" s="290" t="s">
        <v>188</v>
      </c>
      <c r="R38" s="289" t="s">
        <v>183</v>
      </c>
      <c r="S38" s="290" t="s">
        <v>184</v>
      </c>
      <c r="T38" s="290" t="s">
        <v>185</v>
      </c>
      <c r="U38" s="290" t="s">
        <v>186</v>
      </c>
      <c r="V38" s="290" t="s">
        <v>187</v>
      </c>
      <c r="W38" s="290" t="s">
        <v>188</v>
      </c>
      <c r="Y38" s="289" t="s">
        <v>183</v>
      </c>
      <c r="Z38" s="290" t="s">
        <v>184</v>
      </c>
      <c r="AA38" s="290" t="s">
        <v>185</v>
      </c>
      <c r="AB38" s="290" t="s">
        <v>186</v>
      </c>
      <c r="AC38" s="290" t="s">
        <v>187</v>
      </c>
      <c r="AD38" s="290" t="s">
        <v>188</v>
      </c>
    </row>
    <row r="39" spans="1:30" x14ac:dyDescent="0.2">
      <c r="A39" s="202" t="s">
        <v>163</v>
      </c>
      <c r="B39" s="359" t="s">
        <v>113</v>
      </c>
      <c r="C39" s="202" t="s">
        <v>146</v>
      </c>
      <c r="D39" s="218" t="e">
        <f>D40/D41</f>
        <v>#DIV/0!</v>
      </c>
      <c r="E39" s="327"/>
      <c r="F39" s="326"/>
      <c r="G39" s="352"/>
      <c r="H39" s="355"/>
      <c r="I39" s="355"/>
      <c r="K39" s="218" t="e">
        <f>K40/K41</f>
        <v>#DIV/0!</v>
      </c>
      <c r="L39" s="327"/>
      <c r="M39" s="326"/>
      <c r="N39" s="352"/>
      <c r="O39" s="355"/>
      <c r="P39" s="355"/>
      <c r="R39" s="218" t="e">
        <f>R40/R41</f>
        <v>#DIV/0!</v>
      </c>
      <c r="S39" s="327"/>
      <c r="T39" s="326"/>
      <c r="U39" s="352"/>
      <c r="V39" s="355"/>
      <c r="W39" s="355"/>
      <c r="Y39" s="218" t="e">
        <f>Y40/Y41</f>
        <v>#DIV/0!</v>
      </c>
      <c r="Z39" s="327"/>
      <c r="AA39" s="326"/>
      <c r="AB39" s="352"/>
      <c r="AC39" s="355"/>
      <c r="AD39" s="355"/>
    </row>
    <row r="40" spans="1:30" ht="22.5" x14ac:dyDescent="0.2">
      <c r="A40" s="202" t="s">
        <v>161</v>
      </c>
      <c r="B40" s="309" t="s">
        <v>110</v>
      </c>
      <c r="C40" s="349" t="s">
        <v>108</v>
      </c>
      <c r="D40" s="350">
        <f>100*D29/(D69+100)</f>
        <v>0</v>
      </c>
      <c r="E40" s="275" t="s">
        <v>191</v>
      </c>
      <c r="F40" s="275" t="s">
        <v>191</v>
      </c>
      <c r="G40" s="275">
        <f>+I70</f>
        <v>0.87996212039685739</v>
      </c>
      <c r="H40" s="353" t="e">
        <f>1/D41</f>
        <v>#DIV/0!</v>
      </c>
      <c r="I40" s="354" t="e">
        <f>+G40*H40</f>
        <v>#DIV/0!</v>
      </c>
      <c r="K40" s="350">
        <f>100*K29/(K69+100)</f>
        <v>0</v>
      </c>
      <c r="L40" s="275" t="s">
        <v>191</v>
      </c>
      <c r="M40" s="275" t="s">
        <v>191</v>
      </c>
      <c r="N40" s="275">
        <f>+P70</f>
        <v>0.87996212039685739</v>
      </c>
      <c r="O40" s="353" t="e">
        <f>1/K41</f>
        <v>#DIV/0!</v>
      </c>
      <c r="P40" s="354" t="e">
        <f>+N40*O40</f>
        <v>#DIV/0!</v>
      </c>
      <c r="R40" s="350">
        <f>100*R29/(R69+100)</f>
        <v>0</v>
      </c>
      <c r="S40" s="275" t="s">
        <v>191</v>
      </c>
      <c r="T40" s="275" t="s">
        <v>191</v>
      </c>
      <c r="U40" s="275">
        <f>+W70</f>
        <v>0.87996212039685739</v>
      </c>
      <c r="V40" s="353" t="e">
        <f>1/R41</f>
        <v>#DIV/0!</v>
      </c>
      <c r="W40" s="354" t="e">
        <f>+U40*V40</f>
        <v>#DIV/0!</v>
      </c>
      <c r="Y40" s="350">
        <f>100*Y29/(Y69+100)</f>
        <v>0</v>
      </c>
      <c r="Z40" s="275" t="s">
        <v>191</v>
      </c>
      <c r="AA40" s="275" t="s">
        <v>191</v>
      </c>
      <c r="AB40" s="275">
        <f>+AD70</f>
        <v>0.87996212039685739</v>
      </c>
      <c r="AC40" s="353" t="e">
        <f>1/Y41</f>
        <v>#DIV/0!</v>
      </c>
      <c r="AD40" s="354" t="e">
        <f>+AB40*AC40</f>
        <v>#DIV/0!</v>
      </c>
    </row>
    <row r="41" spans="1:30" x14ac:dyDescent="0.2">
      <c r="A41" s="202" t="s">
        <v>159</v>
      </c>
      <c r="B41" s="360" t="s">
        <v>151</v>
      </c>
      <c r="C41" s="303" t="s">
        <v>144</v>
      </c>
      <c r="D41" s="217" t="e">
        <f>+Datos!F26</f>
        <v>#DIV/0!</v>
      </c>
      <c r="E41" s="275" t="s">
        <v>191</v>
      </c>
      <c r="F41" s="275" t="s">
        <v>191</v>
      </c>
      <c r="G41" s="275" t="e">
        <f>+I80</f>
        <v>#DIV/0!</v>
      </c>
      <c r="H41" s="348" t="e">
        <f>+D40/D41^2</f>
        <v>#DIV/0!</v>
      </c>
      <c r="I41" s="318" t="e">
        <f>+G41*H41</f>
        <v>#DIV/0!</v>
      </c>
      <c r="K41" s="217" t="e">
        <f>+Datos!H26</f>
        <v>#DIV/0!</v>
      </c>
      <c r="L41" s="275" t="s">
        <v>191</v>
      </c>
      <c r="M41" s="275" t="s">
        <v>191</v>
      </c>
      <c r="N41" s="275" t="e">
        <f>+P80</f>
        <v>#DIV/0!</v>
      </c>
      <c r="O41" s="348" t="e">
        <f>+K40/K41^2</f>
        <v>#DIV/0!</v>
      </c>
      <c r="P41" s="318" t="e">
        <f>+N41*O41</f>
        <v>#DIV/0!</v>
      </c>
      <c r="R41" s="217" t="e">
        <f>+Datos!J26</f>
        <v>#DIV/0!</v>
      </c>
      <c r="S41" s="275" t="s">
        <v>191</v>
      </c>
      <c r="T41" s="275" t="s">
        <v>191</v>
      </c>
      <c r="U41" s="275" t="e">
        <f>+W80</f>
        <v>#DIV/0!</v>
      </c>
      <c r="V41" s="348" t="e">
        <f>+R40/R41^2</f>
        <v>#DIV/0!</v>
      </c>
      <c r="W41" s="318" t="e">
        <f>+U41*V41</f>
        <v>#DIV/0!</v>
      </c>
      <c r="Y41" s="217" t="e">
        <f>+Datos!L26</f>
        <v>#DIV/0!</v>
      </c>
      <c r="Z41" s="275" t="s">
        <v>191</v>
      </c>
      <c r="AA41" s="275" t="s">
        <v>191</v>
      </c>
      <c r="AB41" s="275" t="e">
        <f>+AD80</f>
        <v>#DIV/0!</v>
      </c>
      <c r="AC41" s="348" t="e">
        <f>+Y40/Y41^2</f>
        <v>#DIV/0!</v>
      </c>
      <c r="AD41" s="318" t="e">
        <f>+AB41*AC41</f>
        <v>#DIV/0!</v>
      </c>
    </row>
    <row r="42" spans="1:30" x14ac:dyDescent="0.2">
      <c r="A42" s="198"/>
      <c r="B42" s="321" t="s">
        <v>198</v>
      </c>
      <c r="C42" s="322"/>
      <c r="D42" s="321"/>
      <c r="E42" s="321"/>
      <c r="F42" s="323"/>
      <c r="G42" s="321"/>
      <c r="H42" s="324"/>
      <c r="I42" s="328" t="e">
        <f>SQRT(I40^2+I41^2)</f>
        <v>#DIV/0!</v>
      </c>
      <c r="K42" s="321"/>
      <c r="L42" s="321"/>
      <c r="M42" s="323"/>
      <c r="N42" s="321"/>
      <c r="O42" s="324"/>
      <c r="P42" s="328" t="e">
        <f>SQRT(P40^2+P41^2)</f>
        <v>#DIV/0!</v>
      </c>
      <c r="R42" s="321"/>
      <c r="S42" s="321"/>
      <c r="T42" s="323"/>
      <c r="U42" s="321"/>
      <c r="V42" s="324"/>
      <c r="W42" s="328" t="e">
        <f>SQRT(W40^2+W41^2)</f>
        <v>#DIV/0!</v>
      </c>
      <c r="Y42" s="321"/>
      <c r="Z42" s="321"/>
      <c r="AA42" s="323"/>
      <c r="AB42" s="321"/>
      <c r="AC42" s="324"/>
      <c r="AD42" s="328" t="e">
        <f>SQRT(AD40^2+AD41^2)</f>
        <v>#DIV/0!</v>
      </c>
    </row>
    <row r="43" spans="1:30" x14ac:dyDescent="0.2">
      <c r="A43" s="198"/>
      <c r="B43" s="305" t="s">
        <v>199</v>
      </c>
      <c r="C43" s="306"/>
      <c r="D43" s="306"/>
      <c r="E43" s="307"/>
      <c r="F43" s="306"/>
      <c r="G43" s="307"/>
      <c r="H43" s="227" t="s">
        <v>143</v>
      </c>
      <c r="I43" s="329" t="e">
        <f>+I42*2</f>
        <v>#DIV/0!</v>
      </c>
      <c r="K43" s="466"/>
      <c r="L43" s="467"/>
      <c r="M43" s="468"/>
      <c r="N43" s="469"/>
      <c r="O43" s="227" t="s">
        <v>143</v>
      </c>
      <c r="P43" s="329" t="e">
        <f>+P42*2</f>
        <v>#DIV/0!</v>
      </c>
      <c r="R43" s="466"/>
      <c r="S43" s="467"/>
      <c r="T43" s="468"/>
      <c r="U43" s="469"/>
      <c r="V43" s="227" t="s">
        <v>143</v>
      </c>
      <c r="W43" s="329" t="e">
        <f>+W42*2</f>
        <v>#DIV/0!</v>
      </c>
      <c r="Y43" s="306"/>
      <c r="Z43" s="307"/>
      <c r="AA43" s="306"/>
      <c r="AB43" s="307"/>
      <c r="AC43" s="227" t="s">
        <v>143</v>
      </c>
      <c r="AD43" s="329" t="e">
        <f>+AD42*2</f>
        <v>#DIV/0!</v>
      </c>
    </row>
    <row r="44" spans="1:30" x14ac:dyDescent="0.2">
      <c r="A44" s="198"/>
      <c r="B44" s="285"/>
      <c r="C44" s="286"/>
      <c r="D44" s="287"/>
      <c r="E44" s="287"/>
    </row>
    <row r="45" spans="1:30" ht="51" x14ac:dyDescent="0.2">
      <c r="A45" s="198"/>
      <c r="B45" s="289" t="s">
        <v>182</v>
      </c>
      <c r="C45" s="290" t="s">
        <v>73</v>
      </c>
      <c r="D45" s="289" t="s">
        <v>183</v>
      </c>
      <c r="E45" s="290" t="s">
        <v>184</v>
      </c>
      <c r="F45" s="290" t="s">
        <v>185</v>
      </c>
      <c r="G45" s="290" t="s">
        <v>186</v>
      </c>
      <c r="H45" s="290" t="s">
        <v>187</v>
      </c>
      <c r="I45" s="290" t="s">
        <v>188</v>
      </c>
      <c r="K45" s="289" t="s">
        <v>183</v>
      </c>
      <c r="L45" s="290" t="s">
        <v>184</v>
      </c>
      <c r="M45" s="290" t="s">
        <v>185</v>
      </c>
      <c r="N45" s="290" t="s">
        <v>186</v>
      </c>
      <c r="O45" s="290" t="s">
        <v>187</v>
      </c>
      <c r="P45" s="290" t="s">
        <v>188</v>
      </c>
      <c r="R45" s="289" t="s">
        <v>183</v>
      </c>
      <c r="S45" s="290" t="s">
        <v>184</v>
      </c>
      <c r="T45" s="290" t="s">
        <v>185</v>
      </c>
      <c r="U45" s="290" t="s">
        <v>186</v>
      </c>
      <c r="V45" s="290" t="s">
        <v>187</v>
      </c>
      <c r="W45" s="290" t="s">
        <v>188</v>
      </c>
      <c r="Y45" s="289" t="s">
        <v>183</v>
      </c>
      <c r="Z45" s="290" t="s">
        <v>184</v>
      </c>
      <c r="AA45" s="290" t="s">
        <v>185</v>
      </c>
      <c r="AB45" s="290" t="s">
        <v>186</v>
      </c>
      <c r="AC45" s="290" t="s">
        <v>187</v>
      </c>
      <c r="AD45" s="290" t="s">
        <v>188</v>
      </c>
    </row>
    <row r="46" spans="1:30" x14ac:dyDescent="0.2">
      <c r="A46" s="198"/>
      <c r="B46" s="361" t="s">
        <v>114</v>
      </c>
      <c r="C46" s="236" t="s">
        <v>204</v>
      </c>
      <c r="D46" s="218" t="e">
        <f>+D47*9.8066</f>
        <v>#DIV/0!</v>
      </c>
      <c r="E46" s="218"/>
      <c r="F46" s="273"/>
      <c r="G46" s="273"/>
      <c r="H46" s="273"/>
      <c r="I46" s="273"/>
      <c r="K46" s="218" t="e">
        <f>+K47*9.8066</f>
        <v>#DIV/0!</v>
      </c>
      <c r="L46" s="218"/>
      <c r="M46" s="273"/>
      <c r="N46" s="273"/>
      <c r="O46" s="273"/>
      <c r="P46" s="273"/>
      <c r="R46" s="218" t="e">
        <f>+R47*9.8066</f>
        <v>#DIV/0!</v>
      </c>
      <c r="S46" s="218"/>
      <c r="T46" s="273"/>
      <c r="U46" s="273"/>
      <c r="V46" s="273"/>
      <c r="W46" s="273"/>
      <c r="Y46" s="218" t="e">
        <f>+Y47*9.8066</f>
        <v>#DIV/0!</v>
      </c>
      <c r="Z46" s="218"/>
      <c r="AA46" s="273"/>
      <c r="AB46" s="273"/>
      <c r="AC46" s="273"/>
      <c r="AD46" s="273"/>
    </row>
    <row r="47" spans="1:30" x14ac:dyDescent="0.2">
      <c r="A47" s="202" t="s">
        <v>163</v>
      </c>
      <c r="B47" s="309" t="s">
        <v>113</v>
      </c>
      <c r="C47" s="362" t="s">
        <v>146</v>
      </c>
      <c r="D47" s="302" t="e">
        <f>+D39</f>
        <v>#DIV/0!</v>
      </c>
      <c r="E47" s="275" t="s">
        <v>191</v>
      </c>
      <c r="F47" s="275" t="s">
        <v>191</v>
      </c>
      <c r="G47" s="275" t="e">
        <f>+I42</f>
        <v>#DIV/0!</v>
      </c>
      <c r="H47" s="348">
        <v>62.427999999999997</v>
      </c>
      <c r="I47" s="348" t="e">
        <f>+G47*H47</f>
        <v>#DIV/0!</v>
      </c>
      <c r="K47" s="302" t="e">
        <f>+K39</f>
        <v>#DIV/0!</v>
      </c>
      <c r="L47" s="275" t="s">
        <v>191</v>
      </c>
      <c r="M47" s="275" t="s">
        <v>191</v>
      </c>
      <c r="N47" s="275" t="e">
        <f>+P42</f>
        <v>#DIV/0!</v>
      </c>
      <c r="O47" s="348">
        <v>62.427999999999997</v>
      </c>
      <c r="P47" s="348" t="e">
        <f>+N47*O47</f>
        <v>#DIV/0!</v>
      </c>
      <c r="R47" s="302" t="e">
        <f>+R39</f>
        <v>#DIV/0!</v>
      </c>
      <c r="S47" s="275" t="s">
        <v>191</v>
      </c>
      <c r="T47" s="275" t="s">
        <v>191</v>
      </c>
      <c r="U47" s="275" t="e">
        <f>+W42</f>
        <v>#DIV/0!</v>
      </c>
      <c r="V47" s="348">
        <v>62.427999999999997</v>
      </c>
      <c r="W47" s="348" t="e">
        <f>+U47*V47</f>
        <v>#DIV/0!</v>
      </c>
      <c r="Y47" s="302" t="e">
        <f>+Y39</f>
        <v>#DIV/0!</v>
      </c>
      <c r="Z47" s="275" t="s">
        <v>191</v>
      </c>
      <c r="AA47" s="275" t="s">
        <v>191</v>
      </c>
      <c r="AB47" s="275" t="e">
        <f>+AD42</f>
        <v>#DIV/0!</v>
      </c>
      <c r="AC47" s="348">
        <v>62.427999999999997</v>
      </c>
      <c r="AD47" s="348" t="e">
        <f>+AB47*AC47</f>
        <v>#DIV/0!</v>
      </c>
    </row>
    <row r="48" spans="1:30" x14ac:dyDescent="0.2">
      <c r="A48" s="198"/>
      <c r="B48" s="321" t="s">
        <v>198</v>
      </c>
      <c r="C48" s="322"/>
      <c r="D48" s="321"/>
      <c r="E48" s="321"/>
      <c r="F48" s="323"/>
      <c r="G48" s="321"/>
      <c r="H48" s="324"/>
      <c r="I48" s="328" t="e">
        <f>SQRT(I47^2)</f>
        <v>#DIV/0!</v>
      </c>
      <c r="K48" s="321"/>
      <c r="L48" s="321"/>
      <c r="M48" s="323"/>
      <c r="N48" s="321"/>
      <c r="O48" s="324"/>
      <c r="P48" s="328" t="e">
        <f>SQRT(P47^2)</f>
        <v>#DIV/0!</v>
      </c>
      <c r="R48" s="321"/>
      <c r="S48" s="321"/>
      <c r="T48" s="323"/>
      <c r="U48" s="321"/>
      <c r="V48" s="324"/>
      <c r="W48" s="328" t="e">
        <f>SQRT(W47^2)</f>
        <v>#DIV/0!</v>
      </c>
      <c r="Y48" s="321"/>
      <c r="Z48" s="321"/>
      <c r="AA48" s="323"/>
      <c r="AB48" s="321"/>
      <c r="AC48" s="324"/>
      <c r="AD48" s="328" t="e">
        <f>SQRT(AD47^2)</f>
        <v>#DIV/0!</v>
      </c>
    </row>
    <row r="49" spans="1:30" x14ac:dyDescent="0.2">
      <c r="A49" s="198"/>
      <c r="B49" s="305" t="s">
        <v>199</v>
      </c>
      <c r="C49" s="306"/>
      <c r="D49" s="306"/>
      <c r="E49" s="307"/>
      <c r="F49" s="306"/>
      <c r="G49" s="307"/>
      <c r="H49" s="461" t="s">
        <v>204</v>
      </c>
      <c r="I49" s="329" t="e">
        <f>+I48*2</f>
        <v>#DIV/0!</v>
      </c>
      <c r="K49" s="306"/>
      <c r="L49" s="307"/>
      <c r="M49" s="306"/>
      <c r="N49" s="307"/>
      <c r="O49" s="461" t="s">
        <v>204</v>
      </c>
      <c r="P49" s="329" t="e">
        <f>+P48*2</f>
        <v>#DIV/0!</v>
      </c>
      <c r="R49" s="306"/>
      <c r="S49" s="307"/>
      <c r="T49" s="306"/>
      <c r="U49" s="307"/>
      <c r="V49" s="461" t="s">
        <v>204</v>
      </c>
      <c r="W49" s="329" t="e">
        <f>+W48*2</f>
        <v>#DIV/0!</v>
      </c>
      <c r="Y49" s="306"/>
      <c r="Z49" s="307"/>
      <c r="AA49" s="306"/>
      <c r="AB49" s="307"/>
      <c r="AC49" s="461" t="s">
        <v>204</v>
      </c>
      <c r="AD49" s="329" t="e">
        <f>+AD48*2</f>
        <v>#DIV/0!</v>
      </c>
    </row>
    <row r="50" spans="1:30" x14ac:dyDescent="0.2">
      <c r="A50" s="198"/>
      <c r="B50" s="285"/>
      <c r="C50" s="286"/>
      <c r="D50" s="287"/>
      <c r="E50" s="287"/>
    </row>
    <row r="51" spans="1:30" ht="51" x14ac:dyDescent="0.2">
      <c r="A51" s="198"/>
      <c r="B51" s="289" t="s">
        <v>182</v>
      </c>
      <c r="C51" s="290" t="s">
        <v>73</v>
      </c>
      <c r="D51" s="289" t="s">
        <v>183</v>
      </c>
      <c r="E51" s="290" t="s">
        <v>184</v>
      </c>
      <c r="F51" s="290" t="s">
        <v>185</v>
      </c>
      <c r="G51" s="290" t="s">
        <v>186</v>
      </c>
      <c r="H51" s="290" t="s">
        <v>187</v>
      </c>
      <c r="I51" s="290" t="s">
        <v>188</v>
      </c>
      <c r="K51" s="289" t="s">
        <v>183</v>
      </c>
      <c r="L51" s="290" t="s">
        <v>184</v>
      </c>
      <c r="M51" s="290" t="s">
        <v>185</v>
      </c>
      <c r="N51" s="290" t="s">
        <v>186</v>
      </c>
      <c r="O51" s="290" t="s">
        <v>187</v>
      </c>
      <c r="P51" s="290" t="s">
        <v>188</v>
      </c>
      <c r="R51" s="289" t="s">
        <v>183</v>
      </c>
      <c r="S51" s="290" t="s">
        <v>184</v>
      </c>
      <c r="T51" s="290" t="s">
        <v>185</v>
      </c>
      <c r="U51" s="290" t="s">
        <v>186</v>
      </c>
      <c r="V51" s="290" t="s">
        <v>187</v>
      </c>
      <c r="W51" s="290" t="s">
        <v>188</v>
      </c>
      <c r="Y51" s="289" t="s">
        <v>183</v>
      </c>
      <c r="Z51" s="290" t="s">
        <v>184</v>
      </c>
      <c r="AA51" s="290" t="s">
        <v>185</v>
      </c>
      <c r="AB51" s="290" t="s">
        <v>186</v>
      </c>
      <c r="AC51" s="290" t="s">
        <v>187</v>
      </c>
      <c r="AD51" s="290" t="s">
        <v>188</v>
      </c>
    </row>
    <row r="52" spans="1:30" ht="33.75" x14ac:dyDescent="0.2">
      <c r="A52" s="202" t="s">
        <v>153</v>
      </c>
      <c r="B52" s="229" t="s">
        <v>157</v>
      </c>
      <c r="C52" s="227" t="s">
        <v>108</v>
      </c>
      <c r="D52" s="288">
        <f>+D53-D57</f>
        <v>0</v>
      </c>
      <c r="E52" s="218"/>
      <c r="F52" s="273"/>
      <c r="G52" s="273"/>
      <c r="H52" s="342"/>
      <c r="I52" s="273"/>
      <c r="K52" s="288">
        <f>+K53-K57</f>
        <v>0</v>
      </c>
      <c r="L52" s="218"/>
      <c r="M52" s="273"/>
      <c r="N52" s="273"/>
      <c r="O52" s="342"/>
      <c r="P52" s="273"/>
      <c r="R52" s="288">
        <f>+R53-R57</f>
        <v>0</v>
      </c>
      <c r="S52" s="218"/>
      <c r="T52" s="273"/>
      <c r="U52" s="273"/>
      <c r="V52" s="342"/>
      <c r="W52" s="273"/>
      <c r="Y52" s="288">
        <f>+Y53-Y57</f>
        <v>0</v>
      </c>
      <c r="Z52" s="218"/>
      <c r="AA52" s="273"/>
      <c r="AB52" s="273"/>
      <c r="AC52" s="342"/>
      <c r="AD52" s="273"/>
    </row>
    <row r="53" spans="1:30" x14ac:dyDescent="0.2">
      <c r="A53" s="215" t="s">
        <v>84</v>
      </c>
      <c r="B53" s="309" t="s">
        <v>166</v>
      </c>
      <c r="C53" s="303" t="s">
        <v>108</v>
      </c>
      <c r="D53" s="217">
        <f>+Datos!F22</f>
        <v>0</v>
      </c>
      <c r="E53" s="310" t="s">
        <v>191</v>
      </c>
      <c r="F53" s="311" t="s">
        <v>191</v>
      </c>
      <c r="G53" s="312">
        <f>SQRT((G54*G54)+(G55*G55)+(G56*G56))</f>
        <v>0.87996212039685739</v>
      </c>
      <c r="H53" s="343">
        <v>1</v>
      </c>
      <c r="I53" s="296">
        <f>+H53*G53</f>
        <v>0.87996212039685739</v>
      </c>
      <c r="K53" s="217">
        <f>+Datos!H22</f>
        <v>0</v>
      </c>
      <c r="L53" s="310" t="s">
        <v>191</v>
      </c>
      <c r="M53" s="311" t="s">
        <v>191</v>
      </c>
      <c r="N53" s="312">
        <f>SQRT((N54*N54)+(N55*N55)+(N56*N56))</f>
        <v>0.87996212039685739</v>
      </c>
      <c r="O53" s="343">
        <v>1</v>
      </c>
      <c r="P53" s="296">
        <f>+O53*N53</f>
        <v>0.87996212039685739</v>
      </c>
      <c r="R53" s="217">
        <f>+Datos!J22</f>
        <v>0</v>
      </c>
      <c r="S53" s="310" t="s">
        <v>191</v>
      </c>
      <c r="T53" s="311" t="s">
        <v>191</v>
      </c>
      <c r="U53" s="312">
        <f>SQRT((U54*U54)+(U55*U55)+(U56*U56))</f>
        <v>0.87996212039685739</v>
      </c>
      <c r="V53" s="343">
        <v>1</v>
      </c>
      <c r="W53" s="296">
        <f>+V53*U53</f>
        <v>0.87996212039685739</v>
      </c>
      <c r="Y53" s="217">
        <f>+Datos!L22</f>
        <v>0</v>
      </c>
      <c r="Z53" s="310" t="s">
        <v>191</v>
      </c>
      <c r="AA53" s="311" t="s">
        <v>191</v>
      </c>
      <c r="AB53" s="312">
        <f>SQRT((AB54*AB54)+(AB55*AB55)+(AB56*AB56))</f>
        <v>0.87996212039685739</v>
      </c>
      <c r="AC53" s="343">
        <v>1</v>
      </c>
      <c r="AD53" s="296">
        <f>+AC53*AB53</f>
        <v>0.87996212039685739</v>
      </c>
    </row>
    <row r="54" spans="1:30" x14ac:dyDescent="0.2">
      <c r="A54" s="215"/>
      <c r="B54" s="313" t="s">
        <v>189</v>
      </c>
      <c r="C54" s="297" t="s">
        <v>108</v>
      </c>
      <c r="D54" s="298"/>
      <c r="E54" s="291">
        <f>IF(Datos!$L$2="CONO 1",Balanza!H26,Balanza!V26)</f>
        <v>0</v>
      </c>
      <c r="F54" s="292" t="s">
        <v>190</v>
      </c>
      <c r="G54" s="293">
        <f>+E54</f>
        <v>0</v>
      </c>
      <c r="H54" s="344" t="s">
        <v>191</v>
      </c>
      <c r="I54" s="274" t="s">
        <v>191</v>
      </c>
      <c r="K54" s="298"/>
      <c r="L54" s="291">
        <f>IF(Datos!$L$2="CONO 1",Balanza!J26,Balanza!X26)</f>
        <v>0</v>
      </c>
      <c r="M54" s="292" t="s">
        <v>190</v>
      </c>
      <c r="N54" s="293">
        <f>+L54</f>
        <v>0</v>
      </c>
      <c r="O54" s="344" t="s">
        <v>191</v>
      </c>
      <c r="P54" s="274" t="s">
        <v>191</v>
      </c>
      <c r="R54" s="298"/>
      <c r="S54" s="291">
        <f>IF(Datos!$L$2="CONO 1",Balanza!L26,Balanza!Z26)</f>
        <v>0</v>
      </c>
      <c r="T54" s="292" t="s">
        <v>190</v>
      </c>
      <c r="U54" s="293">
        <f>+S54</f>
        <v>0</v>
      </c>
      <c r="V54" s="344" t="s">
        <v>191</v>
      </c>
      <c r="W54" s="274" t="s">
        <v>191</v>
      </c>
      <c r="Y54" s="298"/>
      <c r="Z54" s="291">
        <f>IF(Datos!$L$2="CONO 1",Balanza!N26,Balanza!AB26)</f>
        <v>0</v>
      </c>
      <c r="AA54" s="292" t="s">
        <v>190</v>
      </c>
      <c r="AB54" s="293">
        <f>+Z54</f>
        <v>0</v>
      </c>
      <c r="AC54" s="344" t="s">
        <v>191</v>
      </c>
      <c r="AD54" s="274" t="s">
        <v>191</v>
      </c>
    </row>
    <row r="55" spans="1:30" x14ac:dyDescent="0.2">
      <c r="A55" s="215"/>
      <c r="B55" s="313" t="s">
        <v>192</v>
      </c>
      <c r="C55" s="297" t="s">
        <v>108</v>
      </c>
      <c r="D55" s="298"/>
      <c r="E55" s="291">
        <f>IF(Datos!$L$2="CONO 1",2*(SQRT(Balanza!$C$8+Balanza!$D$8*(POWER(D53,2)))),2*(SQRT(Balanza!$Q$8+Balanza!$R$8*(POWER(D53,2)))))</f>
        <v>1.6625281952496325</v>
      </c>
      <c r="F55" s="292" t="s">
        <v>193</v>
      </c>
      <c r="G55" s="293">
        <f>+E55/2</f>
        <v>0.83126409762481623</v>
      </c>
      <c r="H55" s="344" t="s">
        <v>191</v>
      </c>
      <c r="I55" s="274" t="s">
        <v>191</v>
      </c>
      <c r="K55" s="298"/>
      <c r="L55" s="291">
        <f>IF(Datos!$L$2="CONO 1",2*(SQRT(Balanza!$C$8+Balanza!$D$8*(POWER(K53,2)))),2*(SQRT(Balanza!$Q$8+Balanza!$R$8*(POWER(K53,2)))))</f>
        <v>1.6625281952496325</v>
      </c>
      <c r="M55" s="292" t="s">
        <v>193</v>
      </c>
      <c r="N55" s="293">
        <f>+L55/2</f>
        <v>0.83126409762481623</v>
      </c>
      <c r="O55" s="344" t="s">
        <v>191</v>
      </c>
      <c r="P55" s="274" t="s">
        <v>191</v>
      </c>
      <c r="R55" s="298"/>
      <c r="S55" s="291">
        <f>IF(Datos!$L$2="CONO 1",2*(SQRT(Balanza!$C$8+Balanza!$D$8*(POWER(R53,2)))),2*(SQRT(Balanza!$Q$8+Balanza!$R$8*(POWER(R53,2)))))</f>
        <v>1.6625281952496325</v>
      </c>
      <c r="T55" s="292" t="s">
        <v>193</v>
      </c>
      <c r="U55" s="293">
        <f>+S55/2</f>
        <v>0.83126409762481623</v>
      </c>
      <c r="V55" s="344" t="s">
        <v>191</v>
      </c>
      <c r="W55" s="274" t="s">
        <v>191</v>
      </c>
      <c r="Y55" s="298"/>
      <c r="Z55" s="291">
        <f>IF(Datos!$L$2="CONO 1",2*(SQRT(Balanza!$C$8+Balanza!$D$8*(POWER(Y53,2)))),2*(SQRT(Balanza!$Q$8+Balanza!$R$8*(POWER(Y53,2)))))</f>
        <v>1.6625281952496325</v>
      </c>
      <c r="AA55" s="292" t="s">
        <v>193</v>
      </c>
      <c r="AB55" s="293">
        <f>+Z55/2</f>
        <v>0.83126409762481623</v>
      </c>
      <c r="AC55" s="344" t="s">
        <v>191</v>
      </c>
      <c r="AD55" s="274" t="s">
        <v>191</v>
      </c>
    </row>
    <row r="56" spans="1:30" x14ac:dyDescent="0.2">
      <c r="A56" s="215"/>
      <c r="B56" s="313" t="s">
        <v>194</v>
      </c>
      <c r="C56" s="297" t="s">
        <v>108</v>
      </c>
      <c r="D56" s="298"/>
      <c r="E56" s="291">
        <f>IF(Datos!$L$2="CONO 1",Balanza!$C$10,Balanza!$Q$10)</f>
        <v>1</v>
      </c>
      <c r="F56" s="295" t="s">
        <v>195</v>
      </c>
      <c r="G56" s="293">
        <f>+E56/SQRT(3)/2</f>
        <v>0.28867513459481292</v>
      </c>
      <c r="H56" s="344" t="s">
        <v>191</v>
      </c>
      <c r="I56" s="274" t="s">
        <v>191</v>
      </c>
      <c r="K56" s="298"/>
      <c r="L56" s="291">
        <f>IF(Datos!$L$2="CONO 1",Balanza!$C$10,Balanza!$Q$10)</f>
        <v>1</v>
      </c>
      <c r="M56" s="295" t="s">
        <v>195</v>
      </c>
      <c r="N56" s="293">
        <f>+L56/SQRT(3)/2</f>
        <v>0.28867513459481292</v>
      </c>
      <c r="O56" s="344" t="s">
        <v>191</v>
      </c>
      <c r="P56" s="274" t="s">
        <v>191</v>
      </c>
      <c r="R56" s="298"/>
      <c r="S56" s="291">
        <f>IF(Datos!$L$2="CONO 1",Balanza!$C$10,Balanza!$Q$10)</f>
        <v>1</v>
      </c>
      <c r="T56" s="295" t="s">
        <v>195</v>
      </c>
      <c r="U56" s="293">
        <f>+S56/SQRT(3)/2</f>
        <v>0.28867513459481292</v>
      </c>
      <c r="V56" s="344" t="s">
        <v>191</v>
      </c>
      <c r="W56" s="274" t="s">
        <v>191</v>
      </c>
      <c r="Y56" s="298"/>
      <c r="Z56" s="291">
        <f>IF(Datos!$L$2="CONO 1",Balanza!$C$10,Balanza!$Q$10)</f>
        <v>1</v>
      </c>
      <c r="AA56" s="295" t="s">
        <v>195</v>
      </c>
      <c r="AB56" s="293">
        <f>+Z56/SQRT(3)/2</f>
        <v>0.28867513459481292</v>
      </c>
      <c r="AC56" s="344" t="s">
        <v>191</v>
      </c>
      <c r="AD56" s="274" t="s">
        <v>191</v>
      </c>
    </row>
    <row r="57" spans="1:30" x14ac:dyDescent="0.2">
      <c r="A57" s="202" t="s">
        <v>85</v>
      </c>
      <c r="B57" s="309" t="s">
        <v>156</v>
      </c>
      <c r="C57" s="303" t="s">
        <v>108</v>
      </c>
      <c r="D57" s="217">
        <f>+Datos!F23</f>
        <v>0</v>
      </c>
      <c r="E57" s="310" t="s">
        <v>191</v>
      </c>
      <c r="F57" s="311" t="s">
        <v>191</v>
      </c>
      <c r="G57" s="312">
        <f>SQRT((G58*G58)+(G59*G59)+(G60*G60))</f>
        <v>0.87996212039685739</v>
      </c>
      <c r="H57" s="345">
        <v>1</v>
      </c>
      <c r="I57" s="276">
        <f>+H57*G57</f>
        <v>0.87996212039685739</v>
      </c>
      <c r="K57" s="217">
        <f>+Datos!H23</f>
        <v>0</v>
      </c>
      <c r="L57" s="310" t="s">
        <v>191</v>
      </c>
      <c r="M57" s="311" t="s">
        <v>191</v>
      </c>
      <c r="N57" s="312">
        <f>SQRT((N58*N58)+(N59*N59)+(N60*N60))</f>
        <v>0.87996212039685739</v>
      </c>
      <c r="O57" s="345">
        <v>1</v>
      </c>
      <c r="P57" s="276">
        <f>+O57*N57</f>
        <v>0.87996212039685739</v>
      </c>
      <c r="R57" s="217">
        <f>+Datos!J23</f>
        <v>0</v>
      </c>
      <c r="S57" s="310" t="s">
        <v>191</v>
      </c>
      <c r="T57" s="311" t="s">
        <v>191</v>
      </c>
      <c r="U57" s="312">
        <f>SQRT((U58*U58)+(U59*U59)+(U60*U60))</f>
        <v>0.87996212039685739</v>
      </c>
      <c r="V57" s="345">
        <v>1</v>
      </c>
      <c r="W57" s="276">
        <f>+V57*U57</f>
        <v>0.87996212039685739</v>
      </c>
      <c r="Y57" s="217">
        <f>+Datos!L23</f>
        <v>0</v>
      </c>
      <c r="Z57" s="310" t="s">
        <v>191</v>
      </c>
      <c r="AA57" s="311" t="s">
        <v>191</v>
      </c>
      <c r="AB57" s="312">
        <f>SQRT((AB58*AB58)+(AB59*AB59)+(AB60*AB60))</f>
        <v>0.87996212039685739</v>
      </c>
      <c r="AC57" s="345">
        <v>1</v>
      </c>
      <c r="AD57" s="276">
        <f>+AC57*AB57</f>
        <v>0.87996212039685739</v>
      </c>
    </row>
    <row r="58" spans="1:30" x14ac:dyDescent="0.2">
      <c r="A58" s="202"/>
      <c r="B58" s="313" t="s">
        <v>189</v>
      </c>
      <c r="C58" s="297" t="s">
        <v>108</v>
      </c>
      <c r="D58" s="298"/>
      <c r="E58" s="291">
        <f>IF(Datos!$L$2="CONO 1",Balanza!H27,Balanza!V27)</f>
        <v>0</v>
      </c>
      <c r="F58" s="292" t="s">
        <v>190</v>
      </c>
      <c r="G58" s="293">
        <f>+E58</f>
        <v>0</v>
      </c>
      <c r="H58" s="344" t="s">
        <v>191</v>
      </c>
      <c r="I58" s="274" t="s">
        <v>191</v>
      </c>
      <c r="K58" s="298"/>
      <c r="L58" s="291">
        <f>IF(Datos!$L$2="CONO 1",Balanza!J27,Balanza!X27)</f>
        <v>0</v>
      </c>
      <c r="M58" s="292" t="s">
        <v>190</v>
      </c>
      <c r="N58" s="293">
        <f>+L58</f>
        <v>0</v>
      </c>
      <c r="O58" s="344" t="s">
        <v>191</v>
      </c>
      <c r="P58" s="274" t="s">
        <v>191</v>
      </c>
      <c r="R58" s="298"/>
      <c r="S58" s="291">
        <f>IF(Datos!$L$2="CONO 1",Balanza!L27,Balanza!Z27)</f>
        <v>0</v>
      </c>
      <c r="T58" s="292" t="s">
        <v>190</v>
      </c>
      <c r="U58" s="293">
        <f>+S58</f>
        <v>0</v>
      </c>
      <c r="V58" s="344" t="s">
        <v>191</v>
      </c>
      <c r="W58" s="274" t="s">
        <v>191</v>
      </c>
      <c r="Y58" s="298"/>
      <c r="Z58" s="291">
        <f>IF(Datos!$L$2="CONO 1",Balanza!N27,Balanza!AB27)</f>
        <v>0</v>
      </c>
      <c r="AA58" s="292" t="s">
        <v>190</v>
      </c>
      <c r="AB58" s="293">
        <f>+Z58</f>
        <v>0</v>
      </c>
      <c r="AC58" s="344" t="s">
        <v>191</v>
      </c>
      <c r="AD58" s="274" t="s">
        <v>191</v>
      </c>
    </row>
    <row r="59" spans="1:30" x14ac:dyDescent="0.2">
      <c r="A59" s="202"/>
      <c r="B59" s="313" t="s">
        <v>192</v>
      </c>
      <c r="C59" s="297" t="s">
        <v>108</v>
      </c>
      <c r="D59" s="298"/>
      <c r="E59" s="291">
        <f>IF(Datos!$L$2="CONO 1",2*(SQRT(Balanza!$C$8+Balanza!$D$8*(POWER(D57,2)))),2*(SQRT(Balanza!$Q$8+Balanza!$R$8*(POWER(D57,2)))))</f>
        <v>1.6625281952496325</v>
      </c>
      <c r="F59" s="292" t="s">
        <v>193</v>
      </c>
      <c r="G59" s="293">
        <f>+E59/2</f>
        <v>0.83126409762481623</v>
      </c>
      <c r="H59" s="346" t="s">
        <v>191</v>
      </c>
      <c r="I59" s="336" t="s">
        <v>191</v>
      </c>
      <c r="K59" s="298"/>
      <c r="L59" s="291">
        <f>IF(Datos!$L$2="CONO 1",2*(SQRT(Balanza!$C$8+Balanza!$D$8*(POWER(K57,2)))),2*(SQRT(Balanza!$Q$8+Balanza!$R$8*(POWER(K57,2)))))</f>
        <v>1.6625281952496325</v>
      </c>
      <c r="M59" s="292" t="s">
        <v>193</v>
      </c>
      <c r="N59" s="293">
        <f>+L59/2</f>
        <v>0.83126409762481623</v>
      </c>
      <c r="O59" s="346" t="s">
        <v>191</v>
      </c>
      <c r="P59" s="336" t="s">
        <v>191</v>
      </c>
      <c r="R59" s="298"/>
      <c r="S59" s="291">
        <f>IF(Datos!$L$2="CONO 1",2*(SQRT(Balanza!$C$8+Balanza!$D$8*(POWER(R57,2)))),2*(SQRT(Balanza!$Q$8+Balanza!$R$8*(POWER(R57,2)))))</f>
        <v>1.6625281952496325</v>
      </c>
      <c r="T59" s="292" t="s">
        <v>193</v>
      </c>
      <c r="U59" s="293">
        <f>+S59/2</f>
        <v>0.83126409762481623</v>
      </c>
      <c r="V59" s="346" t="s">
        <v>191</v>
      </c>
      <c r="W59" s="336" t="s">
        <v>191</v>
      </c>
      <c r="Y59" s="298"/>
      <c r="Z59" s="291">
        <f>IF(Datos!$L$2="CONO 1",2*(SQRT(Balanza!$C$8+Balanza!$D$8*(POWER(Y57,2)))),2*(SQRT(Balanza!$Q$8+Balanza!$R$8*(POWER(Y57,2)))))</f>
        <v>1.6625281952496325</v>
      </c>
      <c r="AA59" s="292" t="s">
        <v>193</v>
      </c>
      <c r="AB59" s="293">
        <f>+Z59/2</f>
        <v>0.83126409762481623</v>
      </c>
      <c r="AC59" s="346" t="s">
        <v>191</v>
      </c>
      <c r="AD59" s="336" t="s">
        <v>191</v>
      </c>
    </row>
    <row r="60" spans="1:30" x14ac:dyDescent="0.2">
      <c r="A60" s="236"/>
      <c r="B60" s="313" t="s">
        <v>194</v>
      </c>
      <c r="C60" s="297" t="s">
        <v>108</v>
      </c>
      <c r="D60" s="298"/>
      <c r="E60" s="291">
        <f>IF(Datos!$L$2="CONO 1",Balanza!$C$10,Balanza!$Q$10)</f>
        <v>1</v>
      </c>
      <c r="F60" s="295" t="s">
        <v>195</v>
      </c>
      <c r="G60" s="293">
        <f>+E60/SQRT(3)/2</f>
        <v>0.28867513459481292</v>
      </c>
      <c r="H60" s="347" t="s">
        <v>191</v>
      </c>
      <c r="I60" s="294" t="s">
        <v>191</v>
      </c>
      <c r="K60" s="298"/>
      <c r="L60" s="291">
        <f>IF(Datos!$L$2="CONO 1",Balanza!$C$10,Balanza!$Q$10)</f>
        <v>1</v>
      </c>
      <c r="M60" s="295" t="s">
        <v>195</v>
      </c>
      <c r="N60" s="293">
        <f>+L60/SQRT(3)/2</f>
        <v>0.28867513459481292</v>
      </c>
      <c r="O60" s="347" t="s">
        <v>191</v>
      </c>
      <c r="P60" s="294" t="s">
        <v>191</v>
      </c>
      <c r="R60" s="298"/>
      <c r="S60" s="291">
        <f>IF(Datos!$L$2="CONO 1",Balanza!$C$10,Balanza!$Q$10)</f>
        <v>1</v>
      </c>
      <c r="T60" s="295" t="s">
        <v>195</v>
      </c>
      <c r="U60" s="293">
        <f>+S60/SQRT(3)/2</f>
        <v>0.28867513459481292</v>
      </c>
      <c r="V60" s="347" t="s">
        <v>191</v>
      </c>
      <c r="W60" s="294" t="s">
        <v>191</v>
      </c>
      <c r="Y60" s="298"/>
      <c r="Z60" s="291">
        <f>IF(Datos!$L$2="CONO 1",Balanza!$C$10,Balanza!$Q$10)</f>
        <v>1</v>
      </c>
      <c r="AA60" s="295" t="s">
        <v>195</v>
      </c>
      <c r="AB60" s="293">
        <f>+Z60/SQRT(3)/2</f>
        <v>0.28867513459481292</v>
      </c>
      <c r="AC60" s="347" t="s">
        <v>191</v>
      </c>
      <c r="AD60" s="294" t="s">
        <v>191</v>
      </c>
    </row>
    <row r="61" spans="1:30" x14ac:dyDescent="0.2">
      <c r="A61" s="198"/>
      <c r="B61" s="337" t="s">
        <v>198</v>
      </c>
      <c r="C61" s="322"/>
      <c r="D61" s="321"/>
      <c r="E61" s="321"/>
      <c r="F61" s="323"/>
      <c r="G61" s="321"/>
      <c r="H61" s="462" t="s">
        <v>108</v>
      </c>
      <c r="I61" s="328">
        <f>SQRT((I53^2)+I57^2)</f>
        <v>1.2444543650398221</v>
      </c>
      <c r="K61" s="321"/>
      <c r="L61" s="321"/>
      <c r="M61" s="323"/>
      <c r="N61" s="321"/>
      <c r="O61" s="462" t="s">
        <v>108</v>
      </c>
      <c r="P61" s="328">
        <f>SQRT((P53^2)+P57^2)</f>
        <v>1.2444543650398221</v>
      </c>
      <c r="R61" s="321"/>
      <c r="S61" s="321"/>
      <c r="T61" s="323"/>
      <c r="U61" s="321"/>
      <c r="V61" s="462" t="s">
        <v>108</v>
      </c>
      <c r="W61" s="328">
        <f>SQRT((W53^2)+W57^2)</f>
        <v>1.2444543650398221</v>
      </c>
      <c r="Y61" s="321"/>
      <c r="Z61" s="321"/>
      <c r="AA61" s="323"/>
      <c r="AB61" s="321"/>
      <c r="AC61" s="462" t="s">
        <v>108</v>
      </c>
      <c r="AD61" s="328">
        <f>SQRT((AD53^2)+AD57^2)</f>
        <v>1.2444543650398221</v>
      </c>
    </row>
    <row r="62" spans="1:30" x14ac:dyDescent="0.2">
      <c r="A62" s="198"/>
      <c r="B62" s="331"/>
      <c r="C62" s="332"/>
      <c r="D62" s="333"/>
      <c r="E62" s="333"/>
      <c r="F62" s="334"/>
      <c r="G62" s="333"/>
      <c r="H62" s="335"/>
      <c r="I62" s="330"/>
    </row>
    <row r="63" spans="1:30" ht="51" x14ac:dyDescent="0.2">
      <c r="B63" s="338" t="s">
        <v>182</v>
      </c>
      <c r="C63" s="290" t="s">
        <v>73</v>
      </c>
      <c r="D63" s="338" t="s">
        <v>183</v>
      </c>
      <c r="E63" s="339" t="s">
        <v>184</v>
      </c>
      <c r="F63" s="339" t="s">
        <v>185</v>
      </c>
      <c r="G63" s="339" t="s">
        <v>186</v>
      </c>
      <c r="H63" s="339" t="s">
        <v>187</v>
      </c>
      <c r="I63" s="339" t="s">
        <v>188</v>
      </c>
      <c r="K63" s="338" t="s">
        <v>183</v>
      </c>
      <c r="L63" s="339" t="s">
        <v>184</v>
      </c>
      <c r="M63" s="339" t="s">
        <v>185</v>
      </c>
      <c r="N63" s="339" t="s">
        <v>186</v>
      </c>
      <c r="O63" s="339" t="s">
        <v>187</v>
      </c>
      <c r="P63" s="339" t="s">
        <v>188</v>
      </c>
      <c r="R63" s="338" t="s">
        <v>183</v>
      </c>
      <c r="S63" s="339" t="s">
        <v>184</v>
      </c>
      <c r="T63" s="339" t="s">
        <v>185</v>
      </c>
      <c r="U63" s="339" t="s">
        <v>186</v>
      </c>
      <c r="V63" s="339" t="s">
        <v>187</v>
      </c>
      <c r="W63" s="339" t="s">
        <v>188</v>
      </c>
      <c r="Y63" s="338" t="s">
        <v>183</v>
      </c>
      <c r="Z63" s="339" t="s">
        <v>184</v>
      </c>
      <c r="AA63" s="339" t="s">
        <v>185</v>
      </c>
      <c r="AB63" s="339" t="s">
        <v>186</v>
      </c>
      <c r="AC63" s="339" t="s">
        <v>187</v>
      </c>
      <c r="AD63" s="339" t="s">
        <v>188</v>
      </c>
    </row>
    <row r="64" spans="1:30" ht="22.5" x14ac:dyDescent="0.2">
      <c r="A64" s="236" t="s">
        <v>200</v>
      </c>
      <c r="B64" s="229" t="s">
        <v>110</v>
      </c>
      <c r="C64" s="297" t="s">
        <v>108</v>
      </c>
      <c r="D64" s="341">
        <f>100*D65/(D69+100)</f>
        <v>0</v>
      </c>
      <c r="E64" s="273"/>
      <c r="F64" s="273"/>
      <c r="G64" s="273"/>
      <c r="H64" s="273"/>
      <c r="I64" s="273"/>
      <c r="K64" s="341">
        <f>100*K65/(K69+100)</f>
        <v>0</v>
      </c>
      <c r="L64" s="273"/>
      <c r="M64" s="273"/>
      <c r="N64" s="273"/>
      <c r="O64" s="273"/>
      <c r="P64" s="273"/>
      <c r="R64" s="341">
        <f>100*R65/(R69+100)</f>
        <v>0</v>
      </c>
      <c r="S64" s="273"/>
      <c r="T64" s="273"/>
      <c r="U64" s="273"/>
      <c r="V64" s="273"/>
      <c r="W64" s="273"/>
      <c r="Y64" s="341">
        <f>100*Y65/(Y69+100)</f>
        <v>0</v>
      </c>
      <c r="Z64" s="273"/>
      <c r="AA64" s="273"/>
      <c r="AB64" s="273"/>
      <c r="AC64" s="273"/>
      <c r="AD64" s="273"/>
    </row>
    <row r="65" spans="1:30" ht="22.5" x14ac:dyDescent="0.2">
      <c r="A65" s="236" t="s">
        <v>160</v>
      </c>
      <c r="B65" s="309" t="s">
        <v>109</v>
      </c>
      <c r="C65" s="303" t="s">
        <v>108</v>
      </c>
      <c r="D65" s="217">
        <f>+Datos!F28</f>
        <v>0</v>
      </c>
      <c r="E65" s="310" t="s">
        <v>191</v>
      </c>
      <c r="F65" s="311" t="s">
        <v>191</v>
      </c>
      <c r="G65" s="312">
        <f>SQRT((G66*G66)+(G67*G67)+(G68*G68))</f>
        <v>0.87996212039685739</v>
      </c>
      <c r="H65" s="299">
        <f>100/(D69+100)</f>
        <v>1</v>
      </c>
      <c r="I65" s="299">
        <f>+H65*G65</f>
        <v>0.87996212039685739</v>
      </c>
      <c r="K65" s="217">
        <f>+Datos!H28</f>
        <v>0</v>
      </c>
      <c r="L65" s="310" t="s">
        <v>191</v>
      </c>
      <c r="M65" s="311" t="s">
        <v>191</v>
      </c>
      <c r="N65" s="312">
        <f>SQRT((N66*N66)+(N67*N67)+(N68*N68))</f>
        <v>0.87996212039685739</v>
      </c>
      <c r="O65" s="299">
        <f>100/(K69+100)</f>
        <v>1</v>
      </c>
      <c r="P65" s="299">
        <f>+O65*N65</f>
        <v>0.87996212039685739</v>
      </c>
      <c r="R65" s="217">
        <f>+Datos!J28</f>
        <v>0</v>
      </c>
      <c r="S65" s="310" t="s">
        <v>191</v>
      </c>
      <c r="T65" s="311" t="s">
        <v>191</v>
      </c>
      <c r="U65" s="312">
        <f>SQRT((U66*U66)+(U67*U67)+(U68*U68))</f>
        <v>0.87996212039685739</v>
      </c>
      <c r="V65" s="299">
        <f>100/(R69+100)</f>
        <v>1</v>
      </c>
      <c r="W65" s="299">
        <f>+V65*U65</f>
        <v>0.87996212039685739</v>
      </c>
      <c r="Y65" s="217">
        <f>+Datos!L28</f>
        <v>0</v>
      </c>
      <c r="Z65" s="310" t="s">
        <v>191</v>
      </c>
      <c r="AA65" s="311" t="s">
        <v>191</v>
      </c>
      <c r="AB65" s="312">
        <f>SQRT((AB66*AB66)+(AB67*AB67)+(AB68*AB68))</f>
        <v>0.87996212039685739</v>
      </c>
      <c r="AC65" s="299">
        <f>100/(Y69+100)</f>
        <v>1</v>
      </c>
      <c r="AD65" s="299">
        <f>+AC65*AB65</f>
        <v>0.87996212039685739</v>
      </c>
    </row>
    <row r="66" spans="1:30" x14ac:dyDescent="0.2">
      <c r="A66" s="236"/>
      <c r="B66" s="313" t="s">
        <v>189</v>
      </c>
      <c r="C66" s="297" t="s">
        <v>108</v>
      </c>
      <c r="D66" s="298"/>
      <c r="E66" s="291">
        <f>IF(Datos!$L$2="CONO 1",Balanza!H25,Balanza!V25)</f>
        <v>0</v>
      </c>
      <c r="F66" s="292" t="s">
        <v>190</v>
      </c>
      <c r="G66" s="293">
        <f>+E66</f>
        <v>0</v>
      </c>
      <c r="H66" s="294" t="s">
        <v>191</v>
      </c>
      <c r="I66" s="294" t="s">
        <v>191</v>
      </c>
      <c r="K66" s="298"/>
      <c r="L66" s="291">
        <f>IF(Datos!$L$2="CONO 1",Balanza!J25,Balanza!X25)</f>
        <v>0</v>
      </c>
      <c r="M66" s="292" t="s">
        <v>190</v>
      </c>
      <c r="N66" s="293">
        <f>+L66</f>
        <v>0</v>
      </c>
      <c r="O66" s="294" t="s">
        <v>191</v>
      </c>
      <c r="P66" s="294" t="s">
        <v>191</v>
      </c>
      <c r="R66" s="298"/>
      <c r="S66" s="291">
        <f>IF(Datos!$L$2="CONO 1",Balanza!L25,Balanza!Z25)</f>
        <v>0</v>
      </c>
      <c r="T66" s="292" t="s">
        <v>190</v>
      </c>
      <c r="U66" s="293">
        <f>+S66</f>
        <v>0</v>
      </c>
      <c r="V66" s="294" t="s">
        <v>191</v>
      </c>
      <c r="W66" s="294" t="s">
        <v>191</v>
      </c>
      <c r="Y66" s="298"/>
      <c r="Z66" s="291">
        <f>IF(Datos!$L$2="CONO 1",Balanza!N25,Balanza!AB25)</f>
        <v>0</v>
      </c>
      <c r="AA66" s="292" t="s">
        <v>190</v>
      </c>
      <c r="AB66" s="293">
        <f>+Z66</f>
        <v>0</v>
      </c>
      <c r="AC66" s="294" t="s">
        <v>191</v>
      </c>
      <c r="AD66" s="294" t="s">
        <v>191</v>
      </c>
    </row>
    <row r="67" spans="1:30" x14ac:dyDescent="0.2">
      <c r="A67" s="236"/>
      <c r="B67" s="313" t="s">
        <v>192</v>
      </c>
      <c r="C67" s="297" t="s">
        <v>108</v>
      </c>
      <c r="D67" s="298"/>
      <c r="E67" s="291">
        <f>IF(Datos!$L$2="CONO 1",2*(SQRT(Balanza!$C$8+Balanza!$D$8*(POWER(D65,2)))),2*(SQRT(Balanza!$Q$8+Balanza!$R$8*(POWER(D65,2)))))</f>
        <v>1.6625281952496325</v>
      </c>
      <c r="F67" s="292" t="s">
        <v>193</v>
      </c>
      <c r="G67" s="293">
        <f>+E67/2</f>
        <v>0.83126409762481623</v>
      </c>
      <c r="H67" s="294" t="s">
        <v>191</v>
      </c>
      <c r="I67" s="294" t="s">
        <v>191</v>
      </c>
      <c r="K67" s="298"/>
      <c r="L67" s="291">
        <f>IF(Datos!$L$2="CONO 1",2*(SQRT(Balanza!$C$8+Balanza!$D$8*(POWER(K65,2)))),2*(SQRT(Balanza!$Q$8+Balanza!$R$8*(POWER(K65,2)))))</f>
        <v>1.6625281952496325</v>
      </c>
      <c r="M67" s="292" t="s">
        <v>193</v>
      </c>
      <c r="N67" s="293">
        <f>+L67/2</f>
        <v>0.83126409762481623</v>
      </c>
      <c r="O67" s="294" t="s">
        <v>191</v>
      </c>
      <c r="P67" s="294" t="s">
        <v>191</v>
      </c>
      <c r="R67" s="298"/>
      <c r="S67" s="291">
        <f>IF(Datos!$L$2="CONO 1",2*(SQRT(Balanza!$C$8+Balanza!$D$8*(POWER(R65,2)))),2*(SQRT(Balanza!$Q$8+Balanza!$R$8*(POWER(R65,2)))))</f>
        <v>1.6625281952496325</v>
      </c>
      <c r="T67" s="292" t="s">
        <v>193</v>
      </c>
      <c r="U67" s="293">
        <f>+S67/2</f>
        <v>0.83126409762481623</v>
      </c>
      <c r="V67" s="294" t="s">
        <v>191</v>
      </c>
      <c r="W67" s="294" t="s">
        <v>191</v>
      </c>
      <c r="Y67" s="298"/>
      <c r="Z67" s="291">
        <f>IF(Datos!$L$2="CONO 1",2*(SQRT(Balanza!$C$8+Balanza!$D$8*(POWER(Y65,2)))),2*(SQRT(Balanza!$Q$8+Balanza!$R$8*(POWER(Y65,2)))))</f>
        <v>1.6625281952496325</v>
      </c>
      <c r="AA67" s="292" t="s">
        <v>193</v>
      </c>
      <c r="AB67" s="293">
        <f>+Z67/2</f>
        <v>0.83126409762481623</v>
      </c>
      <c r="AC67" s="294" t="s">
        <v>191</v>
      </c>
      <c r="AD67" s="294" t="s">
        <v>191</v>
      </c>
    </row>
    <row r="68" spans="1:30" x14ac:dyDescent="0.2">
      <c r="A68" s="236"/>
      <c r="B68" s="313" t="s">
        <v>194</v>
      </c>
      <c r="C68" s="297" t="s">
        <v>108</v>
      </c>
      <c r="D68" s="298"/>
      <c r="E68" s="291">
        <f>IF(Datos!$L$2="CONO 1",Balanza!$C$10,Balanza!$Q$10)</f>
        <v>1</v>
      </c>
      <c r="F68" s="295" t="s">
        <v>195</v>
      </c>
      <c r="G68" s="293">
        <f>+E68/SQRT(3)/2</f>
        <v>0.28867513459481292</v>
      </c>
      <c r="H68" s="294" t="s">
        <v>191</v>
      </c>
      <c r="I68" s="294" t="s">
        <v>191</v>
      </c>
      <c r="K68" s="298"/>
      <c r="L68" s="291">
        <f>IF(Datos!$L$2="CONO 1",Balanza!$C$10,Balanza!$Q$10)</f>
        <v>1</v>
      </c>
      <c r="M68" s="295" t="s">
        <v>195</v>
      </c>
      <c r="N68" s="293">
        <f>+L68/SQRT(3)/2</f>
        <v>0.28867513459481292</v>
      </c>
      <c r="O68" s="294" t="s">
        <v>191</v>
      </c>
      <c r="P68" s="294" t="s">
        <v>191</v>
      </c>
      <c r="R68" s="298"/>
      <c r="S68" s="291">
        <f>IF(Datos!$L$2="CONO 1",Balanza!$C$10,Balanza!$Q$10)</f>
        <v>1</v>
      </c>
      <c r="T68" s="295" t="s">
        <v>195</v>
      </c>
      <c r="U68" s="293">
        <f>+S68/SQRT(3)/2</f>
        <v>0.28867513459481292</v>
      </c>
      <c r="V68" s="294" t="s">
        <v>191</v>
      </c>
      <c r="W68" s="294" t="s">
        <v>191</v>
      </c>
      <c r="Y68" s="298"/>
      <c r="Z68" s="291">
        <f>IF(Datos!$L$2="CONO 1",Balanza!$C$10,Balanza!$Q$10)</f>
        <v>1</v>
      </c>
      <c r="AA68" s="295" t="s">
        <v>195</v>
      </c>
      <c r="AB68" s="293">
        <f>+Z68/SQRT(3)/2</f>
        <v>0.28867513459481292</v>
      </c>
      <c r="AC68" s="294" t="s">
        <v>191</v>
      </c>
      <c r="AD68" s="294" t="s">
        <v>191</v>
      </c>
    </row>
    <row r="69" spans="1:30" x14ac:dyDescent="0.2">
      <c r="A69" s="340" t="s">
        <v>155</v>
      </c>
      <c r="B69" s="309" t="s">
        <v>134</v>
      </c>
      <c r="C69" s="303" t="s">
        <v>33</v>
      </c>
      <c r="D69" s="217">
        <f>+Datos!F44</f>
        <v>0</v>
      </c>
      <c r="E69" s="302"/>
      <c r="F69" s="351"/>
      <c r="G69" s="460">
        <v>1.1999999999999999E-3</v>
      </c>
      <c r="H69" s="299">
        <f>100*D65/(D69+100)^2</f>
        <v>0</v>
      </c>
      <c r="I69" s="299">
        <f>+H69*G69</f>
        <v>0</v>
      </c>
      <c r="K69" s="217">
        <f>+Datos!H44</f>
        <v>0</v>
      </c>
      <c r="L69" s="302"/>
      <c r="M69" s="351"/>
      <c r="N69" s="460">
        <v>1.1999999999999999E-3</v>
      </c>
      <c r="O69" s="299">
        <f>100*K65/(K69+100)^2</f>
        <v>0</v>
      </c>
      <c r="P69" s="299">
        <f>+O69*N69</f>
        <v>0</v>
      </c>
      <c r="R69" s="217">
        <f>+Datos!J44</f>
        <v>0</v>
      </c>
      <c r="S69" s="302"/>
      <c r="T69" s="351"/>
      <c r="U69" s="460">
        <v>1.1999999999999999E-3</v>
      </c>
      <c r="V69" s="299">
        <f>100*R65/(R69+100)^2</f>
        <v>0</v>
      </c>
      <c r="W69" s="299">
        <f>+V69*U69</f>
        <v>0</v>
      </c>
      <c r="Y69" s="217">
        <f>+Datos!L44</f>
        <v>0</v>
      </c>
      <c r="Z69" s="302"/>
      <c r="AA69" s="351"/>
      <c r="AB69" s="460">
        <v>1.1999999999999999E-3</v>
      </c>
      <c r="AC69" s="299">
        <f>100*Y65/(Y69+100)^2</f>
        <v>0</v>
      </c>
      <c r="AD69" s="299">
        <f>+AC69*AB69</f>
        <v>0</v>
      </c>
    </row>
    <row r="70" spans="1:30" x14ac:dyDescent="0.2">
      <c r="B70" s="337" t="s">
        <v>198</v>
      </c>
      <c r="C70" s="322"/>
      <c r="D70" s="321"/>
      <c r="E70" s="321"/>
      <c r="F70" s="323"/>
      <c r="G70" s="321"/>
      <c r="H70" s="463" t="s">
        <v>108</v>
      </c>
      <c r="I70" s="325">
        <f>SQRT((I65^2)+(I69^2))</f>
        <v>0.87996212039685739</v>
      </c>
      <c r="K70" s="321"/>
      <c r="L70" s="321"/>
      <c r="M70" s="323"/>
      <c r="N70" s="321"/>
      <c r="O70" s="463" t="s">
        <v>108</v>
      </c>
      <c r="P70" s="325">
        <f>SQRT((P65^2)+(P69^2))</f>
        <v>0.87996212039685739</v>
      </c>
      <c r="R70" s="321"/>
      <c r="S70" s="321"/>
      <c r="T70" s="323"/>
      <c r="U70" s="321"/>
      <c r="V70" s="463" t="s">
        <v>108</v>
      </c>
      <c r="W70" s="325">
        <f>SQRT((W65^2)+(W69^2))</f>
        <v>0.87996212039685739</v>
      </c>
      <c r="Y70" s="321"/>
      <c r="Z70" s="321"/>
      <c r="AA70" s="323"/>
      <c r="AB70" s="321"/>
      <c r="AC70" s="463" t="s">
        <v>108</v>
      </c>
      <c r="AD70" s="325">
        <f>SQRT((AD65^2)+(AD69^2))</f>
        <v>0.87996212039685739</v>
      </c>
    </row>
    <row r="72" spans="1:30" ht="51" x14ac:dyDescent="0.2">
      <c r="B72" s="338" t="s">
        <v>182</v>
      </c>
      <c r="C72" s="290" t="s">
        <v>73</v>
      </c>
      <c r="D72" s="338" t="s">
        <v>183</v>
      </c>
      <c r="E72" s="339" t="s">
        <v>184</v>
      </c>
      <c r="F72" s="339" t="s">
        <v>185</v>
      </c>
      <c r="G72" s="339" t="s">
        <v>186</v>
      </c>
      <c r="H72" s="339" t="s">
        <v>187</v>
      </c>
      <c r="I72" s="339" t="s">
        <v>188</v>
      </c>
      <c r="K72" s="338" t="s">
        <v>183</v>
      </c>
      <c r="L72" s="339" t="s">
        <v>184</v>
      </c>
      <c r="M72" s="339" t="s">
        <v>185</v>
      </c>
      <c r="N72" s="339" t="s">
        <v>186</v>
      </c>
      <c r="O72" s="339" t="s">
        <v>187</v>
      </c>
      <c r="P72" s="339" t="s">
        <v>188</v>
      </c>
      <c r="R72" s="338" t="s">
        <v>183</v>
      </c>
      <c r="S72" s="339" t="s">
        <v>184</v>
      </c>
      <c r="T72" s="339" t="s">
        <v>185</v>
      </c>
      <c r="U72" s="339" t="s">
        <v>186</v>
      </c>
      <c r="V72" s="339" t="s">
        <v>187</v>
      </c>
      <c r="W72" s="339" t="s">
        <v>188</v>
      </c>
      <c r="Y72" s="338" t="s">
        <v>183</v>
      </c>
      <c r="Z72" s="339" t="s">
        <v>184</v>
      </c>
      <c r="AA72" s="339" t="s">
        <v>185</v>
      </c>
      <c r="AB72" s="339" t="s">
        <v>186</v>
      </c>
      <c r="AC72" s="339" t="s">
        <v>187</v>
      </c>
      <c r="AD72" s="339" t="s">
        <v>188</v>
      </c>
    </row>
    <row r="73" spans="1:30" x14ac:dyDescent="0.2">
      <c r="A73" s="202" t="s">
        <v>159</v>
      </c>
      <c r="B73" s="300" t="s">
        <v>151</v>
      </c>
      <c r="C73" s="227" t="s">
        <v>144</v>
      </c>
      <c r="D73" s="341" t="e">
        <f>+(D74-D75)/D79</f>
        <v>#DIV/0!</v>
      </c>
      <c r="F73" s="273"/>
      <c r="G73" s="273"/>
      <c r="H73" s="273"/>
      <c r="I73" s="273"/>
      <c r="K73" s="341" t="e">
        <f>+(K74-K75)/K79</f>
        <v>#DIV/0!</v>
      </c>
      <c r="M73" s="273"/>
      <c r="N73" s="273"/>
      <c r="O73" s="273"/>
      <c r="P73" s="273"/>
      <c r="R73" s="341" t="e">
        <f>+(R74-R75)/R79</f>
        <v>#DIV/0!</v>
      </c>
      <c r="T73" s="273"/>
      <c r="U73" s="273"/>
      <c r="V73" s="273"/>
      <c r="W73" s="273"/>
      <c r="Y73" s="341" t="e">
        <f>+(Y74-Y75)/Y79</f>
        <v>#DIV/0!</v>
      </c>
      <c r="AA73" s="273"/>
      <c r="AB73" s="273"/>
      <c r="AC73" s="273"/>
      <c r="AD73" s="273"/>
    </row>
    <row r="74" spans="1:30" ht="33.75" x14ac:dyDescent="0.2">
      <c r="A74" s="202" t="s">
        <v>153</v>
      </c>
      <c r="B74" s="309" t="s">
        <v>157</v>
      </c>
      <c r="C74" s="303" t="s">
        <v>108</v>
      </c>
      <c r="D74" s="217">
        <f>+Datos!F24</f>
        <v>0</v>
      </c>
      <c r="E74" s="310" t="s">
        <v>191</v>
      </c>
      <c r="F74" s="310" t="s">
        <v>191</v>
      </c>
      <c r="G74" s="312">
        <f>+I61</f>
        <v>1.2444543650398221</v>
      </c>
      <c r="H74" s="315" t="e">
        <f>1/D79</f>
        <v>#DIV/0!</v>
      </c>
      <c r="I74" s="299" t="e">
        <f>+G74*H74</f>
        <v>#DIV/0!</v>
      </c>
      <c r="K74" s="217">
        <f>+Datos!H24</f>
        <v>0</v>
      </c>
      <c r="L74" s="310" t="s">
        <v>191</v>
      </c>
      <c r="M74" s="310" t="s">
        <v>191</v>
      </c>
      <c r="N74" s="312">
        <f>+P61</f>
        <v>1.2444543650398221</v>
      </c>
      <c r="O74" s="315" t="e">
        <f>1/K79</f>
        <v>#DIV/0!</v>
      </c>
      <c r="P74" s="299" t="e">
        <f>+N74*O74</f>
        <v>#DIV/0!</v>
      </c>
      <c r="R74" s="217">
        <f>+Datos!J24</f>
        <v>0</v>
      </c>
      <c r="S74" s="310" t="s">
        <v>191</v>
      </c>
      <c r="T74" s="310" t="s">
        <v>191</v>
      </c>
      <c r="U74" s="312">
        <f>+W61</f>
        <v>1.2444543650398221</v>
      </c>
      <c r="V74" s="315" t="e">
        <f>1/R79</f>
        <v>#DIV/0!</v>
      </c>
      <c r="W74" s="299" t="e">
        <f>+U74*V74</f>
        <v>#DIV/0!</v>
      </c>
      <c r="Y74" s="217">
        <f>+Datos!L24</f>
        <v>0</v>
      </c>
      <c r="Z74" s="310" t="s">
        <v>191</v>
      </c>
      <c r="AA74" s="310" t="s">
        <v>191</v>
      </c>
      <c r="AB74" s="312">
        <f>+AD61</f>
        <v>1.2444543650398221</v>
      </c>
      <c r="AC74" s="315" t="e">
        <f>1/Y79</f>
        <v>#DIV/0!</v>
      </c>
      <c r="AD74" s="299" t="e">
        <f>+AB74*AC74</f>
        <v>#DIV/0!</v>
      </c>
    </row>
    <row r="75" spans="1:30" ht="22.5" x14ac:dyDescent="0.2">
      <c r="A75" s="304" t="s">
        <v>154</v>
      </c>
      <c r="B75" s="314" t="s">
        <v>158</v>
      </c>
      <c r="C75" s="303" t="s">
        <v>108</v>
      </c>
      <c r="D75" s="217">
        <f>+Datos!$I$5</f>
        <v>0</v>
      </c>
      <c r="E75" s="310" t="s">
        <v>191</v>
      </c>
      <c r="F75" s="310" t="s">
        <v>191</v>
      </c>
      <c r="G75" s="312">
        <f>SQRT((G76*G76)+(G77*G77)+(G78*G78))</f>
        <v>0.87996212039685739</v>
      </c>
      <c r="H75" s="315" t="e">
        <f>1/D79</f>
        <v>#DIV/0!</v>
      </c>
      <c r="I75" s="299" t="e">
        <f>+G75*H75</f>
        <v>#DIV/0!</v>
      </c>
      <c r="K75" s="217">
        <f>+Datos!$I$5</f>
        <v>0</v>
      </c>
      <c r="L75" s="310" t="s">
        <v>191</v>
      </c>
      <c r="M75" s="310" t="s">
        <v>191</v>
      </c>
      <c r="N75" s="312">
        <f>SQRT((N76*N76)+(N77*N77)+(N78*N78))</f>
        <v>0.87996212039685739</v>
      </c>
      <c r="O75" s="315" t="e">
        <f>1/K79</f>
        <v>#DIV/0!</v>
      </c>
      <c r="P75" s="299" t="e">
        <f>+N75*O75</f>
        <v>#DIV/0!</v>
      </c>
      <c r="R75" s="217">
        <f>+Datos!$I$5</f>
        <v>0</v>
      </c>
      <c r="S75" s="310" t="s">
        <v>191</v>
      </c>
      <c r="T75" s="310" t="s">
        <v>191</v>
      </c>
      <c r="U75" s="312">
        <f>SQRT((U76*U76)+(U77*U77)+(U78*U78))</f>
        <v>0.87996212039685739</v>
      </c>
      <c r="V75" s="315" t="e">
        <f>1/R79</f>
        <v>#DIV/0!</v>
      </c>
      <c r="W75" s="299" t="e">
        <f>+U75*V75</f>
        <v>#DIV/0!</v>
      </c>
      <c r="Y75" s="217">
        <f>+Datos!$I$5</f>
        <v>0</v>
      </c>
      <c r="Z75" s="310" t="s">
        <v>191</v>
      </c>
      <c r="AA75" s="310" t="s">
        <v>191</v>
      </c>
      <c r="AB75" s="312">
        <f>SQRT((AB76*AB76)+(AB77*AB77)+(AB78*AB78))</f>
        <v>0.87996212039685739</v>
      </c>
      <c r="AC75" s="315" t="e">
        <f>1/Y79</f>
        <v>#DIV/0!</v>
      </c>
      <c r="AD75" s="299" t="e">
        <f>+AB75*AC75</f>
        <v>#DIV/0!</v>
      </c>
    </row>
    <row r="76" spans="1:30" x14ac:dyDescent="0.2">
      <c r="A76" s="304"/>
      <c r="B76" s="313" t="s">
        <v>189</v>
      </c>
      <c r="C76" s="297" t="s">
        <v>108</v>
      </c>
      <c r="D76" s="298"/>
      <c r="E76" s="291">
        <f>IF(Datos!$L$2="CONO 1",Balanza!$H$28,Balanza!$V$28)</f>
        <v>0</v>
      </c>
      <c r="F76" s="292" t="s">
        <v>190</v>
      </c>
      <c r="G76" s="293">
        <f>+E76</f>
        <v>0</v>
      </c>
      <c r="H76" s="294" t="s">
        <v>191</v>
      </c>
      <c r="I76" s="294" t="s">
        <v>191</v>
      </c>
      <c r="K76" s="298"/>
      <c r="L76" s="291">
        <f>IF(Datos!$L$2="CONO 1",Balanza!$H$28,Balanza!$V$28)</f>
        <v>0</v>
      </c>
      <c r="M76" s="292" t="s">
        <v>190</v>
      </c>
      <c r="N76" s="293">
        <f>+L76</f>
        <v>0</v>
      </c>
      <c r="O76" s="294" t="s">
        <v>191</v>
      </c>
      <c r="P76" s="294" t="s">
        <v>191</v>
      </c>
      <c r="R76" s="298"/>
      <c r="S76" s="291">
        <f>IF(Datos!$L$2="CONO 1",Balanza!$H$28,Balanza!$V$28)</f>
        <v>0</v>
      </c>
      <c r="T76" s="292" t="s">
        <v>190</v>
      </c>
      <c r="U76" s="293">
        <f>+S76</f>
        <v>0</v>
      </c>
      <c r="V76" s="294" t="s">
        <v>191</v>
      </c>
      <c r="W76" s="294" t="s">
        <v>191</v>
      </c>
      <c r="Y76" s="298"/>
      <c r="Z76" s="291">
        <f>IF(Datos!$L$2="CONO 1",Balanza!$H$28,Balanza!$V$28)</f>
        <v>0</v>
      </c>
      <c r="AA76" s="292" t="s">
        <v>190</v>
      </c>
      <c r="AB76" s="293">
        <f>+Z76</f>
        <v>0</v>
      </c>
      <c r="AC76" s="294" t="s">
        <v>191</v>
      </c>
      <c r="AD76" s="294" t="s">
        <v>191</v>
      </c>
    </row>
    <row r="77" spans="1:30" x14ac:dyDescent="0.2">
      <c r="A77" s="304"/>
      <c r="B77" s="313" t="s">
        <v>192</v>
      </c>
      <c r="C77" s="297" t="s">
        <v>108</v>
      </c>
      <c r="D77" s="298"/>
      <c r="E77" s="291">
        <f>IF(Datos!$L$2="CONO 1",2*(SQRT(Balanza!$C$8+Balanza!$D$8*(POWER(D75,2)))),2*(SQRT(Balanza!$Q$8+Balanza!$R$8*(POWER(D75,2)))))</f>
        <v>1.6625281952496325</v>
      </c>
      <c r="F77" s="292" t="s">
        <v>193</v>
      </c>
      <c r="G77" s="293">
        <f>+E77/2</f>
        <v>0.83126409762481623</v>
      </c>
      <c r="H77" s="294" t="s">
        <v>191</v>
      </c>
      <c r="I77" s="294" t="s">
        <v>191</v>
      </c>
      <c r="K77" s="298"/>
      <c r="L77" s="291">
        <f>IF(Datos!$L$2="CONO 1",2*(SQRT(Balanza!$C$8+Balanza!$D$8*(POWER(K75,2)))),2*(SQRT(Balanza!$Q$8+Balanza!$R$8*(POWER(K75,2)))))</f>
        <v>1.6625281952496325</v>
      </c>
      <c r="M77" s="292" t="s">
        <v>193</v>
      </c>
      <c r="N77" s="293">
        <f>+L77/2</f>
        <v>0.83126409762481623</v>
      </c>
      <c r="O77" s="294" t="s">
        <v>191</v>
      </c>
      <c r="P77" s="294" t="s">
        <v>191</v>
      </c>
      <c r="R77" s="298"/>
      <c r="S77" s="291">
        <f>IF(Datos!$L$2="CONO 1",2*(SQRT(Balanza!$C$8+Balanza!$D$8*(POWER(R75,2)))),2*(SQRT(Balanza!$Q$8+Balanza!$R$8*(POWER(R75,2)))))</f>
        <v>1.6625281952496325</v>
      </c>
      <c r="T77" s="292" t="s">
        <v>193</v>
      </c>
      <c r="U77" s="293">
        <f>+S77/2</f>
        <v>0.83126409762481623</v>
      </c>
      <c r="V77" s="294" t="s">
        <v>191</v>
      </c>
      <c r="W77" s="294" t="s">
        <v>191</v>
      </c>
      <c r="Y77" s="298"/>
      <c r="Z77" s="291">
        <f>IF(Datos!$L$2="CONO 1",2*(SQRT(Balanza!$C$8+Balanza!$D$8*(POWER(Y75,2)))),2*(SQRT(Balanza!$Q$8+Balanza!$R$8*(POWER(Y75,2)))))</f>
        <v>1.6625281952496325</v>
      </c>
      <c r="AA77" s="292" t="s">
        <v>193</v>
      </c>
      <c r="AB77" s="293">
        <f>+Z77/2</f>
        <v>0.83126409762481623</v>
      </c>
      <c r="AC77" s="294" t="s">
        <v>191</v>
      </c>
      <c r="AD77" s="294" t="s">
        <v>191</v>
      </c>
    </row>
    <row r="78" spans="1:30" x14ac:dyDescent="0.2">
      <c r="A78" s="304"/>
      <c r="B78" s="313" t="s">
        <v>194</v>
      </c>
      <c r="C78" s="297" t="s">
        <v>108</v>
      </c>
      <c r="D78" s="298"/>
      <c r="E78" s="291">
        <f>IF(Datos!$L$2="CONO 1",Balanza!$C$10,Balanza!$Q$10)</f>
        <v>1</v>
      </c>
      <c r="F78" s="295" t="s">
        <v>195</v>
      </c>
      <c r="G78" s="293">
        <f>+E78/SQRT(3)/2</f>
        <v>0.28867513459481292</v>
      </c>
      <c r="H78" s="294" t="s">
        <v>191</v>
      </c>
      <c r="I78" s="294" t="s">
        <v>191</v>
      </c>
      <c r="K78" s="298"/>
      <c r="L78" s="291">
        <f>IF(Datos!$L$2="CONO 1",Balanza!$C$10,Balanza!$Q$10)</f>
        <v>1</v>
      </c>
      <c r="M78" s="295" t="s">
        <v>195</v>
      </c>
      <c r="N78" s="293">
        <f>+L78/SQRT(3)/2</f>
        <v>0.28867513459481292</v>
      </c>
      <c r="O78" s="294" t="s">
        <v>191</v>
      </c>
      <c r="P78" s="294" t="s">
        <v>191</v>
      </c>
      <c r="R78" s="298"/>
      <c r="S78" s="291">
        <f>IF(Datos!$L$2="CONO 1",Balanza!$C$10,Balanza!$Q$10)</f>
        <v>1</v>
      </c>
      <c r="T78" s="295" t="s">
        <v>195</v>
      </c>
      <c r="U78" s="293">
        <f>+S78/SQRT(3)/2</f>
        <v>0.28867513459481292</v>
      </c>
      <c r="V78" s="294" t="s">
        <v>191</v>
      </c>
      <c r="W78" s="294" t="s">
        <v>191</v>
      </c>
      <c r="Y78" s="298"/>
      <c r="Z78" s="291">
        <f>IF(Datos!$L$2="CONO 1",Balanza!$C$10,Balanza!$Q$10)</f>
        <v>1</v>
      </c>
      <c r="AA78" s="295" t="s">
        <v>195</v>
      </c>
      <c r="AB78" s="293">
        <f>+Z78/SQRT(3)/2</f>
        <v>0.28867513459481292</v>
      </c>
      <c r="AC78" s="294" t="s">
        <v>191</v>
      </c>
      <c r="AD78" s="294" t="s">
        <v>191</v>
      </c>
    </row>
    <row r="79" spans="1:30" x14ac:dyDescent="0.2">
      <c r="A79" s="202" t="s">
        <v>152</v>
      </c>
      <c r="B79" s="301" t="str">
        <f>+Datos!G6</f>
        <v xml:space="preserve">Densidad de la arena </v>
      </c>
      <c r="C79" s="362" t="s">
        <v>146</v>
      </c>
      <c r="D79" s="464">
        <f>+Datos!$I$6</f>
        <v>0</v>
      </c>
      <c r="E79" s="310" t="s">
        <v>191</v>
      </c>
      <c r="F79" s="310" t="s">
        <v>191</v>
      </c>
      <c r="G79" s="478">
        <f>+IF(Datos!L2="CONO 1",Incertidumbre!G82,Incertidumbre!G83)</f>
        <v>8.9999999999999998E-4</v>
      </c>
      <c r="H79" s="310" t="e">
        <f>+(D74-D75)/D79^2</f>
        <v>#DIV/0!</v>
      </c>
      <c r="I79" s="299" t="e">
        <f>+G79*H79</f>
        <v>#DIV/0!</v>
      </c>
      <c r="K79" s="464">
        <f>+Datos!$I$6</f>
        <v>0</v>
      </c>
      <c r="L79" s="310" t="s">
        <v>191</v>
      </c>
      <c r="M79" s="310" t="s">
        <v>191</v>
      </c>
      <c r="N79" s="312">
        <f>+G79</f>
        <v>8.9999999999999998E-4</v>
      </c>
      <c r="O79" s="310" t="e">
        <f>+(K74-K75)/K79^2</f>
        <v>#DIV/0!</v>
      </c>
      <c r="P79" s="299" t="e">
        <f>+N79*O79</f>
        <v>#DIV/0!</v>
      </c>
      <c r="R79" s="464">
        <f>+Datos!$I$6</f>
        <v>0</v>
      </c>
      <c r="S79" s="310" t="s">
        <v>191</v>
      </c>
      <c r="T79" s="310" t="s">
        <v>191</v>
      </c>
      <c r="U79" s="312">
        <f>+G79</f>
        <v>8.9999999999999998E-4</v>
      </c>
      <c r="V79" s="310" t="e">
        <f>+(R74-R75)/R79^2</f>
        <v>#DIV/0!</v>
      </c>
      <c r="W79" s="299" t="e">
        <f>+U79*V79</f>
        <v>#DIV/0!</v>
      </c>
      <c r="Y79" s="464">
        <f>+Datos!$I$6</f>
        <v>0</v>
      </c>
      <c r="Z79" s="310" t="s">
        <v>191</v>
      </c>
      <c r="AA79" s="310" t="s">
        <v>191</v>
      </c>
      <c r="AB79" s="312">
        <f>+G79</f>
        <v>8.9999999999999998E-4</v>
      </c>
      <c r="AC79" s="310" t="e">
        <f>+(Y74-Y75)/Y79^2</f>
        <v>#DIV/0!</v>
      </c>
      <c r="AD79" s="299" t="e">
        <f>+AB79*AC79</f>
        <v>#DIV/0!</v>
      </c>
    </row>
    <row r="80" spans="1:30" x14ac:dyDescent="0.2">
      <c r="A80" s="198"/>
      <c r="B80" s="337" t="s">
        <v>198</v>
      </c>
      <c r="C80" s="322"/>
      <c r="D80" s="321"/>
      <c r="E80" s="321"/>
      <c r="F80" s="323"/>
      <c r="G80" s="321"/>
      <c r="H80" s="227" t="s">
        <v>144</v>
      </c>
      <c r="I80" s="325" t="e">
        <f>SQRT(I74^2+I75^2+I79^2)</f>
        <v>#DIV/0!</v>
      </c>
      <c r="K80" s="321"/>
      <c r="L80" s="321"/>
      <c r="M80" s="323"/>
      <c r="N80" s="321"/>
      <c r="O80" s="227" t="s">
        <v>144</v>
      </c>
      <c r="P80" s="325" t="e">
        <f>SQRT(P74^2+P75^2+P79^2)</f>
        <v>#DIV/0!</v>
      </c>
      <c r="R80" s="321"/>
      <c r="S80" s="321"/>
      <c r="T80" s="323"/>
      <c r="U80" s="321"/>
      <c r="V80" s="227" t="s">
        <v>144</v>
      </c>
      <c r="W80" s="325" t="e">
        <f>SQRT(W74^2+W75^2+W79^2)</f>
        <v>#DIV/0!</v>
      </c>
      <c r="Y80" s="321"/>
      <c r="Z80" s="321"/>
      <c r="AA80" s="323"/>
      <c r="AB80" s="321"/>
      <c r="AC80" s="227" t="s">
        <v>144</v>
      </c>
      <c r="AD80" s="325" t="e">
        <f>SQRT(AD74^2+AD75^2+AD79^2)</f>
        <v>#DIV/0!</v>
      </c>
    </row>
    <row r="81" spans="1:9" x14ac:dyDescent="0.2">
      <c r="A81" s="198"/>
      <c r="B81" s="278"/>
      <c r="C81" s="279"/>
      <c r="D81" s="280"/>
      <c r="E81" s="281"/>
      <c r="F81" s="282"/>
      <c r="G81" s="283"/>
      <c r="H81" s="284"/>
      <c r="I81" s="284"/>
    </row>
    <row r="82" spans="1:9" x14ac:dyDescent="0.2">
      <c r="F82" s="297" t="s">
        <v>266</v>
      </c>
      <c r="G82" s="476">
        <v>8.0000000000000004E-4</v>
      </c>
    </row>
    <row r="83" spans="1:9" x14ac:dyDescent="0.2">
      <c r="E83" s="144"/>
      <c r="F83" s="297" t="s">
        <v>267</v>
      </c>
      <c r="G83" s="476">
        <v>8.9999999999999998E-4</v>
      </c>
    </row>
    <row r="84" spans="1:9" x14ac:dyDescent="0.2">
      <c r="E84" s="144"/>
      <c r="F84" s="279"/>
      <c r="G84" s="534"/>
    </row>
    <row r="86" spans="1:9" x14ac:dyDescent="0.2">
      <c r="B86" s="535" t="s">
        <v>303</v>
      </c>
      <c r="C86" s="624" t="s">
        <v>304</v>
      </c>
      <c r="D86" s="625"/>
      <c r="E86" s="536"/>
      <c r="F86" s="626" t="s">
        <v>306</v>
      </c>
      <c r="G86" s="626"/>
      <c r="H86" s="627" t="s">
        <v>305</v>
      </c>
      <c r="I86" s="628"/>
    </row>
    <row r="87" spans="1:9" x14ac:dyDescent="0.2">
      <c r="B87" s="537"/>
      <c r="C87" s="537"/>
      <c r="D87" s="537"/>
      <c r="E87" s="537"/>
      <c r="F87" s="537"/>
      <c r="G87" s="537"/>
      <c r="H87" s="533"/>
      <c r="I87" s="533"/>
    </row>
    <row r="88" spans="1:9" x14ac:dyDescent="0.2">
      <c r="B88" s="538" t="s">
        <v>307</v>
      </c>
      <c r="C88" s="629">
        <v>45604</v>
      </c>
      <c r="D88" s="630"/>
      <c r="E88" s="537"/>
      <c r="F88" s="631" t="s">
        <v>308</v>
      </c>
      <c r="G88" s="631"/>
      <c r="H88" s="632">
        <v>45605</v>
      </c>
      <c r="I88" s="633"/>
    </row>
  </sheetData>
  <sheetProtection algorithmName="SHA-512" hashValue="2vn6N8Do0NXJaXGz9s0zPhbAVHFZas6ExoUPguPwrqvC96ZZOdFT6MyzMuu1vXvkMhADUtJF/WIJM52Vtvd8jg==" saltValue="6WU0TUYtv8ozmMWzhhaMiQ==" spinCount="100000" sheet="1" objects="1" scenarios="1"/>
  <mergeCells count="13">
    <mergeCell ref="B1:B4"/>
    <mergeCell ref="P23:Q23"/>
    <mergeCell ref="C1:M4"/>
    <mergeCell ref="O1:P1"/>
    <mergeCell ref="O2:P2"/>
    <mergeCell ref="O3:P3"/>
    <mergeCell ref="O4:P4"/>
    <mergeCell ref="C86:D86"/>
    <mergeCell ref="F86:G86"/>
    <mergeCell ref="H86:I86"/>
    <mergeCell ref="C88:D88"/>
    <mergeCell ref="F88:G88"/>
    <mergeCell ref="H88:I88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4FD7-F87C-4FA5-91F8-DBF84AB6AD6C}">
  <dimension ref="B1:BT30"/>
  <sheetViews>
    <sheetView zoomScaleNormal="100" workbookViewId="0">
      <selection activeCell="BI35" sqref="BI35"/>
    </sheetView>
  </sheetViews>
  <sheetFormatPr baseColWidth="10" defaultColWidth="11.42578125" defaultRowHeight="12.75" x14ac:dyDescent="0.2"/>
  <cols>
    <col min="1" max="1" width="5.42578125" style="174" customWidth="1"/>
    <col min="2" max="2" width="11.42578125" style="174"/>
    <col min="3" max="3" width="10.42578125" style="174" customWidth="1"/>
    <col min="4" max="4" width="12" style="174" customWidth="1"/>
    <col min="5" max="7" width="11.42578125" style="174"/>
    <col min="8" max="8" width="14.42578125" style="174" customWidth="1"/>
    <col min="9" max="15" width="11.28515625" style="174" customWidth="1"/>
    <col min="16" max="45" width="11.42578125" style="174"/>
    <col min="46" max="46" width="12" style="174" bestFit="1" customWidth="1"/>
    <col min="47" max="58" width="11.42578125" style="174"/>
    <col min="59" max="60" width="12" style="174" bestFit="1" customWidth="1"/>
    <col min="61" max="16384" width="11.42578125" style="174"/>
  </cols>
  <sheetData>
    <row r="1" spans="2:64" x14ac:dyDescent="0.2">
      <c r="B1" s="189" t="s">
        <v>266</v>
      </c>
      <c r="P1" s="654" t="s">
        <v>267</v>
      </c>
      <c r="Q1" s="654"/>
      <c r="AD1" s="654" t="s">
        <v>299</v>
      </c>
      <c r="AE1" s="654"/>
      <c r="AR1" s="654" t="s">
        <v>311</v>
      </c>
      <c r="AS1" s="654"/>
      <c r="BF1" s="654" t="s">
        <v>313</v>
      </c>
      <c r="BG1" s="654"/>
    </row>
    <row r="6" spans="2:64" x14ac:dyDescent="0.2">
      <c r="B6" s="172" t="s">
        <v>74</v>
      </c>
      <c r="C6" s="173"/>
      <c r="D6" s="173"/>
      <c r="P6" s="172" t="s">
        <v>74</v>
      </c>
      <c r="AD6" s="172" t="s">
        <v>74</v>
      </c>
      <c r="AR6" s="172" t="s">
        <v>74</v>
      </c>
      <c r="BF6" s="172" t="s">
        <v>74</v>
      </c>
    </row>
    <row r="7" spans="2:64" x14ac:dyDescent="0.2">
      <c r="B7" s="175" t="s">
        <v>75</v>
      </c>
      <c r="C7" s="176">
        <v>-3.4199999999999999E-6</v>
      </c>
      <c r="D7" s="177"/>
      <c r="P7" s="175" t="s">
        <v>75</v>
      </c>
      <c r="Q7" s="176">
        <v>2.3099999999999999E-5</v>
      </c>
      <c r="R7" s="177"/>
      <c r="AD7" s="175" t="s">
        <v>75</v>
      </c>
      <c r="AE7" s="176">
        <v>-7.4699999999999996E-6</v>
      </c>
      <c r="AF7" s="177"/>
      <c r="AR7" s="175" t="s">
        <v>75</v>
      </c>
      <c r="AS7" s="176">
        <v>-2.96E-6</v>
      </c>
      <c r="AT7" s="177"/>
      <c r="BF7" s="175" t="s">
        <v>75</v>
      </c>
      <c r="BG7" s="176">
        <v>-9.6500000000000008E-6</v>
      </c>
      <c r="BH7" s="177"/>
    </row>
    <row r="8" spans="2:64" x14ac:dyDescent="0.2">
      <c r="B8" s="178" t="s">
        <v>76</v>
      </c>
      <c r="C8" s="177">
        <v>1.29</v>
      </c>
      <c r="D8" s="177">
        <v>8.8000000000000006E-11</v>
      </c>
      <c r="P8" s="178" t="s">
        <v>76</v>
      </c>
      <c r="Q8" s="177">
        <v>0.69099999999999995</v>
      </c>
      <c r="R8" s="177">
        <v>5.8299999999999995E-10</v>
      </c>
      <c r="AD8" s="178" t="s">
        <v>76</v>
      </c>
      <c r="AE8" s="177">
        <v>1.3E-6</v>
      </c>
      <c r="AF8" s="177">
        <v>7.6200000000000006E-11</v>
      </c>
      <c r="AR8" s="178" t="s">
        <v>76</v>
      </c>
      <c r="AS8" s="177">
        <v>0.17</v>
      </c>
      <c r="AT8" s="177">
        <v>3.8099999999999998E-5</v>
      </c>
      <c r="BF8" s="178" t="s">
        <v>76</v>
      </c>
      <c r="BG8" s="177">
        <v>2.53E-7</v>
      </c>
      <c r="BH8" s="177">
        <v>1.25E-9</v>
      </c>
    </row>
    <row r="9" spans="2:64" x14ac:dyDescent="0.2">
      <c r="B9" s="178" t="s">
        <v>77</v>
      </c>
      <c r="C9" s="179" t="s">
        <v>325</v>
      </c>
      <c r="D9" s="177"/>
      <c r="P9" s="178" t="s">
        <v>77</v>
      </c>
      <c r="Q9" s="179" t="s">
        <v>310</v>
      </c>
      <c r="R9" s="177"/>
      <c r="AD9" s="178" t="s">
        <v>77</v>
      </c>
      <c r="AE9" s="179" t="s">
        <v>300</v>
      </c>
      <c r="AF9" s="177"/>
      <c r="AR9" s="178" t="s">
        <v>77</v>
      </c>
      <c r="AS9" s="179" t="s">
        <v>312</v>
      </c>
      <c r="AT9" s="177"/>
      <c r="BF9" s="178" t="s">
        <v>77</v>
      </c>
      <c r="BG9" s="179" t="s">
        <v>314</v>
      </c>
      <c r="BH9" s="177"/>
    </row>
    <row r="10" spans="2:64" x14ac:dyDescent="0.2">
      <c r="B10" s="178" t="s">
        <v>78</v>
      </c>
      <c r="C10" s="180">
        <v>1</v>
      </c>
      <c r="D10" s="177"/>
      <c r="P10" s="178" t="s">
        <v>78</v>
      </c>
      <c r="Q10" s="180">
        <v>1</v>
      </c>
      <c r="R10" s="177"/>
      <c r="AD10" s="178" t="s">
        <v>78</v>
      </c>
      <c r="AE10" s="180">
        <v>1</v>
      </c>
      <c r="AF10" s="177"/>
      <c r="AR10" s="178" t="s">
        <v>78</v>
      </c>
      <c r="AS10" s="180">
        <v>1</v>
      </c>
      <c r="AT10" s="177"/>
      <c r="BF10" s="178" t="s">
        <v>78</v>
      </c>
      <c r="BG10" s="180">
        <v>1</v>
      </c>
      <c r="BH10" s="177"/>
    </row>
    <row r="11" spans="2:64" x14ac:dyDescent="0.2">
      <c r="B11" s="178" t="s">
        <v>79</v>
      </c>
      <c r="C11" s="177" t="s">
        <v>273</v>
      </c>
      <c r="D11" s="177"/>
      <c r="P11" s="178" t="s">
        <v>79</v>
      </c>
      <c r="Q11" s="177" t="s">
        <v>203</v>
      </c>
      <c r="R11" s="177"/>
      <c r="AD11" s="178" t="s">
        <v>79</v>
      </c>
      <c r="AE11" s="177" t="s">
        <v>298</v>
      </c>
      <c r="AF11" s="177"/>
      <c r="AR11" s="178" t="s">
        <v>79</v>
      </c>
      <c r="AS11" s="177" t="s">
        <v>294</v>
      </c>
      <c r="AT11" s="177"/>
      <c r="BF11" s="178" t="s">
        <v>79</v>
      </c>
      <c r="BG11" s="541" t="s">
        <v>297</v>
      </c>
      <c r="BH11" s="177"/>
    </row>
    <row r="12" spans="2:64" x14ac:dyDescent="0.2">
      <c r="B12" s="178" t="s">
        <v>270</v>
      </c>
      <c r="C12" s="541">
        <v>46177</v>
      </c>
      <c r="P12" s="178" t="s">
        <v>270</v>
      </c>
      <c r="Q12" s="541">
        <v>46160</v>
      </c>
      <c r="AD12" s="178" t="s">
        <v>270</v>
      </c>
      <c r="AE12" s="541">
        <v>46086</v>
      </c>
      <c r="AR12" s="178" t="s">
        <v>270</v>
      </c>
      <c r="AS12" s="541">
        <v>45931</v>
      </c>
      <c r="BF12" s="178" t="s">
        <v>270</v>
      </c>
      <c r="BG12" s="541">
        <v>45981</v>
      </c>
    </row>
    <row r="13" spans="2:64" ht="16.5" customHeight="1" x14ac:dyDescent="0.2">
      <c r="B13" s="231" t="s">
        <v>80</v>
      </c>
      <c r="C13" s="232" t="s">
        <v>81</v>
      </c>
      <c r="D13" s="233">
        <v>500</v>
      </c>
      <c r="E13" s="233">
        <v>1000</v>
      </c>
      <c r="F13" s="233">
        <v>5000</v>
      </c>
      <c r="G13" s="233">
        <v>10000</v>
      </c>
      <c r="H13" s="233">
        <v>15000</v>
      </c>
      <c r="I13" s="183">
        <v>20000</v>
      </c>
      <c r="P13" s="231" t="s">
        <v>80</v>
      </c>
      <c r="Q13" s="232" t="s">
        <v>81</v>
      </c>
      <c r="R13" s="233">
        <v>500</v>
      </c>
      <c r="S13" s="233">
        <v>1000</v>
      </c>
      <c r="T13" s="233">
        <v>5000</v>
      </c>
      <c r="U13" s="233">
        <v>10000</v>
      </c>
      <c r="V13" s="233">
        <v>15000</v>
      </c>
      <c r="AD13" s="231" t="s">
        <v>80</v>
      </c>
      <c r="AE13" s="232" t="s">
        <v>81</v>
      </c>
      <c r="AF13" s="233">
        <v>500</v>
      </c>
      <c r="AG13" s="233">
        <v>1000</v>
      </c>
      <c r="AH13" s="233">
        <v>5000</v>
      </c>
      <c r="AI13" s="233">
        <v>10000</v>
      </c>
      <c r="AJ13" s="233">
        <v>15000</v>
      </c>
      <c r="AR13" s="231" t="s">
        <v>80</v>
      </c>
      <c r="AS13" s="232" t="s">
        <v>81</v>
      </c>
      <c r="AT13" s="233">
        <v>500</v>
      </c>
      <c r="AU13" s="233">
        <v>1000</v>
      </c>
      <c r="AV13" s="233">
        <v>5000</v>
      </c>
      <c r="AW13" s="233">
        <v>10000</v>
      </c>
      <c r="AX13" s="233">
        <v>15000</v>
      </c>
      <c r="BF13" s="231" t="s">
        <v>80</v>
      </c>
      <c r="BG13" s="232" t="s">
        <v>81</v>
      </c>
      <c r="BH13" s="233">
        <v>500</v>
      </c>
      <c r="BI13" s="233">
        <v>1000</v>
      </c>
      <c r="BJ13" s="233">
        <v>5000</v>
      </c>
      <c r="BK13" s="233">
        <v>10000</v>
      </c>
      <c r="BL13" s="233">
        <v>15000</v>
      </c>
    </row>
    <row r="14" spans="2:64" ht="16.5" customHeight="1" x14ac:dyDescent="0.2">
      <c r="B14" s="526"/>
      <c r="C14" s="479"/>
      <c r="D14" s="480"/>
      <c r="E14" s="480"/>
      <c r="F14" s="480"/>
      <c r="G14" s="480"/>
      <c r="H14" s="480"/>
      <c r="I14" s="514"/>
      <c r="P14" s="526"/>
      <c r="Q14" s="479"/>
      <c r="R14" s="480"/>
      <c r="S14" s="480"/>
      <c r="T14" s="480"/>
      <c r="U14" s="480"/>
      <c r="V14" s="480"/>
      <c r="AD14" s="526"/>
      <c r="AE14" s="479"/>
      <c r="AF14" s="480"/>
      <c r="AG14" s="480"/>
      <c r="AH14" s="480"/>
      <c r="AI14" s="480"/>
      <c r="AJ14" s="480"/>
      <c r="AR14" s="526"/>
      <c r="AS14" s="479"/>
      <c r="AT14" s="480"/>
      <c r="AU14" s="480"/>
      <c r="AV14" s="480"/>
      <c r="AW14" s="480"/>
      <c r="AX14" s="480"/>
      <c r="BF14" s="526"/>
      <c r="BG14" s="479"/>
      <c r="BH14" s="480"/>
      <c r="BI14" s="480"/>
      <c r="BJ14" s="480"/>
      <c r="BK14" s="480"/>
      <c r="BL14" s="480"/>
    </row>
    <row r="15" spans="2:64" ht="16.5" customHeight="1" x14ac:dyDescent="0.2">
      <c r="B15" s="182"/>
      <c r="C15" s="184"/>
      <c r="D15" s="185"/>
      <c r="E15" s="185"/>
      <c r="F15" s="185"/>
      <c r="G15" s="185"/>
      <c r="H15" s="185"/>
      <c r="I15" s="513"/>
      <c r="P15" s="182"/>
      <c r="Q15" s="184"/>
      <c r="R15" s="185"/>
      <c r="S15" s="185"/>
      <c r="T15" s="185"/>
      <c r="U15" s="185"/>
      <c r="V15" s="185"/>
      <c r="AD15" s="182"/>
      <c r="AE15" s="184"/>
      <c r="AF15" s="185"/>
      <c r="AG15" s="185"/>
      <c r="AH15" s="185"/>
      <c r="AI15" s="185"/>
      <c r="AJ15" s="185"/>
      <c r="AR15" s="182"/>
      <c r="AS15" s="184"/>
      <c r="AT15" s="185"/>
      <c r="AU15" s="185"/>
      <c r="AV15" s="185"/>
      <c r="AW15" s="185"/>
      <c r="AX15" s="185"/>
      <c r="BF15" s="182"/>
      <c r="BG15" s="184"/>
      <c r="BH15" s="185"/>
      <c r="BI15" s="185"/>
      <c r="BJ15" s="185"/>
      <c r="BK15" s="185"/>
      <c r="BL15" s="185"/>
    </row>
    <row r="16" spans="2:64" x14ac:dyDescent="0.2">
      <c r="H16" s="186"/>
      <c r="V16" s="186"/>
      <c r="AJ16" s="186"/>
      <c r="AX16" s="186"/>
      <c r="BL16" s="186"/>
    </row>
    <row r="17" spans="2:72" x14ac:dyDescent="0.2">
      <c r="B17" s="187"/>
      <c r="C17" s="181" t="s">
        <v>82</v>
      </c>
      <c r="D17" s="188">
        <v>0</v>
      </c>
      <c r="E17" s="188">
        <v>0</v>
      </c>
      <c r="F17" s="188">
        <v>0</v>
      </c>
      <c r="G17" s="188">
        <v>0</v>
      </c>
      <c r="H17" s="188">
        <v>0</v>
      </c>
      <c r="I17" s="188">
        <v>0</v>
      </c>
      <c r="P17" s="187"/>
      <c r="Q17" s="181" t="s">
        <v>82</v>
      </c>
      <c r="R17" s="188">
        <v>0</v>
      </c>
      <c r="S17" s="188">
        <v>0</v>
      </c>
      <c r="T17" s="188">
        <v>0</v>
      </c>
      <c r="U17" s="188">
        <v>0</v>
      </c>
      <c r="V17" s="188">
        <v>0</v>
      </c>
      <c r="AD17" s="187">
        <f>COUNT(AD14:AD15)</f>
        <v>0</v>
      </c>
      <c r="AE17" s="181" t="s">
        <v>82</v>
      </c>
      <c r="AF17" s="188" t="e">
        <f>STDEV(AF14:AF15)/SQRT($B$17)</f>
        <v>#DIV/0!</v>
      </c>
      <c r="AG17" s="188" t="e">
        <f>STDEV(AG14:AG15)/SQRT($B$17)</f>
        <v>#DIV/0!</v>
      </c>
      <c r="AH17" s="188" t="e">
        <f>STDEV(AH14:AH15)/SQRT($B$17)</f>
        <v>#DIV/0!</v>
      </c>
      <c r="AI17" s="188" t="e">
        <f>STDEV(AI14:AI15)/SQRT($B$17)</f>
        <v>#DIV/0!</v>
      </c>
      <c r="AJ17" s="188" t="e">
        <f>STDEV(AJ14:AJ15)/SQRT($B$17)</f>
        <v>#DIV/0!</v>
      </c>
      <c r="AR17" s="187">
        <f>COUNT(AR14:AR15)</f>
        <v>0</v>
      </c>
      <c r="AS17" s="181" t="s">
        <v>82</v>
      </c>
      <c r="AT17" s="188" t="e">
        <f>STDEV(AT14:AT15)/SQRT($B$17)</f>
        <v>#DIV/0!</v>
      </c>
      <c r="AU17" s="188" t="e">
        <f>STDEV(AU14:AU15)/SQRT($B$17)</f>
        <v>#DIV/0!</v>
      </c>
      <c r="AV17" s="188" t="e">
        <f>STDEV(AV14:AV15)/SQRT($B$17)</f>
        <v>#DIV/0!</v>
      </c>
      <c r="AW17" s="188" t="e">
        <f>STDEV(AW14:AW15)/SQRT($B$17)</f>
        <v>#DIV/0!</v>
      </c>
      <c r="AX17" s="188" t="e">
        <f>STDEV(AX14:AX15)/SQRT($B$17)</f>
        <v>#DIV/0!</v>
      </c>
      <c r="BF17" s="187">
        <f>COUNT(BF14:BF15)</f>
        <v>0</v>
      </c>
      <c r="BG17" s="181" t="s">
        <v>82</v>
      </c>
      <c r="BH17" s="188" t="e">
        <f>STDEV(BH14:BH15)/SQRT($B$17)</f>
        <v>#DIV/0!</v>
      </c>
      <c r="BI17" s="188" t="e">
        <f>STDEV(BI14:BI15)/SQRT($B$17)</f>
        <v>#DIV/0!</v>
      </c>
      <c r="BJ17" s="188" t="e">
        <f>STDEV(BJ14:BJ15)/SQRT($B$17)</f>
        <v>#DIV/0!</v>
      </c>
      <c r="BK17" s="188" t="e">
        <f>STDEV(BK14:BK15)/SQRT($B$17)</f>
        <v>#DIV/0!</v>
      </c>
      <c r="BL17" s="188" t="e">
        <f>STDEV(BL14:BL15)/SQRT($B$17)</f>
        <v>#DIV/0!</v>
      </c>
    </row>
    <row r="19" spans="2:72" x14ac:dyDescent="0.2">
      <c r="D19" s="189" t="s">
        <v>83</v>
      </c>
      <c r="R19" s="189" t="s">
        <v>83</v>
      </c>
      <c r="AF19" s="189" t="s">
        <v>83</v>
      </c>
      <c r="AT19" s="189" t="s">
        <v>83</v>
      </c>
      <c r="BH19" s="189" t="s">
        <v>83</v>
      </c>
    </row>
    <row r="21" spans="2:72" ht="15.75" customHeight="1" x14ac:dyDescent="0.2">
      <c r="D21" s="183">
        <f>+D13</f>
        <v>500</v>
      </c>
      <c r="E21" s="183">
        <f>+E13</f>
        <v>1000</v>
      </c>
      <c r="F21" s="183">
        <f>+F13</f>
        <v>5000</v>
      </c>
      <c r="G21" s="183">
        <f>+G13</f>
        <v>10000</v>
      </c>
      <c r="H21" s="183">
        <f>+H13</f>
        <v>15000</v>
      </c>
      <c r="I21" s="183">
        <v>20000</v>
      </c>
      <c r="R21" s="183">
        <f>+R13</f>
        <v>500</v>
      </c>
      <c r="S21" s="183">
        <f>+S13</f>
        <v>1000</v>
      </c>
      <c r="T21" s="183">
        <f>+T13</f>
        <v>5000</v>
      </c>
      <c r="U21" s="183">
        <f>+U13</f>
        <v>10000</v>
      </c>
      <c r="V21" s="183">
        <f>+V13</f>
        <v>15000</v>
      </c>
      <c r="AF21" s="183">
        <f>+AF13</f>
        <v>500</v>
      </c>
      <c r="AG21" s="183">
        <f>+AG13</f>
        <v>1000</v>
      </c>
      <c r="AH21" s="183">
        <f>+AH13</f>
        <v>5000</v>
      </c>
      <c r="AI21" s="183">
        <f>+AI13</f>
        <v>10000</v>
      </c>
      <c r="AJ21" s="183">
        <f>+AJ13</f>
        <v>15000</v>
      </c>
      <c r="AT21" s="183">
        <f>+AT13</f>
        <v>500</v>
      </c>
      <c r="AU21" s="183">
        <f>+AU13</f>
        <v>1000</v>
      </c>
      <c r="AV21" s="183">
        <f>+AV13</f>
        <v>5000</v>
      </c>
      <c r="AW21" s="183">
        <f>+AW13</f>
        <v>10000</v>
      </c>
      <c r="AX21" s="183">
        <f>+AX13</f>
        <v>15000</v>
      </c>
      <c r="BH21" s="183">
        <f>+BH13</f>
        <v>500</v>
      </c>
      <c r="BI21" s="183">
        <f>+BI13</f>
        <v>1000</v>
      </c>
      <c r="BJ21" s="183">
        <f>+BJ13</f>
        <v>5000</v>
      </c>
      <c r="BK21" s="183">
        <f>+BK13</f>
        <v>10000</v>
      </c>
      <c r="BL21" s="183">
        <f>+BL13</f>
        <v>15000</v>
      </c>
    </row>
    <row r="22" spans="2:72" x14ac:dyDescent="0.2">
      <c r="D22" s="188">
        <f t="shared" ref="D22:I22" si="0">D17</f>
        <v>0</v>
      </c>
      <c r="E22" s="188">
        <f t="shared" si="0"/>
        <v>0</v>
      </c>
      <c r="F22" s="188">
        <f t="shared" si="0"/>
        <v>0</v>
      </c>
      <c r="G22" s="188">
        <f t="shared" si="0"/>
        <v>0</v>
      </c>
      <c r="H22" s="188">
        <f t="shared" si="0"/>
        <v>0</v>
      </c>
      <c r="I22" s="188">
        <f t="shared" si="0"/>
        <v>0</v>
      </c>
      <c r="R22" s="188">
        <f>R17</f>
        <v>0</v>
      </c>
      <c r="S22" s="188">
        <f>S17</f>
        <v>0</v>
      </c>
      <c r="T22" s="188">
        <f>T17</f>
        <v>0</v>
      </c>
      <c r="U22" s="188">
        <f>U17</f>
        <v>0</v>
      </c>
      <c r="V22" s="188">
        <f>V17</f>
        <v>0</v>
      </c>
      <c r="AF22" s="188" t="e">
        <f>AF17</f>
        <v>#DIV/0!</v>
      </c>
      <c r="AG22" s="188" t="e">
        <f>AG17</f>
        <v>#DIV/0!</v>
      </c>
      <c r="AH22" s="188" t="e">
        <f>AH17</f>
        <v>#DIV/0!</v>
      </c>
      <c r="AI22" s="188" t="e">
        <f>AI17</f>
        <v>#DIV/0!</v>
      </c>
      <c r="AJ22" s="188" t="e">
        <f>AJ17</f>
        <v>#DIV/0!</v>
      </c>
      <c r="AT22" s="188" t="e">
        <f>AT17</f>
        <v>#DIV/0!</v>
      </c>
      <c r="AU22" s="188" t="e">
        <f>AU17</f>
        <v>#DIV/0!</v>
      </c>
      <c r="AV22" s="188" t="e">
        <f>AV17</f>
        <v>#DIV/0!</v>
      </c>
      <c r="AW22" s="188" t="e">
        <f>AW17</f>
        <v>#DIV/0!</v>
      </c>
      <c r="AX22" s="188" t="e">
        <f>AX17</f>
        <v>#DIV/0!</v>
      </c>
      <c r="BH22" s="188" t="e">
        <f>BH17</f>
        <v>#DIV/0!</v>
      </c>
      <c r="BI22" s="188" t="e">
        <f>BI17</f>
        <v>#DIV/0!</v>
      </c>
      <c r="BJ22" s="188" t="e">
        <f>BJ17</f>
        <v>#DIV/0!</v>
      </c>
      <c r="BK22" s="188" t="e">
        <f>BK17</f>
        <v>#DIV/0!</v>
      </c>
      <c r="BL22" s="188" t="e">
        <f>BL17</f>
        <v>#DIV/0!</v>
      </c>
    </row>
    <row r="23" spans="2:72" x14ac:dyDescent="0.2">
      <c r="G23" s="190"/>
      <c r="H23" s="190"/>
      <c r="I23" s="190"/>
      <c r="U23" s="190"/>
      <c r="V23" s="190"/>
      <c r="W23" s="190"/>
      <c r="AI23" s="190"/>
      <c r="AJ23" s="190"/>
      <c r="AK23" s="190"/>
      <c r="AW23" s="190"/>
      <c r="AX23" s="190"/>
      <c r="AY23" s="190"/>
      <c r="BK23" s="190"/>
      <c r="BL23" s="190"/>
      <c r="BM23" s="190"/>
    </row>
    <row r="24" spans="2:72" x14ac:dyDescent="0.2">
      <c r="B24" s="655" t="s">
        <v>3</v>
      </c>
      <c r="C24" s="655"/>
      <c r="D24" s="655"/>
      <c r="E24" s="655"/>
      <c r="F24" s="655"/>
      <c r="G24" s="653" t="s">
        <v>140</v>
      </c>
      <c r="H24" s="653"/>
      <c r="I24" s="653" t="s">
        <v>141</v>
      </c>
      <c r="J24" s="653"/>
      <c r="K24" s="653" t="s">
        <v>142</v>
      </c>
      <c r="L24" s="653"/>
      <c r="M24" s="653" t="s">
        <v>231</v>
      </c>
      <c r="N24" s="653"/>
      <c r="P24" s="655" t="s">
        <v>3</v>
      </c>
      <c r="Q24" s="655"/>
      <c r="R24" s="655"/>
      <c r="S24" s="655"/>
      <c r="T24" s="655"/>
      <c r="U24" s="653" t="s">
        <v>140</v>
      </c>
      <c r="V24" s="653"/>
      <c r="W24" s="653" t="s">
        <v>141</v>
      </c>
      <c r="X24" s="653"/>
      <c r="Y24" s="653" t="s">
        <v>142</v>
      </c>
      <c r="Z24" s="653"/>
      <c r="AA24" s="653" t="s">
        <v>231</v>
      </c>
      <c r="AB24" s="653"/>
      <c r="AD24" s="655" t="s">
        <v>3</v>
      </c>
      <c r="AE24" s="655"/>
      <c r="AF24" s="655"/>
      <c r="AG24" s="655"/>
      <c r="AH24" s="655"/>
      <c r="AI24" s="653" t="s">
        <v>140</v>
      </c>
      <c r="AJ24" s="653"/>
      <c r="AK24" s="653" t="s">
        <v>141</v>
      </c>
      <c r="AL24" s="653"/>
      <c r="AM24" s="653" t="s">
        <v>142</v>
      </c>
      <c r="AN24" s="653"/>
      <c r="AO24" s="653" t="s">
        <v>231</v>
      </c>
      <c r="AP24" s="653"/>
      <c r="AQ24" s="538"/>
      <c r="AR24" s="655" t="s">
        <v>3</v>
      </c>
      <c r="AS24" s="655"/>
      <c r="AT24" s="655"/>
      <c r="AU24" s="655"/>
      <c r="AV24" s="655"/>
      <c r="AW24" s="653" t="s">
        <v>140</v>
      </c>
      <c r="AX24" s="653"/>
      <c r="AY24" s="653" t="s">
        <v>141</v>
      </c>
      <c r="AZ24" s="653"/>
      <c r="BA24" s="653" t="s">
        <v>142</v>
      </c>
      <c r="BB24" s="653"/>
      <c r="BC24" s="653" t="s">
        <v>231</v>
      </c>
      <c r="BD24" s="653"/>
      <c r="BE24" s="538"/>
      <c r="BF24" s="655" t="s">
        <v>3</v>
      </c>
      <c r="BG24" s="655"/>
      <c r="BH24" s="655"/>
      <c r="BI24" s="655"/>
      <c r="BJ24" s="655"/>
      <c r="BK24" s="653" t="s">
        <v>140</v>
      </c>
      <c r="BL24" s="653"/>
      <c r="BM24" s="653" t="s">
        <v>141</v>
      </c>
      <c r="BN24" s="653"/>
      <c r="BO24" s="653" t="s">
        <v>142</v>
      </c>
      <c r="BP24" s="653"/>
      <c r="BQ24" s="653" t="s">
        <v>231</v>
      </c>
      <c r="BR24" s="653"/>
      <c r="BS24" s="538"/>
      <c r="BT24" s="538"/>
    </row>
    <row r="25" spans="2:72" x14ac:dyDescent="0.2">
      <c r="B25" s="297" t="s">
        <v>160</v>
      </c>
      <c r="C25" s="370" t="s">
        <v>109</v>
      </c>
      <c r="D25" s="371"/>
      <c r="E25" s="371"/>
      <c r="F25" s="373" t="s">
        <v>108</v>
      </c>
      <c r="G25" s="374">
        <f>+Datos!$F$28</f>
        <v>0</v>
      </c>
      <c r="H25" s="188">
        <f>IF(G25&lt;=$D$21,$D$22,IF(AND(G25&gt;$D$21,G25&lt;=$E$21),$E$22,IF(AND(G25&gt;$E$21,G25&lt;=$F$21),$F$22,IF(AND(G25&gt;$F$21,G25&lt;=$G$21),$G$22,IF(AND(G25&gt;$G$21,G25&lt;=$H$21),$H$22,$H$22)))))</f>
        <v>0</v>
      </c>
      <c r="I25" s="374">
        <f>+Datos!$H$28</f>
        <v>0</v>
      </c>
      <c r="J25" s="188">
        <f>IF(I25&lt;=$D$21,$D$22,IF(AND(I25&gt;$D$21,I25&lt;=$E$21),$E$22,IF(AND(I25&gt;$E$21,I25&lt;=$F$21),$F$22,IF(AND(I25&gt;$F$21,I25&lt;=$G$21),$G$22,IF(AND(I25&gt;$G$21,I25&lt;=$H$21),$H$22,$H$22)))))</f>
        <v>0</v>
      </c>
      <c r="K25" s="374">
        <f>+Datos!$J$28</f>
        <v>0</v>
      </c>
      <c r="L25" s="188">
        <f>IF(K25&lt;=$D$21,$D$22,IF(AND(K25&gt;$D$21,K25&lt;=$E$21),$E$22,IF(AND(K25&gt;$E$21,K25&lt;=$F$21),$F$22,IF(AND(K25&gt;$F$21,K25&lt;=$G$21),$G$22,IF(AND(K25&gt;$G$21,K25&lt;=$H$21),$H$22,$H$22)))))</f>
        <v>0</v>
      </c>
      <c r="M25" s="374">
        <f>+Datos!$L$28</f>
        <v>0</v>
      </c>
      <c r="N25" s="188">
        <f>IF(M25&lt;=$D$21,$D$22,IF(AND(M25&gt;$D$21,M25&lt;=$E$21),$E$22,IF(AND(M25&gt;$E$21,M25&lt;=$F$21),$F$22,IF(AND(M25&gt;$F$21,M25&lt;=$G$21),$G$22,IF(AND(M25&gt;$G$21,M25&lt;=$H$21),$H$22,$H$22)))))</f>
        <v>0</v>
      </c>
      <c r="P25" s="297" t="s">
        <v>160</v>
      </c>
      <c r="Q25" s="370" t="s">
        <v>109</v>
      </c>
      <c r="R25" s="371"/>
      <c r="S25" s="371"/>
      <c r="T25" s="373" t="s">
        <v>108</v>
      </c>
      <c r="U25" s="374">
        <f>+Datos!$F$28</f>
        <v>0</v>
      </c>
      <c r="V25" s="188">
        <f>IF(U25&lt;=$R$21,$R$22,IF(AND(U25&gt;$R$21,U25&lt;=$S$21),$S$22,IF(AND(U25&gt;$S$21,U25&lt;=$T$21),$T$22,IF(AND(U25&gt;$T$21,U25&lt;=$U$21),$U$22,IF(AND(U25&gt;$U$21,U25&lt;=$V$21),$V$22,$V$22)))))</f>
        <v>0</v>
      </c>
      <c r="W25" s="374">
        <f>+Datos!$H$28</f>
        <v>0</v>
      </c>
      <c r="X25" s="188">
        <f>IF(W25&lt;=$R$21,$R$22,IF(AND(W25&gt;$R$21,W25&lt;=$S$21),$S$22,IF(AND(W25&gt;$S$21,W25&lt;=$T$21),$T$22,IF(AND(W25&gt;$T$21,W25&lt;=$U$21),$U$22,IF(AND(W25&gt;$U$21,W25&lt;=$V$21),$V$22,$V$22)))))</f>
        <v>0</v>
      </c>
      <c r="Y25" s="374">
        <f>+Datos!$J$28</f>
        <v>0</v>
      </c>
      <c r="Z25" s="188">
        <f>IF(Y25&lt;=$R$21,$R$22,IF(AND(Y25&gt;$R$21,Y25&lt;=$S$21),$S$22,IF(AND(Y25&gt;$S$21,Y25&lt;=$T$21),$T$22,IF(AND(Y25&gt;$T$21,Y25&lt;=$U$21),$U$22,IF(AND(Y25&gt;$U$21,Y25&lt;=$V$21),$V$22,$V$22)))))</f>
        <v>0</v>
      </c>
      <c r="AA25" s="374">
        <f>+Datos!$L$28</f>
        <v>0</v>
      </c>
      <c r="AB25" s="188">
        <f>IF(AA25&lt;=$R$21,$R$22,IF(AND(AA25&gt;$R$21,AA25&lt;=$S$21),$S$22,IF(AND(AA25&gt;$S$21,AA25&lt;=$T$21),$T$22,IF(AND(AA25&gt;$T$21,AA25&lt;=$U$21),$U$22,IF(AND(AA25&gt;$U$21,AA25&lt;=$V$21),$V$22,$V$22)))))</f>
        <v>0</v>
      </c>
      <c r="AD25" s="297" t="s">
        <v>160</v>
      </c>
      <c r="AE25" s="370" t="s">
        <v>109</v>
      </c>
      <c r="AF25" s="371"/>
      <c r="AG25" s="371"/>
      <c r="AH25" s="373" t="s">
        <v>108</v>
      </c>
      <c r="AI25" s="374">
        <f>+Datos!$F$28</f>
        <v>0</v>
      </c>
      <c r="AJ25" s="188">
        <f>IF(AI25&lt;=$R$21,$R$22,IF(AND(AI25&gt;$R$21,AI25&lt;=$S$21),$S$22,IF(AND(AI25&gt;$S$21,AI25&lt;=$T$21),$T$22,IF(AND(AI25&gt;$T$21,AI25&lt;=$U$21),$U$22,IF(AND(AI25&gt;$U$21,AI25&lt;=$V$21),$V$22,$V$22)))))</f>
        <v>0</v>
      </c>
      <c r="AK25" s="374">
        <f>+Datos!$H$28</f>
        <v>0</v>
      </c>
      <c r="AL25" s="188">
        <f>IF(AK25&lt;=$R$21,$R$22,IF(AND(AK25&gt;$R$21,AK25&lt;=$S$21),$S$22,IF(AND(AK25&gt;$S$21,AK25&lt;=$T$21),$T$22,IF(AND(AK25&gt;$T$21,AK25&lt;=$U$21),$U$22,IF(AND(AK25&gt;$U$21,AK25&lt;=$V$21),$V$22,$V$22)))))</f>
        <v>0</v>
      </c>
      <c r="AM25" s="374">
        <f>+Datos!$J$28</f>
        <v>0</v>
      </c>
      <c r="AN25" s="188">
        <f>IF(AM25&lt;=$R$21,$R$22,IF(AND(AM25&gt;$R$21,AM25&lt;=$S$21),$S$22,IF(AND(AM25&gt;$S$21,AM25&lt;=$T$21),$T$22,IF(AND(AM25&gt;$T$21,AM25&lt;=$U$21),$U$22,IF(AND(AM25&gt;$U$21,AM25&lt;=$V$21),$V$22,$V$22)))))</f>
        <v>0</v>
      </c>
      <c r="AO25" s="374">
        <f>+Datos!$L$28</f>
        <v>0</v>
      </c>
      <c r="AP25" s="188">
        <f>IF(AO25&lt;=$R$21,$R$22,IF(AND(AO25&gt;$R$21,AO25&lt;=$S$21),$S$22,IF(AND(AO25&gt;$S$21,AO25&lt;=$T$21),$T$22,IF(AND(AO25&gt;$T$21,AO25&lt;=$U$21),$U$22,IF(AND(AO25&gt;$U$21,AO25&lt;=$V$21),$V$22,$V$22)))))</f>
        <v>0</v>
      </c>
      <c r="AQ25" s="542"/>
      <c r="AR25" s="297" t="s">
        <v>160</v>
      </c>
      <c r="AS25" s="370" t="s">
        <v>109</v>
      </c>
      <c r="AT25" s="371"/>
      <c r="AU25" s="371"/>
      <c r="AV25" s="373" t="s">
        <v>108</v>
      </c>
      <c r="AW25" s="374">
        <f>+Datos!$F$28</f>
        <v>0</v>
      </c>
      <c r="AX25" s="188">
        <f>IF(AW25&lt;=$R$21,$R$22,IF(AND(AW25&gt;$R$21,AW25&lt;=$S$21),$S$22,IF(AND(AW25&gt;$S$21,AW25&lt;=$T$21),$T$22,IF(AND(AW25&gt;$T$21,AW25&lt;=$U$21),$U$22,IF(AND(AW25&gt;$U$21,AW25&lt;=$V$21),$V$22,$V$22)))))</f>
        <v>0</v>
      </c>
      <c r="AY25" s="374">
        <f>+Datos!$H$28</f>
        <v>0</v>
      </c>
      <c r="AZ25" s="188">
        <f>IF(AY25&lt;=$R$21,$R$22,IF(AND(AY25&gt;$R$21,AY25&lt;=$S$21),$S$22,IF(AND(AY25&gt;$S$21,AY25&lt;=$T$21),$T$22,IF(AND(AY25&gt;$T$21,AY25&lt;=$U$21),$U$22,IF(AND(AY25&gt;$U$21,AY25&lt;=$V$21),$V$22,$V$22)))))</f>
        <v>0</v>
      </c>
      <c r="BA25" s="374">
        <f>+Datos!$J$28</f>
        <v>0</v>
      </c>
      <c r="BB25" s="188">
        <f>IF(BA25&lt;=$R$21,$R$22,IF(AND(BA25&gt;$R$21,BA25&lt;=$S$21),$S$22,IF(AND(BA25&gt;$S$21,BA25&lt;=$T$21),$T$22,IF(AND(BA25&gt;$T$21,BA25&lt;=$U$21),$U$22,IF(AND(BA25&gt;$U$21,BA25&lt;=$V$21),$V$22,$V$22)))))</f>
        <v>0</v>
      </c>
      <c r="BC25" s="374">
        <f>+Datos!$L$28</f>
        <v>0</v>
      </c>
      <c r="BD25" s="188">
        <f>IF(BC25&lt;=$R$21,$R$22,IF(AND(BC25&gt;$R$21,BC25&lt;=$S$21),$S$22,IF(AND(BC25&gt;$S$21,BC25&lt;=$T$21),$T$22,IF(AND(BC25&gt;$T$21,BC25&lt;=$U$21),$U$22,IF(AND(BC25&gt;$U$21,BC25&lt;=$V$21),$V$22,$V$22)))))</f>
        <v>0</v>
      </c>
      <c r="BE25" s="542"/>
      <c r="BF25" s="297" t="s">
        <v>160</v>
      </c>
      <c r="BG25" s="370" t="s">
        <v>109</v>
      </c>
      <c r="BH25" s="371"/>
      <c r="BI25" s="371"/>
      <c r="BJ25" s="373" t="s">
        <v>108</v>
      </c>
      <c r="BK25" s="374">
        <f>+Datos!$F$28</f>
        <v>0</v>
      </c>
      <c r="BL25" s="188">
        <f>IF(BK25&lt;=$R$21,$R$22,IF(AND(BK25&gt;$R$21,BK25&lt;=$S$21),$S$22,IF(AND(BK25&gt;$S$21,BK25&lt;=$T$21),$T$22,IF(AND(BK25&gt;$T$21,BK25&lt;=$U$21),$U$22,IF(AND(BK25&gt;$U$21,BK25&lt;=$V$21),$V$22,$V$22)))))</f>
        <v>0</v>
      </c>
      <c r="BM25" s="374">
        <f>+Datos!$H$28</f>
        <v>0</v>
      </c>
      <c r="BN25" s="188">
        <f>IF(BM25&lt;=$R$21,$R$22,IF(AND(BM25&gt;$R$21,BM25&lt;=$S$21),$S$22,IF(AND(BM25&gt;$S$21,BM25&lt;=$T$21),$T$22,IF(AND(BM25&gt;$T$21,BM25&lt;=$U$21),$U$22,IF(AND(BM25&gt;$U$21,BM25&lt;=$V$21),$V$22,$V$22)))))</f>
        <v>0</v>
      </c>
      <c r="BO25" s="374">
        <f>+Datos!$J$28</f>
        <v>0</v>
      </c>
      <c r="BP25" s="188">
        <f>IF(BO25&lt;=$R$21,$R$22,IF(AND(BO25&gt;$R$21,BO25&lt;=$S$21),$S$22,IF(AND(BO25&gt;$S$21,BO25&lt;=$T$21),$T$22,IF(AND(BO25&gt;$T$21,BO25&lt;=$U$21),$U$22,IF(AND(BO25&gt;$U$21,BO25&lt;=$V$21),$V$22,$V$22)))))</f>
        <v>0</v>
      </c>
      <c r="BQ25" s="374">
        <f>+Datos!$L$28</f>
        <v>0</v>
      </c>
      <c r="BR25" s="188">
        <f>IF(BQ25&lt;=$R$21,$R$22,IF(AND(BQ25&gt;$R$21,BQ25&lt;=$S$21),$S$22,IF(AND(BQ25&gt;$S$21,BQ25&lt;=$T$21),$T$22,IF(AND(BQ25&gt;$T$21,BQ25&lt;=$U$21),$U$22,IF(AND(BQ25&gt;$U$21,BQ25&lt;=$V$21),$V$22,$V$22)))))</f>
        <v>0</v>
      </c>
      <c r="BS25" s="542"/>
      <c r="BT25" s="542"/>
    </row>
    <row r="26" spans="2:72" x14ac:dyDescent="0.2">
      <c r="B26" s="372" t="s">
        <v>84</v>
      </c>
      <c r="C26" s="370" t="s">
        <v>166</v>
      </c>
      <c r="D26" s="371"/>
      <c r="E26" s="371"/>
      <c r="F26" s="373" t="s">
        <v>108</v>
      </c>
      <c r="G26" s="374">
        <f>+Datos!$F$22</f>
        <v>0</v>
      </c>
      <c r="H26" s="188">
        <f>IF(G26&lt;=$D$21,$D$22,IF(AND(G26&gt;$D$21,G26&lt;=$E$21),$E$22,IF(AND(G26&gt;$E$21,G26&lt;=$F$21),$F$22,IF(AND(G26&gt;$F$21,G26&lt;=$G$21),$G$22,IF(AND(G26&gt;$G$21,G26&lt;=$H$21),$H$22,$H$22)))))</f>
        <v>0</v>
      </c>
      <c r="I26" s="374">
        <f>+Datos!$H$22</f>
        <v>0</v>
      </c>
      <c r="J26" s="188">
        <f>IF(I26&lt;=$D$21,$D$22,IF(AND(I26&gt;$D$21,I26&lt;=$E$21),$E$22,IF(AND(I26&gt;$E$21,I26&lt;=$F$21),$F$22,IF(AND(I26&gt;$F$21,I26&lt;=$G$21),$G$22,IF(AND(I26&gt;$G$21,I26&lt;=$H$21),$H$22,$H$22)))))</f>
        <v>0</v>
      </c>
      <c r="K26" s="374">
        <f>+Datos!$J$22</f>
        <v>0</v>
      </c>
      <c r="L26" s="188">
        <f>IF(K26&lt;=$D$21,$D$22,IF(AND(K26&gt;$D$21,K26&lt;=$E$21),$E$22,IF(AND(K26&gt;$E$21,K26&lt;=$F$21),$F$22,IF(AND(K26&gt;$F$21,K26&lt;=$G$21),$G$22,IF(AND(K26&gt;$G$21,K26&lt;=$H$21),$H$22,$H$22)))))</f>
        <v>0</v>
      </c>
      <c r="M26" s="374">
        <f>+Datos!$L$22</f>
        <v>0</v>
      </c>
      <c r="N26" s="188">
        <f>IF(M26&lt;=$D$21,$D$22,IF(AND(M26&gt;$D$21,M26&lt;=$E$21),$E$22,IF(AND(M26&gt;$E$21,M26&lt;=$F$21),$F$22,IF(AND(M26&gt;$F$21,M26&lt;=$G$21),$G$22,IF(AND(M26&gt;$G$21,M26&lt;=$H$21),$H$22,$H$22)))))</f>
        <v>0</v>
      </c>
      <c r="P26" s="372" t="s">
        <v>84</v>
      </c>
      <c r="Q26" s="370" t="s">
        <v>166</v>
      </c>
      <c r="R26" s="371"/>
      <c r="S26" s="371"/>
      <c r="T26" s="373" t="s">
        <v>108</v>
      </c>
      <c r="U26" s="374">
        <f>+Datos!$F$22</f>
        <v>0</v>
      </c>
      <c r="V26" s="188">
        <f>IF(U26&lt;=$R$21,$R$22,IF(AND(U26&gt;$R$21,U26&lt;=$S$21),$S$22,IF(AND(U26&gt;$S$21,U26&lt;=$T$21),$T$22,IF(AND(U26&gt;$T$21,U26&lt;=$U$21),$U$22,IF(AND(U26&gt;$U$21,U26&lt;=$V$21),$V$22,$V$22)))))</f>
        <v>0</v>
      </c>
      <c r="W26" s="374">
        <f>+Datos!$H$22</f>
        <v>0</v>
      </c>
      <c r="X26" s="188">
        <f>IF(W26&lt;=$R$21,$R$22,IF(AND(W26&gt;$R$21,W26&lt;=$S$21),$S$22,IF(AND(W26&gt;$S$21,W26&lt;=$T$21),$T$22,IF(AND(W26&gt;$T$21,W26&lt;=$U$21),$U$22,IF(AND(W26&gt;$U$21,W26&lt;=$V$21),$V$22,$V$22)))))</f>
        <v>0</v>
      </c>
      <c r="Y26" s="374">
        <f>+Datos!$J$22</f>
        <v>0</v>
      </c>
      <c r="Z26" s="188">
        <f>IF(Y26&lt;=$R$21,$R$22,IF(AND(Y26&gt;$R$21,Y26&lt;=$S$21),$S$22,IF(AND(Y26&gt;$S$21,Y26&lt;=$T$21),$T$22,IF(AND(Y26&gt;$T$21,Y26&lt;=$U$21),$U$22,IF(AND(Y26&gt;$U$21,Y26&lt;=$V$21),$V$22,$V$22)))))</f>
        <v>0</v>
      </c>
      <c r="AA26" s="374">
        <f>+Datos!$L$22</f>
        <v>0</v>
      </c>
      <c r="AB26" s="188">
        <f>IF(AA26&lt;=$R$21,$R$22,IF(AND(AA26&gt;$R$21,AA26&lt;=$S$21),$S$22,IF(AND(AA26&gt;$S$21,AA26&lt;=$T$21),$T$22,IF(AND(AA26&gt;$T$21,AA26&lt;=$U$21),$U$22,IF(AND(AA26&gt;$U$21,AA26&lt;=$V$21),$V$22,$V$22)))))</f>
        <v>0</v>
      </c>
      <c r="AD26" s="372" t="s">
        <v>84</v>
      </c>
      <c r="AE26" s="370" t="s">
        <v>166</v>
      </c>
      <c r="AF26" s="371"/>
      <c r="AG26" s="371"/>
      <c r="AH26" s="373" t="s">
        <v>108</v>
      </c>
      <c r="AI26" s="374">
        <f>+Datos!$F$22</f>
        <v>0</v>
      </c>
      <c r="AJ26" s="188">
        <f>IF(AI26&lt;=$R$21,$R$22,IF(AND(AI26&gt;$R$21,AI26&lt;=$S$21),$S$22,IF(AND(AI26&gt;$S$21,AI26&lt;=$T$21),$T$22,IF(AND(AI26&gt;$T$21,AI26&lt;=$U$21),$U$22,IF(AND(AI26&gt;$U$21,AI26&lt;=$V$21),$V$22,$V$22)))))</f>
        <v>0</v>
      </c>
      <c r="AK26" s="374">
        <f>+Datos!$H$22</f>
        <v>0</v>
      </c>
      <c r="AL26" s="188">
        <f>IF(AK26&lt;=$R$21,$R$22,IF(AND(AK26&gt;$R$21,AK26&lt;=$S$21),$S$22,IF(AND(AK26&gt;$S$21,AK26&lt;=$T$21),$T$22,IF(AND(AK26&gt;$T$21,AK26&lt;=$U$21),$U$22,IF(AND(AK26&gt;$U$21,AK26&lt;=$V$21),$V$22,$V$22)))))</f>
        <v>0</v>
      </c>
      <c r="AM26" s="374">
        <f>+Datos!$J$22</f>
        <v>0</v>
      </c>
      <c r="AN26" s="188">
        <f>IF(AM26&lt;=$R$21,$R$22,IF(AND(AM26&gt;$R$21,AM26&lt;=$S$21),$S$22,IF(AND(AM26&gt;$S$21,AM26&lt;=$T$21),$T$22,IF(AND(AM26&gt;$T$21,AM26&lt;=$U$21),$U$22,IF(AND(AM26&gt;$U$21,AM26&lt;=$V$21),$V$22,$V$22)))))</f>
        <v>0</v>
      </c>
      <c r="AO26" s="374">
        <f>+Datos!$L$22</f>
        <v>0</v>
      </c>
      <c r="AP26" s="188">
        <f>IF(AO26&lt;=$R$21,$R$22,IF(AND(AO26&gt;$R$21,AO26&lt;=$S$21),$S$22,IF(AND(AO26&gt;$S$21,AO26&lt;=$T$21),$T$22,IF(AND(AO26&gt;$T$21,AO26&lt;=$U$21),$U$22,IF(AND(AO26&gt;$U$21,AO26&lt;=$V$21),$V$22,$V$22)))))</f>
        <v>0</v>
      </c>
      <c r="AQ26" s="542"/>
      <c r="AR26" s="372" t="s">
        <v>84</v>
      </c>
      <c r="AS26" s="370" t="s">
        <v>166</v>
      </c>
      <c r="AT26" s="371"/>
      <c r="AU26" s="371"/>
      <c r="AV26" s="373" t="s">
        <v>108</v>
      </c>
      <c r="AW26" s="374">
        <f>+Datos!$F$22</f>
        <v>0</v>
      </c>
      <c r="AX26" s="188">
        <f>IF(AW26&lt;=$R$21,$R$22,IF(AND(AW26&gt;$R$21,AW26&lt;=$S$21),$S$22,IF(AND(AW26&gt;$S$21,AW26&lt;=$T$21),$T$22,IF(AND(AW26&gt;$T$21,AW26&lt;=$U$21),$U$22,IF(AND(AW26&gt;$U$21,AW26&lt;=$V$21),$V$22,$V$22)))))</f>
        <v>0</v>
      </c>
      <c r="AY26" s="374">
        <f>+Datos!$H$22</f>
        <v>0</v>
      </c>
      <c r="AZ26" s="188">
        <f>IF(AY26&lt;=$R$21,$R$22,IF(AND(AY26&gt;$R$21,AY26&lt;=$S$21),$S$22,IF(AND(AY26&gt;$S$21,AY26&lt;=$T$21),$T$22,IF(AND(AY26&gt;$T$21,AY26&lt;=$U$21),$U$22,IF(AND(AY26&gt;$U$21,AY26&lt;=$V$21),$V$22,$V$22)))))</f>
        <v>0</v>
      </c>
      <c r="BA26" s="374">
        <f>+Datos!$J$22</f>
        <v>0</v>
      </c>
      <c r="BB26" s="188">
        <f>IF(BA26&lt;=$R$21,$R$22,IF(AND(BA26&gt;$R$21,BA26&lt;=$S$21),$S$22,IF(AND(BA26&gt;$S$21,BA26&lt;=$T$21),$T$22,IF(AND(BA26&gt;$T$21,BA26&lt;=$U$21),$U$22,IF(AND(BA26&gt;$U$21,BA26&lt;=$V$21),$V$22,$V$22)))))</f>
        <v>0</v>
      </c>
      <c r="BC26" s="374">
        <f>+Datos!$L$22</f>
        <v>0</v>
      </c>
      <c r="BD26" s="188">
        <f>IF(BC26&lt;=$R$21,$R$22,IF(AND(BC26&gt;$R$21,BC26&lt;=$S$21),$S$22,IF(AND(BC26&gt;$S$21,BC26&lt;=$T$21),$T$22,IF(AND(BC26&gt;$T$21,BC26&lt;=$U$21),$U$22,IF(AND(BC26&gt;$U$21,BC26&lt;=$V$21),$V$22,$V$22)))))</f>
        <v>0</v>
      </c>
      <c r="BE26" s="542"/>
      <c r="BF26" s="372" t="s">
        <v>84</v>
      </c>
      <c r="BG26" s="370" t="s">
        <v>166</v>
      </c>
      <c r="BH26" s="371"/>
      <c r="BI26" s="371"/>
      <c r="BJ26" s="373" t="s">
        <v>108</v>
      </c>
      <c r="BK26" s="374">
        <f>+Datos!$F$22</f>
        <v>0</v>
      </c>
      <c r="BL26" s="188">
        <f>IF(BK26&lt;=$R$21,$R$22,IF(AND(BK26&gt;$R$21,BK26&lt;=$S$21),$S$22,IF(AND(BK26&gt;$S$21,BK26&lt;=$T$21),$T$22,IF(AND(BK26&gt;$T$21,BK26&lt;=$U$21),$U$22,IF(AND(BK26&gt;$U$21,BK26&lt;=$V$21),$V$22,$V$22)))))</f>
        <v>0</v>
      </c>
      <c r="BM26" s="374">
        <f>+Datos!$H$22</f>
        <v>0</v>
      </c>
      <c r="BN26" s="188">
        <f>IF(BM26&lt;=$R$21,$R$22,IF(AND(BM26&gt;$R$21,BM26&lt;=$S$21),$S$22,IF(AND(BM26&gt;$S$21,BM26&lt;=$T$21),$T$22,IF(AND(BM26&gt;$T$21,BM26&lt;=$U$21),$U$22,IF(AND(BM26&gt;$U$21,BM26&lt;=$V$21),$V$22,$V$22)))))</f>
        <v>0</v>
      </c>
      <c r="BO26" s="374">
        <f>+Datos!$J$22</f>
        <v>0</v>
      </c>
      <c r="BP26" s="188">
        <f>IF(BO26&lt;=$R$21,$R$22,IF(AND(BO26&gt;$R$21,BO26&lt;=$S$21),$S$22,IF(AND(BO26&gt;$S$21,BO26&lt;=$T$21),$T$22,IF(AND(BO26&gt;$T$21,BO26&lt;=$U$21),$U$22,IF(AND(BO26&gt;$U$21,BO26&lt;=$V$21),$V$22,$V$22)))))</f>
        <v>0</v>
      </c>
      <c r="BQ26" s="374">
        <f>+Datos!$L$22</f>
        <v>0</v>
      </c>
      <c r="BR26" s="188">
        <f>IF(BQ26&lt;=$R$21,$R$22,IF(AND(BQ26&gt;$R$21,BQ26&lt;=$S$21),$S$22,IF(AND(BQ26&gt;$S$21,BQ26&lt;=$T$21),$T$22,IF(AND(BQ26&gt;$T$21,BQ26&lt;=$U$21),$U$22,IF(AND(BQ26&gt;$U$21,BQ26&lt;=$V$21),$V$22,$V$22)))))</f>
        <v>0</v>
      </c>
      <c r="BS26" s="542"/>
      <c r="BT26" s="542"/>
    </row>
    <row r="27" spans="2:72" x14ac:dyDescent="0.2">
      <c r="B27" s="297" t="s">
        <v>85</v>
      </c>
      <c r="C27" s="370" t="s">
        <v>156</v>
      </c>
      <c r="D27" s="371"/>
      <c r="E27" s="371"/>
      <c r="F27" s="373" t="s">
        <v>108</v>
      </c>
      <c r="G27" s="374">
        <f>+Datos!$F$23</f>
        <v>0</v>
      </c>
      <c r="H27" s="188">
        <f>IF(G27&lt;=$D$21,$D$22,IF(AND(G27&gt;$D$21,G27&lt;=$E$21),$E$22,IF(AND(G27&gt;$E$21,G27&lt;=$F$21),$F$22,IF(AND(G27&gt;$F$21,G27&lt;=$G$21),$G$22,IF(AND(G27&gt;$G$21,G27&lt;=$H$21),$H$22,$H$22)))))</f>
        <v>0</v>
      </c>
      <c r="I27" s="374">
        <f>+Datos!$G$23</f>
        <v>0</v>
      </c>
      <c r="J27" s="188">
        <f>IF(I27&lt;=$D$21,$D$22,IF(AND(I27&gt;$D$21,I27&lt;=$E$21),$E$22,IF(AND(I27&gt;$E$21,I27&lt;=$F$21),$F$22,IF(AND(I27&gt;$F$21,I27&lt;=$G$21),$G$22,IF(AND(I27&gt;$G$21,I27&lt;=$H$21),$H$22,$H$22)))))</f>
        <v>0</v>
      </c>
      <c r="K27" s="374">
        <f>+Datos!$J$23</f>
        <v>0</v>
      </c>
      <c r="L27" s="188">
        <f>IF(K27&lt;=$D$21,$D$22,IF(AND(K27&gt;$D$21,K27&lt;=$E$21),$E$22,IF(AND(K27&gt;$E$21,K27&lt;=$F$21),$F$22,IF(AND(K27&gt;$F$21,K27&lt;=$G$21),$G$22,IF(AND(K27&gt;$G$21,K27&lt;=$H$21),$H$22,$H$22)))))</f>
        <v>0</v>
      </c>
      <c r="M27" s="374">
        <f>+Datos!$L$23</f>
        <v>0</v>
      </c>
      <c r="N27" s="188">
        <f>IF(M27&lt;=$D$21,$D$22,IF(AND(M27&gt;$D$21,M27&lt;=$E$21),$E$22,IF(AND(M27&gt;$E$21,M27&lt;=$F$21),$F$22,IF(AND(M27&gt;$F$21,M27&lt;=$G$21),$G$22,IF(AND(M27&gt;$G$21,M27&lt;=$H$21),$H$22,$H$22)))))</f>
        <v>0</v>
      </c>
      <c r="P27" s="297" t="s">
        <v>85</v>
      </c>
      <c r="Q27" s="370" t="s">
        <v>156</v>
      </c>
      <c r="R27" s="371"/>
      <c r="S27" s="371"/>
      <c r="T27" s="373" t="s">
        <v>108</v>
      </c>
      <c r="U27" s="374">
        <f>+Datos!$F$23</f>
        <v>0</v>
      </c>
      <c r="V27" s="188">
        <f>IF(U27&lt;=$R$21,$R$22,IF(AND(U27&gt;$R$21,U27&lt;=$S$21),$S$22,IF(AND(U27&gt;$S$21,U27&lt;=$T$21),$T$22,IF(AND(U27&gt;$T$21,U27&lt;=$U$21),$U$22,IF(AND(U27&gt;$U$21,U27&lt;=$V$21),$V$22,$V$22)))))</f>
        <v>0</v>
      </c>
      <c r="W27" s="374">
        <f>+Datos!$G$23</f>
        <v>0</v>
      </c>
      <c r="X27" s="188">
        <f>IF(W27&lt;=$R$21,$R$22,IF(AND(W27&gt;$R$21,W27&lt;=$S$21),$S$22,IF(AND(W27&gt;$S$21,W27&lt;=$T$21),$T$22,IF(AND(W27&gt;$T$21,W27&lt;=$U$21),$U$22,IF(AND(W27&gt;$U$21,W27&lt;=$V$21),$V$22,$V$22)))))</f>
        <v>0</v>
      </c>
      <c r="Y27" s="374">
        <f>+Datos!$J$23</f>
        <v>0</v>
      </c>
      <c r="Z27" s="188">
        <f>IF(Y27&lt;=$R$21,$R$22,IF(AND(Y27&gt;$R$21,Y27&lt;=$S$21),$S$22,IF(AND(Y27&gt;$S$21,Y27&lt;=$T$21),$T$22,IF(AND(Y27&gt;$T$21,Y27&lt;=$U$21),$U$22,IF(AND(Y27&gt;$U$21,Y27&lt;=$V$21),$V$22,$V$22)))))</f>
        <v>0</v>
      </c>
      <c r="AA27" s="374">
        <f>+Datos!$L$23</f>
        <v>0</v>
      </c>
      <c r="AB27" s="188">
        <f>IF(AA27&lt;=$R$21,$R$22,IF(AND(AA27&gt;$R$21,AA27&lt;=$S$21),$S$22,IF(AND(AA27&gt;$S$21,AA27&lt;=$T$21),$T$22,IF(AND(AA27&gt;$T$21,AA27&lt;=$U$21),$U$22,IF(AND(AA27&gt;$U$21,AA27&lt;=$V$21),$V$22,$V$22)))))</f>
        <v>0</v>
      </c>
      <c r="AD27" s="297" t="s">
        <v>85</v>
      </c>
      <c r="AE27" s="370" t="s">
        <v>156</v>
      </c>
      <c r="AF27" s="371"/>
      <c r="AG27" s="371"/>
      <c r="AH27" s="373" t="s">
        <v>108</v>
      </c>
      <c r="AI27" s="374">
        <f>+Datos!$F$23</f>
        <v>0</v>
      </c>
      <c r="AJ27" s="188">
        <f>IF(AI27&lt;=$R$21,$R$22,IF(AND(AI27&gt;$R$21,AI27&lt;=$S$21),$S$22,IF(AND(AI27&gt;$S$21,AI27&lt;=$T$21),$T$22,IF(AND(AI27&gt;$T$21,AI27&lt;=$U$21),$U$22,IF(AND(AI27&gt;$U$21,AI27&lt;=$V$21),$V$22,$V$22)))))</f>
        <v>0</v>
      </c>
      <c r="AK27" s="374">
        <f>+Datos!$G$23</f>
        <v>0</v>
      </c>
      <c r="AL27" s="188">
        <f>IF(AK27&lt;=$R$21,$R$22,IF(AND(AK27&gt;$R$21,AK27&lt;=$S$21),$S$22,IF(AND(AK27&gt;$S$21,AK27&lt;=$T$21),$T$22,IF(AND(AK27&gt;$T$21,AK27&lt;=$U$21),$U$22,IF(AND(AK27&gt;$U$21,AK27&lt;=$V$21),$V$22,$V$22)))))</f>
        <v>0</v>
      </c>
      <c r="AM27" s="374">
        <f>+Datos!$J$23</f>
        <v>0</v>
      </c>
      <c r="AN27" s="188">
        <f>IF(AM27&lt;=$R$21,$R$22,IF(AND(AM27&gt;$R$21,AM27&lt;=$S$21),$S$22,IF(AND(AM27&gt;$S$21,AM27&lt;=$T$21),$T$22,IF(AND(AM27&gt;$T$21,AM27&lt;=$U$21),$U$22,IF(AND(AM27&gt;$U$21,AM27&lt;=$V$21),$V$22,$V$22)))))</f>
        <v>0</v>
      </c>
      <c r="AO27" s="374">
        <f>+Datos!$L$23</f>
        <v>0</v>
      </c>
      <c r="AP27" s="188">
        <f>IF(AO27&lt;=$R$21,$R$22,IF(AND(AO27&gt;$R$21,AO27&lt;=$S$21),$S$22,IF(AND(AO27&gt;$S$21,AO27&lt;=$T$21),$T$22,IF(AND(AO27&gt;$T$21,AO27&lt;=$U$21),$U$22,IF(AND(AO27&gt;$U$21,AO27&lt;=$V$21),$V$22,$V$22)))))</f>
        <v>0</v>
      </c>
      <c r="AQ27" s="542"/>
      <c r="AR27" s="297" t="s">
        <v>85</v>
      </c>
      <c r="AS27" s="370" t="s">
        <v>156</v>
      </c>
      <c r="AT27" s="371"/>
      <c r="AU27" s="371"/>
      <c r="AV27" s="373" t="s">
        <v>108</v>
      </c>
      <c r="AW27" s="374">
        <f>+Datos!$F$23</f>
        <v>0</v>
      </c>
      <c r="AX27" s="188">
        <f>IF(AW27&lt;=$R$21,$R$22,IF(AND(AW27&gt;$R$21,AW27&lt;=$S$21),$S$22,IF(AND(AW27&gt;$S$21,AW27&lt;=$T$21),$T$22,IF(AND(AW27&gt;$T$21,AW27&lt;=$U$21),$U$22,IF(AND(AW27&gt;$U$21,AW27&lt;=$V$21),$V$22,$V$22)))))</f>
        <v>0</v>
      </c>
      <c r="AY27" s="374">
        <f>+Datos!$G$23</f>
        <v>0</v>
      </c>
      <c r="AZ27" s="188">
        <f>IF(AY27&lt;=$R$21,$R$22,IF(AND(AY27&gt;$R$21,AY27&lt;=$S$21),$S$22,IF(AND(AY27&gt;$S$21,AY27&lt;=$T$21),$T$22,IF(AND(AY27&gt;$T$21,AY27&lt;=$U$21),$U$22,IF(AND(AY27&gt;$U$21,AY27&lt;=$V$21),$V$22,$V$22)))))</f>
        <v>0</v>
      </c>
      <c r="BA27" s="374">
        <f>+Datos!$J$23</f>
        <v>0</v>
      </c>
      <c r="BB27" s="188">
        <f>IF(BA27&lt;=$R$21,$R$22,IF(AND(BA27&gt;$R$21,BA27&lt;=$S$21),$S$22,IF(AND(BA27&gt;$S$21,BA27&lt;=$T$21),$T$22,IF(AND(BA27&gt;$T$21,BA27&lt;=$U$21),$U$22,IF(AND(BA27&gt;$U$21,BA27&lt;=$V$21),$V$22,$V$22)))))</f>
        <v>0</v>
      </c>
      <c r="BC27" s="374">
        <f>+Datos!$L$23</f>
        <v>0</v>
      </c>
      <c r="BD27" s="188">
        <f>IF(BC27&lt;=$R$21,$R$22,IF(AND(BC27&gt;$R$21,BC27&lt;=$S$21),$S$22,IF(AND(BC27&gt;$S$21,BC27&lt;=$T$21),$T$22,IF(AND(BC27&gt;$T$21,BC27&lt;=$U$21),$U$22,IF(AND(BC27&gt;$U$21,BC27&lt;=$V$21),$V$22,$V$22)))))</f>
        <v>0</v>
      </c>
      <c r="BE27" s="542"/>
      <c r="BF27" s="297" t="s">
        <v>85</v>
      </c>
      <c r="BG27" s="370" t="s">
        <v>156</v>
      </c>
      <c r="BH27" s="371"/>
      <c r="BI27" s="371"/>
      <c r="BJ27" s="373" t="s">
        <v>108</v>
      </c>
      <c r="BK27" s="374">
        <f>+Datos!$F$23</f>
        <v>0</v>
      </c>
      <c r="BL27" s="188">
        <f>IF(BK27&lt;=$R$21,$R$22,IF(AND(BK27&gt;$R$21,BK27&lt;=$S$21),$S$22,IF(AND(BK27&gt;$S$21,BK27&lt;=$T$21),$T$22,IF(AND(BK27&gt;$T$21,BK27&lt;=$U$21),$U$22,IF(AND(BK27&gt;$U$21,BK27&lt;=$V$21),$V$22,$V$22)))))</f>
        <v>0</v>
      </c>
      <c r="BM27" s="374">
        <f>+Datos!$G$23</f>
        <v>0</v>
      </c>
      <c r="BN27" s="188">
        <f>IF(BM27&lt;=$R$21,$R$22,IF(AND(BM27&gt;$R$21,BM27&lt;=$S$21),$S$22,IF(AND(BM27&gt;$S$21,BM27&lt;=$T$21),$T$22,IF(AND(BM27&gt;$T$21,BM27&lt;=$U$21),$U$22,IF(AND(BM27&gt;$U$21,BM27&lt;=$V$21),$V$22,$V$22)))))</f>
        <v>0</v>
      </c>
      <c r="BO27" s="374">
        <f>+Datos!$J$23</f>
        <v>0</v>
      </c>
      <c r="BP27" s="188">
        <f>IF(BO27&lt;=$R$21,$R$22,IF(AND(BO27&gt;$R$21,BO27&lt;=$S$21),$S$22,IF(AND(BO27&gt;$S$21,BO27&lt;=$T$21),$T$22,IF(AND(BO27&gt;$T$21,BO27&lt;=$U$21),$U$22,IF(AND(BO27&gt;$U$21,BO27&lt;=$V$21),$V$22,$V$22)))))</f>
        <v>0</v>
      </c>
      <c r="BQ27" s="374">
        <f>+Datos!$L$23</f>
        <v>0</v>
      </c>
      <c r="BR27" s="188">
        <f>IF(BQ27&lt;=$R$21,$R$22,IF(AND(BQ27&gt;$R$21,BQ27&lt;=$S$21),$S$22,IF(AND(BQ27&gt;$S$21,BQ27&lt;=$T$21),$T$22,IF(AND(BQ27&gt;$T$21,BQ27&lt;=$U$21),$U$22,IF(AND(BQ27&gt;$U$21,BQ27&lt;=$V$21),$V$22,$V$22)))))</f>
        <v>0</v>
      </c>
      <c r="BS27" s="542"/>
      <c r="BT27" s="542"/>
    </row>
    <row r="28" spans="2:72" x14ac:dyDescent="0.2">
      <c r="B28" s="202" t="s">
        <v>154</v>
      </c>
      <c r="C28" s="370" t="s">
        <v>158</v>
      </c>
      <c r="D28" s="356"/>
      <c r="E28" s="470"/>
      <c r="F28" s="373" t="s">
        <v>108</v>
      </c>
      <c r="G28" s="374">
        <f>+Datos!$I$5</f>
        <v>0</v>
      </c>
      <c r="H28" s="188">
        <f>IF(G28&lt;=$D$21,$D$22,IF(AND(G28&gt;$D$21,G28&lt;=$E$21),$E$22,IF(AND(G28&gt;$E$21,G28&lt;=$F$21),$F$22,IF(AND(G28&gt;$F$21,G28&lt;=$G$21),$G$22,IF(AND(G28&gt;$G$21,G28&lt;=$H$21),$H$22,$H$22)))))</f>
        <v>0</v>
      </c>
      <c r="P28" s="202" t="s">
        <v>154</v>
      </c>
      <c r="Q28" s="370" t="s">
        <v>158</v>
      </c>
      <c r="R28" s="356"/>
      <c r="S28" s="470"/>
      <c r="T28" s="373" t="s">
        <v>108</v>
      </c>
      <c r="U28" s="374">
        <f>+Datos!$I$5</f>
        <v>0</v>
      </c>
      <c r="V28" s="188">
        <f>IF(U28&lt;=$R$21,$R$22,IF(AND(U28&gt;$R$21,U28&lt;=$S$21),$S$22,IF(AND(U28&gt;$S$21,U28&lt;=$T$21),$T$22,IF(AND(U28&gt;$T$21,U28&lt;=$U$21),$U$22,IF(AND(U28&gt;$U$21,U28&lt;=$V$21),$V$22,$V$22)))))</f>
        <v>0</v>
      </c>
      <c r="AD28" s="202" t="s">
        <v>154</v>
      </c>
      <c r="AE28" s="370" t="s">
        <v>158</v>
      </c>
      <c r="AF28" s="356"/>
      <c r="AG28" s="470"/>
      <c r="AH28" s="373" t="s">
        <v>108</v>
      </c>
      <c r="AI28" s="374">
        <f>+Datos!$I$5</f>
        <v>0</v>
      </c>
      <c r="AJ28" s="188">
        <f>IF(AI28&lt;=$R$21,$R$22,IF(AND(AI28&gt;$R$21,AI28&lt;=$S$21),$S$22,IF(AND(AI28&gt;$S$21,AI28&lt;=$T$21),$T$22,IF(AND(AI28&gt;$T$21,AI28&lt;=$U$21),$U$22,IF(AND(AI28&gt;$U$21,AI28&lt;=$V$21),$V$22,$V$22)))))</f>
        <v>0</v>
      </c>
      <c r="AR28" s="202" t="s">
        <v>154</v>
      </c>
      <c r="AS28" s="370" t="s">
        <v>158</v>
      </c>
      <c r="AT28" s="356"/>
      <c r="AU28" s="470"/>
      <c r="AV28" s="373" t="s">
        <v>108</v>
      </c>
      <c r="AW28" s="374">
        <f>+Datos!$I$5</f>
        <v>0</v>
      </c>
      <c r="AX28" s="188">
        <f>IF(AW28&lt;=$R$21,$R$22,IF(AND(AW28&gt;$R$21,AW28&lt;=$S$21),$S$22,IF(AND(AW28&gt;$S$21,AW28&lt;=$T$21),$T$22,IF(AND(AW28&gt;$T$21,AW28&lt;=$U$21),$U$22,IF(AND(AW28&gt;$U$21,AW28&lt;=$V$21),$V$22,$V$22)))))</f>
        <v>0</v>
      </c>
      <c r="BF28" s="202" t="s">
        <v>154</v>
      </c>
      <c r="BG28" s="370" t="s">
        <v>158</v>
      </c>
      <c r="BH28" s="356"/>
      <c r="BI28" s="470"/>
      <c r="BJ28" s="373" t="s">
        <v>108</v>
      </c>
      <c r="BK28" s="374">
        <f>+Datos!$I$5</f>
        <v>0</v>
      </c>
      <c r="BL28" s="188">
        <f>IF(BK28&lt;=$R$21,$R$22,IF(AND(BK28&gt;$R$21,BK28&lt;=$S$21),$S$22,IF(AND(BK28&gt;$S$21,BK28&lt;=$T$21),$T$22,IF(AND(BK28&gt;$T$21,BK28&lt;=$U$21),$U$22,IF(AND(BK28&gt;$U$21,BK28&lt;=$V$21),$V$22,$V$22)))))</f>
        <v>0</v>
      </c>
    </row>
    <row r="29" spans="2:72" x14ac:dyDescent="0.2">
      <c r="D29" s="191"/>
    </row>
    <row r="30" spans="2:72" x14ac:dyDescent="0.2">
      <c r="B30" s="189"/>
    </row>
  </sheetData>
  <sheetProtection algorithmName="SHA-512" hashValue="R+4Te/HpO2fJmVxYkFfwjV5CDDfgCc6wXNQXOnnGu7iqAAI/2Kq7fjkx+mY7wdcEUo/KkSAJ35SAd+AuMjppcg==" saltValue="NLxEF7kbtx7J3XnURvjs4Q==" spinCount="100000" sheet="1" objects="1" scenarios="1"/>
  <mergeCells count="29">
    <mergeCell ref="BO24:BP24"/>
    <mergeCell ref="BQ24:BR24"/>
    <mergeCell ref="BC24:BD24"/>
    <mergeCell ref="BF1:BG1"/>
    <mergeCell ref="BF24:BJ24"/>
    <mergeCell ref="BK24:BL24"/>
    <mergeCell ref="BM24:BN24"/>
    <mergeCell ref="AR1:AS1"/>
    <mergeCell ref="AR24:AV24"/>
    <mergeCell ref="AW24:AX24"/>
    <mergeCell ref="AY24:AZ24"/>
    <mergeCell ref="BA24:BB24"/>
    <mergeCell ref="U24:V24"/>
    <mergeCell ref="W24:X24"/>
    <mergeCell ref="Y24:Z24"/>
    <mergeCell ref="AA24:AB24"/>
    <mergeCell ref="P1:Q1"/>
    <mergeCell ref="P24:T24"/>
    <mergeCell ref="G24:H24"/>
    <mergeCell ref="B24:F24"/>
    <mergeCell ref="I24:J24"/>
    <mergeCell ref="K24:L24"/>
    <mergeCell ref="M24:N24"/>
    <mergeCell ref="AO24:AP24"/>
    <mergeCell ref="AD1:AE1"/>
    <mergeCell ref="AD24:AH24"/>
    <mergeCell ref="AI24:AJ24"/>
    <mergeCell ref="AK24:AL24"/>
    <mergeCell ref="AM24:AN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EE95-41D4-4994-B2DE-7404020B78A6}">
  <dimension ref="A2:I7"/>
  <sheetViews>
    <sheetView workbookViewId="0">
      <selection activeCell="H22" sqref="H22"/>
    </sheetView>
  </sheetViews>
  <sheetFormatPr baseColWidth="10" defaultColWidth="11.5703125" defaultRowHeight="12.75" x14ac:dyDescent="0.2"/>
  <cols>
    <col min="1" max="1" width="28.85546875" style="358" customWidth="1"/>
    <col min="2" max="9" width="10.28515625" style="358" customWidth="1"/>
    <col min="10" max="10" width="24.42578125" style="358" customWidth="1"/>
    <col min="11" max="13" width="11.5703125" style="358"/>
    <col min="14" max="14" width="3.140625" style="358" customWidth="1"/>
    <col min="15" max="16384" width="11.5703125" style="358"/>
  </cols>
  <sheetData>
    <row r="2" spans="1:9" ht="15" x14ac:dyDescent="0.25">
      <c r="A2" s="516"/>
      <c r="B2" s="517"/>
      <c r="C2" s="517"/>
      <c r="D2" s="517"/>
      <c r="E2" s="517"/>
      <c r="F2" s="517"/>
      <c r="G2" s="517"/>
      <c r="H2" s="517"/>
      <c r="I2" s="517"/>
    </row>
    <row r="3" spans="1:9" ht="14.25" x14ac:dyDescent="0.2">
      <c r="A3" s="518" t="s">
        <v>309</v>
      </c>
      <c r="B3" s="517"/>
      <c r="C3" s="517"/>
      <c r="D3" s="517"/>
      <c r="E3" s="517"/>
      <c r="F3" s="517"/>
      <c r="G3" s="517"/>
      <c r="H3" s="517"/>
      <c r="I3" s="517"/>
    </row>
    <row r="4" spans="1:9" ht="14.25" x14ac:dyDescent="0.2">
      <c r="A4" s="518" t="s">
        <v>274</v>
      </c>
      <c r="B4" s="519">
        <v>45955</v>
      </c>
      <c r="C4" s="517"/>
      <c r="D4" s="517"/>
      <c r="E4" s="517"/>
      <c r="F4" s="517"/>
      <c r="G4" s="517"/>
      <c r="H4" s="517"/>
      <c r="I4" s="517"/>
    </row>
    <row r="5" spans="1:9" ht="14.25" x14ac:dyDescent="0.2">
      <c r="A5" s="518"/>
      <c r="B5" s="520"/>
      <c r="C5" s="517"/>
      <c r="D5" s="517"/>
      <c r="E5" s="517"/>
      <c r="F5" s="517"/>
      <c r="G5" s="517"/>
      <c r="H5" s="517"/>
      <c r="I5" s="517"/>
    </row>
    <row r="6" spans="1:9" ht="28.5" x14ac:dyDescent="0.2">
      <c r="A6" s="522" t="s">
        <v>275</v>
      </c>
      <c r="B6" s="656">
        <v>2.8900000000000002E-3</v>
      </c>
      <c r="C6" s="656"/>
      <c r="D6" s="656"/>
      <c r="E6" s="656"/>
      <c r="F6" s="656"/>
      <c r="G6" s="656"/>
      <c r="H6" s="656"/>
      <c r="I6" s="521"/>
    </row>
    <row r="7" spans="1:9" ht="28.5" x14ac:dyDescent="0.2">
      <c r="A7" s="522" t="s">
        <v>276</v>
      </c>
      <c r="B7" s="656">
        <v>1.0529999999999999E-2</v>
      </c>
      <c r="C7" s="656"/>
      <c r="D7" s="656"/>
      <c r="E7" s="656"/>
      <c r="F7" s="656"/>
      <c r="G7" s="656"/>
      <c r="H7" s="656"/>
      <c r="I7" s="521"/>
    </row>
  </sheetData>
  <sheetProtection algorithmName="SHA-512" hashValue="1hHlj3BpDRMSfTpMx57LuWSIhSLeLONoqLTOm2J750T43fyje0NzXqGnQd5H503OxNBIlofqxERQM4Q3MzAFMQ==" saltValue="pbNWUzI+XFrF8U4o58n4fQ==" spinCount="100000" sheet="1" objects="1" scenarios="1"/>
  <mergeCells count="2">
    <mergeCell ref="B7:H7"/>
    <mergeCell ref="B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42578125" customWidth="1"/>
    <col min="4" max="4" width="20" customWidth="1"/>
    <col min="6" max="6" width="12.42578125" customWidth="1"/>
    <col min="11" max="11" width="17.5703125" customWidth="1"/>
    <col min="12" max="12" width="12.42578125" customWidth="1"/>
    <col min="13" max="13" width="15.42578125" customWidth="1"/>
  </cols>
  <sheetData>
    <row r="2" spans="1:13" ht="18.75" customHeight="1" x14ac:dyDescent="0.2">
      <c r="A2" s="657" t="s">
        <v>10</v>
      </c>
      <c r="B2" s="657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DENSIDAD</vt:lpstr>
      <vt:lpstr>DENSIDAD NATURAL EMS</vt:lpstr>
      <vt:lpstr>Datos</vt:lpstr>
      <vt:lpstr>Incertidumbre</vt:lpstr>
      <vt:lpstr>Balanza</vt:lpstr>
      <vt:lpstr>Precision</vt:lpstr>
      <vt:lpstr>Hoja1</vt:lpstr>
      <vt:lpstr>DENSIDAD!Área_de_impresión</vt:lpstr>
      <vt:lpstr>'DENSIDAD NATURAL EMS'!Área_de_impresión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lastPrinted>2026-05-26T14:43:26Z</cp:lastPrinted>
  <dcterms:created xsi:type="dcterms:W3CDTF">1999-11-07T15:11:55Z</dcterms:created>
  <dcterms:modified xsi:type="dcterms:W3CDTF">2026-06-24T14:24:38Z</dcterms:modified>
</cp:coreProperties>
</file>